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showInkAnnotation="0" codeName="ThisWorkbook" autoCompressPictures="0"/>
  <bookViews>
    <workbookView xWindow="340" yWindow="0" windowWidth="40800" windowHeight="26340" tabRatio="873" firstSheet="1" activeTab="2"/>
  </bookViews>
  <sheets>
    <sheet name="Info blad" sheetId="11" state="hidden" r:id="rId1"/>
    <sheet name="Voorblad" sheetId="33" r:id="rId2"/>
    <sheet name="Uitleg calculatiemodule" sheetId="34" r:id="rId3"/>
    <sheet name="1.0-Contractblad" sheetId="31" r:id="rId4"/>
    <sheet name="1.1-Jaarprijzen" sheetId="1" r:id="rId5"/>
    <sheet name="1.2-Kengetal" sheetId="2" r:id="rId6"/>
    <sheet name="1.3-Basis ruimtestaat" sheetId="39" r:id="rId7"/>
    <sheet name="1.3a-Mutaties" sheetId="29" r:id="rId8"/>
    <sheet name="1.4-Premies en opslagen" sheetId="32" r:id="rId9"/>
    <sheet name="1.5 Opbouw uurtarieven" sheetId="10" r:id="rId10"/>
    <sheet name="1.6-Machine-investeringskosten" sheetId="5" r:id="rId11"/>
    <sheet name="1.8-Afroepprijs" sheetId="42" r:id="rId12"/>
    <sheet name="1.8a-Budget afroep werkzaam." sheetId="28" r:id="rId13"/>
  </sheets>
  <externalReferences>
    <externalReference r:id="rId14"/>
    <externalReference r:id="rId15"/>
    <externalReference r:id="rId16"/>
  </externalReferences>
  <definedNames>
    <definedName name="_2F" localSheetId="7" hidden="1">[1]Blad1!#REF!</definedName>
    <definedName name="_2F" hidden="1">[1]Blad1!#REF!</definedName>
    <definedName name="_Fill" localSheetId="7" hidden="1">'[2]#REF'!#REF!</definedName>
    <definedName name="_Fill" hidden="1">'[2]#REF'!#REF!</definedName>
    <definedName name="_xlnm._FilterDatabase" localSheetId="4" hidden="1">'1.1-Jaarprijzen'!$B$10:$M$10</definedName>
    <definedName name="_xlnm._FilterDatabase" localSheetId="5" hidden="1">'1.2-Kengetal'!$C$9:$P$29</definedName>
    <definedName name="_xlnm._FilterDatabase" localSheetId="6" hidden="1">'1.3-Basis ruimtestaat'!$B$10:$AO$699</definedName>
    <definedName name="_xlnm._FilterDatabase" localSheetId="7" hidden="1">'1.3a-Mutaties'!$D$10:$Z$20</definedName>
    <definedName name="_xlnm._FilterDatabase" localSheetId="12" hidden="1">'1.8a-Budget afroep werkzaam.'!$B$25:$J$193</definedName>
    <definedName name="_Key1" localSheetId="7" hidden="1">'[2]#REF'!#REF!</definedName>
    <definedName name="_Key1" hidden="1">'[2]#REF'!#REF!</definedName>
    <definedName name="_Key2" hidden="1">#REF!</definedName>
    <definedName name="_Order1" hidden="1">255</definedName>
    <definedName name="_Order2" hidden="1">255</definedName>
    <definedName name="_Sort" hidden="1">#REF!</definedName>
    <definedName name="_xlnm.Print_Area" localSheetId="3">'1.0-Contractblad'!$C$10:$J$119</definedName>
    <definedName name="_xlnm.Print_Area" localSheetId="4">'1.1-Jaarprijzen'!$A$1:$M$63</definedName>
    <definedName name="_xlnm.Print_Area" localSheetId="5">'1.2-Kengetal'!$B$2:$P$43</definedName>
    <definedName name="_xlnm.Print_Area" localSheetId="7">'1.3a-Mutaties'!$E$11:$Z$20</definedName>
    <definedName name="_xlnm.Print_Area" localSheetId="8">'1.4-Premies en opslagen'!$B:$F</definedName>
    <definedName name="_xlnm.Print_Area" localSheetId="9">'1.5 Opbouw uurtarieven'!$B$1:$AU$43</definedName>
    <definedName name="_xlnm.Print_Area" localSheetId="10">'1.6-Machine-investeringskosten'!$A$2:$E$116</definedName>
    <definedName name="_xlnm.Print_Area" localSheetId="11">'1.8-Afroepprijs'!$A$3:$H$96</definedName>
    <definedName name="_xlnm.Print_Area" localSheetId="12">'1.8a-Budget afroep werkzaam.'!$B$10:$J$184</definedName>
    <definedName name="_xlnm.Print_Area" localSheetId="0">'Info blad'!$A$1:$I$49</definedName>
    <definedName name="_xlnm.Print_Area" localSheetId="2">'Uitleg calculatiemodule'!$C$1:$M$69</definedName>
    <definedName name="_xlnm.Print_Area" localSheetId="1">Voorblad!$B$1:$I$58</definedName>
    <definedName name="_xlnm.Print_Titles" localSheetId="3">'1.0-Contractblad'!$1:$12</definedName>
    <definedName name="_xlnm.Print_Titles" localSheetId="5">'1.2-Kengetal'!$9:$9</definedName>
    <definedName name="_xlnm.Print_Titles" localSheetId="6">'1.3-Basis ruimtestaat'!$E:$M,'1.3-Basis ruimtestaat'!$3:$9</definedName>
    <definedName name="_xlnm.Print_Titles" localSheetId="7">'1.3a-Mutaties'!$E:$I,'1.3a-Mutaties'!$3:$10</definedName>
    <definedName name="_xlnm.Print_Titles" localSheetId="10">'1.6-Machine-investeringskosten'!$B:$B,'1.6-Machine-investeringskosten'!$3:$9</definedName>
    <definedName name="_xlnm.Print_Titles" localSheetId="11">'1.8-Afroepprijs'!$4:$12</definedName>
    <definedName name="_xlnm.Print_Titles" localSheetId="12">'1.8a-Budget afroep werkzaam.'!$3:$9</definedName>
    <definedName name="Allelocaties" localSheetId="7">'1.3a-Mutaties'!$A:$T</definedName>
    <definedName name="Allelocaties">'1.3-Basis ruimtestaat'!$A:$Z</definedName>
    <definedName name="codestaffelstoel">'1.8a-Budget afroep werkzaam.'!$M$32:$S$33</definedName>
    <definedName name="codestaffeltoets">'1.8a-Budget afroep werkzaam.'!$M$38:$S$39</definedName>
    <definedName name="codestaffelvloer">'1.8a-Budget afroep werkzaam.'!$M$25:$S$26</definedName>
    <definedName name="_xlnm.Database" localSheetId="7">'1.3a-Mutaties'!$D$10:$Z$20</definedName>
    <definedName name="database2" localSheetId="7">'1.3a-Mutaties'!$C$10:$Z$20</definedName>
    <definedName name="datacat">'1.3-Basis ruimtestaat'!$D$10:$AD$665</definedName>
    <definedName name="han" localSheetId="7" hidden="1">'[3]#REF'!#REF!</definedName>
    <definedName name="han" hidden="1">'[3]#REF'!#REF!</definedName>
    <definedName name="HTML_CodePage" hidden="1">1252</definedName>
    <definedName name="HTML_Control" localSheetId="3"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Kengetal">'1.2-Kengetal'!$C$10:$P$29</definedName>
    <definedName name="LOCATIE" localSheetId="7">'1.3a-Mutaties'!$E:$R</definedName>
    <definedName name="LOCATIE">'1.3-Basis ruimtestaat'!$E:$X</definedName>
    <definedName name="Loongroep">'1.5 Opbouw uurtarieven'!$A$18:$A$41</definedName>
    <definedName name="Loongroepen">'1.5 Opbouw uurtarieven'!$A$12:$A$45</definedName>
    <definedName name="Meters" localSheetId="7">'1.3a-Mutaties'!$K:$K</definedName>
    <definedName name="Meters">'1.3-Basis ruimtestaat'!$O:$O</definedName>
    <definedName name="naloopuren">'1.3-Basis ruimtestaat'!$Y:$Y</definedName>
    <definedName name="Perceel" localSheetId="7">'1.3a-Mutaties'!$F:$U</definedName>
    <definedName name="Perceel">'1.3-Basis ruimtestaat'!$F:$AA</definedName>
    <definedName name="PERCEEL2" localSheetId="7">'1.3a-Mutaties'!$A:$U</definedName>
    <definedName name="PERCEEL2">'1.3-Basis ruimtestaat'!$A:$AA</definedName>
    <definedName name="q" localSheetId="7" hidden="1">[1]Blad1!#REF!</definedName>
    <definedName name="q" hidden="1">[1]Blad1!#REF!</definedName>
    <definedName name="tabelstoel">'1.8-Afroepprijs'!$B$39:$H$39</definedName>
    <definedName name="tabeltoets">'1.8-Afroepprijs'!$B$34:$H$34</definedName>
    <definedName name="tabelvloer">'1.8-Afroepprijs'!$B$17:$H$21</definedName>
    <definedName name="Totaal" localSheetId="7">'1.3a-Mutaties'!$A$10:$T$20</definedName>
    <definedName name="Totaal2" localSheetId="7">'1.3a-Mutaties'!$E$10:$T$44</definedName>
    <definedName name="totaal2">'1.3-Basis ruimtestaat'!$E:$AB</definedName>
    <definedName name="UREMAVR" localSheetId="7">'1.3a-Mutaties'!$R$10:$R$44</definedName>
    <definedName name="URENEWEEKEND" localSheetId="7">'1.3a-Mutaties'!$T$10:$T$44</definedName>
    <definedName name="urenmavr">'1.3-Basis ruimtestaat'!$W:$W</definedName>
    <definedName name="URENNALOOP" localSheetId="7">'1.3a-Mutaties'!$S$10:$S$44</definedName>
    <definedName name="urenperiodiek">'1.3-Basis ruimtestaat'!$X:$X</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11" i="1" l="1"/>
  <c r="H11" i="1"/>
  <c r="J11" i="1"/>
  <c r="K11" i="1"/>
  <c r="H12" i="1"/>
  <c r="J12" i="1"/>
  <c r="I12" i="1"/>
  <c r="K12" i="1"/>
  <c r="H13" i="1"/>
  <c r="J13" i="1"/>
  <c r="I13" i="1"/>
  <c r="K13" i="1"/>
  <c r="H14" i="1"/>
  <c r="J14" i="1"/>
  <c r="I14" i="1"/>
  <c r="K14" i="1"/>
  <c r="H15" i="1"/>
  <c r="J15" i="1"/>
  <c r="I15" i="1"/>
  <c r="K15" i="1"/>
  <c r="H16" i="1"/>
  <c r="J16" i="1"/>
  <c r="I16" i="1"/>
  <c r="K16" i="1"/>
  <c r="E51" i="1"/>
  <c r="E11" i="1"/>
  <c r="F11" i="1"/>
  <c r="E12" i="1"/>
  <c r="F12" i="1"/>
  <c r="E13" i="1"/>
  <c r="F13" i="1"/>
  <c r="E14" i="1"/>
  <c r="F14" i="1"/>
  <c r="E15" i="1"/>
  <c r="F15" i="1"/>
  <c r="E16" i="1"/>
  <c r="F16" i="1"/>
  <c r="E52" i="1"/>
  <c r="E55" i="1"/>
  <c r="D51" i="1"/>
  <c r="D52" i="1"/>
  <c r="D53" i="1"/>
  <c r="D55" i="1"/>
  <c r="E53" i="1"/>
  <c r="G52" i="28"/>
  <c r="I52" i="28"/>
  <c r="G46" i="28"/>
  <c r="I46" i="28"/>
  <c r="G50" i="28"/>
  <c r="I50" i="28"/>
  <c r="G45" i="28"/>
  <c r="I45" i="28"/>
  <c r="G143" i="28"/>
  <c r="I143" i="28"/>
  <c r="G126" i="28"/>
  <c r="I126" i="28"/>
  <c r="G121" i="28"/>
  <c r="I121" i="28"/>
  <c r="G120" i="28"/>
  <c r="I120" i="28"/>
  <c r="G119" i="28"/>
  <c r="I119" i="28"/>
  <c r="G117" i="28"/>
  <c r="I117" i="28"/>
  <c r="G114" i="28"/>
  <c r="I114" i="28"/>
  <c r="G113" i="28"/>
  <c r="I113" i="28"/>
  <c r="I105" i="28"/>
  <c r="G105" i="28"/>
  <c r="G107" i="28"/>
  <c r="G111" i="28"/>
  <c r="D49" i="32"/>
  <c r="D52" i="32"/>
  <c r="D21" i="32"/>
  <c r="D29" i="32"/>
  <c r="R12" i="10"/>
  <c r="M11" i="39"/>
  <c r="V11" i="39"/>
  <c r="Z11" i="39"/>
  <c r="W11" i="39"/>
  <c r="AA11" i="39"/>
  <c r="X11" i="39"/>
  <c r="AB11" i="39"/>
  <c r="Y11" i="39"/>
  <c r="M12" i="39"/>
  <c r="V12" i="39"/>
  <c r="AA12" i="39"/>
  <c r="X12" i="39"/>
  <c r="Z12" i="39"/>
  <c r="M13" i="39"/>
  <c r="V13" i="39"/>
  <c r="AA13" i="39"/>
  <c r="R13" i="39"/>
  <c r="X13" i="39"/>
  <c r="AB13" i="39"/>
  <c r="Y13" i="39"/>
  <c r="Z13" i="39"/>
  <c r="M14" i="39"/>
  <c r="V14" i="39"/>
  <c r="M15" i="39"/>
  <c r="V15" i="39"/>
  <c r="AA15" i="39"/>
  <c r="R15" i="39"/>
  <c r="X15" i="39"/>
  <c r="AB15" i="39"/>
  <c r="Y15" i="39"/>
  <c r="Z15" i="39"/>
  <c r="M16" i="39"/>
  <c r="V16" i="39"/>
  <c r="M17" i="39"/>
  <c r="V17" i="39"/>
  <c r="AA17" i="39"/>
  <c r="R17" i="39"/>
  <c r="X17" i="39"/>
  <c r="AB17" i="39"/>
  <c r="Y17" i="39"/>
  <c r="Z17" i="39"/>
  <c r="M18" i="39"/>
  <c r="V18" i="39"/>
  <c r="M19" i="39"/>
  <c r="V19" i="39"/>
  <c r="AA19" i="39"/>
  <c r="R19" i="39"/>
  <c r="X19" i="39"/>
  <c r="AB19" i="39"/>
  <c r="Y19" i="39"/>
  <c r="Z19" i="39"/>
  <c r="M20" i="39"/>
  <c r="V20" i="39"/>
  <c r="M21" i="39"/>
  <c r="V21" i="39"/>
  <c r="M22" i="39"/>
  <c r="V22" i="39"/>
  <c r="M23" i="39"/>
  <c r="V23" i="39"/>
  <c r="AA23" i="39"/>
  <c r="R23" i="39"/>
  <c r="X23" i="39"/>
  <c r="AB23" i="39"/>
  <c r="Y23" i="39"/>
  <c r="Z23" i="39"/>
  <c r="M24" i="39"/>
  <c r="V24" i="39"/>
  <c r="M25" i="39"/>
  <c r="V25" i="39"/>
  <c r="AA25" i="39"/>
  <c r="R25" i="39"/>
  <c r="X25" i="39"/>
  <c r="AB25" i="39"/>
  <c r="Y25" i="39"/>
  <c r="Z25" i="39"/>
  <c r="M26" i="39"/>
  <c r="V26" i="39"/>
  <c r="AA26" i="39"/>
  <c r="R26" i="39"/>
  <c r="X26" i="39"/>
  <c r="AB26" i="39"/>
  <c r="Y26" i="39"/>
  <c r="Z26" i="39"/>
  <c r="M27" i="39"/>
  <c r="V27" i="39"/>
  <c r="AA27" i="39"/>
  <c r="R27" i="39"/>
  <c r="X27" i="39"/>
  <c r="AB27" i="39"/>
  <c r="Y27" i="39"/>
  <c r="Z27" i="39"/>
  <c r="M28" i="39"/>
  <c r="V28" i="39"/>
  <c r="AA28" i="39"/>
  <c r="R28" i="39"/>
  <c r="X28" i="39"/>
  <c r="AB28" i="39"/>
  <c r="Y28" i="39"/>
  <c r="Z28" i="39"/>
  <c r="M29" i="39"/>
  <c r="V29" i="39"/>
  <c r="AA29" i="39"/>
  <c r="R29" i="39"/>
  <c r="X29" i="39"/>
  <c r="AB29" i="39"/>
  <c r="Y29" i="39"/>
  <c r="Z29" i="39"/>
  <c r="M30" i="39"/>
  <c r="V30" i="39"/>
  <c r="AA30" i="39"/>
  <c r="R30" i="39"/>
  <c r="X30" i="39"/>
  <c r="AB30" i="39"/>
  <c r="Y30" i="39"/>
  <c r="Z30" i="39"/>
  <c r="M31" i="39"/>
  <c r="V31" i="39"/>
  <c r="AA31" i="39"/>
  <c r="R31" i="39"/>
  <c r="X31" i="39"/>
  <c r="AB31" i="39"/>
  <c r="Y31" i="39"/>
  <c r="Z31" i="39"/>
  <c r="M32" i="39"/>
  <c r="V32" i="39"/>
  <c r="AA32" i="39"/>
  <c r="R32" i="39"/>
  <c r="X32" i="39"/>
  <c r="AB32" i="39"/>
  <c r="Y32" i="39"/>
  <c r="Z32" i="39"/>
  <c r="M33" i="39"/>
  <c r="V33" i="39"/>
  <c r="AA33" i="39"/>
  <c r="R33" i="39"/>
  <c r="X33" i="39"/>
  <c r="AB33" i="39"/>
  <c r="Y33" i="39"/>
  <c r="Z33" i="39"/>
  <c r="M34" i="39"/>
  <c r="V34" i="39"/>
  <c r="AA34" i="39"/>
  <c r="R34" i="39"/>
  <c r="X34" i="39"/>
  <c r="AB34" i="39"/>
  <c r="Y34" i="39"/>
  <c r="Z34" i="39"/>
  <c r="M35" i="39"/>
  <c r="V35" i="39"/>
  <c r="AA35" i="39"/>
  <c r="R35" i="39"/>
  <c r="X35" i="39"/>
  <c r="AB35" i="39"/>
  <c r="Y35" i="39"/>
  <c r="Z35" i="39"/>
  <c r="M36" i="39"/>
  <c r="V36" i="39"/>
  <c r="AA36" i="39"/>
  <c r="R36" i="39"/>
  <c r="X36" i="39"/>
  <c r="AB36" i="39"/>
  <c r="Y36" i="39"/>
  <c r="Z36" i="39"/>
  <c r="M37" i="39"/>
  <c r="V37" i="39"/>
  <c r="AA37" i="39"/>
  <c r="R37" i="39"/>
  <c r="X37" i="39"/>
  <c r="AB37" i="39"/>
  <c r="Y37" i="39"/>
  <c r="Z37" i="39"/>
  <c r="M38" i="39"/>
  <c r="V38" i="39"/>
  <c r="AA38" i="39"/>
  <c r="R38" i="39"/>
  <c r="X38" i="39"/>
  <c r="AB38" i="39"/>
  <c r="Y38" i="39"/>
  <c r="Z38" i="39"/>
  <c r="M39" i="39"/>
  <c r="V39" i="39"/>
  <c r="AA39" i="39"/>
  <c r="R39" i="39"/>
  <c r="X39" i="39"/>
  <c r="AB39" i="39"/>
  <c r="Y39" i="39"/>
  <c r="Z39" i="39"/>
  <c r="M40" i="39"/>
  <c r="V40" i="39"/>
  <c r="M41" i="39"/>
  <c r="V41" i="39"/>
  <c r="AA41" i="39"/>
  <c r="R41" i="39"/>
  <c r="X41" i="39"/>
  <c r="AB41" i="39"/>
  <c r="Y41" i="39"/>
  <c r="Z41" i="39"/>
  <c r="M42" i="39"/>
  <c r="V42" i="39"/>
  <c r="AA42" i="39"/>
  <c r="R42" i="39"/>
  <c r="X42" i="39"/>
  <c r="AB42" i="39"/>
  <c r="Y42" i="39"/>
  <c r="Z42" i="39"/>
  <c r="M43" i="39"/>
  <c r="V43" i="39"/>
  <c r="M44" i="39"/>
  <c r="V44" i="39"/>
  <c r="AA44" i="39"/>
  <c r="R44" i="39"/>
  <c r="X44" i="39"/>
  <c r="AB44" i="39"/>
  <c r="Y44" i="39"/>
  <c r="Z44" i="39"/>
  <c r="M45" i="39"/>
  <c r="V45" i="39"/>
  <c r="AA45" i="39"/>
  <c r="R45" i="39"/>
  <c r="X45" i="39"/>
  <c r="AB45" i="39"/>
  <c r="Y45" i="39"/>
  <c r="Z45" i="39"/>
  <c r="M46" i="39"/>
  <c r="V46" i="39"/>
  <c r="M47" i="39"/>
  <c r="V47" i="39"/>
  <c r="AA47" i="39"/>
  <c r="R47" i="39"/>
  <c r="X47" i="39"/>
  <c r="AB47" i="39"/>
  <c r="Y47" i="39"/>
  <c r="Z47" i="39"/>
  <c r="M48" i="39"/>
  <c r="V48" i="39"/>
  <c r="M49" i="39"/>
  <c r="V49" i="39"/>
  <c r="AA49" i="39"/>
  <c r="R49" i="39"/>
  <c r="X49" i="39"/>
  <c r="AB49" i="39"/>
  <c r="Y49" i="39"/>
  <c r="Z49" i="39"/>
  <c r="M50" i="39"/>
  <c r="V50" i="39"/>
  <c r="M51" i="39"/>
  <c r="V51" i="39"/>
  <c r="AA51" i="39"/>
  <c r="R51" i="39"/>
  <c r="X51" i="39"/>
  <c r="AB51" i="39"/>
  <c r="Y51" i="39"/>
  <c r="Z51" i="39"/>
  <c r="M52" i="39"/>
  <c r="V52" i="39"/>
  <c r="M53" i="39"/>
  <c r="V53" i="39"/>
  <c r="AA53" i="39"/>
  <c r="R53" i="39"/>
  <c r="X53" i="39"/>
  <c r="AB53" i="39"/>
  <c r="Y53" i="39"/>
  <c r="Z53" i="39"/>
  <c r="M54" i="39"/>
  <c r="V54" i="39"/>
  <c r="AA54" i="39"/>
  <c r="R54" i="39"/>
  <c r="X54" i="39"/>
  <c r="AB54" i="39"/>
  <c r="Y54" i="39"/>
  <c r="Z54" i="39"/>
  <c r="M55" i="39"/>
  <c r="V55" i="39"/>
  <c r="AA55" i="39"/>
  <c r="R55" i="39"/>
  <c r="X55" i="39"/>
  <c r="AB55" i="39"/>
  <c r="Y55" i="39"/>
  <c r="Z55" i="39"/>
  <c r="M56" i="39"/>
  <c r="V56" i="39"/>
  <c r="AA56" i="39"/>
  <c r="R56" i="39"/>
  <c r="X56" i="39"/>
  <c r="AB56" i="39"/>
  <c r="Y56" i="39"/>
  <c r="Z56" i="39"/>
  <c r="M57" i="39"/>
  <c r="V57" i="39"/>
  <c r="AA57" i="39"/>
  <c r="R57" i="39"/>
  <c r="X57" i="39"/>
  <c r="AB57" i="39"/>
  <c r="Y57" i="39"/>
  <c r="Z57" i="39"/>
  <c r="M58" i="39"/>
  <c r="V58" i="39"/>
  <c r="AA58" i="39"/>
  <c r="R58" i="39"/>
  <c r="X58" i="39"/>
  <c r="AB58" i="39"/>
  <c r="Y58" i="39"/>
  <c r="Z58" i="39"/>
  <c r="M59" i="39"/>
  <c r="V59" i="39"/>
  <c r="AA59" i="39"/>
  <c r="R59" i="39"/>
  <c r="X59" i="39"/>
  <c r="AB59" i="39"/>
  <c r="Y59" i="39"/>
  <c r="Z59" i="39"/>
  <c r="M60" i="39"/>
  <c r="V60" i="39"/>
  <c r="AA60" i="39"/>
  <c r="R60" i="39"/>
  <c r="X60" i="39"/>
  <c r="AB60" i="39"/>
  <c r="Y60" i="39"/>
  <c r="Z60" i="39"/>
  <c r="M61" i="39"/>
  <c r="V61" i="39"/>
  <c r="AA61" i="39"/>
  <c r="R61" i="39"/>
  <c r="X61" i="39"/>
  <c r="AB61" i="39"/>
  <c r="Y61" i="39"/>
  <c r="Z61" i="39"/>
  <c r="M62" i="39"/>
  <c r="V62" i="39"/>
  <c r="AA62" i="39"/>
  <c r="R62" i="39"/>
  <c r="X62" i="39"/>
  <c r="AB62" i="39"/>
  <c r="Y62" i="39"/>
  <c r="Z62" i="39"/>
  <c r="M63" i="39"/>
  <c r="V63" i="39"/>
  <c r="AA63" i="39"/>
  <c r="R63" i="39"/>
  <c r="X63" i="39"/>
  <c r="AB63" i="39"/>
  <c r="Y63" i="39"/>
  <c r="Z63" i="39"/>
  <c r="M64" i="39"/>
  <c r="V64" i="39"/>
  <c r="M65" i="39"/>
  <c r="V65" i="39"/>
  <c r="AA65" i="39"/>
  <c r="R65" i="39"/>
  <c r="X65" i="39"/>
  <c r="AB65" i="39"/>
  <c r="Y65" i="39"/>
  <c r="Z65" i="39"/>
  <c r="M66" i="39"/>
  <c r="V66" i="39"/>
  <c r="AA66" i="39"/>
  <c r="R66" i="39"/>
  <c r="X66" i="39"/>
  <c r="AB66" i="39"/>
  <c r="Y66" i="39"/>
  <c r="Z66" i="39"/>
  <c r="M67" i="39"/>
  <c r="V67" i="39"/>
  <c r="M68" i="39"/>
  <c r="V68" i="39"/>
  <c r="AA68" i="39"/>
  <c r="R68" i="39"/>
  <c r="X68" i="39"/>
  <c r="AB68" i="39"/>
  <c r="Y68" i="39"/>
  <c r="Z68" i="39"/>
  <c r="M69" i="39"/>
  <c r="V69" i="39"/>
  <c r="M70" i="39"/>
  <c r="V70" i="39"/>
  <c r="AA70" i="39"/>
  <c r="R70" i="39"/>
  <c r="X70" i="39"/>
  <c r="AB70" i="39"/>
  <c r="Y70" i="39"/>
  <c r="Z70" i="39"/>
  <c r="M71" i="39"/>
  <c r="V71" i="39"/>
  <c r="M72" i="39"/>
  <c r="V72" i="39"/>
  <c r="AA72" i="39"/>
  <c r="R72" i="39"/>
  <c r="X72" i="39"/>
  <c r="AB72" i="39"/>
  <c r="Y72" i="39"/>
  <c r="Z72" i="39"/>
  <c r="M73" i="39"/>
  <c r="V73" i="39"/>
  <c r="M74" i="39"/>
  <c r="V74" i="39"/>
  <c r="AA74" i="39"/>
  <c r="R74" i="39"/>
  <c r="X74" i="39"/>
  <c r="AB74" i="39"/>
  <c r="Y74" i="39"/>
  <c r="Z74" i="39"/>
  <c r="M75" i="39"/>
  <c r="V75" i="39"/>
  <c r="AA75" i="39"/>
  <c r="R75" i="39"/>
  <c r="X75" i="39"/>
  <c r="AB75" i="39"/>
  <c r="Y75" i="39"/>
  <c r="Z75" i="39"/>
  <c r="M76" i="39"/>
  <c r="V76" i="39"/>
  <c r="AA76" i="39"/>
  <c r="R76" i="39"/>
  <c r="X76" i="39"/>
  <c r="AB76" i="39"/>
  <c r="Y76" i="39"/>
  <c r="Z76" i="39"/>
  <c r="M77" i="39"/>
  <c r="V77" i="39"/>
  <c r="M78" i="39"/>
  <c r="V78" i="39"/>
  <c r="AA78" i="39"/>
  <c r="R78" i="39"/>
  <c r="X78" i="39"/>
  <c r="AB78" i="39"/>
  <c r="Y78" i="39"/>
  <c r="Z78" i="39"/>
  <c r="M79" i="39"/>
  <c r="V79" i="39"/>
  <c r="M80" i="39"/>
  <c r="V80" i="39"/>
  <c r="AA80" i="39"/>
  <c r="R80" i="39"/>
  <c r="X80" i="39"/>
  <c r="AB80" i="39"/>
  <c r="Y80" i="39"/>
  <c r="Z80" i="39"/>
  <c r="M81" i="39"/>
  <c r="V81" i="39"/>
  <c r="M82" i="39"/>
  <c r="V82" i="39"/>
  <c r="AA82" i="39"/>
  <c r="R82" i="39"/>
  <c r="X82" i="39"/>
  <c r="AB82" i="39"/>
  <c r="Y82" i="39"/>
  <c r="Z82" i="39"/>
  <c r="M83" i="39"/>
  <c r="V83" i="39"/>
  <c r="M84" i="39"/>
  <c r="V84" i="39"/>
  <c r="AA84" i="39"/>
  <c r="R84" i="39"/>
  <c r="X84" i="39"/>
  <c r="AB84" i="39"/>
  <c r="Y84" i="39"/>
  <c r="Z84" i="39"/>
  <c r="M85" i="39"/>
  <c r="V85" i="39"/>
  <c r="M86" i="39"/>
  <c r="V86" i="39"/>
  <c r="AA86" i="39"/>
  <c r="R86" i="39"/>
  <c r="X86" i="39"/>
  <c r="AB86" i="39"/>
  <c r="Y86" i="39"/>
  <c r="Z86" i="39"/>
  <c r="M87" i="39"/>
  <c r="V87" i="39"/>
  <c r="AA87" i="39"/>
  <c r="R87" i="39"/>
  <c r="X87" i="39"/>
  <c r="AB87" i="39"/>
  <c r="Y87" i="39"/>
  <c r="Z87" i="39"/>
  <c r="M88" i="39"/>
  <c r="V88" i="39"/>
  <c r="AA88" i="39"/>
  <c r="R88" i="39"/>
  <c r="X88" i="39"/>
  <c r="AB88" i="39"/>
  <c r="Y88" i="39"/>
  <c r="Z88" i="39"/>
  <c r="M89" i="39"/>
  <c r="V89" i="39"/>
  <c r="AA89" i="39"/>
  <c r="R89" i="39"/>
  <c r="X89" i="39"/>
  <c r="AB89" i="39"/>
  <c r="Y89" i="39"/>
  <c r="Z89" i="39"/>
  <c r="M90" i="39"/>
  <c r="V90" i="39"/>
  <c r="M91" i="39"/>
  <c r="V91" i="39"/>
  <c r="AA91" i="39"/>
  <c r="R91" i="39"/>
  <c r="X91" i="39"/>
  <c r="AB91" i="39"/>
  <c r="Y91" i="39"/>
  <c r="Z91" i="39"/>
  <c r="M92" i="39"/>
  <c r="V92" i="39"/>
  <c r="M93" i="39"/>
  <c r="V93" i="39"/>
  <c r="AA93" i="39"/>
  <c r="R93" i="39"/>
  <c r="X93" i="39"/>
  <c r="AB93" i="39"/>
  <c r="Y93" i="39"/>
  <c r="Z93" i="39"/>
  <c r="M94" i="39"/>
  <c r="V94" i="39"/>
  <c r="M95" i="39"/>
  <c r="V95" i="39"/>
  <c r="AA95" i="39"/>
  <c r="R95" i="39"/>
  <c r="X95" i="39"/>
  <c r="AB95" i="39"/>
  <c r="Y95" i="39"/>
  <c r="Z95" i="39"/>
  <c r="M96" i="39"/>
  <c r="V96" i="39"/>
  <c r="M97" i="39"/>
  <c r="V97" i="39"/>
  <c r="AA97" i="39"/>
  <c r="R97" i="39"/>
  <c r="X97" i="39"/>
  <c r="AB97" i="39"/>
  <c r="Y97" i="39"/>
  <c r="Z97" i="39"/>
  <c r="M98" i="39"/>
  <c r="V98" i="39"/>
  <c r="M99" i="39"/>
  <c r="V99" i="39"/>
  <c r="AA99" i="39"/>
  <c r="R99" i="39"/>
  <c r="X99" i="39"/>
  <c r="AB99" i="39"/>
  <c r="Y99" i="39"/>
  <c r="Z99" i="39"/>
  <c r="M100" i="39"/>
  <c r="V100" i="39"/>
  <c r="M101" i="39"/>
  <c r="V101" i="39"/>
  <c r="AA101" i="39"/>
  <c r="R101" i="39"/>
  <c r="X101" i="39"/>
  <c r="AB101" i="39"/>
  <c r="Y101" i="39"/>
  <c r="Z101" i="39"/>
  <c r="M102" i="39"/>
  <c r="V102" i="39"/>
  <c r="M103" i="39"/>
  <c r="V103" i="39"/>
  <c r="AA103" i="39"/>
  <c r="R103" i="39"/>
  <c r="X103" i="39"/>
  <c r="AB103" i="39"/>
  <c r="Y103" i="39"/>
  <c r="Z103" i="39"/>
  <c r="M104" i="39"/>
  <c r="V104" i="39"/>
  <c r="M105" i="39"/>
  <c r="V105" i="39"/>
  <c r="AA105" i="39"/>
  <c r="R105" i="39"/>
  <c r="X105" i="39"/>
  <c r="AB105" i="39"/>
  <c r="Y105" i="39"/>
  <c r="Z105" i="39"/>
  <c r="M106" i="39"/>
  <c r="V106" i="39"/>
  <c r="M107" i="39"/>
  <c r="V107" i="39"/>
  <c r="AA107" i="39"/>
  <c r="R107" i="39"/>
  <c r="X107" i="39"/>
  <c r="AB107" i="39"/>
  <c r="Y107" i="39"/>
  <c r="Z107" i="39"/>
  <c r="M108" i="39"/>
  <c r="V108" i="39"/>
  <c r="M109" i="39"/>
  <c r="V109" i="39"/>
  <c r="AA109" i="39"/>
  <c r="R109" i="39"/>
  <c r="X109" i="39"/>
  <c r="AB109" i="39"/>
  <c r="Y109" i="39"/>
  <c r="Z109" i="39"/>
  <c r="M110" i="39"/>
  <c r="V110" i="39"/>
  <c r="M111" i="39"/>
  <c r="V111" i="39"/>
  <c r="AA111" i="39"/>
  <c r="R111" i="39"/>
  <c r="X111" i="39"/>
  <c r="AB111" i="39"/>
  <c r="Y111" i="39"/>
  <c r="Z111" i="39"/>
  <c r="M112" i="39"/>
  <c r="V112" i="39"/>
  <c r="M113" i="39"/>
  <c r="V113" i="39"/>
  <c r="M114" i="39"/>
  <c r="V114" i="39"/>
  <c r="AA114" i="39"/>
  <c r="R114" i="39"/>
  <c r="X114" i="39"/>
  <c r="AB114" i="39"/>
  <c r="Y114" i="39"/>
  <c r="Z114" i="39"/>
  <c r="M115" i="39"/>
  <c r="V115" i="39"/>
  <c r="AA115" i="39"/>
  <c r="R115" i="39"/>
  <c r="X115" i="39"/>
  <c r="AB115" i="39"/>
  <c r="Y115" i="39"/>
  <c r="Z115" i="39"/>
  <c r="M116" i="39"/>
  <c r="V116" i="39"/>
  <c r="AA116" i="39"/>
  <c r="R116" i="39"/>
  <c r="X116" i="39"/>
  <c r="AB116" i="39"/>
  <c r="Y116" i="39"/>
  <c r="Z116" i="39"/>
  <c r="M117" i="39"/>
  <c r="V117" i="39"/>
  <c r="AA117" i="39"/>
  <c r="R117" i="39"/>
  <c r="X117" i="39"/>
  <c r="AB117" i="39"/>
  <c r="Y117" i="39"/>
  <c r="Z117" i="39"/>
  <c r="M118" i="39"/>
  <c r="V118" i="39"/>
  <c r="AA118" i="39"/>
  <c r="R118" i="39"/>
  <c r="X118" i="39"/>
  <c r="AB118" i="39"/>
  <c r="Y118" i="39"/>
  <c r="Z118" i="39"/>
  <c r="M119" i="39"/>
  <c r="V119" i="39"/>
  <c r="AA119" i="39"/>
  <c r="R119" i="39"/>
  <c r="X119" i="39"/>
  <c r="AB119" i="39"/>
  <c r="Y119" i="39"/>
  <c r="Z119" i="39"/>
  <c r="M120" i="39"/>
  <c r="V120" i="39"/>
  <c r="M121" i="39"/>
  <c r="V121" i="39"/>
  <c r="AA121" i="39"/>
  <c r="R121" i="39"/>
  <c r="X121" i="39"/>
  <c r="AB121" i="39"/>
  <c r="Y121" i="39"/>
  <c r="Z121" i="39"/>
  <c r="M122" i="39"/>
  <c r="V122" i="39"/>
  <c r="AA122" i="39"/>
  <c r="R122" i="39"/>
  <c r="X122" i="39"/>
  <c r="AB122" i="39"/>
  <c r="Y122" i="39"/>
  <c r="Z122" i="39"/>
  <c r="M123" i="39"/>
  <c r="V123" i="39"/>
  <c r="AA123" i="39"/>
  <c r="R123" i="39"/>
  <c r="X123" i="39"/>
  <c r="AB123" i="39"/>
  <c r="Y123" i="39"/>
  <c r="Z123" i="39"/>
  <c r="M124" i="39"/>
  <c r="V124" i="39"/>
  <c r="AA124" i="39"/>
  <c r="R124" i="39"/>
  <c r="X124" i="39"/>
  <c r="AB124" i="39"/>
  <c r="Y124" i="39"/>
  <c r="Z124" i="39"/>
  <c r="M125" i="39"/>
  <c r="V125" i="39"/>
  <c r="AA125" i="39"/>
  <c r="R125" i="39"/>
  <c r="X125" i="39"/>
  <c r="AB125" i="39"/>
  <c r="Y125" i="39"/>
  <c r="Z125" i="39"/>
  <c r="M126" i="39"/>
  <c r="V126" i="39"/>
  <c r="M127" i="39"/>
  <c r="V127" i="39"/>
  <c r="AA127" i="39"/>
  <c r="R127" i="39"/>
  <c r="X127" i="39"/>
  <c r="AB127" i="39"/>
  <c r="Y127" i="39"/>
  <c r="Z127" i="39"/>
  <c r="M128" i="39"/>
  <c r="V128" i="39"/>
  <c r="AA128" i="39"/>
  <c r="R128" i="39"/>
  <c r="X128" i="39"/>
  <c r="AB128" i="39"/>
  <c r="Y128" i="39"/>
  <c r="Z128" i="39"/>
  <c r="M129" i="39"/>
  <c r="V129" i="39"/>
  <c r="M130" i="39"/>
  <c r="V130" i="39"/>
  <c r="AA130" i="39"/>
  <c r="R130" i="39"/>
  <c r="X130" i="39"/>
  <c r="AB130" i="39"/>
  <c r="Y130" i="39"/>
  <c r="Z130" i="39"/>
  <c r="M131" i="39"/>
  <c r="V131" i="39"/>
  <c r="AA131" i="39"/>
  <c r="R131" i="39"/>
  <c r="X131" i="39"/>
  <c r="AB131" i="39"/>
  <c r="Y131" i="39"/>
  <c r="Z131" i="39"/>
  <c r="M132" i="39"/>
  <c r="V132" i="39"/>
  <c r="AA132" i="39"/>
  <c r="R132" i="39"/>
  <c r="X132" i="39"/>
  <c r="AB132" i="39"/>
  <c r="Y132" i="39"/>
  <c r="Z132" i="39"/>
  <c r="M133" i="39"/>
  <c r="V133" i="39"/>
  <c r="AA133" i="39"/>
  <c r="R133" i="39"/>
  <c r="X133" i="39"/>
  <c r="AB133" i="39"/>
  <c r="Y133" i="39"/>
  <c r="Z133" i="39"/>
  <c r="M134" i="39"/>
  <c r="V134" i="39"/>
  <c r="AA134" i="39"/>
  <c r="R134" i="39"/>
  <c r="X134" i="39"/>
  <c r="AB134" i="39"/>
  <c r="Y134" i="39"/>
  <c r="Z134" i="39"/>
  <c r="M135" i="39"/>
  <c r="V135" i="39"/>
  <c r="AA135" i="39"/>
  <c r="R135" i="39"/>
  <c r="X135" i="39"/>
  <c r="AB135" i="39"/>
  <c r="Y135" i="39"/>
  <c r="Z135" i="39"/>
  <c r="M136" i="39"/>
  <c r="V136" i="39"/>
  <c r="AA136" i="39"/>
  <c r="R136" i="39"/>
  <c r="X136" i="39"/>
  <c r="AB136" i="39"/>
  <c r="Y136" i="39"/>
  <c r="Z136" i="39"/>
  <c r="M137" i="39"/>
  <c r="V137" i="39"/>
  <c r="AA137" i="39"/>
  <c r="R137" i="39"/>
  <c r="X137" i="39"/>
  <c r="AB137" i="39"/>
  <c r="Y137" i="39"/>
  <c r="Z137" i="39"/>
  <c r="M138" i="39"/>
  <c r="V138" i="39"/>
  <c r="AA138" i="39"/>
  <c r="R138" i="39"/>
  <c r="X138" i="39"/>
  <c r="AB138" i="39"/>
  <c r="Y138" i="39"/>
  <c r="Z138" i="39"/>
  <c r="M139" i="39"/>
  <c r="V139" i="39"/>
  <c r="AA139" i="39"/>
  <c r="R139" i="39"/>
  <c r="X139" i="39"/>
  <c r="AB139" i="39"/>
  <c r="Y139" i="39"/>
  <c r="Z139" i="39"/>
  <c r="M140" i="39"/>
  <c r="V140" i="39"/>
  <c r="AA140" i="39"/>
  <c r="R140" i="39"/>
  <c r="X140" i="39"/>
  <c r="AB140" i="39"/>
  <c r="Y140" i="39"/>
  <c r="Z140" i="39"/>
  <c r="M141" i="39"/>
  <c r="V141" i="39"/>
  <c r="AA141" i="39"/>
  <c r="R141" i="39"/>
  <c r="X141" i="39"/>
  <c r="AB141" i="39"/>
  <c r="Y141" i="39"/>
  <c r="Z141" i="39"/>
  <c r="M142" i="39"/>
  <c r="V142" i="39"/>
  <c r="AA142" i="39"/>
  <c r="R142" i="39"/>
  <c r="X142" i="39"/>
  <c r="AB142" i="39"/>
  <c r="Y142" i="39"/>
  <c r="Z142" i="39"/>
  <c r="M143" i="39"/>
  <c r="V143" i="39"/>
  <c r="AA143" i="39"/>
  <c r="R143" i="39"/>
  <c r="X143" i="39"/>
  <c r="AB143" i="39"/>
  <c r="Y143" i="39"/>
  <c r="Z143" i="39"/>
  <c r="M144" i="39"/>
  <c r="V144" i="39"/>
  <c r="AA144" i="39"/>
  <c r="R144" i="39"/>
  <c r="X144" i="39"/>
  <c r="AB144" i="39"/>
  <c r="Y144" i="39"/>
  <c r="Z144" i="39"/>
  <c r="M145" i="39"/>
  <c r="V145" i="39"/>
  <c r="AA145" i="39"/>
  <c r="R145" i="39"/>
  <c r="X145" i="39"/>
  <c r="AB145" i="39"/>
  <c r="Y145" i="39"/>
  <c r="Z145" i="39"/>
  <c r="M146" i="39"/>
  <c r="V146" i="39"/>
  <c r="AA146" i="39"/>
  <c r="R146" i="39"/>
  <c r="X146" i="39"/>
  <c r="AB146" i="39"/>
  <c r="Y146" i="39"/>
  <c r="Z146" i="39"/>
  <c r="M147" i="39"/>
  <c r="V147" i="39"/>
  <c r="M148" i="39"/>
  <c r="V148" i="39"/>
  <c r="AA148" i="39"/>
  <c r="R148" i="39"/>
  <c r="X148" i="39"/>
  <c r="AB148" i="39"/>
  <c r="Y148" i="39"/>
  <c r="Z148" i="39"/>
  <c r="M149" i="39"/>
  <c r="V149" i="39"/>
  <c r="AA149" i="39"/>
  <c r="R149" i="39"/>
  <c r="X149" i="39"/>
  <c r="AB149" i="39"/>
  <c r="Y149" i="39"/>
  <c r="Z149" i="39"/>
  <c r="M150" i="39"/>
  <c r="V150" i="39"/>
  <c r="M151" i="39"/>
  <c r="V151" i="39"/>
  <c r="AA151" i="39"/>
  <c r="R151" i="39"/>
  <c r="X151" i="39"/>
  <c r="AB151" i="39"/>
  <c r="Y151" i="39"/>
  <c r="Z151" i="39"/>
  <c r="M152" i="39"/>
  <c r="V152" i="39"/>
  <c r="AA152" i="39"/>
  <c r="R152" i="39"/>
  <c r="X152" i="39"/>
  <c r="AB152" i="39"/>
  <c r="Y152" i="39"/>
  <c r="Z152" i="39"/>
  <c r="M153" i="39"/>
  <c r="V153" i="39"/>
  <c r="M154" i="39"/>
  <c r="V154" i="39"/>
  <c r="AA154" i="39"/>
  <c r="R154" i="39"/>
  <c r="X154" i="39"/>
  <c r="AB154" i="39"/>
  <c r="Y154" i="39"/>
  <c r="Z154" i="39"/>
  <c r="M155" i="39"/>
  <c r="V155" i="39"/>
  <c r="M156" i="39"/>
  <c r="V156" i="39"/>
  <c r="AA156" i="39"/>
  <c r="R156" i="39"/>
  <c r="X156" i="39"/>
  <c r="AB156" i="39"/>
  <c r="Y156" i="39"/>
  <c r="Z156" i="39"/>
  <c r="M157" i="39"/>
  <c r="V157" i="39"/>
  <c r="M158" i="39"/>
  <c r="V158" i="39"/>
  <c r="AA158" i="39"/>
  <c r="R158" i="39"/>
  <c r="X158" i="39"/>
  <c r="AB158" i="39"/>
  <c r="Y158" i="39"/>
  <c r="Z158" i="39"/>
  <c r="M159" i="39"/>
  <c r="V159" i="39"/>
  <c r="AA159" i="39"/>
  <c r="R159" i="39"/>
  <c r="X159" i="39"/>
  <c r="AB159" i="39"/>
  <c r="Y159" i="39"/>
  <c r="Z159" i="39"/>
  <c r="M160" i="39"/>
  <c r="V160" i="39"/>
  <c r="AA160" i="39"/>
  <c r="R160" i="39"/>
  <c r="X160" i="39"/>
  <c r="AB160" i="39"/>
  <c r="Y160" i="39"/>
  <c r="Z160" i="39"/>
  <c r="M161" i="39"/>
  <c r="V161" i="39"/>
  <c r="M162" i="39"/>
  <c r="V162" i="39"/>
  <c r="AA162" i="39"/>
  <c r="R162" i="39"/>
  <c r="X162" i="39"/>
  <c r="AB162" i="39"/>
  <c r="Y162" i="39"/>
  <c r="Z162" i="39"/>
  <c r="M163" i="39"/>
  <c r="V163" i="39"/>
  <c r="M164" i="39"/>
  <c r="V164" i="39"/>
  <c r="AA164" i="39"/>
  <c r="R164" i="39"/>
  <c r="X164" i="39"/>
  <c r="AB164" i="39"/>
  <c r="Y164" i="39"/>
  <c r="Z164" i="39"/>
  <c r="M165" i="39"/>
  <c r="V165" i="39"/>
  <c r="M166" i="39"/>
  <c r="V166" i="39"/>
  <c r="M167" i="39"/>
  <c r="V167" i="39"/>
  <c r="M168" i="39"/>
  <c r="V168" i="39"/>
  <c r="AA168" i="39"/>
  <c r="R168" i="39"/>
  <c r="X168" i="39"/>
  <c r="AB168" i="39"/>
  <c r="Y168" i="39"/>
  <c r="Z168" i="39"/>
  <c r="M169" i="39"/>
  <c r="V169" i="39"/>
  <c r="M170" i="39"/>
  <c r="V170" i="39"/>
  <c r="AA170" i="39"/>
  <c r="R170" i="39"/>
  <c r="X170" i="39"/>
  <c r="AB170" i="39"/>
  <c r="Y170" i="39"/>
  <c r="Z170" i="39"/>
  <c r="M171" i="39"/>
  <c r="V171" i="39"/>
  <c r="M172" i="39"/>
  <c r="V172" i="39"/>
  <c r="AA172" i="39"/>
  <c r="R172" i="39"/>
  <c r="X172" i="39"/>
  <c r="AB172" i="39"/>
  <c r="Y172" i="39"/>
  <c r="Z172" i="39"/>
  <c r="M173" i="39"/>
  <c r="V173" i="39"/>
  <c r="AA173" i="39"/>
  <c r="R173" i="39"/>
  <c r="X173" i="39"/>
  <c r="AB173" i="39"/>
  <c r="Y173" i="39"/>
  <c r="Z173" i="39"/>
  <c r="M174" i="39"/>
  <c r="V174" i="39"/>
  <c r="AA174" i="39"/>
  <c r="R174" i="39"/>
  <c r="X174" i="39"/>
  <c r="AB174" i="39"/>
  <c r="Y174" i="39"/>
  <c r="Z174" i="39"/>
  <c r="M175" i="39"/>
  <c r="V175" i="39"/>
  <c r="AA175" i="39"/>
  <c r="R175" i="39"/>
  <c r="X175" i="39"/>
  <c r="AB175" i="39"/>
  <c r="Y175" i="39"/>
  <c r="Z175" i="39"/>
  <c r="M176" i="39"/>
  <c r="V176" i="39"/>
  <c r="AA176" i="39"/>
  <c r="R176" i="39"/>
  <c r="X176" i="39"/>
  <c r="AB176" i="39"/>
  <c r="Y176" i="39"/>
  <c r="Z176" i="39"/>
  <c r="M177" i="39"/>
  <c r="V177" i="39"/>
  <c r="AA177" i="39"/>
  <c r="R177" i="39"/>
  <c r="X177" i="39"/>
  <c r="AB177" i="39"/>
  <c r="Y177" i="39"/>
  <c r="Z177" i="39"/>
  <c r="M178" i="39"/>
  <c r="V178" i="39"/>
  <c r="M179" i="39"/>
  <c r="V179" i="39"/>
  <c r="AA179" i="39"/>
  <c r="R179" i="39"/>
  <c r="X179" i="39"/>
  <c r="AB179" i="39"/>
  <c r="Y179" i="39"/>
  <c r="Z179" i="39"/>
  <c r="M180" i="39"/>
  <c r="V180" i="39"/>
  <c r="M181" i="39"/>
  <c r="V181" i="39"/>
  <c r="AA181" i="39"/>
  <c r="R181" i="39"/>
  <c r="X181" i="39"/>
  <c r="AB181" i="39"/>
  <c r="Y181" i="39"/>
  <c r="Z181" i="39"/>
  <c r="M182" i="39"/>
  <c r="V182" i="39"/>
  <c r="AA182" i="39"/>
  <c r="R182" i="39"/>
  <c r="X182" i="39"/>
  <c r="AB182" i="39"/>
  <c r="Y182" i="39"/>
  <c r="Z182" i="39"/>
  <c r="M183" i="39"/>
  <c r="V183" i="39"/>
  <c r="M184" i="39"/>
  <c r="V184" i="39"/>
  <c r="AA184" i="39"/>
  <c r="R184" i="39"/>
  <c r="X184" i="39"/>
  <c r="AB184" i="39"/>
  <c r="Y184" i="39"/>
  <c r="Z184" i="39"/>
  <c r="M185" i="39"/>
  <c r="V185" i="39"/>
  <c r="M186" i="39"/>
  <c r="V186" i="39"/>
  <c r="AA186" i="39"/>
  <c r="R186" i="39"/>
  <c r="X186" i="39"/>
  <c r="AB186" i="39"/>
  <c r="Y186" i="39"/>
  <c r="Z186" i="39"/>
  <c r="M187" i="39"/>
  <c r="V187" i="39"/>
  <c r="M188" i="39"/>
  <c r="V188" i="39"/>
  <c r="AA188" i="39"/>
  <c r="R188" i="39"/>
  <c r="X188" i="39"/>
  <c r="AB188" i="39"/>
  <c r="Y188" i="39"/>
  <c r="Z188" i="39"/>
  <c r="M189" i="39"/>
  <c r="V189" i="39"/>
  <c r="M190" i="39"/>
  <c r="V190" i="39"/>
  <c r="AA190" i="39"/>
  <c r="R190" i="39"/>
  <c r="X190" i="39"/>
  <c r="AB190" i="39"/>
  <c r="Y190" i="39"/>
  <c r="Z190" i="39"/>
  <c r="M191" i="39"/>
  <c r="V191" i="39"/>
  <c r="AA191" i="39"/>
  <c r="R191" i="39"/>
  <c r="X191" i="39"/>
  <c r="AB191" i="39"/>
  <c r="Y191" i="39"/>
  <c r="Z191" i="39"/>
  <c r="M192" i="39"/>
  <c r="V192" i="39"/>
  <c r="AA192" i="39"/>
  <c r="R192" i="39"/>
  <c r="X192" i="39"/>
  <c r="AB192" i="39"/>
  <c r="Y192" i="39"/>
  <c r="Z192" i="39"/>
  <c r="M193" i="39"/>
  <c r="V193" i="39"/>
  <c r="AA193" i="39"/>
  <c r="R193" i="39"/>
  <c r="X193" i="39"/>
  <c r="AB193" i="39"/>
  <c r="Y193" i="39"/>
  <c r="Z193" i="39"/>
  <c r="M194" i="39"/>
  <c r="V194" i="39"/>
  <c r="AA194" i="39"/>
  <c r="R194" i="39"/>
  <c r="X194" i="39"/>
  <c r="AB194" i="39"/>
  <c r="Y194" i="39"/>
  <c r="Z194" i="39"/>
  <c r="M195" i="39"/>
  <c r="V195" i="39"/>
  <c r="AA195" i="39"/>
  <c r="R195" i="39"/>
  <c r="X195" i="39"/>
  <c r="AB195" i="39"/>
  <c r="Y195" i="39"/>
  <c r="Z195" i="39"/>
  <c r="M196" i="39"/>
  <c r="V196" i="39"/>
  <c r="M197" i="39"/>
  <c r="V197" i="39"/>
  <c r="AA197" i="39"/>
  <c r="R197" i="39"/>
  <c r="X197" i="39"/>
  <c r="AB197" i="39"/>
  <c r="Y197" i="39"/>
  <c r="Z197" i="39"/>
  <c r="M198" i="39"/>
  <c r="V198" i="39"/>
  <c r="M199" i="39"/>
  <c r="V199" i="39"/>
  <c r="AA199" i="39"/>
  <c r="R199" i="39"/>
  <c r="X199" i="39"/>
  <c r="AB199" i="39"/>
  <c r="Y199" i="39"/>
  <c r="Z199" i="39"/>
  <c r="M200" i="39"/>
  <c r="V200" i="39"/>
  <c r="AA200" i="39"/>
  <c r="R200" i="39"/>
  <c r="X200" i="39"/>
  <c r="AB200" i="39"/>
  <c r="Y200" i="39"/>
  <c r="Z200" i="39"/>
  <c r="M201" i="39"/>
  <c r="V201" i="39"/>
  <c r="AA201" i="39"/>
  <c r="R201" i="39"/>
  <c r="X201" i="39"/>
  <c r="AB201" i="39"/>
  <c r="Y201" i="39"/>
  <c r="Z201" i="39"/>
  <c r="M202" i="39"/>
  <c r="V202" i="39"/>
  <c r="AA202" i="39"/>
  <c r="R202" i="39"/>
  <c r="X202" i="39"/>
  <c r="AB202" i="39"/>
  <c r="Y202" i="39"/>
  <c r="Z202" i="39"/>
  <c r="M203" i="39"/>
  <c r="V203" i="39"/>
  <c r="M204" i="39"/>
  <c r="V204" i="39"/>
  <c r="AA204" i="39"/>
  <c r="R204" i="39"/>
  <c r="X204" i="39"/>
  <c r="AB204" i="39"/>
  <c r="Y204" i="39"/>
  <c r="Z204" i="39"/>
  <c r="M205" i="39"/>
  <c r="V205" i="39"/>
  <c r="AA205" i="39"/>
  <c r="R205" i="39"/>
  <c r="X205" i="39"/>
  <c r="AB205" i="39"/>
  <c r="Y205" i="39"/>
  <c r="Z205" i="39"/>
  <c r="M206" i="39"/>
  <c r="V206" i="39"/>
  <c r="M207" i="39"/>
  <c r="V207" i="39"/>
  <c r="AA207" i="39"/>
  <c r="R207" i="39"/>
  <c r="X207" i="39"/>
  <c r="AB207" i="39"/>
  <c r="Y207" i="39"/>
  <c r="Z207" i="39"/>
  <c r="M208" i="39"/>
  <c r="V208" i="39"/>
  <c r="AA208" i="39"/>
  <c r="R208" i="39"/>
  <c r="X208" i="39"/>
  <c r="AB208" i="39"/>
  <c r="Y208" i="39"/>
  <c r="Z208" i="39"/>
  <c r="M209" i="39"/>
  <c r="V209" i="39"/>
  <c r="AA209" i="39"/>
  <c r="R209" i="39"/>
  <c r="X209" i="39"/>
  <c r="AB209" i="39"/>
  <c r="Y209" i="39"/>
  <c r="Z209" i="39"/>
  <c r="M210" i="39"/>
  <c r="V210" i="39"/>
  <c r="AA210" i="39"/>
  <c r="R210" i="39"/>
  <c r="X210" i="39"/>
  <c r="AB210" i="39"/>
  <c r="Y210" i="39"/>
  <c r="Z210" i="39"/>
  <c r="M211" i="39"/>
  <c r="V211" i="39"/>
  <c r="AA211" i="39"/>
  <c r="R211" i="39"/>
  <c r="X211" i="39"/>
  <c r="AB211" i="39"/>
  <c r="Y211" i="39"/>
  <c r="Z211" i="39"/>
  <c r="M212" i="39"/>
  <c r="V212" i="39"/>
  <c r="AA212" i="39"/>
  <c r="R212" i="39"/>
  <c r="X212" i="39"/>
  <c r="AB212" i="39"/>
  <c r="Y212" i="39"/>
  <c r="Z212" i="39"/>
  <c r="M213" i="39"/>
  <c r="V213" i="39"/>
  <c r="AA213" i="39"/>
  <c r="R213" i="39"/>
  <c r="X213" i="39"/>
  <c r="AB213" i="39"/>
  <c r="Y213" i="39"/>
  <c r="Z213" i="39"/>
  <c r="M214" i="39"/>
  <c r="V214" i="39"/>
  <c r="AA214" i="39"/>
  <c r="R214" i="39"/>
  <c r="X214" i="39"/>
  <c r="AB214" i="39"/>
  <c r="Y214" i="39"/>
  <c r="Z214" i="39"/>
  <c r="M215" i="39"/>
  <c r="V215" i="39"/>
  <c r="M216" i="39"/>
  <c r="V216" i="39"/>
  <c r="AA216" i="39"/>
  <c r="R216" i="39"/>
  <c r="X216" i="39"/>
  <c r="AB216" i="39"/>
  <c r="Y216" i="39"/>
  <c r="Z216" i="39"/>
  <c r="M217" i="39"/>
  <c r="V217" i="39"/>
  <c r="M218" i="39"/>
  <c r="V218" i="39"/>
  <c r="AA218" i="39"/>
  <c r="R218" i="39"/>
  <c r="X218" i="39"/>
  <c r="AB218" i="39"/>
  <c r="Y218" i="39"/>
  <c r="Z218" i="39"/>
  <c r="M219" i="39"/>
  <c r="V219" i="39"/>
  <c r="AA219" i="39"/>
  <c r="R219" i="39"/>
  <c r="X219" i="39"/>
  <c r="AB219" i="39"/>
  <c r="Y219" i="39"/>
  <c r="Z219" i="39"/>
  <c r="M220" i="39"/>
  <c r="V220" i="39"/>
  <c r="AA220" i="39"/>
  <c r="R220" i="39"/>
  <c r="X220" i="39"/>
  <c r="AB220" i="39"/>
  <c r="Y220" i="39"/>
  <c r="Z220" i="39"/>
  <c r="M221" i="39"/>
  <c r="V221" i="39"/>
  <c r="M222" i="39"/>
  <c r="V222" i="39"/>
  <c r="AA222" i="39"/>
  <c r="R222" i="39"/>
  <c r="X222" i="39"/>
  <c r="AB222" i="39"/>
  <c r="Y222" i="39"/>
  <c r="Z222" i="39"/>
  <c r="M223" i="39"/>
  <c r="V223" i="39"/>
  <c r="AA223" i="39"/>
  <c r="R223" i="39"/>
  <c r="X223" i="39"/>
  <c r="AB223" i="39"/>
  <c r="Y223" i="39"/>
  <c r="Z223" i="39"/>
  <c r="M224" i="39"/>
  <c r="V224" i="39"/>
  <c r="M225" i="39"/>
  <c r="V225" i="39"/>
  <c r="AA225" i="39"/>
  <c r="R225" i="39"/>
  <c r="X225" i="39"/>
  <c r="AB225" i="39"/>
  <c r="Y225" i="39"/>
  <c r="Z225" i="39"/>
  <c r="M226" i="39"/>
  <c r="V226" i="39"/>
  <c r="AA226" i="39"/>
  <c r="R226" i="39"/>
  <c r="X226" i="39"/>
  <c r="AB226" i="39"/>
  <c r="Y226" i="39"/>
  <c r="Z226" i="39"/>
  <c r="M227" i="39"/>
  <c r="V227" i="39"/>
  <c r="M228" i="39"/>
  <c r="V228" i="39"/>
  <c r="AA228" i="39"/>
  <c r="R228" i="39"/>
  <c r="X228" i="39"/>
  <c r="AB228" i="39"/>
  <c r="Y228" i="39"/>
  <c r="Z228" i="39"/>
  <c r="M229" i="39"/>
  <c r="V229" i="39"/>
  <c r="AA229" i="39"/>
  <c r="R229" i="39"/>
  <c r="X229" i="39"/>
  <c r="AB229" i="39"/>
  <c r="Y229" i="39"/>
  <c r="Z229" i="39"/>
  <c r="M230" i="39"/>
  <c r="V230" i="39"/>
  <c r="M231" i="39"/>
  <c r="V231" i="39"/>
  <c r="AA231" i="39"/>
  <c r="R231" i="39"/>
  <c r="X231" i="39"/>
  <c r="AB231" i="39"/>
  <c r="Y231" i="39"/>
  <c r="Z231" i="39"/>
  <c r="M232" i="39"/>
  <c r="V232" i="39"/>
  <c r="AA232" i="39"/>
  <c r="R232" i="39"/>
  <c r="X232" i="39"/>
  <c r="AB232" i="39"/>
  <c r="Y232" i="39"/>
  <c r="Z232" i="39"/>
  <c r="M233" i="39"/>
  <c r="V233" i="39"/>
  <c r="M234" i="39"/>
  <c r="V234" i="39"/>
  <c r="AA234" i="39"/>
  <c r="R234" i="39"/>
  <c r="X234" i="39"/>
  <c r="AB234" i="39"/>
  <c r="Y234" i="39"/>
  <c r="Z234" i="39"/>
  <c r="M235" i="39"/>
  <c r="V235" i="39"/>
  <c r="AA235" i="39"/>
  <c r="R235" i="39"/>
  <c r="X235" i="39"/>
  <c r="AB235" i="39"/>
  <c r="Y235" i="39"/>
  <c r="Z235" i="39"/>
  <c r="M236" i="39"/>
  <c r="V236" i="39"/>
  <c r="M237" i="39"/>
  <c r="V237" i="39"/>
  <c r="AA237" i="39"/>
  <c r="R237" i="39"/>
  <c r="X237" i="39"/>
  <c r="AB237" i="39"/>
  <c r="Y237" i="39"/>
  <c r="Z237" i="39"/>
  <c r="M238" i="39"/>
  <c r="V238" i="39"/>
  <c r="M239" i="39"/>
  <c r="V239" i="39"/>
  <c r="AA239" i="39"/>
  <c r="R239" i="39"/>
  <c r="X239" i="39"/>
  <c r="AB239" i="39"/>
  <c r="Y239" i="39"/>
  <c r="Z239" i="39"/>
  <c r="M240" i="39"/>
  <c r="V240" i="39"/>
  <c r="AA240" i="39"/>
  <c r="R240" i="39"/>
  <c r="X240" i="39"/>
  <c r="AB240" i="39"/>
  <c r="Y240" i="39"/>
  <c r="Z240" i="39"/>
  <c r="M241" i="39"/>
  <c r="V241" i="39"/>
  <c r="AA241" i="39"/>
  <c r="R241" i="39"/>
  <c r="X241" i="39"/>
  <c r="AB241" i="39"/>
  <c r="Y241" i="39"/>
  <c r="Z241" i="39"/>
  <c r="M242" i="39"/>
  <c r="V242" i="39"/>
  <c r="AA242" i="39"/>
  <c r="R242" i="39"/>
  <c r="X242" i="39"/>
  <c r="AB242" i="39"/>
  <c r="Y242" i="39"/>
  <c r="Z242" i="39"/>
  <c r="M243" i="39"/>
  <c r="V243" i="39"/>
  <c r="AA243" i="39"/>
  <c r="R243" i="39"/>
  <c r="X243" i="39"/>
  <c r="AB243" i="39"/>
  <c r="Y243" i="39"/>
  <c r="Z243" i="39"/>
  <c r="M244" i="39"/>
  <c r="V244" i="39"/>
  <c r="M245" i="39"/>
  <c r="V245" i="39"/>
  <c r="AA245" i="39"/>
  <c r="R245" i="39"/>
  <c r="X245" i="39"/>
  <c r="AB245" i="39"/>
  <c r="Y245" i="39"/>
  <c r="Z245" i="39"/>
  <c r="M246" i="39"/>
  <c r="V246" i="39"/>
  <c r="M247" i="39"/>
  <c r="V247" i="39"/>
  <c r="AA247" i="39"/>
  <c r="R247" i="39"/>
  <c r="X247" i="39"/>
  <c r="AB247" i="39"/>
  <c r="Y247" i="39"/>
  <c r="Z247" i="39"/>
  <c r="M248" i="39"/>
  <c r="V248" i="39"/>
  <c r="M249" i="39"/>
  <c r="V249" i="39"/>
  <c r="AA249" i="39"/>
  <c r="R249" i="39"/>
  <c r="X249" i="39"/>
  <c r="AB249" i="39"/>
  <c r="Y249" i="39"/>
  <c r="Z249" i="39"/>
  <c r="M250" i="39"/>
  <c r="V250" i="39"/>
  <c r="M251" i="39"/>
  <c r="V251" i="39"/>
  <c r="AA251" i="39"/>
  <c r="R251" i="39"/>
  <c r="X251" i="39"/>
  <c r="AB251" i="39"/>
  <c r="Y251" i="39"/>
  <c r="Z251" i="39"/>
  <c r="M252" i="39"/>
  <c r="V252" i="39"/>
  <c r="M253" i="39"/>
  <c r="V253" i="39"/>
  <c r="AA253" i="39"/>
  <c r="R253" i="39"/>
  <c r="X253" i="39"/>
  <c r="AB253" i="39"/>
  <c r="Y253" i="39"/>
  <c r="Z253" i="39"/>
  <c r="M254" i="39"/>
  <c r="V254" i="39"/>
  <c r="M255" i="39"/>
  <c r="V255" i="39"/>
  <c r="AA255" i="39"/>
  <c r="R255" i="39"/>
  <c r="X255" i="39"/>
  <c r="AB255" i="39"/>
  <c r="Y255" i="39"/>
  <c r="Z255" i="39"/>
  <c r="M256" i="39"/>
  <c r="V256" i="39"/>
  <c r="AA256" i="39"/>
  <c r="R256" i="39"/>
  <c r="X256" i="39"/>
  <c r="AB256" i="39"/>
  <c r="Y256" i="39"/>
  <c r="Z256" i="39"/>
  <c r="M257" i="39"/>
  <c r="V257" i="39"/>
  <c r="AA257" i="39"/>
  <c r="R257" i="39"/>
  <c r="X257" i="39"/>
  <c r="AB257" i="39"/>
  <c r="Y257" i="39"/>
  <c r="Z257" i="39"/>
  <c r="M258" i="39"/>
  <c r="V258" i="39"/>
  <c r="AA258" i="39"/>
  <c r="R258" i="39"/>
  <c r="X258" i="39"/>
  <c r="AB258" i="39"/>
  <c r="Y258" i="39"/>
  <c r="Z258" i="39"/>
  <c r="M259" i="39"/>
  <c r="V259" i="39"/>
  <c r="AA259" i="39"/>
  <c r="R259" i="39"/>
  <c r="X259" i="39"/>
  <c r="AB259" i="39"/>
  <c r="Y259" i="39"/>
  <c r="Z259" i="39"/>
  <c r="M260" i="39"/>
  <c r="V260" i="39"/>
  <c r="M261" i="39"/>
  <c r="V261" i="39"/>
  <c r="M262" i="39"/>
  <c r="V262" i="39"/>
  <c r="M263" i="39"/>
  <c r="V263" i="39"/>
  <c r="M264" i="39"/>
  <c r="V264" i="39"/>
  <c r="M265" i="39"/>
  <c r="V265" i="39"/>
  <c r="AA265" i="39"/>
  <c r="R265" i="39"/>
  <c r="X265" i="39"/>
  <c r="AB265" i="39"/>
  <c r="Y265" i="39"/>
  <c r="Z265" i="39"/>
  <c r="M266" i="39"/>
  <c r="V266" i="39"/>
  <c r="M267" i="39"/>
  <c r="V267" i="39"/>
  <c r="AA267" i="39"/>
  <c r="R267" i="39"/>
  <c r="X267" i="39"/>
  <c r="AB267" i="39"/>
  <c r="Y267" i="39"/>
  <c r="Z267" i="39"/>
  <c r="M268" i="39"/>
  <c r="V268" i="39"/>
  <c r="M269" i="39"/>
  <c r="V269" i="39"/>
  <c r="M270" i="39"/>
  <c r="V270" i="39"/>
  <c r="M271" i="39"/>
  <c r="V271" i="39"/>
  <c r="AA271" i="39"/>
  <c r="R271" i="39"/>
  <c r="X271" i="39"/>
  <c r="AB271" i="39"/>
  <c r="Y271" i="39"/>
  <c r="Z271" i="39"/>
  <c r="M272" i="39"/>
  <c r="V272" i="39"/>
  <c r="M273" i="39"/>
  <c r="V273" i="39"/>
  <c r="AA273" i="39"/>
  <c r="R273" i="39"/>
  <c r="X273" i="39"/>
  <c r="AB273" i="39"/>
  <c r="Y273" i="39"/>
  <c r="Z273" i="39"/>
  <c r="M274" i="39"/>
  <c r="V274" i="39"/>
  <c r="AA274" i="39"/>
  <c r="R274" i="39"/>
  <c r="X274" i="39"/>
  <c r="AB274" i="39"/>
  <c r="Y274" i="39"/>
  <c r="Z274" i="39"/>
  <c r="M275" i="39"/>
  <c r="V275" i="39"/>
  <c r="AA275" i="39"/>
  <c r="R275" i="39"/>
  <c r="X275" i="39"/>
  <c r="AB275" i="39"/>
  <c r="Y275" i="39"/>
  <c r="Z275" i="39"/>
  <c r="M276" i="39"/>
  <c r="V276" i="39"/>
  <c r="M277" i="39"/>
  <c r="V277" i="39"/>
  <c r="AA277" i="39"/>
  <c r="R277" i="39"/>
  <c r="X277" i="39"/>
  <c r="AB277" i="39"/>
  <c r="Y277" i="39"/>
  <c r="Z277" i="39"/>
  <c r="M278" i="39"/>
  <c r="V278" i="39"/>
  <c r="AA278" i="39"/>
  <c r="R278" i="39"/>
  <c r="X278" i="39"/>
  <c r="AB278" i="39"/>
  <c r="Y278" i="39"/>
  <c r="Z278" i="39"/>
  <c r="M279" i="39"/>
  <c r="V279" i="39"/>
  <c r="M280" i="39"/>
  <c r="V280" i="39"/>
  <c r="AA280" i="39"/>
  <c r="R280" i="39"/>
  <c r="X280" i="39"/>
  <c r="AB280" i="39"/>
  <c r="Y280" i="39"/>
  <c r="Z280" i="39"/>
  <c r="M281" i="39"/>
  <c r="V281" i="39"/>
  <c r="AA281" i="39"/>
  <c r="R281" i="39"/>
  <c r="X281" i="39"/>
  <c r="AB281" i="39"/>
  <c r="Y281" i="39"/>
  <c r="Z281" i="39"/>
  <c r="M282" i="39"/>
  <c r="V282" i="39"/>
  <c r="M283" i="39"/>
  <c r="V283" i="39"/>
  <c r="AA283" i="39"/>
  <c r="R283" i="39"/>
  <c r="X283" i="39"/>
  <c r="AB283" i="39"/>
  <c r="Y283" i="39"/>
  <c r="Z283" i="39"/>
  <c r="M284" i="39"/>
  <c r="V284" i="39"/>
  <c r="AA284" i="39"/>
  <c r="R284" i="39"/>
  <c r="X284" i="39"/>
  <c r="AB284" i="39"/>
  <c r="Y284" i="39"/>
  <c r="Z284" i="39"/>
  <c r="M285" i="39"/>
  <c r="V285" i="39"/>
  <c r="AA285" i="39"/>
  <c r="R285" i="39"/>
  <c r="X285" i="39"/>
  <c r="AB285" i="39"/>
  <c r="Y285" i="39"/>
  <c r="Z285" i="39"/>
  <c r="M286" i="39"/>
  <c r="V286" i="39"/>
  <c r="AA286" i="39"/>
  <c r="R286" i="39"/>
  <c r="X286" i="39"/>
  <c r="AB286" i="39"/>
  <c r="Y286" i="39"/>
  <c r="Z286" i="39"/>
  <c r="M287" i="39"/>
  <c r="V287" i="39"/>
  <c r="AA287" i="39"/>
  <c r="R287" i="39"/>
  <c r="X287" i="39"/>
  <c r="AB287" i="39"/>
  <c r="Y287" i="39"/>
  <c r="Z287" i="39"/>
  <c r="M288" i="39"/>
  <c r="V288" i="39"/>
  <c r="AA288" i="39"/>
  <c r="R288" i="39"/>
  <c r="X288" i="39"/>
  <c r="AB288" i="39"/>
  <c r="Y288" i="39"/>
  <c r="Z288" i="39"/>
  <c r="M289" i="39"/>
  <c r="V289" i="39"/>
  <c r="M290" i="39"/>
  <c r="V290" i="39"/>
  <c r="AA290" i="39"/>
  <c r="R290" i="39"/>
  <c r="X290" i="39"/>
  <c r="AB290" i="39"/>
  <c r="Y290" i="39"/>
  <c r="Z290" i="39"/>
  <c r="M291" i="39"/>
  <c r="V291" i="39"/>
  <c r="M292" i="39"/>
  <c r="V292" i="39"/>
  <c r="AA292" i="39"/>
  <c r="R292" i="39"/>
  <c r="X292" i="39"/>
  <c r="AB292" i="39"/>
  <c r="Y292" i="39"/>
  <c r="Z292" i="39"/>
  <c r="M293" i="39"/>
  <c r="V293" i="39"/>
  <c r="M294" i="39"/>
  <c r="V294" i="39"/>
  <c r="AA294" i="39"/>
  <c r="R294" i="39"/>
  <c r="X294" i="39"/>
  <c r="AB294" i="39"/>
  <c r="Y294" i="39"/>
  <c r="Z294" i="39"/>
  <c r="M295" i="39"/>
  <c r="V295" i="39"/>
  <c r="M296" i="39"/>
  <c r="V296" i="39"/>
  <c r="AA296" i="39"/>
  <c r="R296" i="39"/>
  <c r="X296" i="39"/>
  <c r="AB296" i="39"/>
  <c r="Y296" i="39"/>
  <c r="Z296" i="39"/>
  <c r="M297" i="39"/>
  <c r="V297" i="39"/>
  <c r="M298" i="39"/>
  <c r="V298" i="39"/>
  <c r="AA298" i="39"/>
  <c r="R298" i="39"/>
  <c r="X298" i="39"/>
  <c r="AB298" i="39"/>
  <c r="Y298" i="39"/>
  <c r="Z298" i="39"/>
  <c r="M299" i="39"/>
  <c r="V299" i="39"/>
  <c r="M300" i="39"/>
  <c r="V300" i="39"/>
  <c r="AA300" i="39"/>
  <c r="R300" i="39"/>
  <c r="X300" i="39"/>
  <c r="AB300" i="39"/>
  <c r="Y300" i="39"/>
  <c r="Z300" i="39"/>
  <c r="M301" i="39"/>
  <c r="V301" i="39"/>
  <c r="M302" i="39"/>
  <c r="V302" i="39"/>
  <c r="AA302" i="39"/>
  <c r="R302" i="39"/>
  <c r="X302" i="39"/>
  <c r="AB302" i="39"/>
  <c r="Y302" i="39"/>
  <c r="Z302" i="39"/>
  <c r="M303" i="39"/>
  <c r="V303" i="39"/>
  <c r="M304" i="39"/>
  <c r="V304" i="39"/>
  <c r="AA304" i="39"/>
  <c r="R304" i="39"/>
  <c r="X304" i="39"/>
  <c r="AB304" i="39"/>
  <c r="Y304" i="39"/>
  <c r="Z304" i="39"/>
  <c r="M305" i="39"/>
  <c r="V305" i="39"/>
  <c r="AA305" i="39"/>
  <c r="R305" i="39"/>
  <c r="X305" i="39"/>
  <c r="AB305" i="39"/>
  <c r="Y305" i="39"/>
  <c r="Z305" i="39"/>
  <c r="M306" i="39"/>
  <c r="V306" i="39"/>
  <c r="AA306" i="39"/>
  <c r="R306" i="39"/>
  <c r="X306" i="39"/>
  <c r="AB306" i="39"/>
  <c r="Y306" i="39"/>
  <c r="Z306" i="39"/>
  <c r="M307" i="39"/>
  <c r="V307" i="39"/>
  <c r="AA307" i="39"/>
  <c r="R307" i="39"/>
  <c r="X307" i="39"/>
  <c r="AB307" i="39"/>
  <c r="Y307" i="39"/>
  <c r="Z307" i="39"/>
  <c r="M308" i="39"/>
  <c r="V308" i="39"/>
  <c r="AA308" i="39"/>
  <c r="R308" i="39"/>
  <c r="X308" i="39"/>
  <c r="AB308" i="39"/>
  <c r="Y308" i="39"/>
  <c r="Z308" i="39"/>
  <c r="M309" i="39"/>
  <c r="V309" i="39"/>
  <c r="AA309" i="39"/>
  <c r="R309" i="39"/>
  <c r="X309" i="39"/>
  <c r="AB309" i="39"/>
  <c r="Y309" i="39"/>
  <c r="Z309" i="39"/>
  <c r="M310" i="39"/>
  <c r="V310" i="39"/>
  <c r="AA310" i="39"/>
  <c r="R310" i="39"/>
  <c r="X310" i="39"/>
  <c r="AB310" i="39"/>
  <c r="Y310" i="39"/>
  <c r="Z310" i="39"/>
  <c r="M311" i="39"/>
  <c r="V311" i="39"/>
  <c r="AA311" i="39"/>
  <c r="R311" i="39"/>
  <c r="X311" i="39"/>
  <c r="AB311" i="39"/>
  <c r="Y311" i="39"/>
  <c r="Z311" i="39"/>
  <c r="M312" i="39"/>
  <c r="V312" i="39"/>
  <c r="AA312" i="39"/>
  <c r="R312" i="39"/>
  <c r="X312" i="39"/>
  <c r="AB312" i="39"/>
  <c r="Y312" i="39"/>
  <c r="Z312" i="39"/>
  <c r="M313" i="39"/>
  <c r="V313" i="39"/>
  <c r="AA313" i="39"/>
  <c r="R313" i="39"/>
  <c r="X313" i="39"/>
  <c r="AB313" i="39"/>
  <c r="Y313" i="39"/>
  <c r="Z313" i="39"/>
  <c r="M314" i="39"/>
  <c r="V314" i="39"/>
  <c r="AA314" i="39"/>
  <c r="R314" i="39"/>
  <c r="X314" i="39"/>
  <c r="AB314" i="39"/>
  <c r="Y314" i="39"/>
  <c r="Z314" i="39"/>
  <c r="M315" i="39"/>
  <c r="V315" i="39"/>
  <c r="M316" i="39"/>
  <c r="V316" i="39"/>
  <c r="AA316" i="39"/>
  <c r="R316" i="39"/>
  <c r="X316" i="39"/>
  <c r="AB316" i="39"/>
  <c r="Y316" i="39"/>
  <c r="Z316" i="39"/>
  <c r="M317" i="39"/>
  <c r="V317" i="39"/>
  <c r="AA317" i="39"/>
  <c r="R317" i="39"/>
  <c r="X317" i="39"/>
  <c r="AB317" i="39"/>
  <c r="Y317" i="39"/>
  <c r="Z317" i="39"/>
  <c r="M318" i="39"/>
  <c r="V318" i="39"/>
  <c r="AA318" i="39"/>
  <c r="R318" i="39"/>
  <c r="X318" i="39"/>
  <c r="AB318" i="39"/>
  <c r="Y318" i="39"/>
  <c r="Z318" i="39"/>
  <c r="M319" i="39"/>
  <c r="V319" i="39"/>
  <c r="AA319" i="39"/>
  <c r="R319" i="39"/>
  <c r="X319" i="39"/>
  <c r="AB319" i="39"/>
  <c r="Y319" i="39"/>
  <c r="Z319" i="39"/>
  <c r="M320" i="39"/>
  <c r="V320" i="39"/>
  <c r="AA320" i="39"/>
  <c r="R320" i="39"/>
  <c r="X320" i="39"/>
  <c r="AB320" i="39"/>
  <c r="Y320" i="39"/>
  <c r="Z320" i="39"/>
  <c r="M321" i="39"/>
  <c r="V321" i="39"/>
  <c r="AA321" i="39"/>
  <c r="R321" i="39"/>
  <c r="X321" i="39"/>
  <c r="AB321" i="39"/>
  <c r="Y321" i="39"/>
  <c r="Z321" i="39"/>
  <c r="M322" i="39"/>
  <c r="V322" i="39"/>
  <c r="AA322" i="39"/>
  <c r="R322" i="39"/>
  <c r="X322" i="39"/>
  <c r="AB322" i="39"/>
  <c r="Y322" i="39"/>
  <c r="Z322" i="39"/>
  <c r="M323" i="39"/>
  <c r="V323" i="39"/>
  <c r="V324" i="39"/>
  <c r="AA324" i="39"/>
  <c r="R324" i="39"/>
  <c r="X324" i="39"/>
  <c r="AB324" i="39"/>
  <c r="Y324" i="39"/>
  <c r="Z324" i="39"/>
  <c r="M325" i="39"/>
  <c r="V325" i="39"/>
  <c r="AA325" i="39"/>
  <c r="R325" i="39"/>
  <c r="X325" i="39"/>
  <c r="AB325" i="39"/>
  <c r="Y325" i="39"/>
  <c r="Z325" i="39"/>
  <c r="M326" i="39"/>
  <c r="V326" i="39"/>
  <c r="M327" i="39"/>
  <c r="V327" i="39"/>
  <c r="AA327" i="39"/>
  <c r="R327" i="39"/>
  <c r="X327" i="39"/>
  <c r="AB327" i="39"/>
  <c r="Y327" i="39"/>
  <c r="Z327" i="39"/>
  <c r="M328" i="39"/>
  <c r="V328" i="39"/>
  <c r="M329" i="39"/>
  <c r="V329" i="39"/>
  <c r="AA329" i="39"/>
  <c r="R329" i="39"/>
  <c r="X329" i="39"/>
  <c r="AB329" i="39"/>
  <c r="Y329" i="39"/>
  <c r="Z329" i="39"/>
  <c r="M330" i="39"/>
  <c r="V330" i="39"/>
  <c r="M331" i="39"/>
  <c r="V331" i="39"/>
  <c r="AA331" i="39"/>
  <c r="R331" i="39"/>
  <c r="X331" i="39"/>
  <c r="AB331" i="39"/>
  <c r="Y331" i="39"/>
  <c r="Z331" i="39"/>
  <c r="M332" i="39"/>
  <c r="V332" i="39"/>
  <c r="AA332" i="39"/>
  <c r="R332" i="39"/>
  <c r="X332" i="39"/>
  <c r="AB332" i="39"/>
  <c r="Y332" i="39"/>
  <c r="Z332" i="39"/>
  <c r="M333" i="39"/>
  <c r="V333" i="39"/>
  <c r="AA333" i="39"/>
  <c r="R333" i="39"/>
  <c r="X333" i="39"/>
  <c r="AB333" i="39"/>
  <c r="Y333" i="39"/>
  <c r="Z333" i="39"/>
  <c r="M334" i="39"/>
  <c r="V334" i="39"/>
  <c r="AA334" i="39"/>
  <c r="R334" i="39"/>
  <c r="X334" i="39"/>
  <c r="AB334" i="39"/>
  <c r="Y334" i="39"/>
  <c r="Z334" i="39"/>
  <c r="M335" i="39"/>
  <c r="V335" i="39"/>
  <c r="AA335" i="39"/>
  <c r="R335" i="39"/>
  <c r="X335" i="39"/>
  <c r="AB335" i="39"/>
  <c r="Y335" i="39"/>
  <c r="Z335" i="39"/>
  <c r="M336" i="39"/>
  <c r="V336" i="39"/>
  <c r="AA336" i="39"/>
  <c r="R336" i="39"/>
  <c r="X336" i="39"/>
  <c r="AB336" i="39"/>
  <c r="Y336" i="39"/>
  <c r="Z336" i="39"/>
  <c r="M337" i="39"/>
  <c r="V337" i="39"/>
  <c r="AA337" i="39"/>
  <c r="R337" i="39"/>
  <c r="X337" i="39"/>
  <c r="AB337" i="39"/>
  <c r="Y337" i="39"/>
  <c r="Z337" i="39"/>
  <c r="M338" i="39"/>
  <c r="V338" i="39"/>
  <c r="AA338" i="39"/>
  <c r="R338" i="39"/>
  <c r="X338" i="39"/>
  <c r="AB338" i="39"/>
  <c r="Y338" i="39"/>
  <c r="Z338" i="39"/>
  <c r="M339" i="39"/>
  <c r="V339" i="39"/>
  <c r="AA339" i="39"/>
  <c r="R339" i="39"/>
  <c r="X339" i="39"/>
  <c r="AB339" i="39"/>
  <c r="Y339" i="39"/>
  <c r="Z339" i="39"/>
  <c r="M340" i="39"/>
  <c r="V340" i="39"/>
  <c r="M341" i="39"/>
  <c r="V341" i="39"/>
  <c r="AA341" i="39"/>
  <c r="R341" i="39"/>
  <c r="X341" i="39"/>
  <c r="AB341" i="39"/>
  <c r="Y341" i="39"/>
  <c r="Z341" i="39"/>
  <c r="M342" i="39"/>
  <c r="V342" i="39"/>
  <c r="M343" i="39"/>
  <c r="V343" i="39"/>
  <c r="AA343" i="39"/>
  <c r="R343" i="39"/>
  <c r="X343" i="39"/>
  <c r="AB343" i="39"/>
  <c r="Y343" i="39"/>
  <c r="Z343" i="39"/>
  <c r="M344" i="39"/>
  <c r="V344" i="39"/>
  <c r="M345" i="39"/>
  <c r="V345" i="39"/>
  <c r="AA345" i="39"/>
  <c r="R345" i="39"/>
  <c r="X345" i="39"/>
  <c r="AB345" i="39"/>
  <c r="Y345" i="39"/>
  <c r="Z345" i="39"/>
  <c r="M346" i="39"/>
  <c r="V346" i="39"/>
  <c r="M347" i="39"/>
  <c r="V347" i="39"/>
  <c r="AA347" i="39"/>
  <c r="R347" i="39"/>
  <c r="X347" i="39"/>
  <c r="AB347" i="39"/>
  <c r="Y347" i="39"/>
  <c r="Z347" i="39"/>
  <c r="M348" i="39"/>
  <c r="V348" i="39"/>
  <c r="M349" i="39"/>
  <c r="V349" i="39"/>
  <c r="AA349" i="39"/>
  <c r="R349" i="39"/>
  <c r="X349" i="39"/>
  <c r="AB349" i="39"/>
  <c r="Y349" i="39"/>
  <c r="Z349" i="39"/>
  <c r="M350" i="39"/>
  <c r="V350" i="39"/>
  <c r="M351" i="39"/>
  <c r="V351" i="39"/>
  <c r="AA351" i="39"/>
  <c r="R351" i="39"/>
  <c r="X351" i="39"/>
  <c r="AB351" i="39"/>
  <c r="Y351" i="39"/>
  <c r="Z351" i="39"/>
  <c r="M352" i="39"/>
  <c r="V352" i="39"/>
  <c r="M353" i="39"/>
  <c r="V353" i="39"/>
  <c r="AA353" i="39"/>
  <c r="R353" i="39"/>
  <c r="X353" i="39"/>
  <c r="AB353" i="39"/>
  <c r="Y353" i="39"/>
  <c r="Z353" i="39"/>
  <c r="M354" i="39"/>
  <c r="V354" i="39"/>
  <c r="M355" i="39"/>
  <c r="V355" i="39"/>
  <c r="AA355" i="39"/>
  <c r="R355" i="39"/>
  <c r="X355" i="39"/>
  <c r="AB355" i="39"/>
  <c r="Y355" i="39"/>
  <c r="Z355" i="39"/>
  <c r="M356" i="39"/>
  <c r="V356" i="39"/>
  <c r="AA356" i="39"/>
  <c r="R356" i="39"/>
  <c r="X356" i="39"/>
  <c r="AB356" i="39"/>
  <c r="Y356" i="39"/>
  <c r="Z356" i="39"/>
  <c r="M357" i="39"/>
  <c r="V357" i="39"/>
  <c r="AA357" i="39"/>
  <c r="R357" i="39"/>
  <c r="X357" i="39"/>
  <c r="AB357" i="39"/>
  <c r="Y357" i="39"/>
  <c r="Z357" i="39"/>
  <c r="M358" i="39"/>
  <c r="V358" i="39"/>
  <c r="AA358" i="39"/>
  <c r="R358" i="39"/>
  <c r="X358" i="39"/>
  <c r="AB358" i="39"/>
  <c r="Y358" i="39"/>
  <c r="Z358" i="39"/>
  <c r="M359" i="39"/>
  <c r="V359" i="39"/>
  <c r="AA359" i="39"/>
  <c r="R359" i="39"/>
  <c r="X359" i="39"/>
  <c r="AB359" i="39"/>
  <c r="Y359" i="39"/>
  <c r="Z359" i="39"/>
  <c r="M360" i="39"/>
  <c r="V360" i="39"/>
  <c r="AA360" i="39"/>
  <c r="R360" i="39"/>
  <c r="X360" i="39"/>
  <c r="AB360" i="39"/>
  <c r="Y360" i="39"/>
  <c r="Z360" i="39"/>
  <c r="M361" i="39"/>
  <c r="V361" i="39"/>
  <c r="AA361" i="39"/>
  <c r="R361" i="39"/>
  <c r="X361" i="39"/>
  <c r="AB361" i="39"/>
  <c r="Y361" i="39"/>
  <c r="Z361" i="39"/>
  <c r="M362" i="39"/>
  <c r="V362" i="39"/>
  <c r="AA362" i="39"/>
  <c r="R362" i="39"/>
  <c r="X362" i="39"/>
  <c r="AB362" i="39"/>
  <c r="Y362" i="39"/>
  <c r="Z362" i="39"/>
  <c r="M363" i="39"/>
  <c r="V363" i="39"/>
  <c r="V364" i="39"/>
  <c r="AA364" i="39"/>
  <c r="R364" i="39"/>
  <c r="X364" i="39"/>
  <c r="AB364" i="39"/>
  <c r="Y364" i="39"/>
  <c r="Z364" i="39"/>
  <c r="M365" i="39"/>
  <c r="V365" i="39"/>
  <c r="M366" i="39"/>
  <c r="V366" i="39"/>
  <c r="AA366" i="39"/>
  <c r="R366" i="39"/>
  <c r="X366" i="39"/>
  <c r="AB366" i="39"/>
  <c r="Y366" i="39"/>
  <c r="Z366" i="39"/>
  <c r="M367" i="39"/>
  <c r="V367" i="39"/>
  <c r="M368" i="39"/>
  <c r="V368" i="39"/>
  <c r="AA368" i="39"/>
  <c r="R368" i="39"/>
  <c r="X368" i="39"/>
  <c r="AB368" i="39"/>
  <c r="Y368" i="39"/>
  <c r="Z368" i="39"/>
  <c r="M369" i="39"/>
  <c r="V369" i="39"/>
  <c r="M370" i="39"/>
  <c r="V370" i="39"/>
  <c r="AA370" i="39"/>
  <c r="R370" i="39"/>
  <c r="X370" i="39"/>
  <c r="AB370" i="39"/>
  <c r="Y370" i="39"/>
  <c r="Z370" i="39"/>
  <c r="M371" i="39"/>
  <c r="V371" i="39"/>
  <c r="M372" i="39"/>
  <c r="V372" i="39"/>
  <c r="AA372" i="39"/>
  <c r="R372" i="39"/>
  <c r="X372" i="39"/>
  <c r="AB372" i="39"/>
  <c r="Y372" i="39"/>
  <c r="Z372" i="39"/>
  <c r="M373" i="39"/>
  <c r="V373" i="39"/>
  <c r="M374" i="39"/>
  <c r="V374" i="39"/>
  <c r="AA374" i="39"/>
  <c r="R374" i="39"/>
  <c r="X374" i="39"/>
  <c r="AB374" i="39"/>
  <c r="Y374" i="39"/>
  <c r="Z374" i="39"/>
  <c r="M375" i="39"/>
  <c r="V375" i="39"/>
  <c r="M376" i="39"/>
  <c r="V376" i="39"/>
  <c r="AA376" i="39"/>
  <c r="R376" i="39"/>
  <c r="X376" i="39"/>
  <c r="AB376" i="39"/>
  <c r="Y376" i="39"/>
  <c r="Z376" i="39"/>
  <c r="M377" i="39"/>
  <c r="V377" i="39"/>
  <c r="M378" i="39"/>
  <c r="V378" i="39"/>
  <c r="AA378" i="39"/>
  <c r="R378" i="39"/>
  <c r="X378" i="39"/>
  <c r="AB378" i="39"/>
  <c r="Y378" i="39"/>
  <c r="Z378" i="39"/>
  <c r="M379" i="39"/>
  <c r="V379" i="39"/>
  <c r="M380" i="39"/>
  <c r="V380" i="39"/>
  <c r="AA380" i="39"/>
  <c r="R380" i="39"/>
  <c r="X380" i="39"/>
  <c r="AB380" i="39"/>
  <c r="Y380" i="39"/>
  <c r="Z380" i="39"/>
  <c r="M381" i="39"/>
  <c r="V381" i="39"/>
  <c r="M382" i="39"/>
  <c r="V382" i="39"/>
  <c r="AA382" i="39"/>
  <c r="R382" i="39"/>
  <c r="X382" i="39"/>
  <c r="AB382" i="39"/>
  <c r="Y382" i="39"/>
  <c r="Z382" i="39"/>
  <c r="M383" i="39"/>
  <c r="V383" i="39"/>
  <c r="M384" i="39"/>
  <c r="V384" i="39"/>
  <c r="AA384" i="39"/>
  <c r="R384" i="39"/>
  <c r="X384" i="39"/>
  <c r="AB384" i="39"/>
  <c r="Y384" i="39"/>
  <c r="Z384" i="39"/>
  <c r="M385" i="39"/>
  <c r="V385" i="39"/>
  <c r="M386" i="39"/>
  <c r="V386" i="39"/>
  <c r="AA386" i="39"/>
  <c r="R386" i="39"/>
  <c r="X386" i="39"/>
  <c r="AB386" i="39"/>
  <c r="Y386" i="39"/>
  <c r="Z386" i="39"/>
  <c r="M387" i="39"/>
  <c r="V387" i="39"/>
  <c r="M388" i="39"/>
  <c r="V388" i="39"/>
  <c r="AA388" i="39"/>
  <c r="R388" i="39"/>
  <c r="X388" i="39"/>
  <c r="AB388" i="39"/>
  <c r="Y388" i="39"/>
  <c r="Z388" i="39"/>
  <c r="M389" i="39"/>
  <c r="V389" i="39"/>
  <c r="M390" i="39"/>
  <c r="V390" i="39"/>
  <c r="AA390" i="39"/>
  <c r="R390" i="39"/>
  <c r="X390" i="39"/>
  <c r="AB390" i="39"/>
  <c r="Y390" i="39"/>
  <c r="Z390" i="39"/>
  <c r="M391" i="39"/>
  <c r="V391" i="39"/>
  <c r="AA391" i="39"/>
  <c r="R391" i="39"/>
  <c r="X391" i="39"/>
  <c r="AB391" i="39"/>
  <c r="Y391" i="39"/>
  <c r="Z391" i="39"/>
  <c r="M392" i="39"/>
  <c r="V392" i="39"/>
  <c r="AA392" i="39"/>
  <c r="R392" i="39"/>
  <c r="X392" i="39"/>
  <c r="AB392" i="39"/>
  <c r="Y392" i="39"/>
  <c r="Z392" i="39"/>
  <c r="M393" i="39"/>
  <c r="V393" i="39"/>
  <c r="AA393" i="39"/>
  <c r="R393" i="39"/>
  <c r="X393" i="39"/>
  <c r="AB393" i="39"/>
  <c r="Y393" i="39"/>
  <c r="Z393" i="39"/>
  <c r="M394" i="39"/>
  <c r="V394" i="39"/>
  <c r="AA394" i="39"/>
  <c r="R394" i="39"/>
  <c r="X394" i="39"/>
  <c r="AB394" i="39"/>
  <c r="Y394" i="39"/>
  <c r="Z394" i="39"/>
  <c r="M395" i="39"/>
  <c r="V395" i="39"/>
  <c r="AA395" i="39"/>
  <c r="R395" i="39"/>
  <c r="X395" i="39"/>
  <c r="AB395" i="39"/>
  <c r="Y395" i="39"/>
  <c r="Z395" i="39"/>
  <c r="M396" i="39"/>
  <c r="V396" i="39"/>
  <c r="AA396" i="39"/>
  <c r="R396" i="39"/>
  <c r="X396" i="39"/>
  <c r="AB396" i="39"/>
  <c r="Y396" i="39"/>
  <c r="Z396" i="39"/>
  <c r="M397" i="39"/>
  <c r="V397" i="39"/>
  <c r="AA397" i="39"/>
  <c r="R397" i="39"/>
  <c r="X397" i="39"/>
  <c r="AB397" i="39"/>
  <c r="Y397" i="39"/>
  <c r="Z397" i="39"/>
  <c r="M398" i="39"/>
  <c r="V398" i="39"/>
  <c r="M399" i="39"/>
  <c r="V399" i="39"/>
  <c r="AA399" i="39"/>
  <c r="R399" i="39"/>
  <c r="X399" i="39"/>
  <c r="AB399" i="39"/>
  <c r="Y399" i="39"/>
  <c r="Z399" i="39"/>
  <c r="M400" i="39"/>
  <c r="V400" i="39"/>
  <c r="M401" i="39"/>
  <c r="V401" i="39"/>
  <c r="AA401" i="39"/>
  <c r="R401" i="39"/>
  <c r="X401" i="39"/>
  <c r="AB401" i="39"/>
  <c r="Y401" i="39"/>
  <c r="Z401" i="39"/>
  <c r="M402" i="39"/>
  <c r="V402" i="39"/>
  <c r="M403" i="39"/>
  <c r="V403" i="39"/>
  <c r="AA403" i="39"/>
  <c r="R403" i="39"/>
  <c r="X403" i="39"/>
  <c r="AB403" i="39"/>
  <c r="Y403" i="39"/>
  <c r="Z403" i="39"/>
  <c r="M404" i="39"/>
  <c r="V404" i="39"/>
  <c r="M405" i="39"/>
  <c r="V405" i="39"/>
  <c r="AA405" i="39"/>
  <c r="R405" i="39"/>
  <c r="X405" i="39"/>
  <c r="AB405" i="39"/>
  <c r="Y405" i="39"/>
  <c r="Z405" i="39"/>
  <c r="M406" i="39"/>
  <c r="V406" i="39"/>
  <c r="M407" i="39"/>
  <c r="V407" i="39"/>
  <c r="AA407" i="39"/>
  <c r="R407" i="39"/>
  <c r="X407" i="39"/>
  <c r="AB407" i="39"/>
  <c r="Y407" i="39"/>
  <c r="Z407" i="39"/>
  <c r="M408" i="39"/>
  <c r="V408" i="39"/>
  <c r="M409" i="39"/>
  <c r="V409" i="39"/>
  <c r="AA409" i="39"/>
  <c r="R409" i="39"/>
  <c r="X409" i="39"/>
  <c r="AB409" i="39"/>
  <c r="Y409" i="39"/>
  <c r="Z409" i="39"/>
  <c r="M410" i="39"/>
  <c r="V410" i="39"/>
  <c r="M411" i="39"/>
  <c r="V411" i="39"/>
  <c r="AA411" i="39"/>
  <c r="R411" i="39"/>
  <c r="X411" i="39"/>
  <c r="AB411" i="39"/>
  <c r="Y411" i="39"/>
  <c r="Z411" i="39"/>
  <c r="M412" i="39"/>
  <c r="V412" i="39"/>
  <c r="M413" i="39"/>
  <c r="V413" i="39"/>
  <c r="AA413" i="39"/>
  <c r="R413" i="39"/>
  <c r="X413" i="39"/>
  <c r="AB413" i="39"/>
  <c r="Y413" i="39"/>
  <c r="Z413" i="39"/>
  <c r="M414" i="39"/>
  <c r="V414" i="39"/>
  <c r="M415" i="39"/>
  <c r="V415" i="39"/>
  <c r="AA415" i="39"/>
  <c r="R415" i="39"/>
  <c r="X415" i="39"/>
  <c r="AB415" i="39"/>
  <c r="Y415" i="39"/>
  <c r="Z415" i="39"/>
  <c r="V416" i="39"/>
  <c r="M417" i="39"/>
  <c r="V417" i="39"/>
  <c r="AA417" i="39"/>
  <c r="R417" i="39"/>
  <c r="X417" i="39"/>
  <c r="AB417" i="39"/>
  <c r="Y417" i="39"/>
  <c r="Z417" i="39"/>
  <c r="M418" i="39"/>
  <c r="V418" i="39"/>
  <c r="AA418" i="39"/>
  <c r="R418" i="39"/>
  <c r="X418" i="39"/>
  <c r="AB418" i="39"/>
  <c r="Y418" i="39"/>
  <c r="Z418" i="39"/>
  <c r="M419" i="39"/>
  <c r="V419" i="39"/>
  <c r="AA419" i="39"/>
  <c r="R419" i="39"/>
  <c r="X419" i="39"/>
  <c r="AB419" i="39"/>
  <c r="Y419" i="39"/>
  <c r="Z419" i="39"/>
  <c r="M420" i="39"/>
  <c r="V420" i="39"/>
  <c r="AA420" i="39"/>
  <c r="R420" i="39"/>
  <c r="X420" i="39"/>
  <c r="AB420" i="39"/>
  <c r="Y420" i="39"/>
  <c r="Z420" i="39"/>
  <c r="M421" i="39"/>
  <c r="V421" i="39"/>
  <c r="AA421" i="39"/>
  <c r="R421" i="39"/>
  <c r="X421" i="39"/>
  <c r="AB421" i="39"/>
  <c r="Y421" i="39"/>
  <c r="Z421" i="39"/>
  <c r="M422" i="39"/>
  <c r="V422" i="39"/>
  <c r="AA422" i="39"/>
  <c r="R422" i="39"/>
  <c r="X422" i="39"/>
  <c r="AB422" i="39"/>
  <c r="Y422" i="39"/>
  <c r="Z422" i="39"/>
  <c r="M423" i="39"/>
  <c r="V423" i="39"/>
  <c r="AA423" i="39"/>
  <c r="R423" i="39"/>
  <c r="X423" i="39"/>
  <c r="AB423" i="39"/>
  <c r="Y423" i="39"/>
  <c r="Z423" i="39"/>
  <c r="M424" i="39"/>
  <c r="V424" i="39"/>
  <c r="AA424" i="39"/>
  <c r="R424" i="39"/>
  <c r="X424" i="39"/>
  <c r="AB424" i="39"/>
  <c r="Y424" i="39"/>
  <c r="Z424" i="39"/>
  <c r="M425" i="39"/>
  <c r="V425" i="39"/>
  <c r="AA425" i="39"/>
  <c r="R425" i="39"/>
  <c r="X425" i="39"/>
  <c r="AB425" i="39"/>
  <c r="Y425" i="39"/>
  <c r="Z425" i="39"/>
  <c r="M426" i="39"/>
  <c r="V426" i="39"/>
  <c r="AA426" i="39"/>
  <c r="R426" i="39"/>
  <c r="X426" i="39"/>
  <c r="AB426" i="39"/>
  <c r="Y426" i="39"/>
  <c r="Z426" i="39"/>
  <c r="M427" i="39"/>
  <c r="V427" i="39"/>
  <c r="AA427" i="39"/>
  <c r="R427" i="39"/>
  <c r="X427" i="39"/>
  <c r="AB427" i="39"/>
  <c r="Y427" i="39"/>
  <c r="Z427" i="39"/>
  <c r="M428" i="39"/>
  <c r="V428" i="39"/>
  <c r="AA428" i="39"/>
  <c r="R428" i="39"/>
  <c r="X428" i="39"/>
  <c r="AB428" i="39"/>
  <c r="Y428" i="39"/>
  <c r="Z428" i="39"/>
  <c r="M429" i="39"/>
  <c r="V429" i="39"/>
  <c r="AA429" i="39"/>
  <c r="R429" i="39"/>
  <c r="X429" i="39"/>
  <c r="AB429" i="39"/>
  <c r="Y429" i="39"/>
  <c r="Z429" i="39"/>
  <c r="M430" i="39"/>
  <c r="V430" i="39"/>
  <c r="AA430" i="39"/>
  <c r="R430" i="39"/>
  <c r="X430" i="39"/>
  <c r="AB430" i="39"/>
  <c r="Y430" i="39"/>
  <c r="Z430" i="39"/>
  <c r="M431" i="39"/>
  <c r="V431" i="39"/>
  <c r="AA431" i="39"/>
  <c r="R431" i="39"/>
  <c r="X431" i="39"/>
  <c r="AB431" i="39"/>
  <c r="Y431" i="39"/>
  <c r="Z431" i="39"/>
  <c r="M432" i="39"/>
  <c r="V432" i="39"/>
  <c r="AA432" i="39"/>
  <c r="R432" i="39"/>
  <c r="X432" i="39"/>
  <c r="AB432" i="39"/>
  <c r="Y432" i="39"/>
  <c r="Z432" i="39"/>
  <c r="M433" i="39"/>
  <c r="V433" i="39"/>
  <c r="AA433" i="39"/>
  <c r="R433" i="39"/>
  <c r="X433" i="39"/>
  <c r="AB433" i="39"/>
  <c r="Y433" i="39"/>
  <c r="Z433" i="39"/>
  <c r="M434" i="39"/>
  <c r="V434" i="39"/>
  <c r="AA434" i="39"/>
  <c r="R434" i="39"/>
  <c r="X434" i="39"/>
  <c r="AB434" i="39"/>
  <c r="Y434" i="39"/>
  <c r="Z434" i="39"/>
  <c r="M435" i="39"/>
  <c r="V435" i="39"/>
  <c r="AA435" i="39"/>
  <c r="R435" i="39"/>
  <c r="X435" i="39"/>
  <c r="AB435" i="39"/>
  <c r="Y435" i="39"/>
  <c r="Z435" i="39"/>
  <c r="M436" i="39"/>
  <c r="V436" i="39"/>
  <c r="AA436" i="39"/>
  <c r="R436" i="39"/>
  <c r="X436" i="39"/>
  <c r="AB436" i="39"/>
  <c r="Y436" i="39"/>
  <c r="Z436" i="39"/>
  <c r="M437" i="39"/>
  <c r="V437" i="39"/>
  <c r="AA437" i="39"/>
  <c r="R437" i="39"/>
  <c r="X437" i="39"/>
  <c r="AB437" i="39"/>
  <c r="Y437" i="39"/>
  <c r="Z437" i="39"/>
  <c r="M438" i="39"/>
  <c r="V438" i="39"/>
  <c r="AA438" i="39"/>
  <c r="R438" i="39"/>
  <c r="X438" i="39"/>
  <c r="AB438" i="39"/>
  <c r="Y438" i="39"/>
  <c r="Z438" i="39"/>
  <c r="M439" i="39"/>
  <c r="V439" i="39"/>
  <c r="AA439" i="39"/>
  <c r="R439" i="39"/>
  <c r="X439" i="39"/>
  <c r="AB439" i="39"/>
  <c r="Y439" i="39"/>
  <c r="Z439" i="39"/>
  <c r="M440" i="39"/>
  <c r="V440" i="39"/>
  <c r="AA440" i="39"/>
  <c r="R440" i="39"/>
  <c r="X440" i="39"/>
  <c r="AB440" i="39"/>
  <c r="Y440" i="39"/>
  <c r="Z440" i="39"/>
  <c r="M441" i="39"/>
  <c r="V441" i="39"/>
  <c r="M442" i="39"/>
  <c r="V442" i="39"/>
  <c r="AA442" i="39"/>
  <c r="R442" i="39"/>
  <c r="X442" i="39"/>
  <c r="AB442" i="39"/>
  <c r="Y442" i="39"/>
  <c r="Z442" i="39"/>
  <c r="M443" i="39"/>
  <c r="V443" i="39"/>
  <c r="M444" i="39"/>
  <c r="V444" i="39"/>
  <c r="AA444" i="39"/>
  <c r="R444" i="39"/>
  <c r="X444" i="39"/>
  <c r="AB444" i="39"/>
  <c r="Y444" i="39"/>
  <c r="Z444" i="39"/>
  <c r="M445" i="39"/>
  <c r="V445" i="39"/>
  <c r="M446" i="39"/>
  <c r="V446" i="39"/>
  <c r="AA446" i="39"/>
  <c r="R446" i="39"/>
  <c r="X446" i="39"/>
  <c r="AB446" i="39"/>
  <c r="Y446" i="39"/>
  <c r="Z446" i="39"/>
  <c r="M447" i="39"/>
  <c r="V447" i="39"/>
  <c r="M448" i="39"/>
  <c r="V448" i="39"/>
  <c r="AA448" i="39"/>
  <c r="R448" i="39"/>
  <c r="X448" i="39"/>
  <c r="AB448" i="39"/>
  <c r="Y448" i="39"/>
  <c r="Z448" i="39"/>
  <c r="M449" i="39"/>
  <c r="V449" i="39"/>
  <c r="M450" i="39"/>
  <c r="V450" i="39"/>
  <c r="AA450" i="39"/>
  <c r="R450" i="39"/>
  <c r="X450" i="39"/>
  <c r="AB450" i="39"/>
  <c r="Y450" i="39"/>
  <c r="Z450" i="39"/>
  <c r="M451" i="39"/>
  <c r="V451" i="39"/>
  <c r="M452" i="39"/>
  <c r="V452" i="39"/>
  <c r="AA452" i="39"/>
  <c r="R452" i="39"/>
  <c r="X452" i="39"/>
  <c r="AB452" i="39"/>
  <c r="Y452" i="39"/>
  <c r="Z452" i="39"/>
  <c r="M453" i="39"/>
  <c r="V453" i="39"/>
  <c r="AA453" i="39"/>
  <c r="R453" i="39"/>
  <c r="X453" i="39"/>
  <c r="AB453" i="39"/>
  <c r="Y453" i="39"/>
  <c r="Z453" i="39"/>
  <c r="M454" i="39"/>
  <c r="V454" i="39"/>
  <c r="M455" i="39"/>
  <c r="V455" i="39"/>
  <c r="AA455" i="39"/>
  <c r="R455" i="39"/>
  <c r="X455" i="39"/>
  <c r="AB455" i="39"/>
  <c r="Y455" i="39"/>
  <c r="Z455" i="39"/>
  <c r="M456" i="39"/>
  <c r="V456" i="39"/>
  <c r="AA456" i="39"/>
  <c r="R456" i="39"/>
  <c r="X456" i="39"/>
  <c r="AB456" i="39"/>
  <c r="Y456" i="39"/>
  <c r="Z456" i="39"/>
  <c r="M457" i="39"/>
  <c r="V457" i="39"/>
  <c r="AA457" i="39"/>
  <c r="R457" i="39"/>
  <c r="X457" i="39"/>
  <c r="AB457" i="39"/>
  <c r="Y457" i="39"/>
  <c r="Z457" i="39"/>
  <c r="M458" i="39"/>
  <c r="V458" i="39"/>
  <c r="AA458" i="39"/>
  <c r="R458" i="39"/>
  <c r="X458" i="39"/>
  <c r="AB458" i="39"/>
  <c r="Y458" i="39"/>
  <c r="Z458" i="39"/>
  <c r="M459" i="39"/>
  <c r="V459" i="39"/>
  <c r="AA459" i="39"/>
  <c r="R459" i="39"/>
  <c r="X459" i="39"/>
  <c r="AB459" i="39"/>
  <c r="Y459" i="39"/>
  <c r="Z459" i="39"/>
  <c r="M460" i="39"/>
  <c r="V460" i="39"/>
  <c r="AA460" i="39"/>
  <c r="R460" i="39"/>
  <c r="X460" i="39"/>
  <c r="AB460" i="39"/>
  <c r="Y460" i="39"/>
  <c r="Z460" i="39"/>
  <c r="M461" i="39"/>
  <c r="V461" i="39"/>
  <c r="AA461" i="39"/>
  <c r="R461" i="39"/>
  <c r="X461" i="39"/>
  <c r="AB461" i="39"/>
  <c r="Y461" i="39"/>
  <c r="Z461" i="39"/>
  <c r="M462" i="39"/>
  <c r="V462" i="39"/>
  <c r="M463" i="39"/>
  <c r="V463" i="39"/>
  <c r="AA463" i="39"/>
  <c r="R463" i="39"/>
  <c r="X463" i="39"/>
  <c r="AB463" i="39"/>
  <c r="Y463" i="39"/>
  <c r="Z463" i="39"/>
  <c r="M464" i="39"/>
  <c r="V464" i="39"/>
  <c r="AA464" i="39"/>
  <c r="R464" i="39"/>
  <c r="X464" i="39"/>
  <c r="AB464" i="39"/>
  <c r="Y464" i="39"/>
  <c r="Z464" i="39"/>
  <c r="M465" i="39"/>
  <c r="V465" i="39"/>
  <c r="AA465" i="39"/>
  <c r="R465" i="39"/>
  <c r="X465" i="39"/>
  <c r="AB465" i="39"/>
  <c r="Y465" i="39"/>
  <c r="Z465" i="39"/>
  <c r="M466" i="39"/>
  <c r="V466" i="39"/>
  <c r="AA466" i="39"/>
  <c r="R466" i="39"/>
  <c r="X466" i="39"/>
  <c r="AB466" i="39"/>
  <c r="Y466" i="39"/>
  <c r="Z466" i="39"/>
  <c r="M467" i="39"/>
  <c r="V467" i="39"/>
  <c r="AA467" i="39"/>
  <c r="R467" i="39"/>
  <c r="X467" i="39"/>
  <c r="AB467" i="39"/>
  <c r="Y467" i="39"/>
  <c r="Z467" i="39"/>
  <c r="M468" i="39"/>
  <c r="V468" i="39"/>
  <c r="AA468" i="39"/>
  <c r="R468" i="39"/>
  <c r="X468" i="39"/>
  <c r="AB468" i="39"/>
  <c r="Y468" i="39"/>
  <c r="Z468" i="39"/>
  <c r="M469" i="39"/>
  <c r="V469" i="39"/>
  <c r="AA469" i="39"/>
  <c r="R469" i="39"/>
  <c r="X469" i="39"/>
  <c r="AB469" i="39"/>
  <c r="Y469" i="39"/>
  <c r="Z469" i="39"/>
  <c r="M470" i="39"/>
  <c r="V470" i="39"/>
  <c r="M471" i="39"/>
  <c r="V471" i="39"/>
  <c r="M472" i="39"/>
  <c r="V472" i="39"/>
  <c r="AA472" i="39"/>
  <c r="R472" i="39"/>
  <c r="X472" i="39"/>
  <c r="AB472" i="39"/>
  <c r="Y472" i="39"/>
  <c r="Z472" i="39"/>
  <c r="M473" i="39"/>
  <c r="V473" i="39"/>
  <c r="AA473" i="39"/>
  <c r="R473" i="39"/>
  <c r="X473" i="39"/>
  <c r="AB473" i="39"/>
  <c r="Y473" i="39"/>
  <c r="Z473" i="39"/>
  <c r="M474" i="39"/>
  <c r="V474" i="39"/>
  <c r="AA474" i="39"/>
  <c r="R474" i="39"/>
  <c r="X474" i="39"/>
  <c r="AB474" i="39"/>
  <c r="Y474" i="39"/>
  <c r="Z474" i="39"/>
  <c r="M475" i="39"/>
  <c r="V475" i="39"/>
  <c r="AA475" i="39"/>
  <c r="R475" i="39"/>
  <c r="X475" i="39"/>
  <c r="AB475" i="39"/>
  <c r="Y475" i="39"/>
  <c r="Z475" i="39"/>
  <c r="M476" i="39"/>
  <c r="V476" i="39"/>
  <c r="AA476" i="39"/>
  <c r="R476" i="39"/>
  <c r="X476" i="39"/>
  <c r="AB476" i="39"/>
  <c r="Y476" i="39"/>
  <c r="Z476" i="39"/>
  <c r="V477" i="39"/>
  <c r="AA477" i="39"/>
  <c r="X477" i="39"/>
  <c r="AB477" i="39"/>
  <c r="Y477" i="39"/>
  <c r="Z477" i="39"/>
  <c r="M478" i="39"/>
  <c r="V478" i="39"/>
  <c r="AA478" i="39"/>
  <c r="R478" i="39"/>
  <c r="X478" i="39"/>
  <c r="AB478" i="39"/>
  <c r="Y478" i="39"/>
  <c r="Z478" i="39"/>
  <c r="M479" i="39"/>
  <c r="V479" i="39"/>
  <c r="AA479" i="39"/>
  <c r="R479" i="39"/>
  <c r="X479" i="39"/>
  <c r="AB479" i="39"/>
  <c r="Y479" i="39"/>
  <c r="Z479" i="39"/>
  <c r="M480" i="39"/>
  <c r="V480" i="39"/>
  <c r="AA480" i="39"/>
  <c r="R480" i="39"/>
  <c r="X480" i="39"/>
  <c r="AB480" i="39"/>
  <c r="Y480" i="39"/>
  <c r="Z480" i="39"/>
  <c r="M481" i="39"/>
  <c r="V481" i="39"/>
  <c r="AA481" i="39"/>
  <c r="R481" i="39"/>
  <c r="X481" i="39"/>
  <c r="AB481" i="39"/>
  <c r="Y481" i="39"/>
  <c r="Z481" i="39"/>
  <c r="M482" i="39"/>
  <c r="V482" i="39"/>
  <c r="AA482" i="39"/>
  <c r="R482" i="39"/>
  <c r="X482" i="39"/>
  <c r="AB482" i="39"/>
  <c r="Y482" i="39"/>
  <c r="Z482" i="39"/>
  <c r="M483" i="39"/>
  <c r="V483" i="39"/>
  <c r="AA483" i="39"/>
  <c r="R483" i="39"/>
  <c r="X483" i="39"/>
  <c r="AB483" i="39"/>
  <c r="Y483" i="39"/>
  <c r="Z483" i="39"/>
  <c r="M484" i="39"/>
  <c r="V484" i="39"/>
  <c r="AA484" i="39"/>
  <c r="R484" i="39"/>
  <c r="X484" i="39"/>
  <c r="AB484" i="39"/>
  <c r="Y484" i="39"/>
  <c r="Z484" i="39"/>
  <c r="M485" i="39"/>
  <c r="V485" i="39"/>
  <c r="AA485" i="39"/>
  <c r="R485" i="39"/>
  <c r="X485" i="39"/>
  <c r="AB485" i="39"/>
  <c r="Y485" i="39"/>
  <c r="Z485" i="39"/>
  <c r="M486" i="39"/>
  <c r="V486" i="39"/>
  <c r="AA486" i="39"/>
  <c r="R486" i="39"/>
  <c r="X486" i="39"/>
  <c r="AB486" i="39"/>
  <c r="Y486" i="39"/>
  <c r="Z486" i="39"/>
  <c r="M487" i="39"/>
  <c r="V487" i="39"/>
  <c r="AA487" i="39"/>
  <c r="R487" i="39"/>
  <c r="X487" i="39"/>
  <c r="AB487" i="39"/>
  <c r="Y487" i="39"/>
  <c r="Z487" i="39"/>
  <c r="M488" i="39"/>
  <c r="V488" i="39"/>
  <c r="AA488" i="39"/>
  <c r="R488" i="39"/>
  <c r="X488" i="39"/>
  <c r="AB488" i="39"/>
  <c r="Y488" i="39"/>
  <c r="Z488" i="39"/>
  <c r="M489" i="39"/>
  <c r="V489" i="39"/>
  <c r="AA489" i="39"/>
  <c r="R489" i="39"/>
  <c r="X489" i="39"/>
  <c r="AB489" i="39"/>
  <c r="Y489" i="39"/>
  <c r="Z489" i="39"/>
  <c r="M490" i="39"/>
  <c r="V490" i="39"/>
  <c r="AA490" i="39"/>
  <c r="R490" i="39"/>
  <c r="X490" i="39"/>
  <c r="AB490" i="39"/>
  <c r="Y490" i="39"/>
  <c r="Z490" i="39"/>
  <c r="M491" i="39"/>
  <c r="V491" i="39"/>
  <c r="AA491" i="39"/>
  <c r="R491" i="39"/>
  <c r="X491" i="39"/>
  <c r="AB491" i="39"/>
  <c r="Y491" i="39"/>
  <c r="Z491" i="39"/>
  <c r="M492" i="39"/>
  <c r="V492" i="39"/>
  <c r="AA492" i="39"/>
  <c r="R492" i="39"/>
  <c r="X492" i="39"/>
  <c r="AB492" i="39"/>
  <c r="Y492" i="39"/>
  <c r="Z492" i="39"/>
  <c r="M493" i="39"/>
  <c r="V493" i="39"/>
  <c r="AA493" i="39"/>
  <c r="R493" i="39"/>
  <c r="X493" i="39"/>
  <c r="AB493" i="39"/>
  <c r="Y493" i="39"/>
  <c r="Z493" i="39"/>
  <c r="M494" i="39"/>
  <c r="V494" i="39"/>
  <c r="AA494" i="39"/>
  <c r="R494" i="39"/>
  <c r="X494" i="39"/>
  <c r="AB494" i="39"/>
  <c r="Y494" i="39"/>
  <c r="Z494" i="39"/>
  <c r="M495" i="39"/>
  <c r="V495" i="39"/>
  <c r="AA495" i="39"/>
  <c r="R495" i="39"/>
  <c r="X495" i="39"/>
  <c r="AB495" i="39"/>
  <c r="Y495" i="39"/>
  <c r="Z495" i="39"/>
  <c r="M496" i="39"/>
  <c r="V496" i="39"/>
  <c r="M497" i="39"/>
  <c r="V497" i="39"/>
  <c r="AA497" i="39"/>
  <c r="R497" i="39"/>
  <c r="X497" i="39"/>
  <c r="AB497" i="39"/>
  <c r="Y497" i="39"/>
  <c r="Z497" i="39"/>
  <c r="M498" i="39"/>
  <c r="V498" i="39"/>
  <c r="M499" i="39"/>
  <c r="V499" i="39"/>
  <c r="AA499" i="39"/>
  <c r="R499" i="39"/>
  <c r="X499" i="39"/>
  <c r="AB499" i="39"/>
  <c r="Y499" i="39"/>
  <c r="Z499" i="39"/>
  <c r="M500" i="39"/>
  <c r="V500" i="39"/>
  <c r="M501" i="39"/>
  <c r="V501" i="39"/>
  <c r="AA501" i="39"/>
  <c r="R501" i="39"/>
  <c r="X501" i="39"/>
  <c r="AB501" i="39"/>
  <c r="Y501" i="39"/>
  <c r="Z501" i="39"/>
  <c r="M502" i="39"/>
  <c r="V502" i="39"/>
  <c r="M503" i="39"/>
  <c r="V503" i="39"/>
  <c r="AA503" i="39"/>
  <c r="R503" i="39"/>
  <c r="X503" i="39"/>
  <c r="AB503" i="39"/>
  <c r="Y503" i="39"/>
  <c r="Z503" i="39"/>
  <c r="M504" i="39"/>
  <c r="V504" i="39"/>
  <c r="AA504" i="39"/>
  <c r="R504" i="39"/>
  <c r="X504" i="39"/>
  <c r="AB504" i="39"/>
  <c r="Y504" i="39"/>
  <c r="Z504" i="39"/>
  <c r="M505" i="39"/>
  <c r="V505" i="39"/>
  <c r="M506" i="39"/>
  <c r="V506" i="39"/>
  <c r="AA506" i="39"/>
  <c r="R506" i="39"/>
  <c r="X506" i="39"/>
  <c r="AB506" i="39"/>
  <c r="Y506" i="39"/>
  <c r="Z506" i="39"/>
  <c r="M507" i="39"/>
  <c r="V507" i="39"/>
  <c r="M508" i="39"/>
  <c r="V508" i="39"/>
  <c r="AA508" i="39"/>
  <c r="R508" i="39"/>
  <c r="X508" i="39"/>
  <c r="AB508" i="39"/>
  <c r="Y508" i="39"/>
  <c r="Z508" i="39"/>
  <c r="M509" i="39"/>
  <c r="V509" i="39"/>
  <c r="M510" i="39"/>
  <c r="V510" i="39"/>
  <c r="AA510" i="39"/>
  <c r="R510" i="39"/>
  <c r="X510" i="39"/>
  <c r="AB510" i="39"/>
  <c r="Y510" i="39"/>
  <c r="Z510" i="39"/>
  <c r="M511" i="39"/>
  <c r="V511" i="39"/>
  <c r="AA511" i="39"/>
  <c r="R511" i="39"/>
  <c r="X511" i="39"/>
  <c r="AB511" i="39"/>
  <c r="Y511" i="39"/>
  <c r="Z511" i="39"/>
  <c r="M512" i="39"/>
  <c r="V512" i="39"/>
  <c r="M513" i="39"/>
  <c r="V513" i="39"/>
  <c r="AA513" i="39"/>
  <c r="R513" i="39"/>
  <c r="X513" i="39"/>
  <c r="AB513" i="39"/>
  <c r="Y513" i="39"/>
  <c r="Z513" i="39"/>
  <c r="M514" i="39"/>
  <c r="V514" i="39"/>
  <c r="AA514" i="39"/>
  <c r="R514" i="39"/>
  <c r="X514" i="39"/>
  <c r="AB514" i="39"/>
  <c r="Y514" i="39"/>
  <c r="Z514" i="39"/>
  <c r="M515" i="39"/>
  <c r="V515" i="39"/>
  <c r="AA515" i="39"/>
  <c r="R515" i="39"/>
  <c r="X515" i="39"/>
  <c r="AB515" i="39"/>
  <c r="Y515" i="39"/>
  <c r="Z515" i="39"/>
  <c r="M516" i="39"/>
  <c r="V516" i="39"/>
  <c r="AA516" i="39"/>
  <c r="R516" i="39"/>
  <c r="X516" i="39"/>
  <c r="AB516" i="39"/>
  <c r="Y516" i="39"/>
  <c r="Z516" i="39"/>
  <c r="M517" i="39"/>
  <c r="V517" i="39"/>
  <c r="AA517" i="39"/>
  <c r="R517" i="39"/>
  <c r="X517" i="39"/>
  <c r="AB517" i="39"/>
  <c r="Y517" i="39"/>
  <c r="Z517" i="39"/>
  <c r="M518" i="39"/>
  <c r="V518" i="39"/>
  <c r="M519" i="39"/>
  <c r="V519" i="39"/>
  <c r="AA519" i="39"/>
  <c r="R519" i="39"/>
  <c r="X519" i="39"/>
  <c r="AB519" i="39"/>
  <c r="Y519" i="39"/>
  <c r="Z519" i="39"/>
  <c r="M520" i="39"/>
  <c r="V520" i="39"/>
  <c r="AA520" i="39"/>
  <c r="R520" i="39"/>
  <c r="X520" i="39"/>
  <c r="AB520" i="39"/>
  <c r="Y520" i="39"/>
  <c r="Z520" i="39"/>
  <c r="M521" i="39"/>
  <c r="V521" i="39"/>
  <c r="AA521" i="39"/>
  <c r="R521" i="39"/>
  <c r="X521" i="39"/>
  <c r="AB521" i="39"/>
  <c r="Y521" i="39"/>
  <c r="Z521" i="39"/>
  <c r="M522" i="39"/>
  <c r="V522" i="39"/>
  <c r="AA522" i="39"/>
  <c r="R522" i="39"/>
  <c r="X522" i="39"/>
  <c r="AB522" i="39"/>
  <c r="Y522" i="39"/>
  <c r="Z522" i="39"/>
  <c r="M523" i="39"/>
  <c r="V523" i="39"/>
  <c r="AA523" i="39"/>
  <c r="R523" i="39"/>
  <c r="X523" i="39"/>
  <c r="AB523" i="39"/>
  <c r="Y523" i="39"/>
  <c r="Z523" i="39"/>
  <c r="M524" i="39"/>
  <c r="V524" i="39"/>
  <c r="AA524" i="39"/>
  <c r="R524" i="39"/>
  <c r="X524" i="39"/>
  <c r="AB524" i="39"/>
  <c r="Y524" i="39"/>
  <c r="Z524" i="39"/>
  <c r="M525" i="39"/>
  <c r="V525" i="39"/>
  <c r="AA525" i="39"/>
  <c r="R525" i="39"/>
  <c r="X525" i="39"/>
  <c r="AB525" i="39"/>
  <c r="Y525" i="39"/>
  <c r="Z525" i="39"/>
  <c r="M526" i="39"/>
  <c r="V526" i="39"/>
  <c r="AA526" i="39"/>
  <c r="R526" i="39"/>
  <c r="X526" i="39"/>
  <c r="AB526" i="39"/>
  <c r="Y526" i="39"/>
  <c r="Z526" i="39"/>
  <c r="M527" i="39"/>
  <c r="V527" i="39"/>
  <c r="M528" i="39"/>
  <c r="V528" i="39"/>
  <c r="AA528" i="39"/>
  <c r="R528" i="39"/>
  <c r="X528" i="39"/>
  <c r="AB528" i="39"/>
  <c r="Y528" i="39"/>
  <c r="Z528" i="39"/>
  <c r="M529" i="39"/>
  <c r="V529" i="39"/>
  <c r="AA529" i="39"/>
  <c r="R529" i="39"/>
  <c r="X529" i="39"/>
  <c r="AB529" i="39"/>
  <c r="Y529" i="39"/>
  <c r="Z529" i="39"/>
  <c r="M530" i="39"/>
  <c r="V530" i="39"/>
  <c r="AA530" i="39"/>
  <c r="R530" i="39"/>
  <c r="X530" i="39"/>
  <c r="AB530" i="39"/>
  <c r="Y530" i="39"/>
  <c r="Z530" i="39"/>
  <c r="M531" i="39"/>
  <c r="V531" i="39"/>
  <c r="M532" i="39"/>
  <c r="V532" i="39"/>
  <c r="M533" i="39"/>
  <c r="V533" i="39"/>
  <c r="AA533" i="39"/>
  <c r="R533" i="39"/>
  <c r="X533" i="39"/>
  <c r="AB533" i="39"/>
  <c r="Y533" i="39"/>
  <c r="Z533" i="39"/>
  <c r="M534" i="39"/>
  <c r="V534" i="39"/>
  <c r="AA534" i="39"/>
  <c r="R534" i="39"/>
  <c r="X534" i="39"/>
  <c r="AB534" i="39"/>
  <c r="Y534" i="39"/>
  <c r="Z534" i="39"/>
  <c r="M535" i="39"/>
  <c r="V535" i="39"/>
  <c r="AA535" i="39"/>
  <c r="R535" i="39"/>
  <c r="X535" i="39"/>
  <c r="AB535" i="39"/>
  <c r="Y535" i="39"/>
  <c r="Z535" i="39"/>
  <c r="M536" i="39"/>
  <c r="V536" i="39"/>
  <c r="AA536" i="39"/>
  <c r="R536" i="39"/>
  <c r="X536" i="39"/>
  <c r="AB536" i="39"/>
  <c r="Y536" i="39"/>
  <c r="Z536" i="39"/>
  <c r="M537" i="39"/>
  <c r="V537" i="39"/>
  <c r="AA537" i="39"/>
  <c r="R537" i="39"/>
  <c r="X537" i="39"/>
  <c r="AB537" i="39"/>
  <c r="Y537" i="39"/>
  <c r="Z537" i="39"/>
  <c r="M538" i="39"/>
  <c r="V538" i="39"/>
  <c r="AA538" i="39"/>
  <c r="R538" i="39"/>
  <c r="X538" i="39"/>
  <c r="AB538" i="39"/>
  <c r="Y538" i="39"/>
  <c r="Z538" i="39"/>
  <c r="M539" i="39"/>
  <c r="V539" i="39"/>
  <c r="AA539" i="39"/>
  <c r="R539" i="39"/>
  <c r="X539" i="39"/>
  <c r="AB539" i="39"/>
  <c r="Y539" i="39"/>
  <c r="Z539" i="39"/>
  <c r="M540" i="39"/>
  <c r="V540" i="39"/>
  <c r="AA540" i="39"/>
  <c r="R540" i="39"/>
  <c r="X540" i="39"/>
  <c r="AB540" i="39"/>
  <c r="Y540" i="39"/>
  <c r="Z540" i="39"/>
  <c r="M541" i="39"/>
  <c r="V541" i="39"/>
  <c r="AA541" i="39"/>
  <c r="R541" i="39"/>
  <c r="X541" i="39"/>
  <c r="AB541" i="39"/>
  <c r="Y541" i="39"/>
  <c r="Z541" i="39"/>
  <c r="M542" i="39"/>
  <c r="V542" i="39"/>
  <c r="AA542" i="39"/>
  <c r="R542" i="39"/>
  <c r="X542" i="39"/>
  <c r="AB542" i="39"/>
  <c r="Y542" i="39"/>
  <c r="Z542" i="39"/>
  <c r="M543" i="39"/>
  <c r="V543" i="39"/>
  <c r="AA543" i="39"/>
  <c r="R543" i="39"/>
  <c r="X543" i="39"/>
  <c r="AB543" i="39"/>
  <c r="Y543" i="39"/>
  <c r="Z543" i="39"/>
  <c r="M544" i="39"/>
  <c r="V544" i="39"/>
  <c r="AA544" i="39"/>
  <c r="R544" i="39"/>
  <c r="X544" i="39"/>
  <c r="AB544" i="39"/>
  <c r="Y544" i="39"/>
  <c r="Z544" i="39"/>
  <c r="M545" i="39"/>
  <c r="V545" i="39"/>
  <c r="AA545" i="39"/>
  <c r="R545" i="39"/>
  <c r="X545" i="39"/>
  <c r="AB545" i="39"/>
  <c r="Y545" i="39"/>
  <c r="Z545" i="39"/>
  <c r="M546" i="39"/>
  <c r="V546" i="39"/>
  <c r="AA546" i="39"/>
  <c r="R546" i="39"/>
  <c r="X546" i="39"/>
  <c r="AB546" i="39"/>
  <c r="Y546" i="39"/>
  <c r="Z546" i="39"/>
  <c r="M547" i="39"/>
  <c r="V547" i="39"/>
  <c r="AA547" i="39"/>
  <c r="R547" i="39"/>
  <c r="X547" i="39"/>
  <c r="AB547" i="39"/>
  <c r="Y547" i="39"/>
  <c r="Z547" i="39"/>
  <c r="M548" i="39"/>
  <c r="V548" i="39"/>
  <c r="M549" i="39"/>
  <c r="V549" i="39"/>
  <c r="AA549" i="39"/>
  <c r="R549" i="39"/>
  <c r="X549" i="39"/>
  <c r="AB549" i="39"/>
  <c r="Y549" i="39"/>
  <c r="Z549" i="39"/>
  <c r="M550" i="39"/>
  <c r="V550" i="39"/>
  <c r="M551" i="39"/>
  <c r="V551" i="39"/>
  <c r="AA551" i="39"/>
  <c r="R551" i="39"/>
  <c r="X551" i="39"/>
  <c r="AB551" i="39"/>
  <c r="Y551" i="39"/>
  <c r="Z551" i="39"/>
  <c r="M552" i="39"/>
  <c r="V552" i="39"/>
  <c r="M553" i="39"/>
  <c r="V553" i="39"/>
  <c r="AA553" i="39"/>
  <c r="R553" i="39"/>
  <c r="X553" i="39"/>
  <c r="AB553" i="39"/>
  <c r="Y553" i="39"/>
  <c r="Z553" i="39"/>
  <c r="M554" i="39"/>
  <c r="V554" i="39"/>
  <c r="M555" i="39"/>
  <c r="V555" i="39"/>
  <c r="AA555" i="39"/>
  <c r="R555" i="39"/>
  <c r="X555" i="39"/>
  <c r="AB555" i="39"/>
  <c r="Y555" i="39"/>
  <c r="Z555" i="39"/>
  <c r="M556" i="39"/>
  <c r="V556" i="39"/>
  <c r="AA556" i="39"/>
  <c r="R556" i="39"/>
  <c r="X556" i="39"/>
  <c r="AB556" i="39"/>
  <c r="Y556" i="39"/>
  <c r="Z556" i="39"/>
  <c r="M557" i="39"/>
  <c r="V557" i="39"/>
  <c r="M558" i="39"/>
  <c r="V558" i="39"/>
  <c r="AA558" i="39"/>
  <c r="R558" i="39"/>
  <c r="X558" i="39"/>
  <c r="AB558" i="39"/>
  <c r="Y558" i="39"/>
  <c r="Z558" i="39"/>
  <c r="M559" i="39"/>
  <c r="V559" i="39"/>
  <c r="M560" i="39"/>
  <c r="V560" i="39"/>
  <c r="AA560" i="39"/>
  <c r="R560" i="39"/>
  <c r="X560" i="39"/>
  <c r="AB560" i="39"/>
  <c r="Y560" i="39"/>
  <c r="Z560" i="39"/>
  <c r="M561" i="39"/>
  <c r="V561" i="39"/>
  <c r="M562" i="39"/>
  <c r="V562" i="39"/>
  <c r="AA562" i="39"/>
  <c r="R562" i="39"/>
  <c r="X562" i="39"/>
  <c r="AB562" i="39"/>
  <c r="Y562" i="39"/>
  <c r="Z562" i="39"/>
  <c r="M563" i="39"/>
  <c r="V563" i="39"/>
  <c r="M564" i="39"/>
  <c r="V564" i="39"/>
  <c r="M565" i="39"/>
  <c r="V565" i="39"/>
  <c r="AA565" i="39"/>
  <c r="R565" i="39"/>
  <c r="X565" i="39"/>
  <c r="AB565" i="39"/>
  <c r="Y565" i="39"/>
  <c r="Z565" i="39"/>
  <c r="M566" i="39"/>
  <c r="V566" i="39"/>
  <c r="M567" i="39"/>
  <c r="V567" i="39"/>
  <c r="M568" i="39"/>
  <c r="V568" i="39"/>
  <c r="AA568" i="39"/>
  <c r="R568" i="39"/>
  <c r="X568" i="39"/>
  <c r="AB568" i="39"/>
  <c r="Y568" i="39"/>
  <c r="Z568" i="39"/>
  <c r="M569" i="39"/>
  <c r="V569" i="39"/>
  <c r="AA569" i="39"/>
  <c r="R569" i="39"/>
  <c r="X569" i="39"/>
  <c r="AB569" i="39"/>
  <c r="Y569" i="39"/>
  <c r="Z569" i="39"/>
  <c r="M570" i="39"/>
  <c r="V570" i="39"/>
  <c r="AA570" i="39"/>
  <c r="R570" i="39"/>
  <c r="X570" i="39"/>
  <c r="AB570" i="39"/>
  <c r="Y570" i="39"/>
  <c r="Z570" i="39"/>
  <c r="M571" i="39"/>
  <c r="V571" i="39"/>
  <c r="AA571" i="39"/>
  <c r="R571" i="39"/>
  <c r="X571" i="39"/>
  <c r="AB571" i="39"/>
  <c r="Y571" i="39"/>
  <c r="Z571" i="39"/>
  <c r="M572" i="39"/>
  <c r="V572" i="39"/>
  <c r="AA572" i="39"/>
  <c r="R572" i="39"/>
  <c r="X572" i="39"/>
  <c r="AB572" i="39"/>
  <c r="Y572" i="39"/>
  <c r="Z572" i="39"/>
  <c r="M573" i="39"/>
  <c r="V573" i="39"/>
  <c r="AA573" i="39"/>
  <c r="R573" i="39"/>
  <c r="X573" i="39"/>
  <c r="AB573" i="39"/>
  <c r="Y573" i="39"/>
  <c r="Z573" i="39"/>
  <c r="M574" i="39"/>
  <c r="V574" i="39"/>
  <c r="M575" i="39"/>
  <c r="V575" i="39"/>
  <c r="AA575" i="39"/>
  <c r="R575" i="39"/>
  <c r="X575" i="39"/>
  <c r="AB575" i="39"/>
  <c r="Y575" i="39"/>
  <c r="Z575" i="39"/>
  <c r="M576" i="39"/>
  <c r="V576" i="39"/>
  <c r="M577" i="39"/>
  <c r="V577" i="39"/>
  <c r="AA577" i="39"/>
  <c r="R577" i="39"/>
  <c r="X577" i="39"/>
  <c r="AB577" i="39"/>
  <c r="Y577" i="39"/>
  <c r="Z577" i="39"/>
  <c r="M578" i="39"/>
  <c r="V578" i="39"/>
  <c r="M579" i="39"/>
  <c r="V579" i="39"/>
  <c r="AA579" i="39"/>
  <c r="R579" i="39"/>
  <c r="X579" i="39"/>
  <c r="AB579" i="39"/>
  <c r="Y579" i="39"/>
  <c r="Z579" i="39"/>
  <c r="M580" i="39"/>
  <c r="V580" i="39"/>
  <c r="AA580" i="39"/>
  <c r="R580" i="39"/>
  <c r="X580" i="39"/>
  <c r="AB580" i="39"/>
  <c r="Y580" i="39"/>
  <c r="Z580" i="39"/>
  <c r="M581" i="39"/>
  <c r="V581" i="39"/>
  <c r="AA581" i="39"/>
  <c r="R581" i="39"/>
  <c r="X581" i="39"/>
  <c r="AB581" i="39"/>
  <c r="Y581" i="39"/>
  <c r="Z581" i="39"/>
  <c r="M582" i="39"/>
  <c r="V582" i="39"/>
  <c r="AA582" i="39"/>
  <c r="R582" i="39"/>
  <c r="X582" i="39"/>
  <c r="AB582" i="39"/>
  <c r="Y582" i="39"/>
  <c r="Z582" i="39"/>
  <c r="M583" i="39"/>
  <c r="V583" i="39"/>
  <c r="AA583" i="39"/>
  <c r="X583" i="39"/>
  <c r="AB583" i="39"/>
  <c r="Y583" i="39"/>
  <c r="Z583" i="39"/>
  <c r="M584" i="39"/>
  <c r="V584" i="39"/>
  <c r="AA584" i="39"/>
  <c r="X584" i="39"/>
  <c r="AB584" i="39"/>
  <c r="Y584" i="39"/>
  <c r="Z584" i="39"/>
  <c r="M585" i="39"/>
  <c r="V585" i="39"/>
  <c r="AA585" i="39"/>
  <c r="R585" i="39"/>
  <c r="X585" i="39"/>
  <c r="AB585" i="39"/>
  <c r="Y585" i="39"/>
  <c r="Z585" i="39"/>
  <c r="V586" i="39"/>
  <c r="AA586" i="39"/>
  <c r="X586" i="39"/>
  <c r="AB586" i="39"/>
  <c r="Y586" i="39"/>
  <c r="Z586" i="39"/>
  <c r="M587" i="39"/>
  <c r="V587" i="39"/>
  <c r="AA587" i="39"/>
  <c r="X587" i="39"/>
  <c r="AB587" i="39"/>
  <c r="Y587" i="39"/>
  <c r="Z587" i="39"/>
  <c r="M588" i="39"/>
  <c r="V588" i="39"/>
  <c r="AA588" i="39"/>
  <c r="R588" i="39"/>
  <c r="X588" i="39"/>
  <c r="AB588" i="39"/>
  <c r="Y588" i="39"/>
  <c r="Z588" i="39"/>
  <c r="V589" i="39"/>
  <c r="AA589" i="39"/>
  <c r="X589" i="39"/>
  <c r="AB589" i="39"/>
  <c r="Y589" i="39"/>
  <c r="Z589" i="39"/>
  <c r="M590" i="39"/>
  <c r="V590" i="39"/>
  <c r="AA590" i="39"/>
  <c r="X590" i="39"/>
  <c r="AB590" i="39"/>
  <c r="Y590" i="39"/>
  <c r="Z590" i="39"/>
  <c r="M591" i="39"/>
  <c r="V591" i="39"/>
  <c r="AA591" i="39"/>
  <c r="R591" i="39"/>
  <c r="X591" i="39"/>
  <c r="AB591" i="39"/>
  <c r="Y591" i="39"/>
  <c r="Z591" i="39"/>
  <c r="V592" i="39"/>
  <c r="AA592" i="39"/>
  <c r="X592" i="39"/>
  <c r="AB592" i="39"/>
  <c r="Y592" i="39"/>
  <c r="Z592" i="39"/>
  <c r="M593" i="39"/>
  <c r="V593" i="39"/>
  <c r="AA593" i="39"/>
  <c r="R593" i="39"/>
  <c r="X593" i="39"/>
  <c r="AB593" i="39"/>
  <c r="Y593" i="39"/>
  <c r="Z593" i="39"/>
  <c r="V594" i="39"/>
  <c r="AA594" i="39"/>
  <c r="X594" i="39"/>
  <c r="AB594" i="39"/>
  <c r="Y594" i="39"/>
  <c r="Z594" i="39"/>
  <c r="M595" i="39"/>
  <c r="V595" i="39"/>
  <c r="AA595" i="39"/>
  <c r="R595" i="39"/>
  <c r="X595" i="39"/>
  <c r="AB595" i="39"/>
  <c r="Y595" i="39"/>
  <c r="Z595" i="39"/>
  <c r="V596" i="39"/>
  <c r="AA596" i="39"/>
  <c r="X596" i="39"/>
  <c r="AB596" i="39"/>
  <c r="Y596" i="39"/>
  <c r="Z596" i="39"/>
  <c r="V597" i="39"/>
  <c r="AA597" i="39"/>
  <c r="X597" i="39"/>
  <c r="AB597" i="39"/>
  <c r="Y597" i="39"/>
  <c r="Z597" i="39"/>
  <c r="V598" i="39"/>
  <c r="AA598" i="39"/>
  <c r="X598" i="39"/>
  <c r="AB598" i="39"/>
  <c r="Y598" i="39"/>
  <c r="Z598" i="39"/>
  <c r="M599" i="39"/>
  <c r="V599" i="39"/>
  <c r="AA599" i="39"/>
  <c r="X599" i="39"/>
  <c r="AB599" i="39"/>
  <c r="Y599" i="39"/>
  <c r="Z599" i="39"/>
  <c r="M600" i="39"/>
  <c r="V600" i="39"/>
  <c r="AA600" i="39"/>
  <c r="X600" i="39"/>
  <c r="AB600" i="39"/>
  <c r="Y600" i="39"/>
  <c r="Z600" i="39"/>
  <c r="M601" i="39"/>
  <c r="V601" i="39"/>
  <c r="AA601" i="39"/>
  <c r="X601" i="39"/>
  <c r="AB601" i="39"/>
  <c r="Y601" i="39"/>
  <c r="Z601" i="39"/>
  <c r="V602" i="39"/>
  <c r="AA602" i="39"/>
  <c r="X602" i="39"/>
  <c r="AB602" i="39"/>
  <c r="Y602" i="39"/>
  <c r="Z602" i="39"/>
  <c r="V603" i="39"/>
  <c r="AA603" i="39"/>
  <c r="X603" i="39"/>
  <c r="AB603" i="39"/>
  <c r="Y603" i="39"/>
  <c r="Z603" i="39"/>
  <c r="M604" i="39"/>
  <c r="V604" i="39"/>
  <c r="AA604" i="39"/>
  <c r="R604" i="39"/>
  <c r="X604" i="39"/>
  <c r="AB604" i="39"/>
  <c r="Y604" i="39"/>
  <c r="Z604" i="39"/>
  <c r="V605" i="39"/>
  <c r="AA605" i="39"/>
  <c r="X605" i="39"/>
  <c r="AB605" i="39"/>
  <c r="Y605" i="39"/>
  <c r="Z605" i="39"/>
  <c r="V606" i="39"/>
  <c r="AA606" i="39"/>
  <c r="X606" i="39"/>
  <c r="AB606" i="39"/>
  <c r="Y606" i="39"/>
  <c r="Z606" i="39"/>
  <c r="V607" i="39"/>
  <c r="AA607" i="39"/>
  <c r="X607" i="39"/>
  <c r="AB607" i="39"/>
  <c r="Y607" i="39"/>
  <c r="Z607" i="39"/>
  <c r="V608" i="39"/>
  <c r="AA608" i="39"/>
  <c r="X608" i="39"/>
  <c r="AB608" i="39"/>
  <c r="Y608" i="39"/>
  <c r="Z608" i="39"/>
  <c r="M609" i="39"/>
  <c r="V609" i="39"/>
  <c r="AA609" i="39"/>
  <c r="X609" i="39"/>
  <c r="AB609" i="39"/>
  <c r="Y609" i="39"/>
  <c r="Z609" i="39"/>
  <c r="M610" i="39"/>
  <c r="V610" i="39"/>
  <c r="AA610" i="39"/>
  <c r="X610" i="39"/>
  <c r="AB610" i="39"/>
  <c r="Y610" i="39"/>
  <c r="Z610" i="39"/>
  <c r="V611" i="39"/>
  <c r="AA611" i="39"/>
  <c r="X611" i="39"/>
  <c r="AB611" i="39"/>
  <c r="Y611" i="39"/>
  <c r="Z611" i="39"/>
  <c r="M612" i="39"/>
  <c r="V612" i="39"/>
  <c r="AA612" i="39"/>
  <c r="X612" i="39"/>
  <c r="AB612" i="39"/>
  <c r="Y612" i="39"/>
  <c r="Z612" i="39"/>
  <c r="M613" i="39"/>
  <c r="V613" i="39"/>
  <c r="AA613" i="39"/>
  <c r="X613" i="39"/>
  <c r="AB613" i="39"/>
  <c r="Y613" i="39"/>
  <c r="Z613" i="39"/>
  <c r="M614" i="39"/>
  <c r="V614" i="39"/>
  <c r="AA614" i="39"/>
  <c r="X614" i="39"/>
  <c r="AB614" i="39"/>
  <c r="Y614" i="39"/>
  <c r="Z614" i="39"/>
  <c r="M615" i="39"/>
  <c r="V615" i="39"/>
  <c r="AA615" i="39"/>
  <c r="X615" i="39"/>
  <c r="AB615" i="39"/>
  <c r="Y615" i="39"/>
  <c r="Z615" i="39"/>
  <c r="V616" i="39"/>
  <c r="AA616" i="39"/>
  <c r="X616" i="39"/>
  <c r="AB616" i="39"/>
  <c r="Y616" i="39"/>
  <c r="Z616" i="39"/>
  <c r="M617" i="39"/>
  <c r="V617" i="39"/>
  <c r="AA617" i="39"/>
  <c r="X617" i="39"/>
  <c r="AB617" i="39"/>
  <c r="Y617" i="39"/>
  <c r="Z617" i="39"/>
  <c r="M618" i="39"/>
  <c r="V618" i="39"/>
  <c r="AA618" i="39"/>
  <c r="X618" i="39"/>
  <c r="AB618" i="39"/>
  <c r="Y618" i="39"/>
  <c r="Z618" i="39"/>
  <c r="M619" i="39"/>
  <c r="V619" i="39"/>
  <c r="AA619" i="39"/>
  <c r="X619" i="39"/>
  <c r="AB619" i="39"/>
  <c r="Y619" i="39"/>
  <c r="Z619" i="39"/>
  <c r="M620" i="39"/>
  <c r="V620" i="39"/>
  <c r="AA620" i="39"/>
  <c r="X620" i="39"/>
  <c r="AB620" i="39"/>
  <c r="Y620" i="39"/>
  <c r="Z620" i="39"/>
  <c r="M621" i="39"/>
  <c r="V621" i="39"/>
  <c r="AA621" i="39"/>
  <c r="X621" i="39"/>
  <c r="AB621" i="39"/>
  <c r="Y621" i="39"/>
  <c r="Z621" i="39"/>
  <c r="V622" i="39"/>
  <c r="AA622" i="39"/>
  <c r="X622" i="39"/>
  <c r="AB622" i="39"/>
  <c r="Y622" i="39"/>
  <c r="Z622" i="39"/>
  <c r="V623" i="39"/>
  <c r="AA623" i="39"/>
  <c r="X623" i="39"/>
  <c r="AB623" i="39"/>
  <c r="Y623" i="39"/>
  <c r="Z623" i="39"/>
  <c r="V624" i="39"/>
  <c r="AA624" i="39"/>
  <c r="X624" i="39"/>
  <c r="AB624" i="39"/>
  <c r="Y624" i="39"/>
  <c r="Z624" i="39"/>
  <c r="M625" i="39"/>
  <c r="V625" i="39"/>
  <c r="AA625" i="39"/>
  <c r="X625" i="39"/>
  <c r="AB625" i="39"/>
  <c r="Y625" i="39"/>
  <c r="Z625" i="39"/>
  <c r="M626" i="39"/>
  <c r="V626" i="39"/>
  <c r="AA626" i="39"/>
  <c r="X626" i="39"/>
  <c r="AB626" i="39"/>
  <c r="Y626" i="39"/>
  <c r="Z626" i="39"/>
  <c r="V627" i="39"/>
  <c r="AA627" i="39"/>
  <c r="X627" i="39"/>
  <c r="AB627" i="39"/>
  <c r="Y627" i="39"/>
  <c r="Z627" i="39"/>
  <c r="M628" i="39"/>
  <c r="V628" i="39"/>
  <c r="AA628" i="39"/>
  <c r="X628" i="39"/>
  <c r="AB628" i="39"/>
  <c r="Y628" i="39"/>
  <c r="Z628" i="39"/>
  <c r="V629" i="39"/>
  <c r="AA629" i="39"/>
  <c r="X629" i="39"/>
  <c r="AB629" i="39"/>
  <c r="Y629" i="39"/>
  <c r="Z629" i="39"/>
  <c r="V630" i="39"/>
  <c r="AA630" i="39"/>
  <c r="X630" i="39"/>
  <c r="AB630" i="39"/>
  <c r="Y630" i="39"/>
  <c r="Z630" i="39"/>
  <c r="M631" i="39"/>
  <c r="V631" i="39"/>
  <c r="AA631" i="39"/>
  <c r="X631" i="39"/>
  <c r="AB631" i="39"/>
  <c r="Y631" i="39"/>
  <c r="Z631" i="39"/>
  <c r="V632" i="39"/>
  <c r="AA632" i="39"/>
  <c r="X632" i="39"/>
  <c r="AB632" i="39"/>
  <c r="Y632" i="39"/>
  <c r="Z632" i="39"/>
  <c r="M633" i="39"/>
  <c r="V633" i="39"/>
  <c r="AA633" i="39"/>
  <c r="X633" i="39"/>
  <c r="AB633" i="39"/>
  <c r="Y633" i="39"/>
  <c r="Z633" i="39"/>
  <c r="V634" i="39"/>
  <c r="AA634" i="39"/>
  <c r="X634" i="39"/>
  <c r="AB634" i="39"/>
  <c r="Y634" i="39"/>
  <c r="Z634" i="39"/>
  <c r="V635" i="39"/>
  <c r="AA635" i="39"/>
  <c r="X635" i="39"/>
  <c r="AB635" i="39"/>
  <c r="Y635" i="39"/>
  <c r="Z635" i="39"/>
  <c r="V636" i="39"/>
  <c r="AA636" i="39"/>
  <c r="X636" i="39"/>
  <c r="AB636" i="39"/>
  <c r="Y636" i="39"/>
  <c r="Z636" i="39"/>
  <c r="V637" i="39"/>
  <c r="AA637" i="39"/>
  <c r="X637" i="39"/>
  <c r="AB637" i="39"/>
  <c r="Y637" i="39"/>
  <c r="Z637" i="39"/>
  <c r="M638" i="39"/>
  <c r="V638" i="39"/>
  <c r="AA638" i="39"/>
  <c r="X638" i="39"/>
  <c r="AB638" i="39"/>
  <c r="Y638" i="39"/>
  <c r="Z638" i="39"/>
  <c r="V639" i="39"/>
  <c r="AA639" i="39"/>
  <c r="X639" i="39"/>
  <c r="AB639" i="39"/>
  <c r="Y639" i="39"/>
  <c r="Z639" i="39"/>
  <c r="V640" i="39"/>
  <c r="AA640" i="39"/>
  <c r="X640" i="39"/>
  <c r="AB640" i="39"/>
  <c r="Y640" i="39"/>
  <c r="Z640" i="39"/>
  <c r="M641" i="39"/>
  <c r="V641" i="39"/>
  <c r="AA641" i="39"/>
  <c r="X641" i="39"/>
  <c r="AB641" i="39"/>
  <c r="Y641" i="39"/>
  <c r="Z641" i="39"/>
  <c r="V642" i="39"/>
  <c r="AA642" i="39"/>
  <c r="X642" i="39"/>
  <c r="AB642" i="39"/>
  <c r="Y642" i="39"/>
  <c r="Z642" i="39"/>
  <c r="M643" i="39"/>
  <c r="V643" i="39"/>
  <c r="AA643" i="39"/>
  <c r="X643" i="39"/>
  <c r="AB643" i="39"/>
  <c r="Y643" i="39"/>
  <c r="Z643" i="39"/>
  <c r="V644" i="39"/>
  <c r="AA644" i="39"/>
  <c r="X644" i="39"/>
  <c r="AB644" i="39"/>
  <c r="Y644" i="39"/>
  <c r="Z644" i="39"/>
  <c r="M645" i="39"/>
  <c r="V645" i="39"/>
  <c r="AA645" i="39"/>
  <c r="X645" i="39"/>
  <c r="AB645" i="39"/>
  <c r="Y645" i="39"/>
  <c r="Z645" i="39"/>
  <c r="V646" i="39"/>
  <c r="AA646" i="39"/>
  <c r="X646" i="39"/>
  <c r="AB646" i="39"/>
  <c r="Y646" i="39"/>
  <c r="Z646" i="39"/>
  <c r="M647" i="39"/>
  <c r="V647" i="39"/>
  <c r="AA647" i="39"/>
  <c r="X647" i="39"/>
  <c r="AB647" i="39"/>
  <c r="Y647" i="39"/>
  <c r="Z647" i="39"/>
  <c r="V648" i="39"/>
  <c r="AA648" i="39"/>
  <c r="X648" i="39"/>
  <c r="AB648" i="39"/>
  <c r="Y648" i="39"/>
  <c r="Z648" i="39"/>
  <c r="V649" i="39"/>
  <c r="AA649" i="39"/>
  <c r="X649" i="39"/>
  <c r="AB649" i="39"/>
  <c r="Y649" i="39"/>
  <c r="Z649" i="39"/>
  <c r="M650" i="39"/>
  <c r="V650" i="39"/>
  <c r="AA650" i="39"/>
  <c r="X650" i="39"/>
  <c r="AB650" i="39"/>
  <c r="Y650" i="39"/>
  <c r="Z650" i="39"/>
  <c r="V651" i="39"/>
  <c r="AA651" i="39"/>
  <c r="X651" i="39"/>
  <c r="AB651" i="39"/>
  <c r="Y651" i="39"/>
  <c r="Z651" i="39"/>
  <c r="M652" i="39"/>
  <c r="V652" i="39"/>
  <c r="AA652" i="39"/>
  <c r="X652" i="39"/>
  <c r="AB652" i="39"/>
  <c r="Y652" i="39"/>
  <c r="Z652" i="39"/>
  <c r="M653" i="39"/>
  <c r="V653" i="39"/>
  <c r="AA653" i="39"/>
  <c r="X653" i="39"/>
  <c r="AB653" i="39"/>
  <c r="Y653" i="39"/>
  <c r="Z653" i="39"/>
  <c r="V654" i="39"/>
  <c r="AA654" i="39"/>
  <c r="X654" i="39"/>
  <c r="AB654" i="39"/>
  <c r="Y654" i="39"/>
  <c r="Z654" i="39"/>
  <c r="M655" i="39"/>
  <c r="V655" i="39"/>
  <c r="AA655" i="39"/>
  <c r="X655" i="39"/>
  <c r="AB655" i="39"/>
  <c r="Y655" i="39"/>
  <c r="Z655" i="39"/>
  <c r="M656" i="39"/>
  <c r="V656" i="39"/>
  <c r="AA656" i="39"/>
  <c r="X656" i="39"/>
  <c r="AB656" i="39"/>
  <c r="Y656" i="39"/>
  <c r="Z656" i="39"/>
  <c r="V657" i="39"/>
  <c r="AA657" i="39"/>
  <c r="X657" i="39"/>
  <c r="AB657" i="39"/>
  <c r="Y657" i="39"/>
  <c r="Z657" i="39"/>
  <c r="M658" i="39"/>
  <c r="V658" i="39"/>
  <c r="AA658" i="39"/>
  <c r="X658" i="39"/>
  <c r="AB658" i="39"/>
  <c r="Y658" i="39"/>
  <c r="Z658" i="39"/>
  <c r="M659" i="39"/>
  <c r="V659" i="39"/>
  <c r="AA659" i="39"/>
  <c r="X659" i="39"/>
  <c r="AB659" i="39"/>
  <c r="Y659" i="39"/>
  <c r="Z659" i="39"/>
  <c r="M660" i="39"/>
  <c r="V660" i="39"/>
  <c r="AA660" i="39"/>
  <c r="X660" i="39"/>
  <c r="AB660" i="39"/>
  <c r="Y660" i="39"/>
  <c r="Z660" i="39"/>
  <c r="V661" i="39"/>
  <c r="AA661" i="39"/>
  <c r="X661" i="39"/>
  <c r="AB661" i="39"/>
  <c r="Y661" i="39"/>
  <c r="Z661" i="39"/>
  <c r="M662" i="39"/>
  <c r="V662" i="39"/>
  <c r="AA662" i="39"/>
  <c r="X662" i="39"/>
  <c r="AB662" i="39"/>
  <c r="Y662" i="39"/>
  <c r="Z662" i="39"/>
  <c r="V663" i="39"/>
  <c r="AA663" i="39"/>
  <c r="X663" i="39"/>
  <c r="AB663" i="39"/>
  <c r="Y663" i="39"/>
  <c r="Z663" i="39"/>
  <c r="M664" i="39"/>
  <c r="V664" i="39"/>
  <c r="AA664" i="39"/>
  <c r="X664" i="39"/>
  <c r="AB664" i="39"/>
  <c r="Y664" i="39"/>
  <c r="Z664" i="39"/>
  <c r="V665" i="39"/>
  <c r="AA665" i="39"/>
  <c r="X665" i="39"/>
  <c r="AB665" i="39"/>
  <c r="Y665" i="39"/>
  <c r="Z665" i="39"/>
  <c r="M666" i="39"/>
  <c r="V666" i="39"/>
  <c r="AA666" i="39"/>
  <c r="X666" i="39"/>
  <c r="AB666" i="39"/>
  <c r="Y666" i="39"/>
  <c r="Z666" i="39"/>
  <c r="M667" i="39"/>
  <c r="V667" i="39"/>
  <c r="AA667" i="39"/>
  <c r="X667" i="39"/>
  <c r="AB667" i="39"/>
  <c r="Y667" i="39"/>
  <c r="Z667" i="39"/>
  <c r="M668" i="39"/>
  <c r="V668" i="39"/>
  <c r="AA668" i="39"/>
  <c r="X668" i="39"/>
  <c r="AB668" i="39"/>
  <c r="Y668" i="39"/>
  <c r="Z668" i="39"/>
  <c r="M669" i="39"/>
  <c r="V669" i="39"/>
  <c r="AA669" i="39"/>
  <c r="X669" i="39"/>
  <c r="AB669" i="39"/>
  <c r="Y669" i="39"/>
  <c r="Z669" i="39"/>
  <c r="M670" i="39"/>
  <c r="V670" i="39"/>
  <c r="AA670" i="39"/>
  <c r="X670" i="39"/>
  <c r="AB670" i="39"/>
  <c r="Y670" i="39"/>
  <c r="Z670" i="39"/>
  <c r="M671" i="39"/>
  <c r="V671" i="39"/>
  <c r="AA671" i="39"/>
  <c r="X671" i="39"/>
  <c r="AB671" i="39"/>
  <c r="Y671" i="39"/>
  <c r="Z671" i="39"/>
  <c r="M672" i="39"/>
  <c r="V672" i="39"/>
  <c r="AA672" i="39"/>
  <c r="X672" i="39"/>
  <c r="AB672" i="39"/>
  <c r="Y672" i="39"/>
  <c r="Z672" i="39"/>
  <c r="V673" i="39"/>
  <c r="AA673" i="39"/>
  <c r="X673" i="39"/>
  <c r="AB673" i="39"/>
  <c r="Y673" i="39"/>
  <c r="Z673" i="39"/>
  <c r="M674" i="39"/>
  <c r="V674" i="39"/>
  <c r="AA674" i="39"/>
  <c r="X674" i="39"/>
  <c r="AB674" i="39"/>
  <c r="Y674" i="39"/>
  <c r="Z674" i="39"/>
  <c r="V675" i="39"/>
  <c r="AA675" i="39"/>
  <c r="X675" i="39"/>
  <c r="AB675" i="39"/>
  <c r="Y675" i="39"/>
  <c r="Z675" i="39"/>
  <c r="M676" i="39"/>
  <c r="V676" i="39"/>
  <c r="AA676" i="39"/>
  <c r="X676" i="39"/>
  <c r="AB676" i="39"/>
  <c r="Y676" i="39"/>
  <c r="Z676" i="39"/>
  <c r="V677" i="39"/>
  <c r="AA677" i="39"/>
  <c r="X677" i="39"/>
  <c r="AB677" i="39"/>
  <c r="Y677" i="39"/>
  <c r="Z677" i="39"/>
  <c r="M678" i="39"/>
  <c r="V678" i="39"/>
  <c r="AA678" i="39"/>
  <c r="X678" i="39"/>
  <c r="AB678" i="39"/>
  <c r="Y678" i="39"/>
  <c r="Z678" i="39"/>
  <c r="V679" i="39"/>
  <c r="AA679" i="39"/>
  <c r="X679" i="39"/>
  <c r="AB679" i="39"/>
  <c r="Y679" i="39"/>
  <c r="Z679" i="39"/>
  <c r="M680" i="39"/>
  <c r="V680" i="39"/>
  <c r="AA680" i="39"/>
  <c r="X680" i="39"/>
  <c r="AB680" i="39"/>
  <c r="Y680" i="39"/>
  <c r="Z680" i="39"/>
  <c r="V681" i="39"/>
  <c r="AA681" i="39"/>
  <c r="X681" i="39"/>
  <c r="AB681" i="39"/>
  <c r="Y681" i="39"/>
  <c r="Z681" i="39"/>
  <c r="M682" i="39"/>
  <c r="V682" i="39"/>
  <c r="AA682" i="39"/>
  <c r="X682" i="39"/>
  <c r="AB682" i="39"/>
  <c r="Y682" i="39"/>
  <c r="Z682" i="39"/>
  <c r="V683" i="39"/>
  <c r="AA683" i="39"/>
  <c r="X683" i="39"/>
  <c r="AB683" i="39"/>
  <c r="Y683" i="39"/>
  <c r="Z683" i="39"/>
  <c r="M684" i="39"/>
  <c r="V684" i="39"/>
  <c r="AA684" i="39"/>
  <c r="X684" i="39"/>
  <c r="AB684" i="39"/>
  <c r="Y684" i="39"/>
  <c r="Z684" i="39"/>
  <c r="V685" i="39"/>
  <c r="AA685" i="39"/>
  <c r="X685" i="39"/>
  <c r="AB685" i="39"/>
  <c r="Y685" i="39"/>
  <c r="Z685" i="39"/>
  <c r="M686" i="39"/>
  <c r="V686" i="39"/>
  <c r="AA686" i="39"/>
  <c r="X686" i="39"/>
  <c r="AB686" i="39"/>
  <c r="Y686" i="39"/>
  <c r="Z686" i="39"/>
  <c r="V687" i="39"/>
  <c r="AA687" i="39"/>
  <c r="X687" i="39"/>
  <c r="AB687" i="39"/>
  <c r="Y687" i="39"/>
  <c r="Z687" i="39"/>
  <c r="M688" i="39"/>
  <c r="V688" i="39"/>
  <c r="AA688" i="39"/>
  <c r="X688" i="39"/>
  <c r="AB688" i="39"/>
  <c r="Y688" i="39"/>
  <c r="Z688" i="39"/>
  <c r="V689" i="39"/>
  <c r="AA689" i="39"/>
  <c r="X689" i="39"/>
  <c r="AB689" i="39"/>
  <c r="Y689" i="39"/>
  <c r="Z689" i="39"/>
  <c r="M690" i="39"/>
  <c r="V690" i="39"/>
  <c r="AA690" i="39"/>
  <c r="X690" i="39"/>
  <c r="AB690" i="39"/>
  <c r="Y690" i="39"/>
  <c r="Z690" i="39"/>
  <c r="M691" i="39"/>
  <c r="V691" i="39"/>
  <c r="AA691" i="39"/>
  <c r="X691" i="39"/>
  <c r="AB691" i="39"/>
  <c r="Y691" i="39"/>
  <c r="Z691" i="39"/>
  <c r="M692" i="39"/>
  <c r="V692" i="39"/>
  <c r="AA692" i="39"/>
  <c r="X692" i="39"/>
  <c r="AB692" i="39"/>
  <c r="Y692" i="39"/>
  <c r="Z692" i="39"/>
  <c r="V693" i="39"/>
  <c r="AA693" i="39"/>
  <c r="X693" i="39"/>
  <c r="AB693" i="39"/>
  <c r="Y693" i="39"/>
  <c r="Z693" i="39"/>
  <c r="M694" i="39"/>
  <c r="V694" i="39"/>
  <c r="AA694" i="39"/>
  <c r="X694" i="39"/>
  <c r="AB694" i="39"/>
  <c r="Y694" i="39"/>
  <c r="Z694" i="39"/>
  <c r="V695" i="39"/>
  <c r="AA695" i="39"/>
  <c r="X695" i="39"/>
  <c r="AB695" i="39"/>
  <c r="Y695" i="39"/>
  <c r="Z695" i="39"/>
  <c r="M696" i="39"/>
  <c r="V696" i="39"/>
  <c r="AA696" i="39"/>
  <c r="X696" i="39"/>
  <c r="AB696" i="39"/>
  <c r="Y696" i="39"/>
  <c r="Z696" i="39"/>
  <c r="V697" i="39"/>
  <c r="AA697" i="39"/>
  <c r="X697" i="39"/>
  <c r="AB697" i="39"/>
  <c r="Y697" i="39"/>
  <c r="Z697" i="39"/>
  <c r="M698" i="39"/>
  <c r="V698" i="39"/>
  <c r="AA698" i="39"/>
  <c r="X698" i="39"/>
  <c r="AB698" i="39"/>
  <c r="Y698" i="39"/>
  <c r="Z698" i="39"/>
  <c r="W12" i="39"/>
  <c r="W13" i="39"/>
  <c r="W15" i="39"/>
  <c r="W17" i="39"/>
  <c r="W19" i="39"/>
  <c r="W23" i="39"/>
  <c r="W25" i="39"/>
  <c r="W26" i="39"/>
  <c r="W27" i="39"/>
  <c r="W28" i="39"/>
  <c r="W29" i="39"/>
  <c r="W30" i="39"/>
  <c r="W31" i="39"/>
  <c r="W32" i="39"/>
  <c r="W33" i="39"/>
  <c r="W34" i="39"/>
  <c r="W35" i="39"/>
  <c r="W36" i="39"/>
  <c r="W37" i="39"/>
  <c r="W38" i="39"/>
  <c r="W39" i="39"/>
  <c r="W41" i="39"/>
  <c r="W42" i="39"/>
  <c r="W44" i="39"/>
  <c r="W45" i="39"/>
  <c r="W47" i="39"/>
  <c r="W49" i="39"/>
  <c r="W51" i="39"/>
  <c r="W53" i="39"/>
  <c r="W54" i="39"/>
  <c r="W55" i="39"/>
  <c r="W56" i="39"/>
  <c r="W57" i="39"/>
  <c r="W58" i="39"/>
  <c r="W59" i="39"/>
  <c r="W60" i="39"/>
  <c r="W61" i="39"/>
  <c r="W62" i="39"/>
  <c r="W63" i="39"/>
  <c r="W65" i="39"/>
  <c r="W66" i="39"/>
  <c r="W68" i="39"/>
  <c r="W70" i="39"/>
  <c r="W72" i="39"/>
  <c r="W74" i="39"/>
  <c r="W75" i="39"/>
  <c r="W76" i="39"/>
  <c r="W78" i="39"/>
  <c r="W80" i="39"/>
  <c r="W82" i="39"/>
  <c r="W84" i="39"/>
  <c r="W86" i="39"/>
  <c r="W87" i="39"/>
  <c r="W88" i="39"/>
  <c r="W89" i="39"/>
  <c r="W91" i="39"/>
  <c r="W93" i="39"/>
  <c r="W95" i="39"/>
  <c r="W97" i="39"/>
  <c r="W99" i="39"/>
  <c r="W101" i="39"/>
  <c r="W103" i="39"/>
  <c r="W105" i="39"/>
  <c r="W107" i="39"/>
  <c r="W109" i="39"/>
  <c r="W111" i="39"/>
  <c r="W114" i="39"/>
  <c r="W115" i="39"/>
  <c r="W116" i="39"/>
  <c r="W117" i="39"/>
  <c r="W118" i="39"/>
  <c r="W119" i="39"/>
  <c r="W121" i="39"/>
  <c r="W122" i="39"/>
  <c r="W123" i="39"/>
  <c r="W124" i="39"/>
  <c r="W125" i="39"/>
  <c r="W127" i="39"/>
  <c r="W128" i="39"/>
  <c r="W130" i="39"/>
  <c r="W131" i="39"/>
  <c r="W132" i="39"/>
  <c r="W133" i="39"/>
  <c r="W134" i="39"/>
  <c r="W135" i="39"/>
  <c r="W136" i="39"/>
  <c r="W137" i="39"/>
  <c r="W138" i="39"/>
  <c r="W139" i="39"/>
  <c r="W140" i="39"/>
  <c r="W141" i="39"/>
  <c r="W142" i="39"/>
  <c r="W143" i="39"/>
  <c r="W144" i="39"/>
  <c r="W145" i="39"/>
  <c r="W146" i="39"/>
  <c r="W148" i="39"/>
  <c r="W149" i="39"/>
  <c r="W151" i="39"/>
  <c r="W152" i="39"/>
  <c r="W154" i="39"/>
  <c r="W156" i="39"/>
  <c r="W158" i="39"/>
  <c r="W159" i="39"/>
  <c r="W160" i="39"/>
  <c r="W162" i="39"/>
  <c r="W164" i="39"/>
  <c r="W168" i="39"/>
  <c r="W170" i="39"/>
  <c r="W172" i="39"/>
  <c r="W173" i="39"/>
  <c r="W174" i="39"/>
  <c r="W175" i="39"/>
  <c r="W176" i="39"/>
  <c r="W177" i="39"/>
  <c r="W179" i="39"/>
  <c r="W181" i="39"/>
  <c r="W182" i="39"/>
  <c r="W184" i="39"/>
  <c r="W186" i="39"/>
  <c r="W188" i="39"/>
  <c r="W190" i="39"/>
  <c r="W191" i="39"/>
  <c r="W192" i="39"/>
  <c r="W193" i="39"/>
  <c r="W194" i="39"/>
  <c r="W195" i="39"/>
  <c r="W197" i="39"/>
  <c r="W199" i="39"/>
  <c r="W200" i="39"/>
  <c r="W201" i="39"/>
  <c r="W202" i="39"/>
  <c r="W204" i="39"/>
  <c r="W205" i="39"/>
  <c r="W207" i="39"/>
  <c r="W208" i="39"/>
  <c r="W209" i="39"/>
  <c r="W210" i="39"/>
  <c r="W211" i="39"/>
  <c r="W212" i="39"/>
  <c r="W213" i="39"/>
  <c r="W214" i="39"/>
  <c r="W216" i="39"/>
  <c r="W218" i="39"/>
  <c r="W219" i="39"/>
  <c r="W220" i="39"/>
  <c r="W222" i="39"/>
  <c r="W223" i="39"/>
  <c r="W225" i="39"/>
  <c r="W226" i="39"/>
  <c r="W228" i="39"/>
  <c r="W229" i="39"/>
  <c r="W231" i="39"/>
  <c r="W232" i="39"/>
  <c r="W234" i="39"/>
  <c r="W235" i="39"/>
  <c r="W237" i="39"/>
  <c r="W239" i="39"/>
  <c r="W240" i="39"/>
  <c r="W241" i="39"/>
  <c r="W242" i="39"/>
  <c r="W243" i="39"/>
  <c r="W245" i="39"/>
  <c r="W247" i="39"/>
  <c r="W249" i="39"/>
  <c r="W251" i="39"/>
  <c r="W253" i="39"/>
  <c r="W255" i="39"/>
  <c r="W256" i="39"/>
  <c r="W257" i="39"/>
  <c r="W258" i="39"/>
  <c r="W259" i="39"/>
  <c r="W265" i="39"/>
  <c r="W267" i="39"/>
  <c r="W271" i="39"/>
  <c r="W273" i="39"/>
  <c r="W274" i="39"/>
  <c r="W275" i="39"/>
  <c r="W277" i="39"/>
  <c r="W278" i="39"/>
  <c r="W280" i="39"/>
  <c r="W281" i="39"/>
  <c r="W283" i="39"/>
  <c r="W284" i="39"/>
  <c r="W285" i="39"/>
  <c r="W286" i="39"/>
  <c r="W287" i="39"/>
  <c r="W288" i="39"/>
  <c r="W290" i="39"/>
  <c r="W292" i="39"/>
  <c r="W294" i="39"/>
  <c r="W296" i="39"/>
  <c r="W298" i="39"/>
  <c r="W300" i="39"/>
  <c r="W302" i="39"/>
  <c r="W304" i="39"/>
  <c r="W305" i="39"/>
  <c r="W306" i="39"/>
  <c r="W307" i="39"/>
  <c r="W308" i="39"/>
  <c r="W309" i="39"/>
  <c r="W310" i="39"/>
  <c r="W311" i="39"/>
  <c r="W312" i="39"/>
  <c r="W313" i="39"/>
  <c r="W314" i="39"/>
  <c r="W316" i="39"/>
  <c r="W317" i="39"/>
  <c r="W318" i="39"/>
  <c r="W319" i="39"/>
  <c r="W320" i="39"/>
  <c r="W321" i="39"/>
  <c r="W322" i="39"/>
  <c r="W324" i="39"/>
  <c r="W325" i="39"/>
  <c r="W327" i="39"/>
  <c r="W329" i="39"/>
  <c r="W331" i="39"/>
  <c r="W332" i="39"/>
  <c r="W333" i="39"/>
  <c r="W334" i="39"/>
  <c r="W335" i="39"/>
  <c r="W336" i="39"/>
  <c r="W337" i="39"/>
  <c r="W338" i="39"/>
  <c r="W339" i="39"/>
  <c r="W341" i="39"/>
  <c r="W343" i="39"/>
  <c r="W345" i="39"/>
  <c r="W347" i="39"/>
  <c r="W349" i="39"/>
  <c r="W351" i="39"/>
  <c r="W353" i="39"/>
  <c r="W355" i="39"/>
  <c r="W356" i="39"/>
  <c r="W357" i="39"/>
  <c r="W358" i="39"/>
  <c r="W359" i="39"/>
  <c r="W360" i="39"/>
  <c r="W361" i="39"/>
  <c r="W362" i="39"/>
  <c r="W364" i="39"/>
  <c r="W366" i="39"/>
  <c r="W368" i="39"/>
  <c r="W370" i="39"/>
  <c r="W372" i="39"/>
  <c r="W374" i="39"/>
  <c r="W376" i="39"/>
  <c r="W378" i="39"/>
  <c r="W380" i="39"/>
  <c r="W382" i="39"/>
  <c r="W384" i="39"/>
  <c r="W386" i="39"/>
  <c r="W388" i="39"/>
  <c r="W390" i="39"/>
  <c r="W391" i="39"/>
  <c r="W392" i="39"/>
  <c r="W393" i="39"/>
  <c r="W394" i="39"/>
  <c r="W395" i="39"/>
  <c r="W396" i="39"/>
  <c r="W397" i="39"/>
  <c r="W399" i="39"/>
  <c r="W401" i="39"/>
  <c r="W403" i="39"/>
  <c r="W405" i="39"/>
  <c r="W407" i="39"/>
  <c r="W409" i="39"/>
  <c r="W411" i="39"/>
  <c r="W413" i="39"/>
  <c r="W415" i="39"/>
  <c r="W417" i="39"/>
  <c r="W418" i="39"/>
  <c r="W419" i="39"/>
  <c r="W420" i="39"/>
  <c r="W421" i="39"/>
  <c r="W422" i="39"/>
  <c r="W423" i="39"/>
  <c r="W424" i="39"/>
  <c r="W425" i="39"/>
  <c r="W426" i="39"/>
  <c r="W427" i="39"/>
  <c r="W428" i="39"/>
  <c r="W429" i="39"/>
  <c r="W430" i="39"/>
  <c r="W431" i="39"/>
  <c r="W432" i="39"/>
  <c r="W433" i="39"/>
  <c r="W434" i="39"/>
  <c r="W435" i="39"/>
  <c r="W436" i="39"/>
  <c r="W437" i="39"/>
  <c r="W438" i="39"/>
  <c r="W439" i="39"/>
  <c r="W440" i="39"/>
  <c r="W442" i="39"/>
  <c r="W444" i="39"/>
  <c r="W446" i="39"/>
  <c r="W448" i="39"/>
  <c r="W450" i="39"/>
  <c r="W452" i="39"/>
  <c r="W453" i="39"/>
  <c r="W455" i="39"/>
  <c r="W456" i="39"/>
  <c r="W457" i="39"/>
  <c r="W458" i="39"/>
  <c r="W459" i="39"/>
  <c r="W460" i="39"/>
  <c r="W461" i="39"/>
  <c r="W463" i="39"/>
  <c r="W464" i="39"/>
  <c r="W465" i="39"/>
  <c r="W466" i="39"/>
  <c r="W467" i="39"/>
  <c r="W468" i="39"/>
  <c r="W469" i="39"/>
  <c r="W472" i="39"/>
  <c r="W473" i="39"/>
  <c r="W474" i="39"/>
  <c r="W475" i="39"/>
  <c r="W476" i="39"/>
  <c r="W477" i="39"/>
  <c r="W478" i="39"/>
  <c r="W479" i="39"/>
  <c r="W480" i="39"/>
  <c r="W481" i="39"/>
  <c r="W482" i="39"/>
  <c r="W483" i="39"/>
  <c r="W484" i="39"/>
  <c r="W485" i="39"/>
  <c r="W486" i="39"/>
  <c r="W487" i="39"/>
  <c r="W488" i="39"/>
  <c r="W489" i="39"/>
  <c r="W490" i="39"/>
  <c r="W491" i="39"/>
  <c r="W492" i="39"/>
  <c r="W493" i="39"/>
  <c r="W494" i="39"/>
  <c r="W495" i="39"/>
  <c r="W497" i="39"/>
  <c r="W499" i="39"/>
  <c r="W501" i="39"/>
  <c r="W503" i="39"/>
  <c r="W504" i="39"/>
  <c r="W506" i="39"/>
  <c r="W508" i="39"/>
  <c r="W510" i="39"/>
  <c r="W511" i="39"/>
  <c r="W513" i="39"/>
  <c r="W514" i="39"/>
  <c r="W515" i="39"/>
  <c r="W516" i="39"/>
  <c r="W517" i="39"/>
  <c r="W519" i="39"/>
  <c r="W520" i="39"/>
  <c r="W521" i="39"/>
  <c r="W522" i="39"/>
  <c r="W523" i="39"/>
  <c r="W524" i="39"/>
  <c r="W525" i="39"/>
  <c r="W526" i="39"/>
  <c r="W528" i="39"/>
  <c r="W529" i="39"/>
  <c r="W530" i="39"/>
  <c r="W533" i="39"/>
  <c r="W534" i="39"/>
  <c r="W535" i="39"/>
  <c r="W536" i="39"/>
  <c r="W537" i="39"/>
  <c r="W538" i="39"/>
  <c r="W539" i="39"/>
  <c r="W540" i="39"/>
  <c r="W541" i="39"/>
  <c r="W542" i="39"/>
  <c r="W543" i="39"/>
  <c r="W544" i="39"/>
  <c r="W545" i="39"/>
  <c r="W546" i="39"/>
  <c r="W547" i="39"/>
  <c r="W549" i="39"/>
  <c r="W551" i="39"/>
  <c r="W553" i="39"/>
  <c r="W555" i="39"/>
  <c r="W556" i="39"/>
  <c r="W558" i="39"/>
  <c r="W560" i="39"/>
  <c r="W562" i="39"/>
  <c r="W565" i="39"/>
  <c r="W568" i="39"/>
  <c r="W569" i="39"/>
  <c r="W570" i="39"/>
  <c r="W571" i="39"/>
  <c r="W572" i="39"/>
  <c r="W573" i="39"/>
  <c r="W575" i="39"/>
  <c r="W577" i="39"/>
  <c r="W579" i="39"/>
  <c r="W580" i="39"/>
  <c r="W581" i="39"/>
  <c r="W582" i="39"/>
  <c r="W583" i="39"/>
  <c r="W584" i="39"/>
  <c r="W585" i="39"/>
  <c r="W586" i="39"/>
  <c r="W587" i="39"/>
  <c r="W588" i="39"/>
  <c r="W589" i="39"/>
  <c r="W590" i="39"/>
  <c r="W591" i="39"/>
  <c r="W592" i="39"/>
  <c r="W593" i="39"/>
  <c r="W594" i="39"/>
  <c r="W595" i="39"/>
  <c r="W596" i="39"/>
  <c r="W597" i="39"/>
  <c r="W598" i="39"/>
  <c r="W599" i="39"/>
  <c r="W600" i="39"/>
  <c r="W601" i="39"/>
  <c r="W602" i="39"/>
  <c r="W603" i="39"/>
  <c r="W604" i="39"/>
  <c r="W605" i="39"/>
  <c r="W606" i="39"/>
  <c r="W607" i="39"/>
  <c r="W608" i="39"/>
  <c r="W609" i="39"/>
  <c r="W610" i="39"/>
  <c r="W611" i="39"/>
  <c r="W612" i="39"/>
  <c r="W613" i="39"/>
  <c r="W614" i="39"/>
  <c r="W615" i="39"/>
  <c r="W616" i="39"/>
  <c r="W617" i="39"/>
  <c r="W618" i="39"/>
  <c r="W619" i="39"/>
  <c r="W620" i="39"/>
  <c r="W621" i="39"/>
  <c r="W622" i="39"/>
  <c r="W623" i="39"/>
  <c r="W624" i="39"/>
  <c r="W625" i="39"/>
  <c r="W626" i="39"/>
  <c r="W627" i="39"/>
  <c r="W628" i="39"/>
  <c r="W629" i="39"/>
  <c r="W630" i="39"/>
  <c r="W631" i="39"/>
  <c r="W632" i="39"/>
  <c r="W633" i="39"/>
  <c r="W634" i="39"/>
  <c r="W635" i="39"/>
  <c r="W636" i="39"/>
  <c r="W637" i="39"/>
  <c r="W638" i="39"/>
  <c r="W639" i="39"/>
  <c r="W640" i="39"/>
  <c r="W641" i="39"/>
  <c r="W642" i="39"/>
  <c r="W643" i="39"/>
  <c r="W644" i="39"/>
  <c r="W645" i="39"/>
  <c r="W646" i="39"/>
  <c r="W647" i="39"/>
  <c r="W648" i="39"/>
  <c r="W649" i="39"/>
  <c r="W650" i="39"/>
  <c r="W651" i="39"/>
  <c r="W652" i="39"/>
  <c r="W653" i="39"/>
  <c r="W654" i="39"/>
  <c r="W655" i="39"/>
  <c r="W656" i="39"/>
  <c r="W657" i="39"/>
  <c r="W658" i="39"/>
  <c r="W659" i="39"/>
  <c r="W660" i="39"/>
  <c r="W661" i="39"/>
  <c r="W662" i="39"/>
  <c r="W663" i="39"/>
  <c r="W664" i="39"/>
  <c r="W665" i="39"/>
  <c r="W666" i="39"/>
  <c r="W667" i="39"/>
  <c r="W668" i="39"/>
  <c r="W669" i="39"/>
  <c r="W670" i="39"/>
  <c r="W671" i="39"/>
  <c r="W672" i="39"/>
  <c r="W673" i="39"/>
  <c r="W674" i="39"/>
  <c r="W675" i="39"/>
  <c r="W676" i="39"/>
  <c r="W677" i="39"/>
  <c r="W678" i="39"/>
  <c r="W679" i="39"/>
  <c r="W680" i="39"/>
  <c r="W681" i="39"/>
  <c r="W682" i="39"/>
  <c r="W683" i="39"/>
  <c r="W684" i="39"/>
  <c r="W685" i="39"/>
  <c r="W686" i="39"/>
  <c r="W687" i="39"/>
  <c r="W688" i="39"/>
  <c r="W689" i="39"/>
  <c r="W690" i="39"/>
  <c r="W691" i="39"/>
  <c r="W692" i="39"/>
  <c r="W693" i="39"/>
  <c r="W694" i="39"/>
  <c r="W695" i="39"/>
  <c r="W696" i="39"/>
  <c r="W697" i="39"/>
  <c r="W698" i="39"/>
  <c r="Q11" i="39"/>
  <c r="Q12" i="39"/>
  <c r="Q13" i="39"/>
  <c r="Q14" i="39"/>
  <c r="Q15" i="39"/>
  <c r="Q16" i="39"/>
  <c r="Q17" i="39"/>
  <c r="Q18" i="39"/>
  <c r="Q19" i="39"/>
  <c r="Q20" i="39"/>
  <c r="Q21" i="39"/>
  <c r="Q22" i="39"/>
  <c r="Q23" i="39"/>
  <c r="Q24" i="39"/>
  <c r="Q25" i="39"/>
  <c r="Q26" i="39"/>
  <c r="Q27" i="39"/>
  <c r="Q28" i="39"/>
  <c r="Q29" i="39"/>
  <c r="Q30" i="39"/>
  <c r="Q31" i="39"/>
  <c r="Q32" i="39"/>
  <c r="Q33" i="39"/>
  <c r="Q34" i="39"/>
  <c r="Q35" i="39"/>
  <c r="Q36" i="39"/>
  <c r="Q37" i="39"/>
  <c r="Q38" i="39"/>
  <c r="Q39" i="39"/>
  <c r="Q40" i="39"/>
  <c r="Q41" i="39"/>
  <c r="Q42" i="39"/>
  <c r="Q43" i="39"/>
  <c r="Q44" i="39"/>
  <c r="Q45" i="39"/>
  <c r="Q46" i="39"/>
  <c r="Q47" i="39"/>
  <c r="Q48" i="39"/>
  <c r="Q49" i="39"/>
  <c r="Q50" i="39"/>
  <c r="Q51" i="39"/>
  <c r="Q52" i="39"/>
  <c r="Q53" i="39"/>
  <c r="Q54" i="39"/>
  <c r="Q55" i="39"/>
  <c r="Q56" i="39"/>
  <c r="Q57" i="39"/>
  <c r="Q58" i="39"/>
  <c r="Q59" i="39"/>
  <c r="Q60" i="39"/>
  <c r="Q61" i="39"/>
  <c r="Q62" i="39"/>
  <c r="Q63" i="39"/>
  <c r="Q64" i="39"/>
  <c r="Q65" i="39"/>
  <c r="Q66" i="39"/>
  <c r="Q67" i="39"/>
  <c r="Q68" i="39"/>
  <c r="Q69" i="39"/>
  <c r="Q70" i="39"/>
  <c r="Q71" i="39"/>
  <c r="Q72" i="39"/>
  <c r="Q73" i="39"/>
  <c r="Q74" i="39"/>
  <c r="Q75" i="39"/>
  <c r="Q76" i="39"/>
  <c r="Q77" i="39"/>
  <c r="Q78" i="39"/>
  <c r="Q79" i="39"/>
  <c r="Q80" i="39"/>
  <c r="Q81" i="39"/>
  <c r="Q82" i="39"/>
  <c r="Q83" i="39"/>
  <c r="Q84" i="39"/>
  <c r="Q85" i="39"/>
  <c r="Q86" i="39"/>
  <c r="Q87" i="39"/>
  <c r="Q88" i="39"/>
  <c r="Q89" i="39"/>
  <c r="Q90" i="39"/>
  <c r="Q91" i="39"/>
  <c r="Q92" i="39"/>
  <c r="Q93" i="39"/>
  <c r="Q94" i="39"/>
  <c r="Q95" i="39"/>
  <c r="Q96" i="39"/>
  <c r="Q97" i="39"/>
  <c r="Q98" i="39"/>
  <c r="Q99" i="39"/>
  <c r="Q100" i="39"/>
  <c r="Q101" i="39"/>
  <c r="Q102" i="39"/>
  <c r="Q103" i="39"/>
  <c r="Q104" i="39"/>
  <c r="Q105" i="39"/>
  <c r="Q106" i="39"/>
  <c r="Q107" i="39"/>
  <c r="Q108" i="39"/>
  <c r="Q109" i="39"/>
  <c r="Q110" i="39"/>
  <c r="Q111" i="39"/>
  <c r="Q112" i="39"/>
  <c r="Q113" i="39"/>
  <c r="Q114" i="39"/>
  <c r="Q115" i="39"/>
  <c r="Q116" i="39"/>
  <c r="Q117" i="39"/>
  <c r="Q118" i="39"/>
  <c r="Q119" i="39"/>
  <c r="Q120" i="39"/>
  <c r="Q121" i="39"/>
  <c r="Q122" i="39"/>
  <c r="Q123" i="39"/>
  <c r="Q124" i="39"/>
  <c r="Q125" i="39"/>
  <c r="Q126" i="39"/>
  <c r="Q127" i="39"/>
  <c r="Q128" i="39"/>
  <c r="Q129" i="39"/>
  <c r="Q130" i="39"/>
  <c r="Q131" i="39"/>
  <c r="Q132" i="39"/>
  <c r="Q133" i="39"/>
  <c r="Q134" i="39"/>
  <c r="Q135" i="39"/>
  <c r="Q136" i="39"/>
  <c r="Q137" i="39"/>
  <c r="Q138" i="39"/>
  <c r="Q139" i="39"/>
  <c r="Q140" i="39"/>
  <c r="Q141" i="39"/>
  <c r="Q142" i="39"/>
  <c r="Q143" i="39"/>
  <c r="Q144" i="39"/>
  <c r="Q145" i="39"/>
  <c r="Q146" i="39"/>
  <c r="Q147" i="39"/>
  <c r="Q148" i="39"/>
  <c r="Q149" i="39"/>
  <c r="Q150" i="39"/>
  <c r="Q151" i="39"/>
  <c r="Q152" i="39"/>
  <c r="Q153" i="39"/>
  <c r="Q154" i="39"/>
  <c r="Q155" i="39"/>
  <c r="Q156" i="39"/>
  <c r="Q157" i="39"/>
  <c r="Q158" i="39"/>
  <c r="Q159" i="39"/>
  <c r="Q160" i="39"/>
  <c r="Q161" i="39"/>
  <c r="Q162" i="39"/>
  <c r="Q163" i="39"/>
  <c r="Q164" i="39"/>
  <c r="Q165" i="39"/>
  <c r="Q166" i="39"/>
  <c r="Q167" i="39"/>
  <c r="Q168" i="39"/>
  <c r="Q169" i="39"/>
  <c r="Q170" i="39"/>
  <c r="Q171" i="39"/>
  <c r="Q172" i="39"/>
  <c r="Q173" i="39"/>
  <c r="Q174" i="39"/>
  <c r="Q175" i="39"/>
  <c r="Q176" i="39"/>
  <c r="Q177" i="39"/>
  <c r="Q178" i="39"/>
  <c r="Q179" i="39"/>
  <c r="Q180" i="39"/>
  <c r="Q182" i="39"/>
  <c r="Q183" i="39"/>
  <c r="Q184" i="39"/>
  <c r="Q185" i="39"/>
  <c r="Q186" i="39"/>
  <c r="Q187" i="39"/>
  <c r="Q188" i="39"/>
  <c r="Q189" i="39"/>
  <c r="Q190" i="39"/>
  <c r="Q191" i="39"/>
  <c r="Q192" i="39"/>
  <c r="Q193" i="39"/>
  <c r="Q194" i="39"/>
  <c r="Q195" i="39"/>
  <c r="Q196" i="39"/>
  <c r="Q197" i="39"/>
  <c r="Q198" i="39"/>
  <c r="Q199" i="39"/>
  <c r="Q200" i="39"/>
  <c r="Q201" i="39"/>
  <c r="Q202" i="39"/>
  <c r="Q203" i="39"/>
  <c r="Q204" i="39"/>
  <c r="Q205" i="39"/>
  <c r="Q206" i="39"/>
  <c r="Q207" i="39"/>
  <c r="Q208" i="39"/>
  <c r="Q209" i="39"/>
  <c r="Q210" i="39"/>
  <c r="Q211" i="39"/>
  <c r="Q212" i="39"/>
  <c r="Q213" i="39"/>
  <c r="Q214" i="39"/>
  <c r="Q215" i="39"/>
  <c r="Q216" i="39"/>
  <c r="Q217" i="39"/>
  <c r="Q218" i="39"/>
  <c r="Q219" i="39"/>
  <c r="Q220" i="39"/>
  <c r="Q221" i="39"/>
  <c r="Q222" i="39"/>
  <c r="Q223" i="39"/>
  <c r="Q224" i="39"/>
  <c r="Q225" i="39"/>
  <c r="Q226" i="39"/>
  <c r="Q227" i="39"/>
  <c r="Q228" i="39"/>
  <c r="Q229" i="39"/>
  <c r="Q230" i="39"/>
  <c r="Q231" i="39"/>
  <c r="Q232" i="39"/>
  <c r="Q233" i="39"/>
  <c r="Q234" i="39"/>
  <c r="Q235" i="39"/>
  <c r="Q236" i="39"/>
  <c r="Q237" i="39"/>
  <c r="Q238" i="39"/>
  <c r="Q239" i="39"/>
  <c r="Q240" i="39"/>
  <c r="Q241" i="39"/>
  <c r="Q242" i="39"/>
  <c r="Q243" i="39"/>
  <c r="Q244" i="39"/>
  <c r="Q245" i="39"/>
  <c r="Q246" i="39"/>
  <c r="Q247" i="39"/>
  <c r="Q248" i="39"/>
  <c r="Q249" i="39"/>
  <c r="Q250" i="39"/>
  <c r="Q251" i="39"/>
  <c r="Q252" i="39"/>
  <c r="Q253" i="39"/>
  <c r="Q254" i="39"/>
  <c r="Q255" i="39"/>
  <c r="Q256" i="39"/>
  <c r="Q257" i="39"/>
  <c r="Q258" i="39"/>
  <c r="Q259" i="39"/>
  <c r="Q260" i="39"/>
  <c r="Q261" i="39"/>
  <c r="Q262" i="39"/>
  <c r="Q263" i="39"/>
  <c r="Q264" i="39"/>
  <c r="Q265" i="39"/>
  <c r="Q266" i="39"/>
  <c r="Q267" i="39"/>
  <c r="Q268" i="39"/>
  <c r="Q269" i="39"/>
  <c r="Q270" i="39"/>
  <c r="Q271" i="39"/>
  <c r="Q272" i="39"/>
  <c r="Q273" i="39"/>
  <c r="Q274" i="39"/>
  <c r="Q275" i="39"/>
  <c r="Q276" i="39"/>
  <c r="Q277" i="39"/>
  <c r="Q278" i="39"/>
  <c r="Q279" i="39"/>
  <c r="Q280" i="39"/>
  <c r="Q281" i="39"/>
  <c r="Q282" i="39"/>
  <c r="Q283" i="39"/>
  <c r="Q284" i="39"/>
  <c r="Q285" i="39"/>
  <c r="Q286" i="39"/>
  <c r="Q287" i="39"/>
  <c r="Q288" i="39"/>
  <c r="Q289" i="39"/>
  <c r="Q290" i="39"/>
  <c r="Q291" i="39"/>
  <c r="Q292" i="39"/>
  <c r="Q293" i="39"/>
  <c r="Q294" i="39"/>
  <c r="Q295" i="39"/>
  <c r="Q296" i="39"/>
  <c r="Q297" i="39"/>
  <c r="Q298" i="39"/>
  <c r="Q299" i="39"/>
  <c r="Q300" i="39"/>
  <c r="Q301" i="39"/>
  <c r="Q302" i="39"/>
  <c r="Q303" i="39"/>
  <c r="Q304" i="39"/>
  <c r="Q305" i="39"/>
  <c r="Q306" i="39"/>
  <c r="Q307" i="39"/>
  <c r="Q308" i="39"/>
  <c r="Q309" i="39"/>
  <c r="Q310" i="39"/>
  <c r="Q311" i="39"/>
  <c r="Q312" i="39"/>
  <c r="Q313" i="39"/>
  <c r="Q314" i="39"/>
  <c r="Q315" i="39"/>
  <c r="Q316" i="39"/>
  <c r="Q317" i="39"/>
  <c r="Q318" i="39"/>
  <c r="Q319" i="39"/>
  <c r="Q320" i="39"/>
  <c r="Q321" i="39"/>
  <c r="Q322" i="39"/>
  <c r="Q323" i="39"/>
  <c r="Q324" i="39"/>
  <c r="Q325" i="39"/>
  <c r="Q326" i="39"/>
  <c r="Q327" i="39"/>
  <c r="Q328" i="39"/>
  <c r="Q329" i="39"/>
  <c r="Q330" i="39"/>
  <c r="Q331" i="39"/>
  <c r="Q332" i="39"/>
  <c r="Q333" i="39"/>
  <c r="Q334" i="39"/>
  <c r="Q335" i="39"/>
  <c r="Q336" i="39"/>
  <c r="Q337" i="39"/>
  <c r="Q338" i="39"/>
  <c r="Q339" i="39"/>
  <c r="Q340" i="39"/>
  <c r="Q341" i="39"/>
  <c r="Q342" i="39"/>
  <c r="Q343" i="39"/>
  <c r="Q344" i="39"/>
  <c r="Q345" i="39"/>
  <c r="Q346" i="39"/>
  <c r="Q347" i="39"/>
  <c r="Q348" i="39"/>
  <c r="Q349" i="39"/>
  <c r="Q350" i="39"/>
  <c r="Q351" i="39"/>
  <c r="Q352" i="39"/>
  <c r="Q353" i="39"/>
  <c r="Q354" i="39"/>
  <c r="Q355" i="39"/>
  <c r="Q356" i="39"/>
  <c r="Q357" i="39"/>
  <c r="Q358" i="39"/>
  <c r="Q359" i="39"/>
  <c r="Q360" i="39"/>
  <c r="Q361" i="39"/>
  <c r="Q362" i="39"/>
  <c r="Q363" i="39"/>
  <c r="Q364" i="39"/>
  <c r="Q365" i="39"/>
  <c r="Q366" i="39"/>
  <c r="Q367" i="39"/>
  <c r="Q368" i="39"/>
  <c r="Q369" i="39"/>
  <c r="Q370" i="39"/>
  <c r="Q371" i="39"/>
  <c r="Q372" i="39"/>
  <c r="Q373" i="39"/>
  <c r="Q374" i="39"/>
  <c r="Q375" i="39"/>
  <c r="Q376" i="39"/>
  <c r="Q377" i="39"/>
  <c r="Q378" i="39"/>
  <c r="Q379" i="39"/>
  <c r="Q380" i="39"/>
  <c r="Q381" i="39"/>
  <c r="Q382" i="39"/>
  <c r="Q383" i="39"/>
  <c r="Q384" i="39"/>
  <c r="Q386" i="39"/>
  <c r="Q387" i="39"/>
  <c r="Q388" i="39"/>
  <c r="Q389" i="39"/>
  <c r="Q390" i="39"/>
  <c r="Q391" i="39"/>
  <c r="Q392" i="39"/>
  <c r="Q393" i="39"/>
  <c r="Q394" i="39"/>
  <c r="Q395" i="39"/>
  <c r="Q396" i="39"/>
  <c r="Q397" i="39"/>
  <c r="Q398" i="39"/>
  <c r="Q399" i="39"/>
  <c r="Q400" i="39"/>
  <c r="Q401" i="39"/>
  <c r="Q402" i="39"/>
  <c r="Q403" i="39"/>
  <c r="Q404" i="39"/>
  <c r="Q405" i="39"/>
  <c r="Q406" i="39"/>
  <c r="Q407" i="39"/>
  <c r="Q408" i="39"/>
  <c r="Q409" i="39"/>
  <c r="Q410" i="39"/>
  <c r="Q411" i="39"/>
  <c r="Q412" i="39"/>
  <c r="Q413" i="39"/>
  <c r="Q414" i="39"/>
  <c r="Q415" i="39"/>
  <c r="Q416" i="39"/>
  <c r="R416" i="39"/>
  <c r="Q417" i="39"/>
  <c r="Q418" i="39"/>
  <c r="Q419" i="39"/>
  <c r="Q420" i="39"/>
  <c r="Q421" i="39"/>
  <c r="Q422" i="39"/>
  <c r="Q423" i="39"/>
  <c r="Q424" i="39"/>
  <c r="Q425" i="39"/>
  <c r="Q426" i="39"/>
  <c r="Q427" i="39"/>
  <c r="Q428" i="39"/>
  <c r="Q429" i="39"/>
  <c r="Q430" i="39"/>
  <c r="Q431" i="39"/>
  <c r="Q432" i="39"/>
  <c r="Q433" i="39"/>
  <c r="Q434" i="39"/>
  <c r="Q435" i="39"/>
  <c r="Q436" i="39"/>
  <c r="Q437" i="39"/>
  <c r="Q438" i="39"/>
  <c r="Q439" i="39"/>
  <c r="Q440" i="39"/>
  <c r="Q441" i="39"/>
  <c r="Q442" i="39"/>
  <c r="Q443" i="39"/>
  <c r="Q444" i="39"/>
  <c r="Q445" i="39"/>
  <c r="Q446" i="39"/>
  <c r="Q447" i="39"/>
  <c r="Q448" i="39"/>
  <c r="Q449" i="39"/>
  <c r="Q450" i="39"/>
  <c r="Q451" i="39"/>
  <c r="Q452" i="39"/>
  <c r="Q453" i="39"/>
  <c r="Q454" i="39"/>
  <c r="Q455" i="39"/>
  <c r="Q456" i="39"/>
  <c r="Q457" i="39"/>
  <c r="Q458" i="39"/>
  <c r="Q459" i="39"/>
  <c r="Q460" i="39"/>
  <c r="Q461" i="39"/>
  <c r="Q462" i="39"/>
  <c r="Q463" i="39"/>
  <c r="Q464" i="39"/>
  <c r="Q465" i="39"/>
  <c r="Q466" i="39"/>
  <c r="Q467" i="39"/>
  <c r="Q468" i="39"/>
  <c r="Q469" i="39"/>
  <c r="Q470" i="39"/>
  <c r="Q471" i="39"/>
  <c r="Q472" i="39"/>
  <c r="Q473" i="39"/>
  <c r="Q474" i="39"/>
  <c r="Q475" i="39"/>
  <c r="Q476" i="39"/>
  <c r="Q478" i="39"/>
  <c r="Q479" i="39"/>
  <c r="Q480" i="39"/>
  <c r="Q481" i="39"/>
  <c r="Q482" i="39"/>
  <c r="Q483" i="39"/>
  <c r="Q484" i="39"/>
  <c r="Q485" i="39"/>
  <c r="Q486" i="39"/>
  <c r="Q487" i="39"/>
  <c r="Q488" i="39"/>
  <c r="Q489" i="39"/>
  <c r="Q490" i="39"/>
  <c r="Q491" i="39"/>
  <c r="Q492" i="39"/>
  <c r="Q493" i="39"/>
  <c r="Q494" i="39"/>
  <c r="Q495" i="39"/>
  <c r="Q496" i="39"/>
  <c r="Q497" i="39"/>
  <c r="Q498" i="39"/>
  <c r="Q499" i="39"/>
  <c r="Q500" i="39"/>
  <c r="Q501" i="39"/>
  <c r="Q502" i="39"/>
  <c r="Q503" i="39"/>
  <c r="Q504" i="39"/>
  <c r="Q505" i="39"/>
  <c r="Q506" i="39"/>
  <c r="Q507" i="39"/>
  <c r="Q508" i="39"/>
  <c r="Q509" i="39"/>
  <c r="Q510" i="39"/>
  <c r="Q511" i="39"/>
  <c r="Q512" i="39"/>
  <c r="Q513" i="39"/>
  <c r="Q514" i="39"/>
  <c r="Q515" i="39"/>
  <c r="Q516" i="39"/>
  <c r="Q517" i="39"/>
  <c r="Q518" i="39"/>
  <c r="Q519" i="39"/>
  <c r="Q520" i="39"/>
  <c r="Q521" i="39"/>
  <c r="Q522" i="39"/>
  <c r="Q523" i="39"/>
  <c r="Q524" i="39"/>
  <c r="Q525" i="39"/>
  <c r="Q526" i="39"/>
  <c r="Q527" i="39"/>
  <c r="Q528" i="39"/>
  <c r="Q529" i="39"/>
  <c r="Q530" i="39"/>
  <c r="Q531" i="39"/>
  <c r="Q532" i="39"/>
  <c r="Q533" i="39"/>
  <c r="Q534" i="39"/>
  <c r="Q535" i="39"/>
  <c r="Q536" i="39"/>
  <c r="Q537" i="39"/>
  <c r="Q538" i="39"/>
  <c r="Q539" i="39"/>
  <c r="Q540" i="39"/>
  <c r="Q541" i="39"/>
  <c r="Q542" i="39"/>
  <c r="Q543" i="39"/>
  <c r="Q544" i="39"/>
  <c r="Q545" i="39"/>
  <c r="Q546" i="39"/>
  <c r="Q547" i="39"/>
  <c r="Q549" i="39"/>
  <c r="Q550" i="39"/>
  <c r="Q551" i="39"/>
  <c r="Q552" i="39"/>
  <c r="Q553" i="39"/>
  <c r="Q554" i="39"/>
  <c r="Q555" i="39"/>
  <c r="Q556" i="39"/>
  <c r="Q557" i="39"/>
  <c r="Q558" i="39"/>
  <c r="Q559" i="39"/>
  <c r="Q560" i="39"/>
  <c r="Q561" i="39"/>
  <c r="Q562" i="39"/>
  <c r="Q563" i="39"/>
  <c r="Q564" i="39"/>
  <c r="Q565" i="39"/>
  <c r="Q566" i="39"/>
  <c r="Q567" i="39"/>
  <c r="Q568" i="39"/>
  <c r="Q569" i="39"/>
  <c r="Q570" i="39"/>
  <c r="Q571" i="39"/>
  <c r="Q572" i="39"/>
  <c r="Q573" i="39"/>
  <c r="Q574" i="39"/>
  <c r="Q575" i="39"/>
  <c r="Q576" i="39"/>
  <c r="Q577" i="39"/>
  <c r="Q578" i="39"/>
  <c r="Q579" i="39"/>
  <c r="Q580" i="39"/>
  <c r="Q581" i="39"/>
  <c r="Q582" i="39"/>
  <c r="B2" i="1"/>
  <c r="C3" i="2"/>
  <c r="E4" i="39"/>
  <c r="C2" i="1"/>
  <c r="F3" i="2"/>
  <c r="G4" i="39"/>
  <c r="B3" i="1"/>
  <c r="C4" i="2"/>
  <c r="E5" i="39"/>
  <c r="B4" i="1"/>
  <c r="C5" i="2"/>
  <c r="E6" i="39"/>
  <c r="C4" i="1"/>
  <c r="F5" i="2"/>
  <c r="G6" i="39"/>
  <c r="B5" i="1"/>
  <c r="C6" i="2"/>
  <c r="E7" i="39"/>
  <c r="C5" i="1"/>
  <c r="F6" i="2"/>
  <c r="G7" i="39"/>
  <c r="B6" i="1"/>
  <c r="C7" i="2"/>
  <c r="E8" i="39"/>
  <c r="C6" i="1"/>
  <c r="F7" i="2"/>
  <c r="G8" i="39"/>
  <c r="E39" i="31"/>
  <c r="H29" i="31"/>
  <c r="H32" i="31"/>
  <c r="H35" i="31"/>
  <c r="H38" i="31"/>
  <c r="H39" i="31"/>
  <c r="D14" i="32"/>
  <c r="D16" i="32"/>
  <c r="I18" i="10"/>
  <c r="J18" i="10"/>
  <c r="L18" i="10"/>
  <c r="N18" i="10"/>
  <c r="O18" i="10"/>
  <c r="Q18" i="10"/>
  <c r="D47" i="32"/>
  <c r="J28" i="10"/>
  <c r="L28" i="10"/>
  <c r="N28" i="10"/>
  <c r="O28" i="10"/>
  <c r="Q28" i="10"/>
  <c r="R28" i="10"/>
  <c r="S28" i="10"/>
  <c r="D61" i="32"/>
  <c r="D67" i="32"/>
  <c r="C69" i="32"/>
  <c r="C70" i="32"/>
  <c r="C71" i="32"/>
  <c r="C72" i="32"/>
  <c r="D73" i="32"/>
  <c r="U28" i="10"/>
  <c r="V28" i="10"/>
  <c r="AA28" i="10"/>
  <c r="AK28" i="10"/>
  <c r="AO28" i="10"/>
  <c r="I32" i="31"/>
  <c r="J32" i="31"/>
  <c r="I35" i="31"/>
  <c r="J35" i="31"/>
  <c r="J30" i="10"/>
  <c r="L30" i="10"/>
  <c r="N30" i="10"/>
  <c r="O30" i="10"/>
  <c r="Q30" i="10"/>
  <c r="R30" i="10"/>
  <c r="S30" i="10"/>
  <c r="U30" i="10"/>
  <c r="V30" i="10"/>
  <c r="AA30" i="10"/>
  <c r="AK30" i="10"/>
  <c r="AO30" i="10"/>
  <c r="I38" i="31"/>
  <c r="J38" i="31"/>
  <c r="J39" i="31"/>
  <c r="L39" i="31"/>
  <c r="K23" i="1"/>
  <c r="G68" i="31"/>
  <c r="G42" i="31"/>
  <c r="H49" i="31"/>
  <c r="H52" i="31"/>
  <c r="H55" i="31"/>
  <c r="H58" i="31"/>
  <c r="H59" i="31"/>
  <c r="L59" i="31"/>
  <c r="L23" i="1"/>
  <c r="H75" i="31"/>
  <c r="H78" i="31"/>
  <c r="H81" i="31"/>
  <c r="H84" i="31"/>
  <c r="H85" i="31"/>
  <c r="L85" i="31"/>
  <c r="M23" i="1"/>
  <c r="G26" i="1"/>
  <c r="H16" i="31"/>
  <c r="I16" i="31"/>
  <c r="J16" i="31"/>
  <c r="H19" i="31"/>
  <c r="I15" i="10"/>
  <c r="J15" i="10"/>
  <c r="L15" i="10"/>
  <c r="N15" i="10"/>
  <c r="O15" i="10"/>
  <c r="Q15" i="10"/>
  <c r="R15" i="10"/>
  <c r="S15" i="10"/>
  <c r="U15" i="10"/>
  <c r="V15" i="10"/>
  <c r="AA15" i="10"/>
  <c r="AK15" i="10"/>
  <c r="AO15" i="10"/>
  <c r="I19" i="31"/>
  <c r="J19" i="31"/>
  <c r="H22" i="31"/>
  <c r="R18" i="10"/>
  <c r="S18" i="10"/>
  <c r="U18" i="10"/>
  <c r="V18" i="10"/>
  <c r="AA18" i="10"/>
  <c r="AK18" i="10"/>
  <c r="AO18" i="10"/>
  <c r="I22" i="31"/>
  <c r="J22" i="31"/>
  <c r="H25" i="31"/>
  <c r="J23" i="10"/>
  <c r="L23" i="10"/>
  <c r="N23" i="10"/>
  <c r="O23" i="10"/>
  <c r="Q23" i="10"/>
  <c r="R23" i="10"/>
  <c r="S23" i="10"/>
  <c r="U23" i="10"/>
  <c r="V23" i="10"/>
  <c r="AA23" i="10"/>
  <c r="AK23" i="10"/>
  <c r="AO23" i="10"/>
  <c r="I25" i="31"/>
  <c r="J25" i="31"/>
  <c r="H28" i="31"/>
  <c r="J26" i="10"/>
  <c r="L26" i="10"/>
  <c r="N26" i="10"/>
  <c r="O26" i="10"/>
  <c r="Q26" i="10"/>
  <c r="R26" i="10"/>
  <c r="S26" i="10"/>
  <c r="U26" i="10"/>
  <c r="V26" i="10"/>
  <c r="AA26" i="10"/>
  <c r="AK26" i="10"/>
  <c r="AO26" i="10"/>
  <c r="I28" i="31"/>
  <c r="J28" i="31"/>
  <c r="J29" i="31"/>
  <c r="L29" i="31"/>
  <c r="H23" i="1"/>
  <c r="I23" i="1"/>
  <c r="J23" i="1"/>
  <c r="F26" i="1"/>
  <c r="B26" i="1"/>
  <c r="B27" i="1"/>
  <c r="B28" i="1"/>
  <c r="B29" i="1"/>
  <c r="C26" i="1"/>
  <c r="J65" i="28"/>
  <c r="H27" i="28"/>
  <c r="G27" i="28"/>
  <c r="I27" i="28"/>
  <c r="J27" i="28"/>
  <c r="G29" i="28"/>
  <c r="I29" i="28"/>
  <c r="J29" i="28"/>
  <c r="G30" i="28"/>
  <c r="I30" i="28"/>
  <c r="J30" i="28"/>
  <c r="G31" i="28"/>
  <c r="I31" i="28"/>
  <c r="J31" i="28"/>
  <c r="G32" i="28"/>
  <c r="I32" i="28"/>
  <c r="J32" i="28"/>
  <c r="H35" i="28"/>
  <c r="G35" i="28"/>
  <c r="I35" i="28"/>
  <c r="J35" i="28"/>
  <c r="H36" i="28"/>
  <c r="G36" i="28"/>
  <c r="I36" i="28"/>
  <c r="J36" i="28"/>
  <c r="H37" i="28"/>
  <c r="G37" i="28"/>
  <c r="I37" i="28"/>
  <c r="J37" i="28"/>
  <c r="G38" i="28"/>
  <c r="I38" i="28"/>
  <c r="J38" i="28"/>
  <c r="G41" i="28"/>
  <c r="I41" i="28"/>
  <c r="J41" i="28"/>
  <c r="I42" i="28"/>
  <c r="J42" i="28"/>
  <c r="J45" i="28"/>
  <c r="J46" i="28"/>
  <c r="G47" i="28"/>
  <c r="I47" i="28"/>
  <c r="J47" i="28"/>
  <c r="G48" i="28"/>
  <c r="I48" i="28"/>
  <c r="J48" i="28"/>
  <c r="G49" i="28"/>
  <c r="I49" i="28"/>
  <c r="J49" i="28"/>
  <c r="J50" i="28"/>
  <c r="G51" i="28"/>
  <c r="I51" i="28"/>
  <c r="J51" i="28"/>
  <c r="J52" i="28"/>
  <c r="G53" i="28"/>
  <c r="I53" i="28"/>
  <c r="J53" i="28"/>
  <c r="G54" i="28"/>
  <c r="I54" i="28"/>
  <c r="J54" i="28"/>
  <c r="G55" i="28"/>
  <c r="I55" i="28"/>
  <c r="J55" i="28"/>
  <c r="G56" i="28"/>
  <c r="I56" i="28"/>
  <c r="J56" i="28"/>
  <c r="G57" i="28"/>
  <c r="I57" i="28"/>
  <c r="J57" i="28"/>
  <c r="G58" i="28"/>
  <c r="I58" i="28"/>
  <c r="J58" i="28"/>
  <c r="G59" i="28"/>
  <c r="I59" i="28"/>
  <c r="J59" i="28"/>
  <c r="G60" i="28"/>
  <c r="I60" i="28"/>
  <c r="J60" i="28"/>
  <c r="G63" i="28"/>
  <c r="I63" i="28"/>
  <c r="J63" i="28"/>
  <c r="J67" i="28"/>
  <c r="J96" i="31"/>
  <c r="D26" i="1"/>
  <c r="B97" i="5"/>
  <c r="E18" i="5"/>
  <c r="E23" i="5"/>
  <c r="E25" i="5"/>
  <c r="E26" i="5"/>
  <c r="E28" i="5"/>
  <c r="E30" i="5"/>
  <c r="E58" i="5"/>
  <c r="E63" i="5"/>
  <c r="E65" i="5"/>
  <c r="E66" i="5"/>
  <c r="E68" i="5"/>
  <c r="E70" i="5"/>
  <c r="E93" i="5"/>
  <c r="E97" i="5"/>
  <c r="E26" i="1"/>
  <c r="C27" i="1"/>
  <c r="D27" i="1"/>
  <c r="B98" i="5"/>
  <c r="E98" i="5"/>
  <c r="E27" i="1"/>
  <c r="F27" i="1"/>
  <c r="G27" i="1"/>
  <c r="C28" i="1"/>
  <c r="F28" i="1"/>
  <c r="J81" i="28"/>
  <c r="H77" i="28"/>
  <c r="G77" i="28"/>
  <c r="I77" i="28"/>
  <c r="J77" i="28"/>
  <c r="H78" i="28"/>
  <c r="G78" i="28"/>
  <c r="I78" i="28"/>
  <c r="J78" i="28"/>
  <c r="J83" i="28"/>
  <c r="J97" i="31"/>
  <c r="D28" i="1"/>
  <c r="B99" i="5"/>
  <c r="E99" i="5"/>
  <c r="E28" i="1"/>
  <c r="G28" i="1"/>
  <c r="C29" i="1"/>
  <c r="F29" i="1"/>
  <c r="J148" i="28"/>
  <c r="H92" i="28"/>
  <c r="G92" i="28"/>
  <c r="I92" i="28"/>
  <c r="J92" i="28"/>
  <c r="H93" i="28"/>
  <c r="G93" i="28"/>
  <c r="I93" i="28"/>
  <c r="J93" i="28"/>
  <c r="G95" i="28"/>
  <c r="I95" i="28"/>
  <c r="J95" i="28"/>
  <c r="G96" i="28"/>
  <c r="I96" i="28"/>
  <c r="J96" i="28"/>
  <c r="G97" i="28"/>
  <c r="I97" i="28"/>
  <c r="J97" i="28"/>
  <c r="G98" i="28"/>
  <c r="I98" i="28"/>
  <c r="J98" i="28"/>
  <c r="G100" i="28"/>
  <c r="I100" i="28"/>
  <c r="J100" i="28"/>
  <c r="H101" i="28"/>
  <c r="G101" i="28"/>
  <c r="I101" i="28"/>
  <c r="J101" i="28"/>
  <c r="H102" i="28"/>
  <c r="G102" i="28"/>
  <c r="I102" i="28"/>
  <c r="J102" i="28"/>
  <c r="H103" i="28"/>
  <c r="G103" i="28"/>
  <c r="I103" i="28"/>
  <c r="J103" i="28"/>
  <c r="J105" i="28"/>
  <c r="G106" i="28"/>
  <c r="I106" i="28"/>
  <c r="J106" i="28"/>
  <c r="I107" i="28"/>
  <c r="J107" i="28"/>
  <c r="I111" i="28"/>
  <c r="J111" i="28"/>
  <c r="G112" i="28"/>
  <c r="I112" i="28"/>
  <c r="J112" i="28"/>
  <c r="J113" i="28"/>
  <c r="J114" i="28"/>
  <c r="J117" i="28"/>
  <c r="G118" i="28"/>
  <c r="I118" i="28"/>
  <c r="J118" i="28"/>
  <c r="J119" i="28"/>
  <c r="J120" i="28"/>
  <c r="J121" i="28"/>
  <c r="G124" i="28"/>
  <c r="I124" i="28"/>
  <c r="J124" i="28"/>
  <c r="J126" i="28"/>
  <c r="G127" i="28"/>
  <c r="I127" i="28"/>
  <c r="J127" i="28"/>
  <c r="G128" i="28"/>
  <c r="I128" i="28"/>
  <c r="J128" i="28"/>
  <c r="G129" i="28"/>
  <c r="I129" i="28"/>
  <c r="J129" i="28"/>
  <c r="G130" i="28"/>
  <c r="I130" i="28"/>
  <c r="J130" i="28"/>
  <c r="G131" i="28"/>
  <c r="I131" i="28"/>
  <c r="J131" i="28"/>
  <c r="G132" i="28"/>
  <c r="I132" i="28"/>
  <c r="J132" i="28"/>
  <c r="G133" i="28"/>
  <c r="I133" i="28"/>
  <c r="J133" i="28"/>
  <c r="G136" i="28"/>
  <c r="I136" i="28"/>
  <c r="J136" i="28"/>
  <c r="G137" i="28"/>
  <c r="I137" i="28"/>
  <c r="J137" i="28"/>
  <c r="G138" i="28"/>
  <c r="I138" i="28"/>
  <c r="J138" i="28"/>
  <c r="G139" i="28"/>
  <c r="I139" i="28"/>
  <c r="J139" i="28"/>
  <c r="G140" i="28"/>
  <c r="I140" i="28"/>
  <c r="J140" i="28"/>
  <c r="G141" i="28"/>
  <c r="I141" i="28"/>
  <c r="J141" i="28"/>
  <c r="G142" i="28"/>
  <c r="I142" i="28"/>
  <c r="J142" i="28"/>
  <c r="J143" i="28"/>
  <c r="G144" i="28"/>
  <c r="I144" i="28"/>
  <c r="J144" i="28"/>
  <c r="J150" i="28"/>
  <c r="J98" i="31"/>
  <c r="D29" i="1"/>
  <c r="B100" i="5"/>
  <c r="E100" i="5"/>
  <c r="E29" i="1"/>
  <c r="G29" i="1"/>
  <c r="B30" i="1"/>
  <c r="C30" i="1"/>
  <c r="F30" i="1"/>
  <c r="J171" i="28"/>
  <c r="H159" i="28"/>
  <c r="G159" i="28"/>
  <c r="I159" i="28"/>
  <c r="J159" i="28"/>
  <c r="H160" i="28"/>
  <c r="G160" i="28"/>
  <c r="I160" i="28"/>
  <c r="J160" i="28"/>
  <c r="G162" i="28"/>
  <c r="I162" i="28"/>
  <c r="J162" i="28"/>
  <c r="G163" i="28"/>
  <c r="I163" i="28"/>
  <c r="J163" i="28"/>
  <c r="H164" i="28"/>
  <c r="G164" i="28"/>
  <c r="I164" i="28"/>
  <c r="J164" i="28"/>
  <c r="H165" i="28"/>
  <c r="G165" i="28"/>
  <c r="I165" i="28"/>
  <c r="J165" i="28"/>
  <c r="H166" i="28"/>
  <c r="G166" i="28"/>
  <c r="I166" i="28"/>
  <c r="J166" i="28"/>
  <c r="G168" i="28"/>
  <c r="I168" i="28"/>
  <c r="J168" i="28"/>
  <c r="G169" i="28"/>
  <c r="I169" i="28"/>
  <c r="J169" i="28"/>
  <c r="J173" i="28"/>
  <c r="J99" i="31"/>
  <c r="D30" i="1"/>
  <c r="B101" i="5"/>
  <c r="E101" i="5"/>
  <c r="E30" i="1"/>
  <c r="G30" i="1"/>
  <c r="B31" i="1"/>
  <c r="C31" i="1"/>
  <c r="F31" i="1"/>
  <c r="J191" i="28"/>
  <c r="H182" i="28"/>
  <c r="G182" i="28"/>
  <c r="I182" i="28"/>
  <c r="J182" i="28"/>
  <c r="H183" i="28"/>
  <c r="G183" i="28"/>
  <c r="I183" i="28"/>
  <c r="J183" i="28"/>
  <c r="G185" i="28"/>
  <c r="I185" i="28"/>
  <c r="J185" i="28"/>
  <c r="G186" i="28"/>
  <c r="I186" i="28"/>
  <c r="J186" i="28"/>
  <c r="H187" i="28"/>
  <c r="G187" i="28"/>
  <c r="I187" i="28"/>
  <c r="J187" i="28"/>
  <c r="J193" i="28"/>
  <c r="J100" i="31"/>
  <c r="D31" i="1"/>
  <c r="B102" i="5"/>
  <c r="E102" i="5"/>
  <c r="E31" i="1"/>
  <c r="G31" i="1"/>
  <c r="I26" i="1"/>
  <c r="M26" i="1"/>
  <c r="I27" i="1"/>
  <c r="M27" i="1"/>
  <c r="I28" i="1"/>
  <c r="M28" i="1"/>
  <c r="I29" i="1"/>
  <c r="M29" i="1"/>
  <c r="I30" i="1"/>
  <c r="M30" i="1"/>
  <c r="I31" i="1"/>
  <c r="M31" i="1"/>
  <c r="A11" i="1"/>
  <c r="A26" i="1"/>
  <c r="A12" i="1"/>
  <c r="A27" i="1"/>
  <c r="A13" i="1"/>
  <c r="A28" i="1"/>
  <c r="A14" i="1"/>
  <c r="A29" i="1"/>
  <c r="A15" i="1"/>
  <c r="A30" i="1"/>
  <c r="A16" i="1"/>
  <c r="A31" i="1"/>
  <c r="A32" i="1"/>
  <c r="A17" i="1"/>
  <c r="A33" i="1"/>
  <c r="A18" i="1"/>
  <c r="A34" i="1"/>
  <c r="A19" i="1"/>
  <c r="A35" i="1"/>
  <c r="I44" i="1"/>
  <c r="I45" i="1"/>
  <c r="I46" i="1"/>
  <c r="I48" i="1"/>
  <c r="A13" i="10"/>
  <c r="A14" i="10"/>
  <c r="A15" i="10"/>
  <c r="A16" i="10"/>
  <c r="U12" i="10"/>
  <c r="B13" i="10"/>
  <c r="J13" i="10"/>
  <c r="L13" i="10"/>
  <c r="N13" i="10"/>
  <c r="O13" i="10"/>
  <c r="Q13" i="10"/>
  <c r="R13" i="10"/>
  <c r="S13" i="10"/>
  <c r="U13" i="10"/>
  <c r="V13" i="10"/>
  <c r="AA13" i="10"/>
  <c r="AK13" i="10"/>
  <c r="AO13" i="10"/>
  <c r="AQ13" i="10"/>
  <c r="AS13" i="10"/>
  <c r="AU13" i="10"/>
  <c r="B14" i="10"/>
  <c r="J14" i="10"/>
  <c r="L14" i="10"/>
  <c r="N14" i="10"/>
  <c r="O14" i="10"/>
  <c r="Q14" i="10"/>
  <c r="R14" i="10"/>
  <c r="S14" i="10"/>
  <c r="U14" i="10"/>
  <c r="V14" i="10"/>
  <c r="AA14" i="10"/>
  <c r="AK14" i="10"/>
  <c r="AO14" i="10"/>
  <c r="AQ14" i="10"/>
  <c r="AS14" i="10"/>
  <c r="AU14" i="10"/>
  <c r="B15" i="10"/>
  <c r="AQ15" i="10"/>
  <c r="AS15" i="10"/>
  <c r="AU15" i="10"/>
  <c r="B16" i="10"/>
  <c r="J16" i="10"/>
  <c r="L16" i="10"/>
  <c r="N16" i="10"/>
  <c r="O16" i="10"/>
  <c r="Q16" i="10"/>
  <c r="R16" i="10"/>
  <c r="S16" i="10"/>
  <c r="U16" i="10"/>
  <c r="V16" i="10"/>
  <c r="AA16" i="10"/>
  <c r="AK16" i="10"/>
  <c r="AO16" i="10"/>
  <c r="AQ16" i="10"/>
  <c r="AS16" i="10"/>
  <c r="AU16" i="10"/>
  <c r="A17" i="10"/>
  <c r="B17" i="10"/>
  <c r="J17" i="10"/>
  <c r="L17" i="10"/>
  <c r="N17" i="10"/>
  <c r="O17" i="10"/>
  <c r="Q17" i="10"/>
  <c r="R17" i="10"/>
  <c r="S17" i="10"/>
  <c r="U17" i="10"/>
  <c r="V17" i="10"/>
  <c r="AA17" i="10"/>
  <c r="AK17" i="10"/>
  <c r="AO17" i="10"/>
  <c r="AQ17" i="10"/>
  <c r="AS17" i="10"/>
  <c r="AU17" i="10"/>
  <c r="A18" i="10"/>
  <c r="B18" i="10"/>
  <c r="AQ18" i="10"/>
  <c r="AS18" i="10"/>
  <c r="AU18" i="10"/>
  <c r="A19" i="10"/>
  <c r="B19" i="10"/>
  <c r="J19" i="10"/>
  <c r="L19" i="10"/>
  <c r="N19" i="10"/>
  <c r="O19" i="10"/>
  <c r="Q19" i="10"/>
  <c r="R19" i="10"/>
  <c r="S19" i="10"/>
  <c r="U19" i="10"/>
  <c r="V19" i="10"/>
  <c r="AA19" i="10"/>
  <c r="AK19" i="10"/>
  <c r="AO19" i="10"/>
  <c r="AQ19" i="10"/>
  <c r="AS19" i="10"/>
  <c r="AU19" i="10"/>
  <c r="A20" i="10"/>
  <c r="B20" i="10"/>
  <c r="J20" i="10"/>
  <c r="L20" i="10"/>
  <c r="N20" i="10"/>
  <c r="O20" i="10"/>
  <c r="Q20" i="10"/>
  <c r="R20" i="10"/>
  <c r="S20" i="10"/>
  <c r="U20" i="10"/>
  <c r="V20" i="10"/>
  <c r="AA20" i="10"/>
  <c r="AK20" i="10"/>
  <c r="AO20" i="10"/>
  <c r="AQ20" i="10"/>
  <c r="AS20" i="10"/>
  <c r="AU20" i="10"/>
  <c r="A21" i="10"/>
  <c r="B21" i="10"/>
  <c r="J21" i="10"/>
  <c r="L21" i="10"/>
  <c r="N21" i="10"/>
  <c r="O21" i="10"/>
  <c r="Q21" i="10"/>
  <c r="R21" i="10"/>
  <c r="S21" i="10"/>
  <c r="U21" i="10"/>
  <c r="V21" i="10"/>
  <c r="AA21" i="10"/>
  <c r="AK21" i="10"/>
  <c r="AO21" i="10"/>
  <c r="AQ21" i="10"/>
  <c r="AS21" i="10"/>
  <c r="AU21" i="10"/>
  <c r="A22" i="10"/>
  <c r="B22" i="10"/>
  <c r="J22" i="10"/>
  <c r="L22" i="10"/>
  <c r="N22" i="10"/>
  <c r="O22" i="10"/>
  <c r="Q22" i="10"/>
  <c r="R22" i="10"/>
  <c r="S22" i="10"/>
  <c r="U22" i="10"/>
  <c r="V22" i="10"/>
  <c r="AA22" i="10"/>
  <c r="AK22" i="10"/>
  <c r="AO22" i="10"/>
  <c r="AQ22" i="10"/>
  <c r="AS22" i="10"/>
  <c r="AU22" i="10"/>
  <c r="A23" i="10"/>
  <c r="B23" i="10"/>
  <c r="AQ23" i="10"/>
  <c r="AS23" i="10"/>
  <c r="AU23" i="10"/>
  <c r="A24" i="10"/>
  <c r="B24" i="10"/>
  <c r="J24" i="10"/>
  <c r="L24" i="10"/>
  <c r="N24" i="10"/>
  <c r="O24" i="10"/>
  <c r="Q24" i="10"/>
  <c r="R24" i="10"/>
  <c r="S24" i="10"/>
  <c r="U24" i="10"/>
  <c r="V24" i="10"/>
  <c r="AA24" i="10"/>
  <c r="AK24" i="10"/>
  <c r="AO24" i="10"/>
  <c r="AQ24" i="10"/>
  <c r="AS24" i="10"/>
  <c r="AU24" i="10"/>
  <c r="A25" i="10"/>
  <c r="B25" i="10"/>
  <c r="J25" i="10"/>
  <c r="L25" i="10"/>
  <c r="N25" i="10"/>
  <c r="O25" i="10"/>
  <c r="Q25" i="10"/>
  <c r="R25" i="10"/>
  <c r="S25" i="10"/>
  <c r="U25" i="10"/>
  <c r="V25" i="10"/>
  <c r="AA25" i="10"/>
  <c r="AK25" i="10"/>
  <c r="AO25" i="10"/>
  <c r="AQ25" i="10"/>
  <c r="AS25" i="10"/>
  <c r="AU25" i="10"/>
  <c r="A26" i="10"/>
  <c r="B26" i="10"/>
  <c r="AQ26" i="10"/>
  <c r="AS26" i="10"/>
  <c r="AU26" i="10"/>
  <c r="A27" i="10"/>
  <c r="B27" i="10"/>
  <c r="J27" i="10"/>
  <c r="L27" i="10"/>
  <c r="N27" i="10"/>
  <c r="O27" i="10"/>
  <c r="Q27" i="10"/>
  <c r="R27" i="10"/>
  <c r="S27" i="10"/>
  <c r="U27" i="10"/>
  <c r="V27" i="10"/>
  <c r="AA27" i="10"/>
  <c r="AK27" i="10"/>
  <c r="AO27" i="10"/>
  <c r="AQ27" i="10"/>
  <c r="AS27" i="10"/>
  <c r="AU27" i="10"/>
  <c r="A28" i="10"/>
  <c r="B28" i="10"/>
  <c r="AQ28" i="10"/>
  <c r="AS28" i="10"/>
  <c r="AU28" i="10"/>
  <c r="A29" i="10"/>
  <c r="B29" i="10"/>
  <c r="I29" i="10"/>
  <c r="J29" i="10"/>
  <c r="L29" i="10"/>
  <c r="N29" i="10"/>
  <c r="O29" i="10"/>
  <c r="Q29" i="10"/>
  <c r="R29" i="10"/>
  <c r="S29" i="10"/>
  <c r="U29" i="10"/>
  <c r="V29" i="10"/>
  <c r="AA29" i="10"/>
  <c r="AK29" i="10"/>
  <c r="AO29" i="10"/>
  <c r="AQ29" i="10"/>
  <c r="AS29" i="10"/>
  <c r="AU29" i="10"/>
  <c r="A30" i="10"/>
  <c r="B30" i="10"/>
  <c r="AQ30" i="10"/>
  <c r="AS30" i="10"/>
  <c r="AU30" i="10"/>
  <c r="A31" i="10"/>
  <c r="B31" i="10"/>
  <c r="I31" i="10"/>
  <c r="J31" i="10"/>
  <c r="L31" i="10"/>
  <c r="N31" i="10"/>
  <c r="O31" i="10"/>
  <c r="Q31" i="10"/>
  <c r="R31" i="10"/>
  <c r="S31" i="10"/>
  <c r="U31" i="10"/>
  <c r="V31" i="10"/>
  <c r="AA31" i="10"/>
  <c r="AK31" i="10"/>
  <c r="AO31" i="10"/>
  <c r="AQ31" i="10"/>
  <c r="AS31" i="10"/>
  <c r="AU31" i="10"/>
  <c r="A32" i="10"/>
  <c r="B32" i="10"/>
  <c r="J32" i="10"/>
  <c r="R32" i="10"/>
  <c r="E69" i="32"/>
  <c r="E70" i="32"/>
  <c r="E71" i="32"/>
  <c r="E72" i="32"/>
  <c r="F73" i="32"/>
  <c r="U32" i="10"/>
  <c r="A33" i="10"/>
  <c r="B33" i="10"/>
  <c r="H33" i="10"/>
  <c r="J33" i="10"/>
  <c r="L33" i="10"/>
  <c r="N33" i="10"/>
  <c r="O33" i="10"/>
  <c r="Q33" i="10"/>
  <c r="R33" i="10"/>
  <c r="S33" i="10"/>
  <c r="U33" i="10"/>
  <c r="V33" i="10"/>
  <c r="AA33" i="10"/>
  <c r="AK33" i="10"/>
  <c r="AO33" i="10"/>
  <c r="AQ33" i="10"/>
  <c r="AS33" i="10"/>
  <c r="AU33" i="10"/>
  <c r="A34" i="10"/>
  <c r="B34" i="10"/>
  <c r="H34" i="10"/>
  <c r="J34" i="10"/>
  <c r="L34" i="10"/>
  <c r="N34" i="10"/>
  <c r="O34" i="10"/>
  <c r="Q34" i="10"/>
  <c r="R34" i="10"/>
  <c r="S34" i="10"/>
  <c r="U34" i="10"/>
  <c r="V34" i="10"/>
  <c r="AA34" i="10"/>
  <c r="AK34" i="10"/>
  <c r="AO34" i="10"/>
  <c r="AQ34" i="10"/>
  <c r="AS34" i="10"/>
  <c r="AU34" i="10"/>
  <c r="A35" i="10"/>
  <c r="B35" i="10"/>
  <c r="H35" i="10"/>
  <c r="J35" i="10"/>
  <c r="L35" i="10"/>
  <c r="N35" i="10"/>
  <c r="O35" i="10"/>
  <c r="Q35" i="10"/>
  <c r="R35" i="10"/>
  <c r="S35" i="10"/>
  <c r="U35" i="10"/>
  <c r="V35" i="10"/>
  <c r="AA35" i="10"/>
  <c r="AK35" i="10"/>
  <c r="AO35" i="10"/>
  <c r="AQ35" i="10"/>
  <c r="AS35" i="10"/>
  <c r="AU35" i="10"/>
  <c r="E83" i="5"/>
  <c r="E78" i="5"/>
  <c r="E85" i="5"/>
  <c r="E86" i="5"/>
  <c r="E88" i="5"/>
  <c r="E90" i="5"/>
  <c r="E43" i="5"/>
  <c r="E38" i="5"/>
  <c r="E45" i="5"/>
  <c r="E46" i="5"/>
  <c r="E48" i="5"/>
  <c r="E50" i="5"/>
  <c r="E103" i="5"/>
  <c r="E104" i="5"/>
  <c r="E105" i="5"/>
  <c r="E106" i="5"/>
  <c r="E107" i="5"/>
  <c r="E108" i="5"/>
  <c r="G51" i="1"/>
  <c r="F51" i="1"/>
  <c r="G52" i="1"/>
  <c r="G55" i="1"/>
  <c r="F52" i="1"/>
  <c r="F53" i="1"/>
  <c r="L14" i="2"/>
  <c r="L11" i="2"/>
  <c r="L12" i="2"/>
  <c r="L13" i="2"/>
  <c r="L15" i="2"/>
  <c r="L16" i="2"/>
  <c r="L17" i="2"/>
  <c r="L18" i="2"/>
  <c r="L19" i="2"/>
  <c r="L20" i="2"/>
  <c r="L21" i="2"/>
  <c r="L22" i="2"/>
  <c r="L23" i="2"/>
  <c r="L24" i="2"/>
  <c r="L25" i="2"/>
  <c r="L26" i="2"/>
  <c r="L27" i="2"/>
  <c r="L28" i="2"/>
  <c r="L29" i="2"/>
  <c r="L31" i="2"/>
  <c r="N14" i="2"/>
  <c r="K14" i="2"/>
  <c r="K25" i="2"/>
  <c r="K15" i="2"/>
  <c r="K24" i="2"/>
  <c r="N11" i="2"/>
  <c r="N12" i="2"/>
  <c r="N13" i="2"/>
  <c r="N15" i="2"/>
  <c r="N16" i="2"/>
  <c r="N17" i="2"/>
  <c r="N18" i="2"/>
  <c r="N19" i="2"/>
  <c r="N20" i="2"/>
  <c r="N21" i="2"/>
  <c r="N22" i="2"/>
  <c r="N23" i="2"/>
  <c r="N24" i="2"/>
  <c r="N25" i="2"/>
  <c r="N26" i="2"/>
  <c r="N27" i="2"/>
  <c r="N28" i="2"/>
  <c r="N29" i="2"/>
  <c r="N31" i="2"/>
  <c r="K35" i="34"/>
  <c r="F37" i="1"/>
  <c r="G37" i="1"/>
  <c r="C45" i="1"/>
  <c r="C44" i="1"/>
  <c r="E37" i="1"/>
  <c r="B111" i="5"/>
  <c r="B112" i="5"/>
  <c r="D6" i="10"/>
  <c r="C7" i="5"/>
  <c r="E8" i="28"/>
  <c r="C6" i="10"/>
  <c r="B7" i="5"/>
  <c r="B8" i="28"/>
  <c r="D5" i="10"/>
  <c r="C6" i="5"/>
  <c r="E7" i="28"/>
  <c r="C5" i="10"/>
  <c r="B6" i="5"/>
  <c r="B7" i="28"/>
  <c r="D4" i="10"/>
  <c r="C5" i="5"/>
  <c r="E6" i="28"/>
  <c r="C4" i="10"/>
  <c r="B5" i="5"/>
  <c r="B6" i="28"/>
  <c r="C3" i="10"/>
  <c r="B4" i="5"/>
  <c r="B5" i="28"/>
  <c r="D2" i="10"/>
  <c r="C3" i="5"/>
  <c r="E4" i="28"/>
  <c r="C2" i="10"/>
  <c r="B3" i="5"/>
  <c r="B4" i="28"/>
  <c r="K23" i="2"/>
  <c r="K22" i="2"/>
  <c r="K21" i="2"/>
  <c r="K11" i="2"/>
  <c r="K12" i="2"/>
  <c r="AJ530" i="39"/>
  <c r="AJ531" i="39"/>
  <c r="AJ532" i="39"/>
  <c r="AJ533" i="39"/>
  <c r="AJ534" i="39"/>
  <c r="AJ535" i="39"/>
  <c r="AJ536" i="39"/>
  <c r="AJ537" i="39"/>
  <c r="AJ538" i="39"/>
  <c r="AJ539" i="39"/>
  <c r="AJ540" i="39"/>
  <c r="AJ541" i="39"/>
  <c r="AJ542" i="39"/>
  <c r="AJ543" i="39"/>
  <c r="AJ544" i="39"/>
  <c r="AJ545" i="39"/>
  <c r="AJ546" i="39"/>
  <c r="AJ547" i="39"/>
  <c r="AJ548" i="39"/>
  <c r="AJ549" i="39"/>
  <c r="AJ550" i="39"/>
  <c r="AJ551" i="39"/>
  <c r="AJ552" i="39"/>
  <c r="AJ553" i="39"/>
  <c r="AJ554" i="39"/>
  <c r="AJ555" i="39"/>
  <c r="AJ556" i="39"/>
  <c r="AJ557" i="39"/>
  <c r="AJ558" i="39"/>
  <c r="AJ559" i="39"/>
  <c r="AJ560" i="39"/>
  <c r="AJ561" i="39"/>
  <c r="AJ562" i="39"/>
  <c r="AJ563" i="39"/>
  <c r="AJ564" i="39"/>
  <c r="AJ565" i="39"/>
  <c r="AJ566" i="39"/>
  <c r="AJ567" i="39"/>
  <c r="AJ568" i="39"/>
  <c r="AJ569" i="39"/>
  <c r="AJ570" i="39"/>
  <c r="AJ571" i="39"/>
  <c r="AJ572" i="39"/>
  <c r="AJ573" i="39"/>
  <c r="AJ574" i="39"/>
  <c r="AJ575" i="39"/>
  <c r="AJ576" i="39"/>
  <c r="AJ577" i="39"/>
  <c r="AJ578" i="39"/>
  <c r="AJ579" i="39"/>
  <c r="AJ580" i="39"/>
  <c r="AJ581" i="39"/>
  <c r="AJ582" i="39"/>
  <c r="AJ583" i="39"/>
  <c r="AJ584" i="39"/>
  <c r="AJ585" i="39"/>
  <c r="AJ586" i="39"/>
  <c r="AJ587" i="39"/>
  <c r="AJ588" i="39"/>
  <c r="AJ589" i="39"/>
  <c r="AJ590" i="39"/>
  <c r="AJ591" i="39"/>
  <c r="AJ592" i="39"/>
  <c r="AJ593" i="39"/>
  <c r="AJ594" i="39"/>
  <c r="AJ595" i="39"/>
  <c r="AJ596" i="39"/>
  <c r="AJ597" i="39"/>
  <c r="AJ598" i="39"/>
  <c r="AJ599" i="39"/>
  <c r="AJ600" i="39"/>
  <c r="AJ601" i="39"/>
  <c r="AJ602" i="39"/>
  <c r="AJ603" i="39"/>
  <c r="AJ604" i="39"/>
  <c r="AJ605" i="39"/>
  <c r="AJ606" i="39"/>
  <c r="AJ607" i="39"/>
  <c r="AJ608" i="39"/>
  <c r="AJ609" i="39"/>
  <c r="AJ610" i="39"/>
  <c r="AJ611" i="39"/>
  <c r="AJ612" i="39"/>
  <c r="AJ613" i="39"/>
  <c r="AJ614" i="39"/>
  <c r="AJ615" i="39"/>
  <c r="AJ616" i="39"/>
  <c r="AJ617" i="39"/>
  <c r="AJ618" i="39"/>
  <c r="AJ619" i="39"/>
  <c r="AJ620" i="39"/>
  <c r="AJ621" i="39"/>
  <c r="AJ622" i="39"/>
  <c r="AJ623" i="39"/>
  <c r="AJ624" i="39"/>
  <c r="AJ625" i="39"/>
  <c r="AJ626" i="39"/>
  <c r="AJ627" i="39"/>
  <c r="AJ628" i="39"/>
  <c r="AJ629" i="39"/>
  <c r="AJ630" i="39"/>
  <c r="AJ631" i="39"/>
  <c r="AJ632" i="39"/>
  <c r="AJ633" i="39"/>
  <c r="AJ634" i="39"/>
  <c r="AJ635" i="39"/>
  <c r="AJ636" i="39"/>
  <c r="AJ637" i="39"/>
  <c r="AJ638" i="39"/>
  <c r="AJ639" i="39"/>
  <c r="AJ640" i="39"/>
  <c r="AJ641" i="39"/>
  <c r="AJ642" i="39"/>
  <c r="AJ643" i="39"/>
  <c r="AJ644" i="39"/>
  <c r="AJ645" i="39"/>
  <c r="AJ646" i="39"/>
  <c r="AJ647" i="39"/>
  <c r="AJ648" i="39"/>
  <c r="AJ649" i="39"/>
  <c r="AJ650" i="39"/>
  <c r="AJ651" i="39"/>
  <c r="AJ652" i="39"/>
  <c r="AJ653" i="39"/>
  <c r="AJ654" i="39"/>
  <c r="AJ655" i="39"/>
  <c r="AJ656" i="39"/>
  <c r="AJ657" i="39"/>
  <c r="AJ658" i="39"/>
  <c r="AJ659" i="39"/>
  <c r="AJ660" i="39"/>
  <c r="AJ661" i="39"/>
  <c r="AJ662" i="39"/>
  <c r="AJ663" i="39"/>
  <c r="AJ664" i="39"/>
  <c r="AJ665" i="39"/>
  <c r="AJ666" i="39"/>
  <c r="AJ667" i="39"/>
  <c r="AJ668" i="39"/>
  <c r="AJ669" i="39"/>
  <c r="AJ670" i="39"/>
  <c r="AJ671" i="39"/>
  <c r="AJ672" i="39"/>
  <c r="AJ673" i="39"/>
  <c r="AJ674" i="39"/>
  <c r="AJ675" i="39"/>
  <c r="AJ676" i="39"/>
  <c r="AJ677" i="39"/>
  <c r="AJ678" i="39"/>
  <c r="AJ679" i="39"/>
  <c r="AJ680" i="39"/>
  <c r="AJ681" i="39"/>
  <c r="AJ682" i="39"/>
  <c r="AJ683" i="39"/>
  <c r="AJ684" i="39"/>
  <c r="AJ685" i="39"/>
  <c r="AJ686" i="39"/>
  <c r="AJ687" i="39"/>
  <c r="AJ688" i="39"/>
  <c r="AJ689" i="39"/>
  <c r="AJ690" i="39"/>
  <c r="AJ691" i="39"/>
  <c r="AJ692" i="39"/>
  <c r="AJ693" i="39"/>
  <c r="AJ694" i="39"/>
  <c r="AJ695" i="39"/>
  <c r="AJ696" i="39"/>
  <c r="AJ697" i="39"/>
  <c r="AJ698" i="39"/>
  <c r="AJ699" i="39"/>
  <c r="AG699" i="39"/>
  <c r="AG698" i="39"/>
  <c r="AG697" i="39"/>
  <c r="AG696" i="39"/>
  <c r="AG695" i="39"/>
  <c r="AG694" i="39"/>
  <c r="AG693" i="39"/>
  <c r="AG692" i="39"/>
  <c r="AG691" i="39"/>
  <c r="AG690" i="39"/>
  <c r="AG689" i="39"/>
  <c r="AG688" i="39"/>
  <c r="AG687" i="39"/>
  <c r="AG686" i="39"/>
  <c r="AG685" i="39"/>
  <c r="AG684" i="39"/>
  <c r="AG683" i="39"/>
  <c r="AG682" i="39"/>
  <c r="AG681" i="39"/>
  <c r="AG680" i="39"/>
  <c r="AG679" i="39"/>
  <c r="AG678" i="39"/>
  <c r="AG677" i="39"/>
  <c r="AG676" i="39"/>
  <c r="AG675" i="39"/>
  <c r="AG674" i="39"/>
  <c r="AG673" i="39"/>
  <c r="AG672" i="39"/>
  <c r="AG671" i="39"/>
  <c r="AG670" i="39"/>
  <c r="AG669" i="39"/>
  <c r="AG668" i="39"/>
  <c r="AG667" i="39"/>
  <c r="AG666" i="39"/>
  <c r="AG665" i="39"/>
  <c r="AG664" i="39"/>
  <c r="AG663" i="39"/>
  <c r="AG662" i="39"/>
  <c r="AG661" i="39"/>
  <c r="AG660" i="39"/>
  <c r="AG659" i="39"/>
  <c r="AG658" i="39"/>
  <c r="AG657" i="39"/>
  <c r="AG656" i="39"/>
  <c r="AG655" i="39"/>
  <c r="AG654" i="39"/>
  <c r="AG653" i="39"/>
  <c r="AG652" i="39"/>
  <c r="AG651" i="39"/>
  <c r="AG650" i="39"/>
  <c r="AG649" i="39"/>
  <c r="AG648" i="39"/>
  <c r="AG647" i="39"/>
  <c r="AG646" i="39"/>
  <c r="AG645" i="39"/>
  <c r="AG644" i="39"/>
  <c r="AG643" i="39"/>
  <c r="AG642" i="39"/>
  <c r="AG641" i="39"/>
  <c r="AG640" i="39"/>
  <c r="AG639" i="39"/>
  <c r="AG638" i="39"/>
  <c r="AG637" i="39"/>
  <c r="AG636" i="39"/>
  <c r="AG635" i="39"/>
  <c r="AG634" i="39"/>
  <c r="AG633" i="39"/>
  <c r="AG632" i="39"/>
  <c r="AG631" i="39"/>
  <c r="AG630" i="39"/>
  <c r="AG629" i="39"/>
  <c r="AG628" i="39"/>
  <c r="AG627" i="39"/>
  <c r="AG626" i="39"/>
  <c r="AG625" i="39"/>
  <c r="AG624" i="39"/>
  <c r="AG623" i="39"/>
  <c r="AG622" i="39"/>
  <c r="AG621" i="39"/>
  <c r="AG620" i="39"/>
  <c r="AG619" i="39"/>
  <c r="AG618" i="39"/>
  <c r="AG617" i="39"/>
  <c r="AG616" i="39"/>
  <c r="AG615" i="39"/>
  <c r="AG614" i="39"/>
  <c r="AG613" i="39"/>
  <c r="AG612" i="39"/>
  <c r="AG611" i="39"/>
  <c r="AG610" i="39"/>
  <c r="AG609" i="39"/>
  <c r="AG608" i="39"/>
  <c r="AG607" i="39"/>
  <c r="AG606" i="39"/>
  <c r="AG605" i="39"/>
  <c r="AG604" i="39"/>
  <c r="AG603" i="39"/>
  <c r="AG602" i="39"/>
  <c r="AG601" i="39"/>
  <c r="AG600" i="39"/>
  <c r="AG599" i="39"/>
  <c r="AG598" i="39"/>
  <c r="AG597" i="39"/>
  <c r="AG596" i="39"/>
  <c r="AG595" i="39"/>
  <c r="AG594" i="39"/>
  <c r="AG593" i="39"/>
  <c r="AG592" i="39"/>
  <c r="AG591" i="39"/>
  <c r="AG590" i="39"/>
  <c r="AG589" i="39"/>
  <c r="AG588" i="39"/>
  <c r="AG587" i="39"/>
  <c r="AG586" i="39"/>
  <c r="AG585" i="39"/>
  <c r="AG584" i="39"/>
  <c r="AG583" i="39"/>
  <c r="AG12" i="39"/>
  <c r="AJ12" i="39"/>
  <c r="AJ13" i="39"/>
  <c r="AJ14" i="39"/>
  <c r="AJ15" i="39"/>
  <c r="AJ16" i="39"/>
  <c r="AJ17" i="39"/>
  <c r="I11" i="29"/>
  <c r="I12" i="29"/>
  <c r="I13" i="29"/>
  <c r="I14" i="29"/>
  <c r="P11" i="29"/>
  <c r="U11" i="29"/>
  <c r="R11" i="29"/>
  <c r="V11" i="29"/>
  <c r="S11" i="29"/>
  <c r="W11" i="29"/>
  <c r="T11" i="29"/>
  <c r="X11" i="29"/>
  <c r="P12" i="29"/>
  <c r="U12" i="29"/>
  <c r="R12" i="29"/>
  <c r="V12" i="29"/>
  <c r="S12" i="29"/>
  <c r="W12" i="29"/>
  <c r="T12" i="29"/>
  <c r="X12" i="29"/>
  <c r="P13" i="29"/>
  <c r="U13" i="29"/>
  <c r="R13" i="29"/>
  <c r="V13" i="29"/>
  <c r="S13" i="29"/>
  <c r="W13" i="29"/>
  <c r="T13" i="29"/>
  <c r="X13" i="29"/>
  <c r="P14" i="29"/>
  <c r="U14" i="29"/>
  <c r="R14" i="29"/>
  <c r="V14" i="29"/>
  <c r="S14" i="29"/>
  <c r="W14" i="29"/>
  <c r="T14" i="29"/>
  <c r="X14" i="29"/>
  <c r="I15" i="29"/>
  <c r="P15" i="29"/>
  <c r="U15" i="29"/>
  <c r="R15" i="29"/>
  <c r="V15" i="29"/>
  <c r="S15" i="29"/>
  <c r="W15" i="29"/>
  <c r="T15" i="29"/>
  <c r="X15" i="29"/>
  <c r="I16" i="29"/>
  <c r="P16" i="29"/>
  <c r="U16" i="29"/>
  <c r="R16" i="29"/>
  <c r="V16" i="29"/>
  <c r="S16" i="29"/>
  <c r="W16" i="29"/>
  <c r="T16" i="29"/>
  <c r="X16" i="29"/>
  <c r="I17" i="29"/>
  <c r="P17" i="29"/>
  <c r="U17" i="29"/>
  <c r="R17" i="29"/>
  <c r="V17" i="29"/>
  <c r="S17" i="29"/>
  <c r="W17" i="29"/>
  <c r="T17" i="29"/>
  <c r="X17" i="29"/>
  <c r="I18" i="29"/>
  <c r="P18" i="29"/>
  <c r="U18" i="29"/>
  <c r="R18" i="29"/>
  <c r="V18" i="29"/>
  <c r="S18" i="29"/>
  <c r="W18" i="29"/>
  <c r="T18" i="29"/>
  <c r="X18" i="29"/>
  <c r="I19" i="29"/>
  <c r="P19" i="29"/>
  <c r="U19" i="29"/>
  <c r="R19" i="29"/>
  <c r="V19" i="29"/>
  <c r="S19" i="29"/>
  <c r="W19" i="29"/>
  <c r="T19" i="29"/>
  <c r="X19" i="29"/>
  <c r="I20" i="29"/>
  <c r="P20" i="29"/>
  <c r="U20" i="29"/>
  <c r="R20" i="29"/>
  <c r="V20" i="29"/>
  <c r="S20" i="29"/>
  <c r="W20" i="29"/>
  <c r="T20" i="29"/>
  <c r="X20" i="29"/>
  <c r="I52" i="31"/>
  <c r="J52" i="31"/>
  <c r="I55" i="31"/>
  <c r="J55" i="31"/>
  <c r="I58" i="31"/>
  <c r="J58" i="31"/>
  <c r="J60" i="31"/>
  <c r="H42" i="31"/>
  <c r="I42" i="31"/>
  <c r="J42" i="31"/>
  <c r="H45" i="31"/>
  <c r="I45" i="31"/>
  <c r="J45" i="31"/>
  <c r="H48" i="31"/>
  <c r="I48" i="31"/>
  <c r="J48" i="31"/>
  <c r="J49" i="31"/>
  <c r="J62" i="31"/>
  <c r="E109" i="5"/>
  <c r="E110" i="5"/>
  <c r="E111" i="5"/>
  <c r="E112" i="5"/>
  <c r="E115" i="5"/>
  <c r="J87" i="31"/>
  <c r="J89" i="31"/>
  <c r="E4" i="29"/>
  <c r="G4" i="29"/>
  <c r="E5" i="29"/>
  <c r="E6" i="29"/>
  <c r="G6" i="29"/>
  <c r="E7" i="29"/>
  <c r="G7" i="29"/>
  <c r="E8" i="29"/>
  <c r="G8" i="29"/>
  <c r="K13" i="2"/>
  <c r="K16" i="2"/>
  <c r="K17" i="2"/>
  <c r="K18" i="2"/>
  <c r="K19" i="2"/>
  <c r="K20" i="2"/>
  <c r="K26" i="2"/>
  <c r="K28" i="2"/>
  <c r="K29" i="2"/>
  <c r="F61" i="32"/>
  <c r="F67" i="32"/>
  <c r="AJ11" i="39"/>
  <c r="AH11" i="39"/>
  <c r="AG11" i="39"/>
  <c r="AD11" i="39"/>
  <c r="AD12" i="39"/>
  <c r="AH582" i="39"/>
  <c r="AG582" i="39"/>
  <c r="AD582" i="39"/>
  <c r="AH581" i="39"/>
  <c r="AG581" i="39"/>
  <c r="AD581" i="39"/>
  <c r="AH580" i="39"/>
  <c r="AG580" i="39"/>
  <c r="AD580" i="39"/>
  <c r="AH579" i="39"/>
  <c r="AG579" i="39"/>
  <c r="AD579" i="39"/>
  <c r="AH578" i="39"/>
  <c r="AG578" i="39"/>
  <c r="AH577" i="39"/>
  <c r="AG577" i="39"/>
  <c r="AD577" i="39"/>
  <c r="AH576" i="39"/>
  <c r="AG576" i="39"/>
  <c r="AH575" i="39"/>
  <c r="AG575" i="39"/>
  <c r="AD575" i="39"/>
  <c r="AH574" i="39"/>
  <c r="AG574" i="39"/>
  <c r="AH573" i="39"/>
  <c r="AG573" i="39"/>
  <c r="AD573" i="39"/>
  <c r="AH572" i="39"/>
  <c r="AG572" i="39"/>
  <c r="AD572" i="39"/>
  <c r="AH571" i="39"/>
  <c r="AG571" i="39"/>
  <c r="AD571" i="39"/>
  <c r="AH570" i="39"/>
  <c r="AG570" i="39"/>
  <c r="AD570" i="39"/>
  <c r="AH569" i="39"/>
  <c r="AG569" i="39"/>
  <c r="AD569" i="39"/>
  <c r="AH568" i="39"/>
  <c r="AG568" i="39"/>
  <c r="AD568" i="39"/>
  <c r="AH567" i="39"/>
  <c r="AG567" i="39"/>
  <c r="AH566" i="39"/>
  <c r="AG566" i="39"/>
  <c r="AH565" i="39"/>
  <c r="AG565" i="39"/>
  <c r="AD565" i="39"/>
  <c r="AH564" i="39"/>
  <c r="AG564" i="39"/>
  <c r="AH563" i="39"/>
  <c r="AG563" i="39"/>
  <c r="AH562" i="39"/>
  <c r="AG562" i="39"/>
  <c r="AD562" i="39"/>
  <c r="AH561" i="39"/>
  <c r="AG561" i="39"/>
  <c r="AH560" i="39"/>
  <c r="AG560" i="39"/>
  <c r="AD560" i="39"/>
  <c r="AH559" i="39"/>
  <c r="AG559" i="39"/>
  <c r="AH558" i="39"/>
  <c r="AG558" i="39"/>
  <c r="AD558" i="39"/>
  <c r="AH557" i="39"/>
  <c r="AG557" i="39"/>
  <c r="AH556" i="39"/>
  <c r="AG556" i="39"/>
  <c r="AD556" i="39"/>
  <c r="AH555" i="39"/>
  <c r="AG555" i="39"/>
  <c r="AD555" i="39"/>
  <c r="AH554" i="39"/>
  <c r="AG554" i="39"/>
  <c r="AH553" i="39"/>
  <c r="AG553" i="39"/>
  <c r="AD553" i="39"/>
  <c r="AH552" i="39"/>
  <c r="AG552" i="39"/>
  <c r="AH551" i="39"/>
  <c r="AG551" i="39"/>
  <c r="AD551" i="39"/>
  <c r="AH550" i="39"/>
  <c r="AG550" i="39"/>
  <c r="AH549" i="39"/>
  <c r="AG549" i="39"/>
  <c r="AD549" i="39"/>
  <c r="AH548" i="39"/>
  <c r="AG548" i="39"/>
  <c r="AH547" i="39"/>
  <c r="AG547" i="39"/>
  <c r="AD547" i="39"/>
  <c r="AH546" i="39"/>
  <c r="AG546" i="39"/>
  <c r="AD546" i="39"/>
  <c r="AH545" i="39"/>
  <c r="AG545" i="39"/>
  <c r="AD545" i="39"/>
  <c r="AH544" i="39"/>
  <c r="AG544" i="39"/>
  <c r="AD544" i="39"/>
  <c r="AH543" i="39"/>
  <c r="AG543" i="39"/>
  <c r="AD543" i="39"/>
  <c r="AH542" i="39"/>
  <c r="AG542" i="39"/>
  <c r="AD542" i="39"/>
  <c r="AH541" i="39"/>
  <c r="AG541" i="39"/>
  <c r="AD541" i="39"/>
  <c r="AH540" i="39"/>
  <c r="AG540" i="39"/>
  <c r="AD540" i="39"/>
  <c r="AH539" i="39"/>
  <c r="AG539" i="39"/>
  <c r="AD539" i="39"/>
  <c r="AH538" i="39"/>
  <c r="AG538" i="39"/>
  <c r="AD538" i="39"/>
  <c r="AH537" i="39"/>
  <c r="AG537" i="39"/>
  <c r="AD537" i="39"/>
  <c r="AH536" i="39"/>
  <c r="AG536" i="39"/>
  <c r="AD536" i="39"/>
  <c r="AH535" i="39"/>
  <c r="AG535" i="39"/>
  <c r="AD535" i="39"/>
  <c r="AH534" i="39"/>
  <c r="AG534" i="39"/>
  <c r="AD534" i="39"/>
  <c r="AH533" i="39"/>
  <c r="AG533" i="39"/>
  <c r="AD533" i="39"/>
  <c r="AH532" i="39"/>
  <c r="AG532" i="39"/>
  <c r="AH531" i="39"/>
  <c r="AG531" i="39"/>
  <c r="AH530" i="39"/>
  <c r="AG530" i="39"/>
  <c r="AD530" i="39"/>
  <c r="AJ529" i="39"/>
  <c r="AH529" i="39"/>
  <c r="AG529" i="39"/>
  <c r="AD529" i="39"/>
  <c r="AJ528" i="39"/>
  <c r="AH528" i="39"/>
  <c r="AG528" i="39"/>
  <c r="AD528" i="39"/>
  <c r="AJ527" i="39"/>
  <c r="AH527" i="39"/>
  <c r="AG527" i="39"/>
  <c r="AJ526" i="39"/>
  <c r="AH526" i="39"/>
  <c r="AG526" i="39"/>
  <c r="AD526" i="39"/>
  <c r="AJ525" i="39"/>
  <c r="AH525" i="39"/>
  <c r="AG525" i="39"/>
  <c r="AD525" i="39"/>
  <c r="AJ524" i="39"/>
  <c r="AH524" i="39"/>
  <c r="AG524" i="39"/>
  <c r="AD524" i="39"/>
  <c r="AJ523" i="39"/>
  <c r="AH523" i="39"/>
  <c r="AG523" i="39"/>
  <c r="AD523" i="39"/>
  <c r="AJ522" i="39"/>
  <c r="AH522" i="39"/>
  <c r="AG522" i="39"/>
  <c r="AD522" i="39"/>
  <c r="AJ521" i="39"/>
  <c r="AH521" i="39"/>
  <c r="AG521" i="39"/>
  <c r="AD521" i="39"/>
  <c r="AJ520" i="39"/>
  <c r="AH520" i="39"/>
  <c r="AG520" i="39"/>
  <c r="AD520" i="39"/>
  <c r="AJ519" i="39"/>
  <c r="AH519" i="39"/>
  <c r="AG519" i="39"/>
  <c r="AD519" i="39"/>
  <c r="AJ518" i="39"/>
  <c r="AH518" i="39"/>
  <c r="AG518" i="39"/>
  <c r="AJ517" i="39"/>
  <c r="AH517" i="39"/>
  <c r="AG517" i="39"/>
  <c r="AD517" i="39"/>
  <c r="AJ516" i="39"/>
  <c r="AH516" i="39"/>
  <c r="AG516" i="39"/>
  <c r="AD516" i="39"/>
  <c r="AJ515" i="39"/>
  <c r="AH515" i="39"/>
  <c r="AG515" i="39"/>
  <c r="AD515" i="39"/>
  <c r="AJ514" i="39"/>
  <c r="AH514" i="39"/>
  <c r="AG514" i="39"/>
  <c r="AD514" i="39"/>
  <c r="AJ513" i="39"/>
  <c r="AH513" i="39"/>
  <c r="AG513" i="39"/>
  <c r="AD513" i="39"/>
  <c r="AJ512" i="39"/>
  <c r="AH512" i="39"/>
  <c r="AG512" i="39"/>
  <c r="AJ511" i="39"/>
  <c r="AH511" i="39"/>
  <c r="AG511" i="39"/>
  <c r="AD511" i="39"/>
  <c r="AJ510" i="39"/>
  <c r="AH510" i="39"/>
  <c r="AG510" i="39"/>
  <c r="AD510" i="39"/>
  <c r="AJ509" i="39"/>
  <c r="AH509" i="39"/>
  <c r="AG509" i="39"/>
  <c r="AJ508" i="39"/>
  <c r="AH508" i="39"/>
  <c r="AG508" i="39"/>
  <c r="AD508" i="39"/>
  <c r="AJ507" i="39"/>
  <c r="AH507" i="39"/>
  <c r="AG507" i="39"/>
  <c r="AJ506" i="39"/>
  <c r="AH506" i="39"/>
  <c r="AG506" i="39"/>
  <c r="AD506" i="39"/>
  <c r="AJ505" i="39"/>
  <c r="AH505" i="39"/>
  <c r="AG505" i="39"/>
  <c r="AJ504" i="39"/>
  <c r="AH504" i="39"/>
  <c r="AG504" i="39"/>
  <c r="AD504" i="39"/>
  <c r="AJ503" i="39"/>
  <c r="AH503" i="39"/>
  <c r="AG503" i="39"/>
  <c r="AD503" i="39"/>
  <c r="AJ502" i="39"/>
  <c r="AH502" i="39"/>
  <c r="AG502" i="39"/>
  <c r="AJ501" i="39"/>
  <c r="AH501" i="39"/>
  <c r="AG501" i="39"/>
  <c r="AD501" i="39"/>
  <c r="AJ500" i="39"/>
  <c r="AH500" i="39"/>
  <c r="AG500" i="39"/>
  <c r="AJ499" i="39"/>
  <c r="AH499" i="39"/>
  <c r="AG499" i="39"/>
  <c r="AD499" i="39"/>
  <c r="AJ498" i="39"/>
  <c r="AH498" i="39"/>
  <c r="AG498" i="39"/>
  <c r="AJ497" i="39"/>
  <c r="AH497" i="39"/>
  <c r="AG497" i="39"/>
  <c r="AD497" i="39"/>
  <c r="AJ496" i="39"/>
  <c r="AH496" i="39"/>
  <c r="AG496" i="39"/>
  <c r="AJ495" i="39"/>
  <c r="AH495" i="39"/>
  <c r="AG495" i="39"/>
  <c r="AD495" i="39"/>
  <c r="AJ494" i="39"/>
  <c r="AH494" i="39"/>
  <c r="AG494" i="39"/>
  <c r="AD494" i="39"/>
  <c r="AJ493" i="39"/>
  <c r="AH493" i="39"/>
  <c r="AG493" i="39"/>
  <c r="AD493" i="39"/>
  <c r="AJ492" i="39"/>
  <c r="AH492" i="39"/>
  <c r="AG492" i="39"/>
  <c r="AD492" i="39"/>
  <c r="AJ491" i="39"/>
  <c r="AH491" i="39"/>
  <c r="AG491" i="39"/>
  <c r="AD491" i="39"/>
  <c r="AJ490" i="39"/>
  <c r="AH490" i="39"/>
  <c r="AG490" i="39"/>
  <c r="AD490" i="39"/>
  <c r="AJ489" i="39"/>
  <c r="AH489" i="39"/>
  <c r="AG489" i="39"/>
  <c r="AD489" i="39"/>
  <c r="AJ488" i="39"/>
  <c r="AH488" i="39"/>
  <c r="AG488" i="39"/>
  <c r="AD488" i="39"/>
  <c r="AJ487" i="39"/>
  <c r="AH487" i="39"/>
  <c r="AG487" i="39"/>
  <c r="AD487" i="39"/>
  <c r="AJ486" i="39"/>
  <c r="AH486" i="39"/>
  <c r="AG486" i="39"/>
  <c r="AD486" i="39"/>
  <c r="AJ485" i="39"/>
  <c r="AH485" i="39"/>
  <c r="AG485" i="39"/>
  <c r="AD485" i="39"/>
  <c r="AJ484" i="39"/>
  <c r="AH484" i="39"/>
  <c r="AG484" i="39"/>
  <c r="AD484" i="39"/>
  <c r="AJ483" i="39"/>
  <c r="AH483" i="39"/>
  <c r="AG483" i="39"/>
  <c r="AD483" i="39"/>
  <c r="AJ482" i="39"/>
  <c r="AH482" i="39"/>
  <c r="AG482" i="39"/>
  <c r="AD482" i="39"/>
  <c r="AJ481" i="39"/>
  <c r="AH481" i="39"/>
  <c r="AG481" i="39"/>
  <c r="AD481" i="39"/>
  <c r="AJ480" i="39"/>
  <c r="AH480" i="39"/>
  <c r="AG480" i="39"/>
  <c r="AD480" i="39"/>
  <c r="AJ479" i="39"/>
  <c r="AH479" i="39"/>
  <c r="AG479" i="39"/>
  <c r="AD479" i="39"/>
  <c r="AJ478" i="39"/>
  <c r="AH478" i="39"/>
  <c r="AG478" i="39"/>
  <c r="AD478" i="39"/>
  <c r="AJ477" i="39"/>
  <c r="AH477" i="39"/>
  <c r="AG477" i="39"/>
  <c r="AD477" i="39"/>
  <c r="AJ476" i="39"/>
  <c r="AH476" i="39"/>
  <c r="AG476" i="39"/>
  <c r="AD476" i="39"/>
  <c r="AJ475" i="39"/>
  <c r="AH475" i="39"/>
  <c r="AG475" i="39"/>
  <c r="AD475" i="39"/>
  <c r="AJ474" i="39"/>
  <c r="AH474" i="39"/>
  <c r="AG474" i="39"/>
  <c r="AD474" i="39"/>
  <c r="AJ473" i="39"/>
  <c r="AH473" i="39"/>
  <c r="AG473" i="39"/>
  <c r="AD473" i="39"/>
  <c r="AJ472" i="39"/>
  <c r="AH472" i="39"/>
  <c r="AG472" i="39"/>
  <c r="AD472" i="39"/>
  <c r="AJ471" i="39"/>
  <c r="AH471" i="39"/>
  <c r="AG471" i="39"/>
  <c r="AJ470" i="39"/>
  <c r="AH470" i="39"/>
  <c r="AG470" i="39"/>
  <c r="AJ469" i="39"/>
  <c r="AH469" i="39"/>
  <c r="AG469" i="39"/>
  <c r="AD469" i="39"/>
  <c r="AJ468" i="39"/>
  <c r="AH468" i="39"/>
  <c r="AG468" i="39"/>
  <c r="AD468" i="39"/>
  <c r="AJ467" i="39"/>
  <c r="AH467" i="39"/>
  <c r="AG467" i="39"/>
  <c r="AD467" i="39"/>
  <c r="AJ466" i="39"/>
  <c r="AH466" i="39"/>
  <c r="AG466" i="39"/>
  <c r="AD466" i="39"/>
  <c r="AJ465" i="39"/>
  <c r="AH465" i="39"/>
  <c r="AG465" i="39"/>
  <c r="AD465" i="39"/>
  <c r="AJ464" i="39"/>
  <c r="AH464" i="39"/>
  <c r="AG464" i="39"/>
  <c r="AD464" i="39"/>
  <c r="AJ463" i="39"/>
  <c r="AH463" i="39"/>
  <c r="AG463" i="39"/>
  <c r="AD463" i="39"/>
  <c r="AJ462" i="39"/>
  <c r="AH462" i="39"/>
  <c r="AG462" i="39"/>
  <c r="AJ461" i="39"/>
  <c r="AH461" i="39"/>
  <c r="AG461" i="39"/>
  <c r="AD461" i="39"/>
  <c r="AJ460" i="39"/>
  <c r="AH460" i="39"/>
  <c r="AG460" i="39"/>
  <c r="AD460" i="39"/>
  <c r="AJ459" i="39"/>
  <c r="AH459" i="39"/>
  <c r="AG459" i="39"/>
  <c r="AD459" i="39"/>
  <c r="AJ458" i="39"/>
  <c r="AH458" i="39"/>
  <c r="AG458" i="39"/>
  <c r="AD458" i="39"/>
  <c r="AJ457" i="39"/>
  <c r="AH457" i="39"/>
  <c r="AG457" i="39"/>
  <c r="AD457" i="39"/>
  <c r="AJ456" i="39"/>
  <c r="AH456" i="39"/>
  <c r="AG456" i="39"/>
  <c r="AD456" i="39"/>
  <c r="AJ455" i="39"/>
  <c r="AH455" i="39"/>
  <c r="AG455" i="39"/>
  <c r="AD455" i="39"/>
  <c r="AJ454" i="39"/>
  <c r="AH454" i="39"/>
  <c r="AG454" i="39"/>
  <c r="AJ453" i="39"/>
  <c r="AH453" i="39"/>
  <c r="AG453" i="39"/>
  <c r="AD453" i="39"/>
  <c r="AJ452" i="39"/>
  <c r="AH452" i="39"/>
  <c r="AG452" i="39"/>
  <c r="AD452" i="39"/>
  <c r="AJ451" i="39"/>
  <c r="AH451" i="39"/>
  <c r="AG451" i="39"/>
  <c r="AJ450" i="39"/>
  <c r="AH450" i="39"/>
  <c r="AG450" i="39"/>
  <c r="AD450" i="39"/>
  <c r="AJ449" i="39"/>
  <c r="AH449" i="39"/>
  <c r="AG449" i="39"/>
  <c r="AJ448" i="39"/>
  <c r="AH448" i="39"/>
  <c r="AG448" i="39"/>
  <c r="AD448" i="39"/>
  <c r="AJ447" i="39"/>
  <c r="AH447" i="39"/>
  <c r="AG447" i="39"/>
  <c r="AJ446" i="39"/>
  <c r="AH446" i="39"/>
  <c r="AG446" i="39"/>
  <c r="AD446" i="39"/>
  <c r="AJ445" i="39"/>
  <c r="AH445" i="39"/>
  <c r="AG445" i="39"/>
  <c r="AJ444" i="39"/>
  <c r="AH444" i="39"/>
  <c r="AG444" i="39"/>
  <c r="AD444" i="39"/>
  <c r="AJ443" i="39"/>
  <c r="AH443" i="39"/>
  <c r="AG443" i="39"/>
  <c r="AJ442" i="39"/>
  <c r="AH442" i="39"/>
  <c r="AG442" i="39"/>
  <c r="AD442" i="39"/>
  <c r="AJ441" i="39"/>
  <c r="AH441" i="39"/>
  <c r="AG441" i="39"/>
  <c r="AJ440" i="39"/>
  <c r="AH440" i="39"/>
  <c r="AG440" i="39"/>
  <c r="AD440" i="39"/>
  <c r="AJ439" i="39"/>
  <c r="AH439" i="39"/>
  <c r="AG439" i="39"/>
  <c r="AD439" i="39"/>
  <c r="AJ438" i="39"/>
  <c r="AH438" i="39"/>
  <c r="AG438" i="39"/>
  <c r="AD438" i="39"/>
  <c r="AJ437" i="39"/>
  <c r="AH437" i="39"/>
  <c r="AG437" i="39"/>
  <c r="AD437" i="39"/>
  <c r="AJ436" i="39"/>
  <c r="AH436" i="39"/>
  <c r="AG436" i="39"/>
  <c r="AD436" i="39"/>
  <c r="AJ435" i="39"/>
  <c r="AH435" i="39"/>
  <c r="AG435" i="39"/>
  <c r="AD435" i="39"/>
  <c r="AJ434" i="39"/>
  <c r="AH434" i="39"/>
  <c r="AG434" i="39"/>
  <c r="AD434" i="39"/>
  <c r="AJ433" i="39"/>
  <c r="AH433" i="39"/>
  <c r="AG433" i="39"/>
  <c r="AD433" i="39"/>
  <c r="AJ432" i="39"/>
  <c r="AH432" i="39"/>
  <c r="AG432" i="39"/>
  <c r="AD432" i="39"/>
  <c r="AJ431" i="39"/>
  <c r="AH431" i="39"/>
  <c r="AG431" i="39"/>
  <c r="AD431" i="39"/>
  <c r="AJ430" i="39"/>
  <c r="AH430" i="39"/>
  <c r="AG430" i="39"/>
  <c r="AD430" i="39"/>
  <c r="AJ429" i="39"/>
  <c r="AH429" i="39"/>
  <c r="AG429" i="39"/>
  <c r="AD429" i="39"/>
  <c r="AJ428" i="39"/>
  <c r="AH428" i="39"/>
  <c r="AG428" i="39"/>
  <c r="AD428" i="39"/>
  <c r="AJ427" i="39"/>
  <c r="AH427" i="39"/>
  <c r="AG427" i="39"/>
  <c r="AD427" i="39"/>
  <c r="AJ426" i="39"/>
  <c r="AH426" i="39"/>
  <c r="AG426" i="39"/>
  <c r="AD426" i="39"/>
  <c r="AJ425" i="39"/>
  <c r="AH425" i="39"/>
  <c r="AG425" i="39"/>
  <c r="AD425" i="39"/>
  <c r="AJ424" i="39"/>
  <c r="AH424" i="39"/>
  <c r="AG424" i="39"/>
  <c r="AD424" i="39"/>
  <c r="AJ423" i="39"/>
  <c r="AH423" i="39"/>
  <c r="AG423" i="39"/>
  <c r="AD423" i="39"/>
  <c r="AJ422" i="39"/>
  <c r="AH422" i="39"/>
  <c r="AG422" i="39"/>
  <c r="AD422" i="39"/>
  <c r="AJ421" i="39"/>
  <c r="AH421" i="39"/>
  <c r="AG421" i="39"/>
  <c r="AD421" i="39"/>
  <c r="AJ420" i="39"/>
  <c r="AH420" i="39"/>
  <c r="AG420" i="39"/>
  <c r="AD420" i="39"/>
  <c r="AJ419" i="39"/>
  <c r="AH419" i="39"/>
  <c r="AG419" i="39"/>
  <c r="AD419" i="39"/>
  <c r="AJ418" i="39"/>
  <c r="AH418" i="39"/>
  <c r="AG418" i="39"/>
  <c r="AD418" i="39"/>
  <c r="AJ417" i="39"/>
  <c r="AH417" i="39"/>
  <c r="AG417" i="39"/>
  <c r="AD417" i="39"/>
  <c r="AJ416" i="39"/>
  <c r="AH416" i="39"/>
  <c r="AG416" i="39"/>
  <c r="AD416" i="39"/>
  <c r="AG415" i="39"/>
  <c r="AD415" i="39"/>
  <c r="AG414" i="39"/>
  <c r="AG413" i="39"/>
  <c r="AD413" i="39"/>
  <c r="AG412" i="39"/>
  <c r="AG411" i="39"/>
  <c r="AD411" i="39"/>
  <c r="AG410" i="39"/>
  <c r="AG409" i="39"/>
  <c r="AD409" i="39"/>
  <c r="AG408" i="39"/>
  <c r="AG407" i="39"/>
  <c r="AD407" i="39"/>
  <c r="AG406" i="39"/>
  <c r="AG405" i="39"/>
  <c r="AD405" i="39"/>
  <c r="AG404" i="39"/>
  <c r="AG403" i="39"/>
  <c r="AD403" i="39"/>
  <c r="AG402" i="39"/>
  <c r="AG401" i="39"/>
  <c r="AD401" i="39"/>
  <c r="AG400" i="39"/>
  <c r="AG399" i="39"/>
  <c r="AD399" i="39"/>
  <c r="AG398" i="39"/>
  <c r="AG397" i="39"/>
  <c r="AD397" i="39"/>
  <c r="AG396" i="39"/>
  <c r="AD396" i="39"/>
  <c r="AG395" i="39"/>
  <c r="AD395" i="39"/>
  <c r="AG394" i="39"/>
  <c r="AD394" i="39"/>
  <c r="AG393" i="39"/>
  <c r="AD393" i="39"/>
  <c r="AG392" i="39"/>
  <c r="AD392" i="39"/>
  <c r="AG391" i="39"/>
  <c r="AD391" i="39"/>
  <c r="AG390" i="39"/>
  <c r="AD390" i="39"/>
  <c r="AG389" i="39"/>
  <c r="AG388" i="39"/>
  <c r="AD388" i="39"/>
  <c r="AG387" i="39"/>
  <c r="AG386" i="39"/>
  <c r="AD386" i="39"/>
  <c r="AG385" i="39"/>
  <c r="AG384" i="39"/>
  <c r="AD384" i="39"/>
  <c r="AG383" i="39"/>
  <c r="AG382" i="39"/>
  <c r="AD382" i="39"/>
  <c r="AG381" i="39"/>
  <c r="AG380" i="39"/>
  <c r="AD380" i="39"/>
  <c r="AG379" i="39"/>
  <c r="AG378" i="39"/>
  <c r="AD378" i="39"/>
  <c r="AG377" i="39"/>
  <c r="AG376" i="39"/>
  <c r="AD376" i="39"/>
  <c r="AG375" i="39"/>
  <c r="AG374" i="39"/>
  <c r="AD374" i="39"/>
  <c r="AG373" i="39"/>
  <c r="AG372" i="39"/>
  <c r="AD372" i="39"/>
  <c r="AG371" i="39"/>
  <c r="AG370" i="39"/>
  <c r="AD370" i="39"/>
  <c r="AG369" i="39"/>
  <c r="AG368" i="39"/>
  <c r="AD368" i="39"/>
  <c r="AG367" i="39"/>
  <c r="AG366" i="39"/>
  <c r="AD366" i="39"/>
  <c r="AG365" i="39"/>
  <c r="AG364" i="39"/>
  <c r="AD364" i="39"/>
  <c r="AG363" i="39"/>
  <c r="AG362" i="39"/>
  <c r="AD362" i="39"/>
  <c r="AG361" i="39"/>
  <c r="AD361" i="39"/>
  <c r="AG360" i="39"/>
  <c r="AD360" i="39"/>
  <c r="AG359" i="39"/>
  <c r="AD359" i="39"/>
  <c r="AG358" i="39"/>
  <c r="AD358" i="39"/>
  <c r="AG357" i="39"/>
  <c r="AD357" i="39"/>
  <c r="AG356" i="39"/>
  <c r="AD356" i="39"/>
  <c r="AG355" i="39"/>
  <c r="AD355" i="39"/>
  <c r="AG354" i="39"/>
  <c r="AG353" i="39"/>
  <c r="AD353" i="39"/>
  <c r="AG352" i="39"/>
  <c r="AG351" i="39"/>
  <c r="AD351" i="39"/>
  <c r="AG350" i="39"/>
  <c r="AG349" i="39"/>
  <c r="AD349" i="39"/>
  <c r="AG348" i="39"/>
  <c r="AG347" i="39"/>
  <c r="AD347" i="39"/>
  <c r="AG346" i="39"/>
  <c r="AG345" i="39"/>
  <c r="AD345" i="39"/>
  <c r="AG344" i="39"/>
  <c r="AG343" i="39"/>
  <c r="AD343" i="39"/>
  <c r="AG342" i="39"/>
  <c r="AG341" i="39"/>
  <c r="AD341" i="39"/>
  <c r="AG340" i="39"/>
  <c r="AG339" i="39"/>
  <c r="AD339" i="39"/>
  <c r="AG338" i="39"/>
  <c r="AD338" i="39"/>
  <c r="AG337" i="39"/>
  <c r="AD337" i="39"/>
  <c r="AG336" i="39"/>
  <c r="AD336" i="39"/>
  <c r="AG335" i="39"/>
  <c r="AD335" i="39"/>
  <c r="AG334" i="39"/>
  <c r="AD334" i="39"/>
  <c r="AG333" i="39"/>
  <c r="AD333" i="39"/>
  <c r="AG332" i="39"/>
  <c r="AD332" i="39"/>
  <c r="AG331" i="39"/>
  <c r="AD331" i="39"/>
  <c r="AG330" i="39"/>
  <c r="AG329" i="39"/>
  <c r="AD329" i="39"/>
  <c r="AG328" i="39"/>
  <c r="AG327" i="39"/>
  <c r="AD327" i="39"/>
  <c r="AG326" i="39"/>
  <c r="AG325" i="39"/>
  <c r="AD325" i="39"/>
  <c r="AG324" i="39"/>
  <c r="AD324" i="39"/>
  <c r="AG323" i="39"/>
  <c r="AG322" i="39"/>
  <c r="AD322" i="39"/>
  <c r="AG321" i="39"/>
  <c r="AD321" i="39"/>
  <c r="AG320" i="39"/>
  <c r="AD320" i="39"/>
  <c r="AG319" i="39"/>
  <c r="AD319" i="39"/>
  <c r="AG318" i="39"/>
  <c r="AD318" i="39"/>
  <c r="AG317" i="39"/>
  <c r="AD317" i="39"/>
  <c r="AG316" i="39"/>
  <c r="AD316" i="39"/>
  <c r="AG315" i="39"/>
  <c r="AG314" i="39"/>
  <c r="AD314" i="39"/>
  <c r="AG313" i="39"/>
  <c r="AD313" i="39"/>
  <c r="AG312" i="39"/>
  <c r="AD312" i="39"/>
  <c r="AG311" i="39"/>
  <c r="AD311" i="39"/>
  <c r="AJ310" i="39"/>
  <c r="AH310" i="39"/>
  <c r="AG310" i="39"/>
  <c r="AD310" i="39"/>
  <c r="AJ309" i="39"/>
  <c r="AH309" i="39"/>
  <c r="AG309" i="39"/>
  <c r="AD309" i="39"/>
  <c r="AJ308" i="39"/>
  <c r="AH308" i="39"/>
  <c r="AG308" i="39"/>
  <c r="AD308" i="39"/>
  <c r="AJ307" i="39"/>
  <c r="AH307" i="39"/>
  <c r="AG307" i="39"/>
  <c r="AD307" i="39"/>
  <c r="AJ306" i="39"/>
  <c r="AH306" i="39"/>
  <c r="AG306" i="39"/>
  <c r="AD306" i="39"/>
  <c r="AJ305" i="39"/>
  <c r="AH305" i="39"/>
  <c r="AG305" i="39"/>
  <c r="AD305" i="39"/>
  <c r="AJ304" i="39"/>
  <c r="AH304" i="39"/>
  <c r="AG304" i="39"/>
  <c r="AD304" i="39"/>
  <c r="AJ303" i="39"/>
  <c r="AH303" i="39"/>
  <c r="AG303" i="39"/>
  <c r="AJ302" i="39"/>
  <c r="AH302" i="39"/>
  <c r="AG302" i="39"/>
  <c r="AD302" i="39"/>
  <c r="AJ301" i="39"/>
  <c r="AH301" i="39"/>
  <c r="AG301" i="39"/>
  <c r="AJ300" i="39"/>
  <c r="AH300" i="39"/>
  <c r="AG300" i="39"/>
  <c r="AD300" i="39"/>
  <c r="AJ299" i="39"/>
  <c r="AH299" i="39"/>
  <c r="AG299" i="39"/>
  <c r="AJ298" i="39"/>
  <c r="AH298" i="39"/>
  <c r="AG298" i="39"/>
  <c r="AD298" i="39"/>
  <c r="AJ297" i="39"/>
  <c r="AH297" i="39"/>
  <c r="AG297" i="39"/>
  <c r="AJ296" i="39"/>
  <c r="AH296" i="39"/>
  <c r="AG296" i="39"/>
  <c r="AD296" i="39"/>
  <c r="AJ295" i="39"/>
  <c r="AH295" i="39"/>
  <c r="AG295" i="39"/>
  <c r="AJ294" i="39"/>
  <c r="AH294" i="39"/>
  <c r="AG294" i="39"/>
  <c r="AD294" i="39"/>
  <c r="AJ293" i="39"/>
  <c r="AH293" i="39"/>
  <c r="AG293" i="39"/>
  <c r="AJ292" i="39"/>
  <c r="AH292" i="39"/>
  <c r="AG292" i="39"/>
  <c r="AD292" i="39"/>
  <c r="AJ291" i="39"/>
  <c r="AH291" i="39"/>
  <c r="AG291" i="39"/>
  <c r="AJ290" i="39"/>
  <c r="AH290" i="39"/>
  <c r="AG290" i="39"/>
  <c r="AD290" i="39"/>
  <c r="AJ289" i="39"/>
  <c r="AH289" i="39"/>
  <c r="AG289" i="39"/>
  <c r="AJ288" i="39"/>
  <c r="AH288" i="39"/>
  <c r="AG288" i="39"/>
  <c r="AD288" i="39"/>
  <c r="AJ287" i="39"/>
  <c r="AH287" i="39"/>
  <c r="AG287" i="39"/>
  <c r="AD287" i="39"/>
  <c r="AJ286" i="39"/>
  <c r="AH286" i="39"/>
  <c r="AG286" i="39"/>
  <c r="AD286" i="39"/>
  <c r="AJ285" i="39"/>
  <c r="AH285" i="39"/>
  <c r="AG285" i="39"/>
  <c r="AD285" i="39"/>
  <c r="AJ284" i="39"/>
  <c r="AH284" i="39"/>
  <c r="AG284" i="39"/>
  <c r="AD284" i="39"/>
  <c r="AJ283" i="39"/>
  <c r="AH283" i="39"/>
  <c r="AG283" i="39"/>
  <c r="AD283" i="39"/>
  <c r="AJ282" i="39"/>
  <c r="AH282" i="39"/>
  <c r="AG282" i="39"/>
  <c r="AJ281" i="39"/>
  <c r="AH281" i="39"/>
  <c r="AG281" i="39"/>
  <c r="AD281" i="39"/>
  <c r="AJ280" i="39"/>
  <c r="AH280" i="39"/>
  <c r="AG280" i="39"/>
  <c r="AD280" i="39"/>
  <c r="AJ279" i="39"/>
  <c r="AH279" i="39"/>
  <c r="AG279" i="39"/>
  <c r="AJ278" i="39"/>
  <c r="AH278" i="39"/>
  <c r="AG278" i="39"/>
  <c r="AD278" i="39"/>
  <c r="AJ277" i="39"/>
  <c r="AH277" i="39"/>
  <c r="AG277" i="39"/>
  <c r="AD277" i="39"/>
  <c r="AJ276" i="39"/>
  <c r="AH276" i="39"/>
  <c r="AG276" i="39"/>
  <c r="AJ275" i="39"/>
  <c r="AH275" i="39"/>
  <c r="AG275" i="39"/>
  <c r="AD275" i="39"/>
  <c r="AJ274" i="39"/>
  <c r="AH274" i="39"/>
  <c r="AG274" i="39"/>
  <c r="AD274" i="39"/>
  <c r="AJ273" i="39"/>
  <c r="AH273" i="39"/>
  <c r="AG273" i="39"/>
  <c r="AD273" i="39"/>
  <c r="AJ272" i="39"/>
  <c r="AH272" i="39"/>
  <c r="AG272" i="39"/>
  <c r="AJ271" i="39"/>
  <c r="AH271" i="39"/>
  <c r="AG271" i="39"/>
  <c r="AD271" i="39"/>
  <c r="AJ270" i="39"/>
  <c r="AH270" i="39"/>
  <c r="AG270" i="39"/>
  <c r="AJ269" i="39"/>
  <c r="AH269" i="39"/>
  <c r="AG269" i="39"/>
  <c r="AJ268" i="39"/>
  <c r="AH268" i="39"/>
  <c r="AG268" i="39"/>
  <c r="AJ267" i="39"/>
  <c r="AH267" i="39"/>
  <c r="AG267" i="39"/>
  <c r="AD267" i="39"/>
  <c r="AJ266" i="39"/>
  <c r="AH266" i="39"/>
  <c r="AG266" i="39"/>
  <c r="AJ265" i="39"/>
  <c r="AH265" i="39"/>
  <c r="AG265" i="39"/>
  <c r="AD265" i="39"/>
  <c r="AJ264" i="39"/>
  <c r="AH264" i="39"/>
  <c r="AG264" i="39"/>
  <c r="AJ263" i="39"/>
  <c r="AH263" i="39"/>
  <c r="AG263" i="39"/>
  <c r="AJ262" i="39"/>
  <c r="AH262" i="39"/>
  <c r="AG262" i="39"/>
  <c r="AJ261" i="39"/>
  <c r="AH261" i="39"/>
  <c r="AG261" i="39"/>
  <c r="AJ260" i="39"/>
  <c r="AH260" i="39"/>
  <c r="AG260" i="39"/>
  <c r="AJ259" i="39"/>
  <c r="AH259" i="39"/>
  <c r="AG259" i="39"/>
  <c r="AD259" i="39"/>
  <c r="AJ258" i="39"/>
  <c r="AH258" i="39"/>
  <c r="AG258" i="39"/>
  <c r="AD258" i="39"/>
  <c r="AJ257" i="39"/>
  <c r="AH257" i="39"/>
  <c r="AG257" i="39"/>
  <c r="AD257" i="39"/>
  <c r="AJ256" i="39"/>
  <c r="AH256" i="39"/>
  <c r="AG256" i="39"/>
  <c r="AD256" i="39"/>
  <c r="AJ255" i="39"/>
  <c r="AH255" i="39"/>
  <c r="AG255" i="39"/>
  <c r="AD255" i="39"/>
  <c r="AJ254" i="39"/>
  <c r="AH254" i="39"/>
  <c r="AG254" i="39"/>
  <c r="AJ253" i="39"/>
  <c r="AH253" i="39"/>
  <c r="AG253" i="39"/>
  <c r="AD253" i="39"/>
  <c r="AJ252" i="39"/>
  <c r="AH252" i="39"/>
  <c r="AG252" i="39"/>
  <c r="AJ251" i="39"/>
  <c r="AH251" i="39"/>
  <c r="AG251" i="39"/>
  <c r="AD251" i="39"/>
  <c r="AJ250" i="39"/>
  <c r="AH250" i="39"/>
  <c r="AG250" i="39"/>
  <c r="AJ249" i="39"/>
  <c r="AH249" i="39"/>
  <c r="AG249" i="39"/>
  <c r="AD249" i="39"/>
  <c r="AJ248" i="39"/>
  <c r="AH248" i="39"/>
  <c r="AG248" i="39"/>
  <c r="AJ247" i="39"/>
  <c r="AH247" i="39"/>
  <c r="AG247" i="39"/>
  <c r="AD247" i="39"/>
  <c r="AJ246" i="39"/>
  <c r="AH246" i="39"/>
  <c r="AG246" i="39"/>
  <c r="AJ245" i="39"/>
  <c r="AH245" i="39"/>
  <c r="AG245" i="39"/>
  <c r="AD245" i="39"/>
  <c r="AJ244" i="39"/>
  <c r="AH244" i="39"/>
  <c r="AG244" i="39"/>
  <c r="AJ243" i="39"/>
  <c r="AH243" i="39"/>
  <c r="AG243" i="39"/>
  <c r="AD243" i="39"/>
  <c r="AJ242" i="39"/>
  <c r="AH242" i="39"/>
  <c r="AG242" i="39"/>
  <c r="AD242" i="39"/>
  <c r="AJ241" i="39"/>
  <c r="AH241" i="39"/>
  <c r="AG241" i="39"/>
  <c r="AD241" i="39"/>
  <c r="AJ240" i="39"/>
  <c r="AH240" i="39"/>
  <c r="AG240" i="39"/>
  <c r="AD240" i="39"/>
  <c r="AJ239" i="39"/>
  <c r="AH239" i="39"/>
  <c r="AG239" i="39"/>
  <c r="AD239" i="39"/>
  <c r="AJ238" i="39"/>
  <c r="AH238" i="39"/>
  <c r="AG238" i="39"/>
  <c r="AJ237" i="39"/>
  <c r="AH237" i="39"/>
  <c r="AG237" i="39"/>
  <c r="AD237" i="39"/>
  <c r="AJ236" i="39"/>
  <c r="AH236" i="39"/>
  <c r="AG236" i="39"/>
  <c r="AJ235" i="39"/>
  <c r="AH235" i="39"/>
  <c r="AG235" i="39"/>
  <c r="AD235" i="39"/>
  <c r="AJ234" i="39"/>
  <c r="AH234" i="39"/>
  <c r="AG234" i="39"/>
  <c r="AD234" i="39"/>
  <c r="AJ233" i="39"/>
  <c r="AH233" i="39"/>
  <c r="AG233" i="39"/>
  <c r="AJ232" i="39"/>
  <c r="AH232" i="39"/>
  <c r="AG232" i="39"/>
  <c r="AD232" i="39"/>
  <c r="AJ231" i="39"/>
  <c r="AH231" i="39"/>
  <c r="AG231" i="39"/>
  <c r="AD231" i="39"/>
  <c r="AJ230" i="39"/>
  <c r="AH230" i="39"/>
  <c r="AG230" i="39"/>
  <c r="AJ229" i="39"/>
  <c r="AH229" i="39"/>
  <c r="AG229" i="39"/>
  <c r="AD229" i="39"/>
  <c r="AJ228" i="39"/>
  <c r="AH228" i="39"/>
  <c r="AG228" i="39"/>
  <c r="AD228" i="39"/>
  <c r="AJ227" i="39"/>
  <c r="AH227" i="39"/>
  <c r="AG227" i="39"/>
  <c r="AJ226" i="39"/>
  <c r="AH226" i="39"/>
  <c r="AG226" i="39"/>
  <c r="AD226" i="39"/>
  <c r="AJ225" i="39"/>
  <c r="AH225" i="39"/>
  <c r="AG225" i="39"/>
  <c r="AD225" i="39"/>
  <c r="AJ224" i="39"/>
  <c r="AH224" i="39"/>
  <c r="AG224" i="39"/>
  <c r="AJ223" i="39"/>
  <c r="AH223" i="39"/>
  <c r="AG223" i="39"/>
  <c r="AD223" i="39"/>
  <c r="AJ222" i="39"/>
  <c r="AH222" i="39"/>
  <c r="AG222" i="39"/>
  <c r="AD222" i="39"/>
  <c r="AJ221" i="39"/>
  <c r="AH221" i="39"/>
  <c r="AG221" i="39"/>
  <c r="AJ220" i="39"/>
  <c r="AH220" i="39"/>
  <c r="AG220" i="39"/>
  <c r="AD220" i="39"/>
  <c r="AJ219" i="39"/>
  <c r="AH219" i="39"/>
  <c r="AG219" i="39"/>
  <c r="AD219" i="39"/>
  <c r="AJ218" i="39"/>
  <c r="AH218" i="39"/>
  <c r="AG218" i="39"/>
  <c r="AD218" i="39"/>
  <c r="AJ217" i="39"/>
  <c r="AH217" i="39"/>
  <c r="AG217" i="39"/>
  <c r="AJ216" i="39"/>
  <c r="AH216" i="39"/>
  <c r="AG216" i="39"/>
  <c r="AD216" i="39"/>
  <c r="AJ215" i="39"/>
  <c r="AH215" i="39"/>
  <c r="AG215" i="39"/>
  <c r="AJ214" i="39"/>
  <c r="AH214" i="39"/>
  <c r="AG214" i="39"/>
  <c r="AD214" i="39"/>
  <c r="AJ213" i="39"/>
  <c r="AH213" i="39"/>
  <c r="AG213" i="39"/>
  <c r="AD213" i="39"/>
  <c r="AJ212" i="39"/>
  <c r="AH212" i="39"/>
  <c r="AG212" i="39"/>
  <c r="AD212" i="39"/>
  <c r="AJ211" i="39"/>
  <c r="AH211" i="39"/>
  <c r="AG211" i="39"/>
  <c r="AD211" i="39"/>
  <c r="AJ210" i="39"/>
  <c r="AH210" i="39"/>
  <c r="AG210" i="39"/>
  <c r="AD210" i="39"/>
  <c r="AJ209" i="39"/>
  <c r="AH209" i="39"/>
  <c r="AG209" i="39"/>
  <c r="AD209" i="39"/>
  <c r="AJ208" i="39"/>
  <c r="AH208" i="39"/>
  <c r="AG208" i="39"/>
  <c r="AD208" i="39"/>
  <c r="AJ207" i="39"/>
  <c r="AH207" i="39"/>
  <c r="AG207" i="39"/>
  <c r="AD207" i="39"/>
  <c r="AG206" i="39"/>
  <c r="AG205" i="39"/>
  <c r="AD205" i="39"/>
  <c r="AJ204" i="39"/>
  <c r="AH204" i="39"/>
  <c r="AG204" i="39"/>
  <c r="AD204" i="39"/>
  <c r="AJ203" i="39"/>
  <c r="AH203" i="39"/>
  <c r="AG203" i="39"/>
  <c r="AJ202" i="39"/>
  <c r="AH202" i="39"/>
  <c r="AG202" i="39"/>
  <c r="AD202" i="39"/>
  <c r="AJ201" i="39"/>
  <c r="AH201" i="39"/>
  <c r="AG201" i="39"/>
  <c r="AD201" i="39"/>
  <c r="AJ200" i="39"/>
  <c r="AH200" i="39"/>
  <c r="AG200" i="39"/>
  <c r="AD200" i="39"/>
  <c r="AJ199" i="39"/>
  <c r="AH199" i="39"/>
  <c r="AG199" i="39"/>
  <c r="AD199" i="39"/>
  <c r="AJ198" i="39"/>
  <c r="AH198" i="39"/>
  <c r="AG198" i="39"/>
  <c r="AJ197" i="39"/>
  <c r="AH197" i="39"/>
  <c r="AG197" i="39"/>
  <c r="AD197" i="39"/>
  <c r="AJ196" i="39"/>
  <c r="AH196" i="39"/>
  <c r="AG196" i="39"/>
  <c r="AJ195" i="39"/>
  <c r="AH195" i="39"/>
  <c r="AG195" i="39"/>
  <c r="AD195" i="39"/>
  <c r="AJ194" i="39"/>
  <c r="AH194" i="39"/>
  <c r="AG194" i="39"/>
  <c r="AD194" i="39"/>
  <c r="AJ193" i="39"/>
  <c r="AH193" i="39"/>
  <c r="AG193" i="39"/>
  <c r="AD193" i="39"/>
  <c r="AJ192" i="39"/>
  <c r="AH192" i="39"/>
  <c r="AG192" i="39"/>
  <c r="AD192" i="39"/>
  <c r="AJ191" i="39"/>
  <c r="AH191" i="39"/>
  <c r="AG191" i="39"/>
  <c r="AD191" i="39"/>
  <c r="AJ190" i="39"/>
  <c r="AH190" i="39"/>
  <c r="AG190" i="39"/>
  <c r="AD190" i="39"/>
  <c r="AJ189" i="39"/>
  <c r="AH189" i="39"/>
  <c r="AG189" i="39"/>
  <c r="AJ188" i="39"/>
  <c r="AH188" i="39"/>
  <c r="AG188" i="39"/>
  <c r="AD188" i="39"/>
  <c r="AJ187" i="39"/>
  <c r="AH187" i="39"/>
  <c r="AG187" i="39"/>
  <c r="AJ186" i="39"/>
  <c r="AH186" i="39"/>
  <c r="AG186" i="39"/>
  <c r="AD186" i="39"/>
  <c r="AJ185" i="39"/>
  <c r="AH185" i="39"/>
  <c r="AG185" i="39"/>
  <c r="AJ184" i="39"/>
  <c r="AH184" i="39"/>
  <c r="AG184" i="39"/>
  <c r="AD184" i="39"/>
  <c r="AJ183" i="39"/>
  <c r="AH183" i="39"/>
  <c r="AG183" i="39"/>
  <c r="AJ182" i="39"/>
  <c r="AH182" i="39"/>
  <c r="AG182" i="39"/>
  <c r="AD182" i="39"/>
  <c r="AJ181" i="39"/>
  <c r="AH181" i="39"/>
  <c r="AG181" i="39"/>
  <c r="AD181" i="39"/>
  <c r="AG180" i="39"/>
  <c r="AG179" i="39"/>
  <c r="AD179" i="39"/>
  <c r="AJ178" i="39"/>
  <c r="AH178" i="39"/>
  <c r="AG178" i="39"/>
  <c r="AJ177" i="39"/>
  <c r="AH177" i="39"/>
  <c r="AG177" i="39"/>
  <c r="AD177" i="39"/>
  <c r="AJ176" i="39"/>
  <c r="AH176" i="39"/>
  <c r="AG176" i="39"/>
  <c r="AD176" i="39"/>
  <c r="AJ175" i="39"/>
  <c r="AH175" i="39"/>
  <c r="AG175" i="39"/>
  <c r="AD175" i="39"/>
  <c r="AJ174" i="39"/>
  <c r="AH174" i="39"/>
  <c r="AG174" i="39"/>
  <c r="AD174" i="39"/>
  <c r="AJ173" i="39"/>
  <c r="AH173" i="39"/>
  <c r="AG173" i="39"/>
  <c r="AD173" i="39"/>
  <c r="AJ172" i="39"/>
  <c r="AH172" i="39"/>
  <c r="AG172" i="39"/>
  <c r="AD172" i="39"/>
  <c r="AJ171" i="39"/>
  <c r="AH171" i="39"/>
  <c r="AG171" i="39"/>
  <c r="AJ170" i="39"/>
  <c r="AH170" i="39"/>
  <c r="AG170" i="39"/>
  <c r="AD170" i="39"/>
  <c r="AJ169" i="39"/>
  <c r="AH169" i="39"/>
  <c r="AG169" i="39"/>
  <c r="AJ168" i="39"/>
  <c r="AH168" i="39"/>
  <c r="AG168" i="39"/>
  <c r="AD168" i="39"/>
  <c r="AJ167" i="39"/>
  <c r="AH167" i="39"/>
  <c r="AG167" i="39"/>
  <c r="AJ166" i="39"/>
  <c r="AH166" i="39"/>
  <c r="AG166" i="39"/>
  <c r="AJ165" i="39"/>
  <c r="AH165" i="39"/>
  <c r="AG165" i="39"/>
  <c r="AJ164" i="39"/>
  <c r="AH164" i="39"/>
  <c r="AG164" i="39"/>
  <c r="AD164" i="39"/>
  <c r="AJ163" i="39"/>
  <c r="AH163" i="39"/>
  <c r="AG163" i="39"/>
  <c r="AJ162" i="39"/>
  <c r="AH162" i="39"/>
  <c r="AG162" i="39"/>
  <c r="AD162" i="39"/>
  <c r="AJ161" i="39"/>
  <c r="AH161" i="39"/>
  <c r="AG161" i="39"/>
  <c r="AJ160" i="39"/>
  <c r="AH160" i="39"/>
  <c r="AG160" i="39"/>
  <c r="AD160" i="39"/>
  <c r="AJ159" i="39"/>
  <c r="AH159" i="39"/>
  <c r="AG159" i="39"/>
  <c r="AD159" i="39"/>
  <c r="AJ158" i="39"/>
  <c r="AH158" i="39"/>
  <c r="AG158" i="39"/>
  <c r="AD158" i="39"/>
  <c r="AJ157" i="39"/>
  <c r="AH157" i="39"/>
  <c r="AG157" i="39"/>
  <c r="AJ156" i="39"/>
  <c r="AH156" i="39"/>
  <c r="AG156" i="39"/>
  <c r="AD156" i="39"/>
  <c r="AJ155" i="39"/>
  <c r="AH155" i="39"/>
  <c r="AG155" i="39"/>
  <c r="AJ154" i="39"/>
  <c r="AH154" i="39"/>
  <c r="AG154" i="39"/>
  <c r="AD154" i="39"/>
  <c r="AJ153" i="39"/>
  <c r="AH153" i="39"/>
  <c r="AG153" i="39"/>
  <c r="AJ152" i="39"/>
  <c r="AH152" i="39"/>
  <c r="AG152" i="39"/>
  <c r="AD152" i="39"/>
  <c r="AJ151" i="39"/>
  <c r="AH151" i="39"/>
  <c r="AG151" i="39"/>
  <c r="AD151" i="39"/>
  <c r="AJ150" i="39"/>
  <c r="AH150" i="39"/>
  <c r="AG150" i="39"/>
  <c r="AJ149" i="39"/>
  <c r="AH149" i="39"/>
  <c r="AG149" i="39"/>
  <c r="AD149" i="39"/>
  <c r="AJ148" i="39"/>
  <c r="AH148" i="39"/>
  <c r="AG148" i="39"/>
  <c r="AD148" i="39"/>
  <c r="AJ147" i="39"/>
  <c r="AH147" i="39"/>
  <c r="AG147" i="39"/>
  <c r="AJ146" i="39"/>
  <c r="AH146" i="39"/>
  <c r="AG146" i="39"/>
  <c r="AD146" i="39"/>
  <c r="AJ145" i="39"/>
  <c r="AH145" i="39"/>
  <c r="AG145" i="39"/>
  <c r="AD145" i="39"/>
  <c r="AJ144" i="39"/>
  <c r="AH144" i="39"/>
  <c r="AG144" i="39"/>
  <c r="AD144" i="39"/>
  <c r="AJ143" i="39"/>
  <c r="AH143" i="39"/>
  <c r="AG143" i="39"/>
  <c r="AD143" i="39"/>
  <c r="AJ142" i="39"/>
  <c r="AH142" i="39"/>
  <c r="AG142" i="39"/>
  <c r="AD142" i="39"/>
  <c r="AJ141" i="39"/>
  <c r="AH141" i="39"/>
  <c r="AG141" i="39"/>
  <c r="AD141" i="39"/>
  <c r="AJ140" i="39"/>
  <c r="AH140" i="39"/>
  <c r="AG140" i="39"/>
  <c r="AD140" i="39"/>
  <c r="AJ139" i="39"/>
  <c r="AH139" i="39"/>
  <c r="AG139" i="39"/>
  <c r="AD139" i="39"/>
  <c r="AJ138" i="39"/>
  <c r="AH138" i="39"/>
  <c r="AG138" i="39"/>
  <c r="AD138" i="39"/>
  <c r="AJ137" i="39"/>
  <c r="AH137" i="39"/>
  <c r="AG137" i="39"/>
  <c r="AD137" i="39"/>
  <c r="AJ136" i="39"/>
  <c r="AH136" i="39"/>
  <c r="AG136" i="39"/>
  <c r="AD136" i="39"/>
  <c r="AJ135" i="39"/>
  <c r="AH135" i="39"/>
  <c r="AG135" i="39"/>
  <c r="AD135" i="39"/>
  <c r="AJ134" i="39"/>
  <c r="AH134" i="39"/>
  <c r="AG134" i="39"/>
  <c r="AD134" i="39"/>
  <c r="AJ133" i="39"/>
  <c r="AH133" i="39"/>
  <c r="AG133" i="39"/>
  <c r="AD133" i="39"/>
  <c r="AJ132" i="39"/>
  <c r="AH132" i="39"/>
  <c r="AG132" i="39"/>
  <c r="AD132" i="39"/>
  <c r="AJ131" i="39"/>
  <c r="AH131" i="39"/>
  <c r="AG131" i="39"/>
  <c r="AD131" i="39"/>
  <c r="AJ130" i="39"/>
  <c r="AH130" i="39"/>
  <c r="AG130" i="39"/>
  <c r="AD130" i="39"/>
  <c r="AJ129" i="39"/>
  <c r="AH129" i="39"/>
  <c r="AG129" i="39"/>
  <c r="AJ128" i="39"/>
  <c r="AH128" i="39"/>
  <c r="AG128" i="39"/>
  <c r="AD128" i="39"/>
  <c r="AJ127" i="39"/>
  <c r="AH127" i="39"/>
  <c r="AG127" i="39"/>
  <c r="AD127" i="39"/>
  <c r="AJ126" i="39"/>
  <c r="AH126" i="39"/>
  <c r="AG126" i="39"/>
  <c r="AJ125" i="39"/>
  <c r="AH125" i="39"/>
  <c r="AG125" i="39"/>
  <c r="AD125" i="39"/>
  <c r="AJ124" i="39"/>
  <c r="AH124" i="39"/>
  <c r="AG124" i="39"/>
  <c r="AD124" i="39"/>
  <c r="AJ123" i="39"/>
  <c r="AH123" i="39"/>
  <c r="AG123" i="39"/>
  <c r="AD123" i="39"/>
  <c r="AJ122" i="39"/>
  <c r="AH122" i="39"/>
  <c r="AG122" i="39"/>
  <c r="AD122" i="39"/>
  <c r="AJ121" i="39"/>
  <c r="AH121" i="39"/>
  <c r="AG121" i="39"/>
  <c r="AD121" i="39"/>
  <c r="AJ120" i="39"/>
  <c r="AH120" i="39"/>
  <c r="AG120" i="39"/>
  <c r="AJ119" i="39"/>
  <c r="AH119" i="39"/>
  <c r="AG119" i="39"/>
  <c r="AD119" i="39"/>
  <c r="AJ118" i="39"/>
  <c r="AH118" i="39"/>
  <c r="AG118" i="39"/>
  <c r="AD118" i="39"/>
  <c r="AJ117" i="39"/>
  <c r="AH117" i="39"/>
  <c r="AG117" i="39"/>
  <c r="AD117" i="39"/>
  <c r="AJ116" i="39"/>
  <c r="AH116" i="39"/>
  <c r="AG116" i="39"/>
  <c r="AD116" i="39"/>
  <c r="AJ115" i="39"/>
  <c r="AH115" i="39"/>
  <c r="AG115" i="39"/>
  <c r="AD115" i="39"/>
  <c r="AJ114" i="39"/>
  <c r="AH114" i="39"/>
  <c r="AG114" i="39"/>
  <c r="AD114" i="39"/>
  <c r="AJ113" i="39"/>
  <c r="AH113" i="39"/>
  <c r="AG113" i="39"/>
  <c r="AJ112" i="39"/>
  <c r="AH112" i="39"/>
  <c r="AG112" i="39"/>
  <c r="AJ111" i="39"/>
  <c r="AH111" i="39"/>
  <c r="AG111" i="39"/>
  <c r="AD111" i="39"/>
  <c r="AJ110" i="39"/>
  <c r="AH110" i="39"/>
  <c r="AG110" i="39"/>
  <c r="AJ109" i="39"/>
  <c r="AH109" i="39"/>
  <c r="AG109" i="39"/>
  <c r="AD109" i="39"/>
  <c r="AJ108" i="39"/>
  <c r="AH108" i="39"/>
  <c r="AG108" i="39"/>
  <c r="AJ107" i="39"/>
  <c r="AH107" i="39"/>
  <c r="AG107" i="39"/>
  <c r="AD107" i="39"/>
  <c r="AJ106" i="39"/>
  <c r="AH106" i="39"/>
  <c r="AG106" i="39"/>
  <c r="AJ105" i="39"/>
  <c r="AH105" i="39"/>
  <c r="AG105" i="39"/>
  <c r="AD105" i="39"/>
  <c r="AJ104" i="39"/>
  <c r="AH104" i="39"/>
  <c r="AG104" i="39"/>
  <c r="AJ103" i="39"/>
  <c r="AH103" i="39"/>
  <c r="AG103" i="39"/>
  <c r="AD103" i="39"/>
  <c r="AJ102" i="39"/>
  <c r="AH102" i="39"/>
  <c r="AG102" i="39"/>
  <c r="AJ101" i="39"/>
  <c r="AH101" i="39"/>
  <c r="AG101" i="39"/>
  <c r="AD101" i="39"/>
  <c r="AJ100" i="39"/>
  <c r="AH100" i="39"/>
  <c r="AG100" i="39"/>
  <c r="AJ99" i="39"/>
  <c r="AH99" i="39"/>
  <c r="AG99" i="39"/>
  <c r="AD99" i="39"/>
  <c r="AJ98" i="39"/>
  <c r="AH98" i="39"/>
  <c r="AG98" i="39"/>
  <c r="AJ97" i="39"/>
  <c r="AH97" i="39"/>
  <c r="AG97" i="39"/>
  <c r="AD97" i="39"/>
  <c r="AJ96" i="39"/>
  <c r="AH96" i="39"/>
  <c r="AG96" i="39"/>
  <c r="AJ95" i="39"/>
  <c r="AH95" i="39"/>
  <c r="AG95" i="39"/>
  <c r="AD95" i="39"/>
  <c r="AJ94" i="39"/>
  <c r="AH94" i="39"/>
  <c r="AG94" i="39"/>
  <c r="AJ93" i="39"/>
  <c r="AH93" i="39"/>
  <c r="AG93" i="39"/>
  <c r="AD93" i="39"/>
  <c r="AJ92" i="39"/>
  <c r="AH92" i="39"/>
  <c r="AG92" i="39"/>
  <c r="AJ91" i="39"/>
  <c r="AH91" i="39"/>
  <c r="AG91" i="39"/>
  <c r="AD91" i="39"/>
  <c r="AJ90" i="39"/>
  <c r="AH90" i="39"/>
  <c r="AG90" i="39"/>
  <c r="AJ89" i="39"/>
  <c r="AH89" i="39"/>
  <c r="AG89" i="39"/>
  <c r="AD89" i="39"/>
  <c r="AJ88" i="39"/>
  <c r="AH88" i="39"/>
  <c r="AG88" i="39"/>
  <c r="AD88" i="39"/>
  <c r="AJ87" i="39"/>
  <c r="AH87" i="39"/>
  <c r="AG87" i="39"/>
  <c r="AD87" i="39"/>
  <c r="AJ86" i="39"/>
  <c r="AH86" i="39"/>
  <c r="AG86" i="39"/>
  <c r="AD86" i="39"/>
  <c r="AJ85" i="39"/>
  <c r="AH85" i="39"/>
  <c r="AG85" i="39"/>
  <c r="AJ84" i="39"/>
  <c r="AH84" i="39"/>
  <c r="AG84" i="39"/>
  <c r="AD84" i="39"/>
  <c r="AJ83" i="39"/>
  <c r="AH83" i="39"/>
  <c r="AG83" i="39"/>
  <c r="AJ82" i="39"/>
  <c r="AH82" i="39"/>
  <c r="AG82" i="39"/>
  <c r="AD82" i="39"/>
  <c r="AJ81" i="39"/>
  <c r="AH81" i="39"/>
  <c r="AG81" i="39"/>
  <c r="AJ80" i="39"/>
  <c r="AH80" i="39"/>
  <c r="AG80" i="39"/>
  <c r="AD80" i="39"/>
  <c r="AJ79" i="39"/>
  <c r="AH79" i="39"/>
  <c r="AG79" i="39"/>
  <c r="AJ78" i="39"/>
  <c r="AH78" i="39"/>
  <c r="AG78" i="39"/>
  <c r="AD78" i="39"/>
  <c r="AJ77" i="39"/>
  <c r="AH77" i="39"/>
  <c r="AG77" i="39"/>
  <c r="AJ76" i="39"/>
  <c r="AH76" i="39"/>
  <c r="AG76" i="39"/>
  <c r="AD76" i="39"/>
  <c r="AJ75" i="39"/>
  <c r="AH75" i="39"/>
  <c r="AG75" i="39"/>
  <c r="AD75" i="39"/>
  <c r="AJ74" i="39"/>
  <c r="AH74" i="39"/>
  <c r="AG74" i="39"/>
  <c r="AD74" i="39"/>
  <c r="AJ73" i="39"/>
  <c r="AH73" i="39"/>
  <c r="AG73" i="39"/>
  <c r="AJ72" i="39"/>
  <c r="AH72" i="39"/>
  <c r="AG72" i="39"/>
  <c r="AD72" i="39"/>
  <c r="AJ71" i="39"/>
  <c r="AH71" i="39"/>
  <c r="AG71" i="39"/>
  <c r="AJ70" i="39"/>
  <c r="AH70" i="39"/>
  <c r="AG70" i="39"/>
  <c r="AD70" i="39"/>
  <c r="AJ69" i="39"/>
  <c r="AH69" i="39"/>
  <c r="AG69" i="39"/>
  <c r="AJ68" i="39"/>
  <c r="AH68" i="39"/>
  <c r="AG68" i="39"/>
  <c r="AD68" i="39"/>
  <c r="AJ67" i="39"/>
  <c r="AH67" i="39"/>
  <c r="AG67" i="39"/>
  <c r="AJ66" i="39"/>
  <c r="AH66" i="39"/>
  <c r="AG66" i="39"/>
  <c r="AD66" i="39"/>
  <c r="AJ65" i="39"/>
  <c r="AH65" i="39"/>
  <c r="AG65" i="39"/>
  <c r="AD65" i="39"/>
  <c r="AJ64" i="39"/>
  <c r="AH64" i="39"/>
  <c r="AG64" i="39"/>
  <c r="AJ63" i="39"/>
  <c r="AH63" i="39"/>
  <c r="AG63" i="39"/>
  <c r="AD63" i="39"/>
  <c r="AJ62" i="39"/>
  <c r="AH62" i="39"/>
  <c r="AG62" i="39"/>
  <c r="AD62" i="39"/>
  <c r="AJ61" i="39"/>
  <c r="AH61" i="39"/>
  <c r="AG61" i="39"/>
  <c r="AD61" i="39"/>
  <c r="AJ60" i="39"/>
  <c r="AH60" i="39"/>
  <c r="AG60" i="39"/>
  <c r="AD60" i="39"/>
  <c r="AJ59" i="39"/>
  <c r="AH59" i="39"/>
  <c r="AG59" i="39"/>
  <c r="AD59" i="39"/>
  <c r="AJ58" i="39"/>
  <c r="AH58" i="39"/>
  <c r="AG58" i="39"/>
  <c r="AD58" i="39"/>
  <c r="AJ57" i="39"/>
  <c r="AH57" i="39"/>
  <c r="AG57" i="39"/>
  <c r="AD57" i="39"/>
  <c r="AJ56" i="39"/>
  <c r="AH56" i="39"/>
  <c r="AG56" i="39"/>
  <c r="AD56" i="39"/>
  <c r="AJ55" i="39"/>
  <c r="AH55" i="39"/>
  <c r="AG55" i="39"/>
  <c r="AD55" i="39"/>
  <c r="AJ54" i="39"/>
  <c r="AH54" i="39"/>
  <c r="AG54" i="39"/>
  <c r="AD54" i="39"/>
  <c r="AJ53" i="39"/>
  <c r="AH53" i="39"/>
  <c r="AG53" i="39"/>
  <c r="AD53" i="39"/>
  <c r="AJ52" i="39"/>
  <c r="AH52" i="39"/>
  <c r="AG52" i="39"/>
  <c r="AJ51" i="39"/>
  <c r="AH51" i="39"/>
  <c r="AG51" i="39"/>
  <c r="AD51" i="39"/>
  <c r="AJ50" i="39"/>
  <c r="AH50" i="39"/>
  <c r="AG50" i="39"/>
  <c r="AJ49" i="39"/>
  <c r="AH49" i="39"/>
  <c r="AG49" i="39"/>
  <c r="AD49" i="39"/>
  <c r="AJ48" i="39"/>
  <c r="AH48" i="39"/>
  <c r="AG48" i="39"/>
  <c r="AJ47" i="39"/>
  <c r="AH47" i="39"/>
  <c r="AG47" i="39"/>
  <c r="AD47" i="39"/>
  <c r="AJ46" i="39"/>
  <c r="AH46" i="39"/>
  <c r="AG46" i="39"/>
  <c r="AJ45" i="39"/>
  <c r="AH45" i="39"/>
  <c r="AG45" i="39"/>
  <c r="AD45" i="39"/>
  <c r="AJ44" i="39"/>
  <c r="AH44" i="39"/>
  <c r="AG44" i="39"/>
  <c r="AD44" i="39"/>
  <c r="AJ43" i="39"/>
  <c r="AH43" i="39"/>
  <c r="AG43" i="39"/>
  <c r="AJ42" i="39"/>
  <c r="AH42" i="39"/>
  <c r="AG42" i="39"/>
  <c r="AD42" i="39"/>
  <c r="AJ41" i="39"/>
  <c r="AH41" i="39"/>
  <c r="AG41" i="39"/>
  <c r="AD41" i="39"/>
  <c r="AJ40" i="39"/>
  <c r="AH40" i="39"/>
  <c r="AG40" i="39"/>
  <c r="AJ39" i="39"/>
  <c r="AH39" i="39"/>
  <c r="AG39" i="39"/>
  <c r="AD39" i="39"/>
  <c r="AJ38" i="39"/>
  <c r="AH38" i="39"/>
  <c r="AG38" i="39"/>
  <c r="AD38" i="39"/>
  <c r="AJ37" i="39"/>
  <c r="AH37" i="39"/>
  <c r="AG37" i="39"/>
  <c r="AD37" i="39"/>
  <c r="AJ36" i="39"/>
  <c r="AH36" i="39"/>
  <c r="AG36" i="39"/>
  <c r="AD36" i="39"/>
  <c r="AJ35" i="39"/>
  <c r="AH35" i="39"/>
  <c r="AG35" i="39"/>
  <c r="AD35" i="39"/>
  <c r="AJ34" i="39"/>
  <c r="AH34" i="39"/>
  <c r="AG34" i="39"/>
  <c r="AD34" i="39"/>
  <c r="AJ33" i="39"/>
  <c r="AH33" i="39"/>
  <c r="AG33" i="39"/>
  <c r="AD33" i="39"/>
  <c r="AJ32" i="39"/>
  <c r="AH32" i="39"/>
  <c r="AG32" i="39"/>
  <c r="AD32" i="39"/>
  <c r="AJ31" i="39"/>
  <c r="AH31" i="39"/>
  <c r="AG31" i="39"/>
  <c r="AD31" i="39"/>
  <c r="AJ30" i="39"/>
  <c r="AH30" i="39"/>
  <c r="AG30" i="39"/>
  <c r="AD30" i="39"/>
  <c r="AJ29" i="39"/>
  <c r="AH29" i="39"/>
  <c r="AG29" i="39"/>
  <c r="AD29" i="39"/>
  <c r="AJ28" i="39"/>
  <c r="AH28" i="39"/>
  <c r="AG28" i="39"/>
  <c r="AD28" i="39"/>
  <c r="AJ27" i="39"/>
  <c r="AH27" i="39"/>
  <c r="AG27" i="39"/>
  <c r="AD27" i="39"/>
  <c r="AJ26" i="39"/>
  <c r="AH26" i="39"/>
  <c r="AG26" i="39"/>
  <c r="AD26" i="39"/>
  <c r="AJ25" i="39"/>
  <c r="AH25" i="39"/>
  <c r="AG25" i="39"/>
  <c r="AD25" i="39"/>
  <c r="AJ24" i="39"/>
  <c r="AH24" i="39"/>
  <c r="AG24" i="39"/>
  <c r="AJ23" i="39"/>
  <c r="AH23" i="39"/>
  <c r="AG23" i="39"/>
  <c r="AD23" i="39"/>
  <c r="AJ22" i="39"/>
  <c r="AH22" i="39"/>
  <c r="AG22" i="39"/>
  <c r="AJ21" i="39"/>
  <c r="AH21" i="39"/>
  <c r="AG21" i="39"/>
  <c r="AJ20" i="39"/>
  <c r="AH20" i="39"/>
  <c r="AG20" i="39"/>
  <c r="AJ19" i="39"/>
  <c r="AH19" i="39"/>
  <c r="AG19" i="39"/>
  <c r="AD19" i="39"/>
  <c r="AJ18" i="39"/>
  <c r="AH18" i="39"/>
  <c r="AG18" i="39"/>
  <c r="AH17" i="39"/>
  <c r="AG17" i="39"/>
  <c r="AD17" i="39"/>
  <c r="AH16" i="39"/>
  <c r="AG16" i="39"/>
  <c r="AH15" i="39"/>
  <c r="AG15" i="39"/>
  <c r="AD15" i="39"/>
  <c r="AH14" i="39"/>
  <c r="AG14" i="39"/>
  <c r="AH13" i="39"/>
  <c r="AG13" i="39"/>
  <c r="AD13" i="39"/>
  <c r="AH12" i="39"/>
  <c r="H68" i="31"/>
  <c r="I68" i="31"/>
  <c r="J68" i="31"/>
  <c r="H71" i="31"/>
  <c r="I71" i="31"/>
  <c r="J71" i="31"/>
  <c r="H74" i="31"/>
  <c r="I74" i="31"/>
  <c r="J74" i="31"/>
  <c r="J75" i="31"/>
  <c r="L75" i="31"/>
  <c r="F2" i="34"/>
  <c r="F3" i="34"/>
  <c r="F4" i="34"/>
  <c r="C63" i="1"/>
  <c r="D63" i="1"/>
  <c r="E63" i="1"/>
  <c r="F63" i="1"/>
  <c r="G63" i="1"/>
  <c r="C64" i="1"/>
  <c r="E86" i="42"/>
  <c r="C7" i="32"/>
  <c r="E12" i="33"/>
  <c r="AD20" i="29"/>
  <c r="AB20" i="29"/>
  <c r="A20" i="29"/>
  <c r="AD19" i="29"/>
  <c r="AB19" i="29"/>
  <c r="A19" i="29"/>
  <c r="AD18" i="29"/>
  <c r="AB18" i="29"/>
  <c r="A18" i="29"/>
  <c r="AD17" i="29"/>
  <c r="AB17" i="29"/>
  <c r="A17" i="29"/>
  <c r="AD16" i="29"/>
  <c r="AB16" i="29"/>
  <c r="A16" i="29"/>
  <c r="AD15" i="29"/>
  <c r="AB15" i="29"/>
  <c r="A15" i="29"/>
  <c r="AD14" i="29"/>
  <c r="AB14" i="29"/>
  <c r="A14" i="29"/>
  <c r="AD13" i="29"/>
  <c r="AB13" i="29"/>
  <c r="A13" i="29"/>
  <c r="AD12" i="29"/>
  <c r="AB12" i="29"/>
  <c r="A12" i="29"/>
  <c r="AD11" i="29"/>
  <c r="AB11" i="29"/>
  <c r="A11" i="29"/>
  <c r="E92" i="42"/>
  <c r="E91" i="42"/>
  <c r="E90" i="42"/>
  <c r="E89" i="42"/>
  <c r="E88" i="42"/>
  <c r="E87" i="42"/>
  <c r="C53" i="1"/>
  <c r="C51" i="1"/>
  <c r="C52" i="1"/>
  <c r="F55" i="1"/>
  <c r="C55" i="1"/>
  <c r="A25" i="1"/>
  <c r="I78" i="31"/>
  <c r="J78" i="31"/>
  <c r="I81" i="31"/>
  <c r="J81" i="31"/>
  <c r="I84" i="31"/>
  <c r="J84" i="31"/>
  <c r="J85" i="31"/>
  <c r="D60" i="1"/>
  <c r="E60" i="1"/>
  <c r="F60" i="1"/>
  <c r="G60" i="1"/>
  <c r="D57" i="1"/>
  <c r="C46" i="1"/>
  <c r="C113" i="5"/>
  <c r="L49" i="31"/>
  <c r="D4" i="34"/>
  <c r="D3" i="34"/>
  <c r="D2" i="34"/>
  <c r="F35" i="34"/>
  <c r="G45" i="31"/>
  <c r="E75" i="31"/>
  <c r="A75" i="31"/>
  <c r="E59" i="31"/>
  <c r="E85" i="31"/>
  <c r="L37" i="1"/>
  <c r="F16" i="31"/>
  <c r="F19" i="31"/>
  <c r="F22" i="31"/>
  <c r="F25" i="31"/>
  <c r="F28" i="31"/>
  <c r="F29" i="31"/>
  <c r="G78" i="31"/>
  <c r="F78" i="31"/>
  <c r="G81" i="31"/>
  <c r="F81" i="31"/>
  <c r="G84" i="31"/>
  <c r="F84" i="31"/>
  <c r="F85" i="31"/>
  <c r="F68" i="31"/>
  <c r="G71" i="31"/>
  <c r="F71" i="31"/>
  <c r="G74" i="31"/>
  <c r="F74" i="31"/>
  <c r="F75" i="31"/>
  <c r="G52" i="31"/>
  <c r="F52" i="31"/>
  <c r="G55" i="31"/>
  <c r="F55" i="31"/>
  <c r="G58" i="31"/>
  <c r="F58" i="31"/>
  <c r="F59" i="31"/>
  <c r="G48" i="31"/>
  <c r="F42" i="31"/>
  <c r="F45" i="31"/>
  <c r="F48" i="31"/>
  <c r="F49" i="31"/>
  <c r="F35" i="31"/>
  <c r="F38" i="31"/>
  <c r="F32" i="31"/>
  <c r="F39" i="31"/>
  <c r="D31" i="31"/>
  <c r="D54" i="31"/>
  <c r="E49" i="31"/>
  <c r="A49" i="31"/>
  <c r="E29" i="31"/>
  <c r="A29" i="31"/>
  <c r="D15" i="31"/>
  <c r="D18" i="31"/>
  <c r="D83" i="31"/>
  <c r="D80" i="31"/>
  <c r="D77" i="31"/>
  <c r="D73" i="31"/>
  <c r="D70" i="31"/>
  <c r="D67" i="31"/>
  <c r="D57" i="31"/>
  <c r="D51" i="31"/>
  <c r="D47" i="31"/>
  <c r="D44" i="31"/>
  <c r="D41" i="31"/>
  <c r="D37" i="31"/>
  <c r="D34" i="31"/>
  <c r="D27" i="31"/>
  <c r="D24" i="31"/>
  <c r="D21" i="31"/>
  <c r="R30" i="2"/>
  <c r="R31" i="2"/>
  <c r="C2" i="11"/>
  <c r="C4" i="11"/>
  <c r="C5" i="11"/>
  <c r="C2" i="32"/>
  <c r="C4" i="32"/>
  <c r="C5" i="32"/>
  <c r="C6" i="32"/>
  <c r="D42" i="32"/>
  <c r="B4" i="42"/>
  <c r="C4" i="42"/>
  <c r="B5" i="42"/>
  <c r="B6" i="42"/>
  <c r="C6" i="42"/>
  <c r="B7" i="42"/>
  <c r="C7" i="42"/>
  <c r="B8" i="42"/>
  <c r="C8" i="42"/>
  <c r="B9" i="42"/>
  <c r="C9" i="42"/>
  <c r="J37" i="1"/>
  <c r="M31" i="2"/>
  <c r="J65" i="31"/>
  <c r="I37" i="1"/>
  <c r="D37" i="1"/>
  <c r="M44" i="1"/>
  <c r="M45" i="1"/>
  <c r="M46" i="1"/>
  <c r="M48" i="1"/>
  <c r="M53" i="1"/>
  <c r="J111" i="31"/>
  <c r="N111" i="31"/>
  <c r="Z11" i="29"/>
  <c r="Z12" i="29"/>
  <c r="Z13" i="29"/>
  <c r="Z14" i="29"/>
  <c r="Z15" i="29"/>
  <c r="Z16" i="29"/>
  <c r="Z17" i="29"/>
  <c r="Z18" i="29"/>
  <c r="Z19" i="29"/>
  <c r="Z20" i="29"/>
  <c r="F44" i="1"/>
  <c r="J112" i="31"/>
  <c r="J113" i="31"/>
  <c r="J46" i="1"/>
  <c r="J48" i="1"/>
  <c r="L44" i="1"/>
  <c r="L45" i="1"/>
  <c r="L46" i="1"/>
  <c r="L48" i="1"/>
  <c r="E44" i="1"/>
  <c r="G44" i="1"/>
  <c r="D44" i="1"/>
  <c r="H44" i="1"/>
  <c r="D45" i="1"/>
  <c r="E45" i="1"/>
  <c r="F45" i="1"/>
  <c r="G45" i="1"/>
  <c r="H45" i="1"/>
  <c r="D46" i="1"/>
  <c r="E46" i="1"/>
  <c r="F46" i="1"/>
  <c r="G46" i="1"/>
  <c r="H46" i="1"/>
  <c r="M37" i="1"/>
</calcChain>
</file>

<file path=xl/sharedStrings.xml><?xml version="1.0" encoding="utf-8"?>
<sst xmlns="http://schemas.openxmlformats.org/spreadsheetml/2006/main" count="5668" uniqueCount="1266">
  <si>
    <t>BIJZONDER-HEDEN</t>
  </si>
  <si>
    <t>Opslag niet werkbare dagen in procenten</t>
  </si>
  <si>
    <t xml:space="preserve">Vakantietoeslag </t>
  </si>
  <si>
    <t>Stofzuigen</t>
  </si>
  <si>
    <t>Subtotaal loonkosten per uur inclusief sociale verzekeringen</t>
  </si>
  <si>
    <t>Opslag niet werkbare dagen</t>
  </si>
  <si>
    <t>TOTAAL KOSTEN PER JAAR EXCLUSIEF BTW</t>
  </si>
  <si>
    <t>B.T.W.</t>
  </si>
  <si>
    <t>Prijspeil</t>
  </si>
  <si>
    <t>Administratiekosten</t>
  </si>
  <si>
    <t>Huisvestingskosten</t>
  </si>
  <si>
    <t>Totaal premies sociale verzekeringen</t>
  </si>
  <si>
    <t>Berekening werkbaredagen</t>
  </si>
  <si>
    <t>Schoonmaak</t>
  </si>
  <si>
    <t>Aantal kalenderdagen</t>
  </si>
  <si>
    <t>Weekenddagen</t>
  </si>
  <si>
    <t>Werkdagen per jaar</t>
  </si>
  <si>
    <t>PRESTATIE NORM</t>
  </si>
  <si>
    <t>VSR</t>
  </si>
  <si>
    <t>Wachtgeldfonds</t>
  </si>
  <si>
    <t>Zorgverzekeringswet</t>
  </si>
  <si>
    <t>Op de diverse tabbladen zijn invoervelden opgenomen, deze zijn blauw gekleurd zoals het voorbeeld --&gt;</t>
  </si>
  <si>
    <t>Tariefgroep</t>
  </si>
  <si>
    <t>: cijfermatige notatie van het aantal keren dat een ruimte per jaar wordt schoongemaakt (zie onderstaande opgave)</t>
  </si>
  <si>
    <t>Opmerking</t>
  </si>
  <si>
    <t>Werkkleding en uitrusting</t>
  </si>
  <si>
    <t>Machinekosten</t>
  </si>
  <si>
    <t>PRODUCTIE-UREN MAANDAG-VRIJDAG</t>
  </si>
  <si>
    <t>nvt</t>
  </si>
  <si>
    <t>Totaal eindtarief feestdagen [incl. 150% toeslag]</t>
  </si>
  <si>
    <t>Specialistentoeslag</t>
  </si>
  <si>
    <t>Grondslag loon voor berekening OP premie</t>
  </si>
  <si>
    <t>Premie Ouderdomspensioen (OP)</t>
  </si>
  <si>
    <t>Invoervelden</t>
  </si>
  <si>
    <t>Info Blad</t>
  </si>
  <si>
    <t>Reiskosten/autokosten</t>
  </si>
  <si>
    <t>Specialist - algemeen</t>
  </si>
  <si>
    <t>Bruto uurloon</t>
  </si>
  <si>
    <t>Afroepprijzen</t>
  </si>
  <si>
    <t>FREQ. NOTATIE</t>
  </si>
  <si>
    <t>VERD.</t>
  </si>
  <si>
    <t>Totaal schoonmaak</t>
  </si>
  <si>
    <t>Locatie</t>
  </si>
  <si>
    <t>Omschrijving blad</t>
  </si>
  <si>
    <t>Jaarkosten per locatie</t>
  </si>
  <si>
    <t>Indien buiten genoemde dagen en uren regiewerkzaamheden verricht dienen te worden is aannemer gerechtigd de toeslagpercentages, zoals vastgelegd in artikel 17 van de CAO voor Schoonmaak- en Glazenwassersbedrijf, te berekenen.  De toeslag dient steeds over het basis CAO-uurloon, zoals vermeld in invuldocument 5-Opbouw uurtarieven te worden berekend.</t>
  </si>
  <si>
    <t>%</t>
  </si>
  <si>
    <t>101-250 m2</t>
  </si>
  <si>
    <t>06:00-21:30 uur zat-/ zondag</t>
  </si>
  <si>
    <t>Vakantiedagen</t>
  </si>
  <si>
    <t>Programmacode</t>
  </si>
  <si>
    <t xml:space="preserve">RUIMTE NR </t>
  </si>
  <si>
    <t xml:space="preserve">Renteverlies per jaar </t>
  </si>
  <si>
    <t>Adres/plaats</t>
  </si>
  <si>
    <t>: unieke code die is gekoppeld aan een schoonmaakprogramma voor een bepaalde ruimtecategorie</t>
  </si>
  <si>
    <t>Omschrijving</t>
  </si>
  <si>
    <t>Werkbare dagen per jaar</t>
  </si>
  <si>
    <t>Het samengestelde uurtarief wordt automatisch geplaatst in het tabblad 1.1-Contractblad.</t>
  </si>
  <si>
    <t>Werktijden</t>
  </si>
  <si>
    <t>Ruimtestaat</t>
  </si>
  <si>
    <t>Korting</t>
  </si>
  <si>
    <t>Op het tabblad 1.3-Basis ruimtestaat hoeft u niets in te vullen.</t>
  </si>
  <si>
    <t>Kengetal</t>
  </si>
  <si>
    <t xml:space="preserve">Feestdag tussen 06.00 en 21.30 uur   </t>
  </si>
  <si>
    <t>: afkortingen voor ruimtecategorieën bij toepassing van VSR-kwaliteitsmetingen B=bureaukamers, V=verkeersruimten, S=sanitaire ruimten, G=Gymzaal en L=Leslokalen</t>
  </si>
  <si>
    <t>Tarief</t>
  </si>
  <si>
    <t>Productie kosten</t>
  </si>
  <si>
    <t>Toezicht kosten</t>
  </si>
  <si>
    <t>Glasbewassing</t>
  </si>
  <si>
    <t>Frequentienotatie</t>
  </si>
  <si>
    <t>Opmerking:</t>
  </si>
  <si>
    <t>PRODUCTIE-UREN ZATERDAG-ZONDAG</t>
  </si>
  <si>
    <t>PRODUCTIE-UREN FEESTDAG</t>
  </si>
  <si>
    <t>Prestatienorm</t>
  </si>
  <si>
    <t>Totaal loonkosten per uur</t>
  </si>
  <si>
    <t>Alle prijzen inclusief materialen en middelen, voorrijkosten en overige bijkomende kosten.</t>
  </si>
  <si>
    <t>Frequentie-omschr.</t>
  </si>
  <si>
    <t>V</t>
  </si>
  <si>
    <t>Tapijt</t>
  </si>
  <si>
    <t>Totaal eindtarief weekenden [incl. 50% toeslag]</t>
  </si>
  <si>
    <t>Op het tabblad 1.5 Machine-investering dient u uw gegevens in de blauwe invoervelden in te voeren.</t>
  </si>
  <si>
    <t>M2 VLOER NIO</t>
  </si>
  <si>
    <t>UREN P/JR MA-VR REGULIER</t>
  </si>
  <si>
    <t>De gecalculeerde productie-uren vanuit tabblad 1.3 Basis ruimtestaat worden automatisch ingevoerd, na invoering van de % per categorie medewerker.</t>
  </si>
  <si>
    <t>BIJZONDERHEDEN</t>
  </si>
  <si>
    <t>Tegels</t>
  </si>
  <si>
    <t>Bruto uurloon inclusief toeslagen</t>
  </si>
  <si>
    <t>Regie- uurtarieven (volgens matrix incidentele diensten)</t>
  </si>
  <si>
    <t>KOSTEN PER JAAR</t>
  </si>
  <si>
    <t>Afsponzen</t>
  </si>
  <si>
    <t>Gordijnen</t>
  </si>
  <si>
    <t>Prijs per jaar</t>
  </si>
  <si>
    <t>RUIMTE CATEGORIE</t>
  </si>
  <si>
    <t>Sub-totaal</t>
  </si>
  <si>
    <t>Uitvoering normale werktijden: maandag t/m vrijdag [06.00 en 20.30 uur]</t>
  </si>
  <si>
    <t>Totaal kosten bij koop per jaar per machine</t>
  </si>
  <si>
    <t>TOEZICHT-UREN MAANDAG-VRIJDAG</t>
  </si>
  <si>
    <t>SUBTOTAAL</t>
  </si>
  <si>
    <t>P.Z. kosten</t>
  </si>
  <si>
    <t>Opleiding</t>
  </si>
  <si>
    <t>&lt; 50</t>
  </si>
  <si>
    <t>51 - 100</t>
  </si>
  <si>
    <t>Automatische koppeling naar specifieke contractblad(en)</t>
  </si>
  <si>
    <t>Machine investeringskosten</t>
  </si>
  <si>
    <t>Kosten bij koop per jaar</t>
  </si>
  <si>
    <t>Nat. feestdagen, kort verzuim, bijz. CAO</t>
  </si>
  <si>
    <t>Ziektedagen</t>
  </si>
  <si>
    <t>Vorstverlet</t>
  </si>
  <si>
    <t>Linoleum</t>
  </si>
  <si>
    <t>TOEZICHT-UREN ZATERDAG-ZONDAG</t>
  </si>
  <si>
    <t>Vloeren</t>
  </si>
  <si>
    <t>501-1.000 m2</t>
  </si>
  <si>
    <t xml:space="preserve">Za/zo tussen 06.00 en 21.30 uur   </t>
  </si>
  <si>
    <t>Calculatie onderdeel</t>
  </si>
  <si>
    <t>Aantal uren per dag</t>
  </si>
  <si>
    <t>Machine investeringkosten</t>
  </si>
  <si>
    <t>Machine</t>
  </si>
  <si>
    <t>Handeling</t>
  </si>
  <si>
    <t>&lt; 100 m2</t>
  </si>
  <si>
    <t>Franchise OP-premie per uur</t>
  </si>
  <si>
    <t>Effectieve OP premie</t>
  </si>
  <si>
    <t>Catalogusprijs</t>
  </si>
  <si>
    <t>Perceel</t>
  </si>
  <si>
    <t>VSR CODE</t>
  </si>
  <si>
    <t>Alle prijzen exclusief btw</t>
  </si>
  <si>
    <t>Vitrage</t>
  </si>
  <si>
    <t>Nat. feestdagen, kort verzuim, bijz CAO</t>
  </si>
  <si>
    <t>Ruimtecategorie</t>
  </si>
  <si>
    <t xml:space="preserve">Verzekeringskosten per jaar </t>
  </si>
  <si>
    <t>FREQ. OMSCHRIJVING</t>
  </si>
  <si>
    <t>Percentage</t>
  </si>
  <si>
    <t>Pensioen overgangsregeling</t>
  </si>
  <si>
    <t>O.R.</t>
  </si>
  <si>
    <t>Kinderopvang</t>
  </si>
  <si>
    <t>werkgeversdeel</t>
  </si>
  <si>
    <t>SV uurloon inclusief toeslagen</t>
  </si>
  <si>
    <t>Schrobben</t>
  </si>
  <si>
    <t>Op het tabblad 1.4 Opbouw uurtarieven dient u uw gegevens in de blauwe invoervelden in te voeren.</t>
  </si>
  <si>
    <t>De ingevoerde kengetallen per schoonmaakprogramma code worden automatisch geplaatst in het tabblad 1.3-Basis ruimtestaat.</t>
  </si>
  <si>
    <t>Vertikale lamellen (kunststof/ aluminium)</t>
  </si>
  <si>
    <t xml:space="preserve">Sociale verzekeringen - Ouderdomspensioen (OP) </t>
  </si>
  <si>
    <t>Risico en winst</t>
  </si>
  <si>
    <t>: onderverdeling van de aanwezige ruimten in een object in een aantal categorieën</t>
  </si>
  <si>
    <t>M2 VLOER IO</t>
  </si>
  <si>
    <t>Investering machine kosten</t>
  </si>
  <si>
    <t>Gebouw/plaats</t>
  </si>
  <si>
    <t xml:space="preserve">Afschrijvingstermijn in jaren </t>
  </si>
  <si>
    <t>Prijs in €</t>
  </si>
  <si>
    <t>Zonwering</t>
  </si>
  <si>
    <t>per meter</t>
  </si>
  <si>
    <t>per m2</t>
  </si>
  <si>
    <t>Vertikale lamellen (textiel)</t>
  </si>
  <si>
    <t>Prijs in € per m2 in staffelvorm</t>
  </si>
  <si>
    <t>Op het tabblad 1.6 Afroepprijzen dient u uw gegevens in de blauwe invoervelden in te voeren.</t>
  </si>
  <si>
    <t>Managementkosten</t>
  </si>
  <si>
    <t>Kosten bij koop (excl. btw)</t>
  </si>
  <si>
    <t>Franchise Afw-premie per dag</t>
  </si>
  <si>
    <t>Verrekend ja/nee</t>
  </si>
  <si>
    <t>Mutaties volgens blad 1.1c</t>
  </si>
  <si>
    <t>Naam leverancier</t>
  </si>
  <si>
    <t>Kengetallenoverzicht schoonmaakonderhoud</t>
  </si>
  <si>
    <t>Naam opdrachtgever</t>
  </si>
  <si>
    <t>Informatie</t>
  </si>
  <si>
    <t>Omschrijving opdracht</t>
  </si>
  <si>
    <t>WGA rekenpremie</t>
  </si>
  <si>
    <t>WGA gedifferentieerde premie</t>
  </si>
  <si>
    <t>Totaal premie PEMBA/IVA</t>
  </si>
  <si>
    <t xml:space="preserve">RAS-heffing </t>
  </si>
  <si>
    <t>De percentages van categorieën medewerkers, die u dient aan te geven, verrekenen automatisch het aantal uren.</t>
  </si>
  <si>
    <t>Totale kosten investering machines</t>
  </si>
  <si>
    <t>TOEZICHT-UREN FEESTDAG</t>
  </si>
  <si>
    <t>06:00-21:30 uur feestdag</t>
  </si>
  <si>
    <t>VSR-code</t>
  </si>
  <si>
    <t>Basisuurloon</t>
  </si>
  <si>
    <t>Opdrachtgever</t>
  </si>
  <si>
    <t>Materiaal/- en middelen</t>
  </si>
  <si>
    <t>Totaal directe kosten</t>
  </si>
  <si>
    <t>: omschrijving van het aantal keren dat een ruimte per jaar wordt schoongemaakt (zie onderstaande opgave)</t>
  </si>
  <si>
    <t xml:space="preserve">Ma/ vrij tussen 06.00 en 21.30 uur   </t>
  </si>
  <si>
    <t>VERHOUDING VLOEROPP.</t>
  </si>
  <si>
    <t>Totale kosten per jaar inclusief B.T.W.</t>
  </si>
  <si>
    <t>Ma/ vrij tussen 06.00 en 21.30 uur</t>
  </si>
  <si>
    <t>De totale investering van machinekosten wordt automatisch geplaatst in het tabblad 1.1-Contractblad.</t>
  </si>
  <si>
    <t>VLOER SOORT</t>
  </si>
  <si>
    <t>Contractblad jaarprijs schoonmaak</t>
  </si>
  <si>
    <t>Toezicht uren ma-vr</t>
  </si>
  <si>
    <t xml:space="preserve">Sociale verzekeringen </t>
  </si>
  <si>
    <t>Indirect toezicht</t>
  </si>
  <si>
    <t>101 - 250</t>
  </si>
  <si>
    <t>&gt; 251</t>
  </si>
  <si>
    <t>Netto aanschafprijs</t>
  </si>
  <si>
    <t xml:space="preserve"> </t>
  </si>
  <si>
    <t>Restwaarde</t>
  </si>
  <si>
    <t>INVESTERING MACHINEKOSTEN</t>
  </si>
  <si>
    <t>Inzet van het aantal machines [stuks]</t>
  </si>
  <si>
    <t>Premies Sociale Verzekeringen</t>
  </si>
  <si>
    <t>Op het tabblad 1.2-Kengetal dient u uw gegevens in de blauwe invoervelden in te voeren.</t>
  </si>
  <si>
    <t>Afschrijvingskosten per jaar</t>
  </si>
  <si>
    <t>Op het tabblad 1.7 Prijs-glasbewassing dient u uw gegevens in de blauwe invoervelden in te voeren.</t>
  </si>
  <si>
    <t>Totaal per jaar</t>
  </si>
  <si>
    <t>Prijs in € per stuk in staffelvorm</t>
  </si>
  <si>
    <t>Computer-</t>
  </si>
  <si>
    <t>Sprayen en opblokken</t>
  </si>
  <si>
    <t>Strippen en conserveren</t>
  </si>
  <si>
    <t>Kostprijs</t>
  </si>
  <si>
    <t>JAARPRIJS SCHOONMAAK</t>
  </si>
  <si>
    <t xml:space="preserve">: uren per vierkante meter per jaar </t>
  </si>
  <si>
    <t>GEBOUW</t>
  </si>
  <si>
    <t>Totaal indirecte kosten</t>
  </si>
  <si>
    <t>Op het tabblad 1.1-Contractblad dient u uw gegevens in de blauwe invoervelden in te voeren.</t>
  </si>
  <si>
    <t>Aantal uren per jaar</t>
  </si>
  <si>
    <t>Effectieve Awf premie</t>
  </si>
  <si>
    <t>Totaal eindtarief normale werktijden [06.00-21.30 uur]</t>
  </si>
  <si>
    <t>Categorie/medewerker</t>
  </si>
  <si>
    <t>Onderhoudskosten per jaar*</t>
  </si>
  <si>
    <t>Specialist Dieptereiniging Keuken</t>
  </si>
  <si>
    <t>Perentage inzet per locatie</t>
  </si>
  <si>
    <t>SV-loon grondslag voor berekening sociale verzekeringen</t>
  </si>
  <si>
    <t xml:space="preserve">Opmerking: dit blad bevat automatische koppelingen. Na invulling van de invoervelden in het Kengetallenoverzicht behoeft de ruimtestaat niet meer te worden bewerkt. </t>
  </si>
  <si>
    <t>Kosten ziektedagen</t>
  </si>
  <si>
    <t>Reinigen, inclusief afhalen en ophangen</t>
  </si>
  <si>
    <t>Besteknummer</t>
  </si>
  <si>
    <t>Op het tabblad 1.1a-Jaarprijzen hoeft u niets in te vullen.</t>
  </si>
  <si>
    <t xml:space="preserve">06:00-21:30 uur maan-/vrijdag </t>
  </si>
  <si>
    <t xml:space="preserve">Sociale verzekeringen - Algemeen Werkloosheidsfonds (Awf) </t>
  </si>
  <si>
    <t>Toelichting kengetallenoverzicht:</t>
  </si>
  <si>
    <t>invoerveld</t>
  </si>
  <si>
    <t>tijdlk nvt</t>
  </si>
  <si>
    <t>: aantal schoon te maken m2 per uur</t>
  </si>
  <si>
    <t>Instructies voor het invullen van het calculatie model</t>
  </si>
  <si>
    <t>Medewerk(st)er algemeen schoonmaak onderhoud</t>
  </si>
  <si>
    <t>en randapparatuur</t>
  </si>
  <si>
    <t>RUIMTE OMSCHRIJVING (OPDRACHTGEVER)</t>
  </si>
  <si>
    <t>Bedrijfsgemiddelde</t>
  </si>
  <si>
    <t>Kosten afrondingsuren</t>
  </si>
  <si>
    <t>Eénmalige uitkering</t>
  </si>
  <si>
    <t>Indien u een wijziging wilt invoeren mbt een loongroep, wijzig de tekst boven de opbouw. De tekstwijziging wordt doorgevoerd in het jaarprijsblad.</t>
  </si>
  <si>
    <t>251-500 m2</t>
  </si>
  <si>
    <t>Toetsenbord</t>
  </si>
  <si>
    <t>Reinigen</t>
  </si>
  <si>
    <t>RUIMTECATEGORIE</t>
  </si>
  <si>
    <t>Vloeropp in onderhoud</t>
  </si>
  <si>
    <t>Indexering</t>
  </si>
  <si>
    <t>invoerings datum</t>
  </si>
  <si>
    <t>percentage</t>
  </si>
  <si>
    <t>Mutatie in schoonmaakcontract volgens blad 1.1b Overzicht mutaties</t>
  </si>
  <si>
    <t>Factor</t>
  </si>
  <si>
    <t>VERSCHIL</t>
  </si>
  <si>
    <t>Aantal dagen per jaar</t>
  </si>
  <si>
    <t>BHV toeslag</t>
  </si>
  <si>
    <t>11.01 Werknemer algemeen schoonmaakonderhoud</t>
  </si>
  <si>
    <t xml:space="preserve">11.03 Werknemer algemeen schoonmaakonderhoud (sleutelpand) </t>
  </si>
  <si>
    <t>11.02 All-round werknemer algemeen schoonmaakonderhoud</t>
  </si>
  <si>
    <t xml:space="preserve">11.04 All-round werknemer algemeen schoonmaakonderhoud (sleutelpand) </t>
  </si>
  <si>
    <t>21.01 Objectleider (algemeen schoonmaakonderhoud)</t>
  </si>
  <si>
    <t>21.02 Ambulant objectleider (algemeen schoonmaakonderhoud)</t>
  </si>
  <si>
    <t>1+5%</t>
  </si>
  <si>
    <t>Loon groep</t>
  </si>
  <si>
    <t xml:space="preserve">Referentiefuncties in de schoonmaak- en glazenwassersbranche </t>
  </si>
  <si>
    <t>11.01 Werknemer meewerkend toezicht algemeen schoonmaakonderhoud</t>
  </si>
  <si>
    <t>Dienstjaren</t>
  </si>
  <si>
    <t>0 t/m 7 jaar</t>
  </si>
  <si>
    <t>8 jaar en meer</t>
  </si>
  <si>
    <t>11.01 Werknemer algemeen schoonmaakonderhoud 17 jaar</t>
  </si>
  <si>
    <t>11.01 Werknemer algemeen schoonmaakonderhoud 18 jaar</t>
  </si>
  <si>
    <t>11.01 Werknemer algemeen schoonmaakonderhoud 19 jaar</t>
  </si>
  <si>
    <t>11.01 Werknemer algemeen schoonmaakonderhoud 20 jaar</t>
  </si>
  <si>
    <t>11.01 Werknemer algemeen schoonmaakonderhoud 21 jaar</t>
  </si>
  <si>
    <t>11.01 Werknemer meewerkend toezicht algemeen schoonmaakonderhoud 8 jaar en meer</t>
  </si>
  <si>
    <t xml:space="preserve">21.01 Objectleider (algemeen schoonmaakonderhoud) </t>
  </si>
  <si>
    <t>Transport</t>
  </si>
  <si>
    <t>TOTALEN</t>
  </si>
  <si>
    <t xml:space="preserve">Opbouw uurtarieven </t>
  </si>
  <si>
    <t>PER-CEEL</t>
  </si>
  <si>
    <t>Additionele kosten</t>
  </si>
  <si>
    <t>Totaal eindtarief weekenden [incl. 30% toeslag]</t>
  </si>
  <si>
    <t>11.01 Werknemer algemeen schoonmaakonderhoud 0 t/m 7 jaar</t>
  </si>
  <si>
    <t>11.01 Werknemer algemeen schoonmaakonderhoud 8 jaar en meer</t>
  </si>
  <si>
    <t>11.01 Werknemer niet meewerkend toezicht algemeen schoonmaakonderhoud</t>
  </si>
  <si>
    <t>11.01 Werknemer niet meewerkend toezicht algemeen schoonmaakonderhoud 8 jaar en meer</t>
  </si>
  <si>
    <t>m2 Vloer IO</t>
  </si>
  <si>
    <t>m2 Vloer NIO</t>
  </si>
  <si>
    <t>: aantal m2 in onderhoud</t>
  </si>
  <si>
    <t>: aantal m2 niet in onderhoud</t>
  </si>
  <si>
    <t>Verhouding vloeropp.</t>
  </si>
  <si>
    <t>Bijzonde3rheden</t>
  </si>
  <si>
    <t>: Eventuele opmerkingen</t>
  </si>
  <si>
    <t>Calculatiemodule</t>
  </si>
  <si>
    <t>Schoonmaakonderhoud</t>
  </si>
  <si>
    <t>Volgorde van invoeren gegevens</t>
  </si>
  <si>
    <t>Op het tabblad 1.2-Kengetal dient u uw gegevens in de oranje omlijnde invoervelden in te voeren</t>
  </si>
  <si>
    <t>Op het tabblad 1.4 Premies en Opslagen dient u uw gegevens in de oranje omlijnde invoervelden in te voeren.</t>
  </si>
  <si>
    <t>Voer uitsluitend de oranje omlijnde invoervelden in (in een aantal beige gekleurde velden zijn koppelingen met oranje omlijnde velden). Het percentage van premies en sociale lasten en de reservering van niet werkbare dagen worden automatisch geplaatst in tabblad 1.4a Opbouw uurtarieven</t>
  </si>
  <si>
    <t>Koppelingveld</t>
  </si>
  <si>
    <t>Voer uitsluitend de oranje omlijnde en de oranje gekleurde invoervelden in (in een aantal beige gekleurde velden zijn koppelingen met oranje omlijnde en oranje velden). Het samengestelde uurtarief wordt automatisch geplaatst in de tabbladen 1.0-Contractblad en 1.1-Jaarprijzen.</t>
  </si>
  <si>
    <t>Op het tabblad 1.0-Contractbladbdient u uw gegevens m.b.t. Categorie medewerker/ster te selecteren en de oranje omlijnde invoervelden in te voeren.</t>
  </si>
  <si>
    <t>Voor een test, selecteer de cel hieronder</t>
  </si>
  <si>
    <r>
      <t xml:space="preserve">Na invoering van de categorie medewerkers uitvoerend en toezicht voert u het % per categorie medewerker in. Nu worden de gecalculeerde productie-uren vanuit tabblad 1.3 Basis ruimtestaat automatisch ingevoerd. De percentages van categorieën uitvoerende medewerkers verrekenen automatisch het aantal uren. </t>
    </r>
    <r>
      <rPr>
        <i/>
        <sz val="10"/>
        <color indexed="10"/>
        <rFont val="Verdana"/>
        <family val="2"/>
      </rPr>
      <t>Let op het totale percentage dient 100% te bedragen!</t>
    </r>
  </si>
  <si>
    <t>Voor het toezicht dient u de percentages aan te geven, de uren worden vervolgens automatisch berekend.</t>
  </si>
  <si>
    <r>
      <t>De totale investering van machinekosten wordt, na het invoeren van de percentages per locatie, automatisch geplaatst in de tabblad 1.0-Contractblad.</t>
    </r>
    <r>
      <rPr>
        <i/>
        <sz val="10"/>
        <color indexed="10"/>
        <rFont val="Verdana"/>
        <family val="2"/>
      </rPr>
      <t xml:space="preserve"> Let op het totale percentage dient 100% te bedragen!</t>
    </r>
  </si>
  <si>
    <t>De investeringskosten per locatie worden automatisch geplaatst in tabblad 1.1a-Jaarprijzen.</t>
  </si>
  <si>
    <t>: percentage vloeroppervlakte per ruimtecategorie t.o.v. totale vloeroppervlakte</t>
  </si>
  <si>
    <t>S</t>
  </si>
  <si>
    <t>L</t>
  </si>
  <si>
    <t>PROGR. CODE MA-VR Regulier</t>
  </si>
  <si>
    <t>KENGETAL Periodiek</t>
  </si>
  <si>
    <t>KENGETAL MA-VR Regulier</t>
  </si>
  <si>
    <t>UREN P/JR Periodiek</t>
  </si>
  <si>
    <t>Productie uren ma-vr regulier</t>
  </si>
  <si>
    <t>Productie uren Periodiek</t>
  </si>
  <si>
    <t>TOTAAL</t>
  </si>
  <si>
    <t>a</t>
  </si>
  <si>
    <t>b</t>
  </si>
  <si>
    <t>s</t>
  </si>
  <si>
    <t>t</t>
  </si>
  <si>
    <t>Calculatiecode</t>
  </si>
  <si>
    <t>Code opleverstaat</t>
  </si>
  <si>
    <t>Overname kosten volgens Bijlage 4. overname personeel</t>
  </si>
  <si>
    <t>Entree</t>
  </si>
  <si>
    <t>Gang</t>
  </si>
  <si>
    <t>Lokaal</t>
  </si>
  <si>
    <t>Toilet</t>
  </si>
  <si>
    <t>Lino</t>
  </si>
  <si>
    <t>Steen</t>
  </si>
  <si>
    <t>5 x per week - 40 weken</t>
  </si>
  <si>
    <t>11.02 Werknemer meewerkend toezicht algemeen schoonmaakonderhoud</t>
  </si>
  <si>
    <t>11.02 Werknemer niet meewerkend toezicht algemeen schoonmaakonderhoud</t>
  </si>
  <si>
    <t>&amp;</t>
  </si>
  <si>
    <t>Mutatie nummer</t>
  </si>
  <si>
    <t>Mutatie datum</t>
  </si>
  <si>
    <t>Premies en opslagen voor schoonmaak</t>
  </si>
  <si>
    <t>Vervallen</t>
  </si>
  <si>
    <t>Vervallen (mutatie)</t>
  </si>
  <si>
    <t>Overzicht Mutaties</t>
  </si>
  <si>
    <t>Keuken</t>
  </si>
  <si>
    <t>Wasmachine</t>
  </si>
  <si>
    <t>12.02 Zelfstandige glazenwasser</t>
  </si>
  <si>
    <t>2+5%</t>
  </si>
  <si>
    <t>Alle mutaties zijn verwerkt</t>
  </si>
  <si>
    <t>1e</t>
  </si>
  <si>
    <t>Leslokaal</t>
  </si>
  <si>
    <t>Trap</t>
  </si>
  <si>
    <t>Peuterspeelzaal</t>
  </si>
  <si>
    <t>Beton</t>
  </si>
  <si>
    <t>Hout</t>
  </si>
  <si>
    <t>RL.1 Rayonleiding</t>
  </si>
  <si>
    <t>12.01A Glazenwasser A</t>
  </si>
  <si>
    <t>WAO/WIA basispremie (Aof)</t>
  </si>
  <si>
    <t>{bedrijfseigen situatie]</t>
  </si>
  <si>
    <t>WW-premie</t>
  </si>
  <si>
    <t>[2]</t>
  </si>
  <si>
    <t>Sectorpremie</t>
  </si>
  <si>
    <t>[3]</t>
  </si>
  <si>
    <t>OP/NP pensioen</t>
  </si>
  <si>
    <t>[4]</t>
  </si>
  <si>
    <t>[5]</t>
  </si>
  <si>
    <t>[6]</t>
  </si>
  <si>
    <t>[2] Als gevolg van de Wet Uniformering Loonbegrip wordt de franchise WW afgeschaft per 1-1-2013</t>
  </si>
  <si>
    <t>[3] De maximumpremiegrens Zorgverzekeringswet is in 2012 (conform de Wet Uniformering Loonbegrip) gelijkgetrokken met de grens voor de werknemersverzekeringen en bedraagt in 2013 € 50.855,85. De inkomensafhankelijke bijdrage wordt geheven bij de werkgever en vergoed door de werkgever.</t>
  </si>
  <si>
    <t xml:space="preserve">[4] Deze premie wordt geheven boven franchise; over de loonsom bedraagt deze premie ongeveer 6%. </t>
  </si>
  <si>
    <t>[5] Deze premie wordt sinds 1 januari 2010 ook boven de franchise geheven (zoals ook de OP/NP-premie).</t>
  </si>
  <si>
    <t>[6] opsag op wachtgeldpremie</t>
  </si>
  <si>
    <t>per 01-01-2013 nvt</t>
  </si>
  <si>
    <t>(Invoer naam Inschrijver)</t>
  </si>
  <si>
    <t>Friesland College</t>
  </si>
  <si>
    <t>Diverse locaties Leeuwarden e.o.</t>
  </si>
  <si>
    <t>Abe Lenstra Boulevard 29, Heerenveen</t>
  </si>
  <si>
    <t>bgg</t>
  </si>
  <si>
    <t>2e</t>
  </si>
  <si>
    <t>3e</t>
  </si>
  <si>
    <t>Julianalaan 97, Leeuwarden</t>
  </si>
  <si>
    <t>Kalmoes A, Leeuwarden</t>
  </si>
  <si>
    <t>Kalmoes B, Leeuwarden</t>
  </si>
  <si>
    <t>Kerkstraat 51, Buitenpost</t>
  </si>
  <si>
    <t>Saturnus 7, Heerenveen</t>
  </si>
  <si>
    <t>RUIMTE NR SCHOONMAAK</t>
  </si>
  <si>
    <t>RUIMTE NR RUIMTE BEHEER</t>
  </si>
  <si>
    <t>Sp.W.0.06</t>
  </si>
  <si>
    <t>Sp.W.0.05</t>
  </si>
  <si>
    <t>Sp.W.0.04</t>
  </si>
  <si>
    <t>Sp.W.0.03</t>
  </si>
  <si>
    <t>Sp.W.0.02</t>
  </si>
  <si>
    <t>Sp.W.0.01</t>
  </si>
  <si>
    <t>Sp.Z.0.17</t>
  </si>
  <si>
    <t>SpZ.0.17</t>
  </si>
  <si>
    <t>000.</t>
  </si>
  <si>
    <t>001</t>
  </si>
  <si>
    <t>002</t>
  </si>
  <si>
    <t>002a</t>
  </si>
  <si>
    <t>002b</t>
  </si>
  <si>
    <t>003</t>
  </si>
  <si>
    <t>004</t>
  </si>
  <si>
    <t>005</t>
  </si>
  <si>
    <t>006</t>
  </si>
  <si>
    <t>Sp.Z.0.01</t>
  </si>
  <si>
    <t>007</t>
  </si>
  <si>
    <t>Sp.Z.0.02</t>
  </si>
  <si>
    <t>008</t>
  </si>
  <si>
    <t>Sp.Z.0.03</t>
  </si>
  <si>
    <t>009</t>
  </si>
  <si>
    <t>Sp.Z.0.05</t>
  </si>
  <si>
    <t>Sp.Z.0.04</t>
  </si>
  <si>
    <t>011</t>
  </si>
  <si>
    <t>012</t>
  </si>
  <si>
    <t>013</t>
  </si>
  <si>
    <t>014</t>
  </si>
  <si>
    <t>015</t>
  </si>
  <si>
    <t>016</t>
  </si>
  <si>
    <t>017</t>
  </si>
  <si>
    <t>018</t>
  </si>
  <si>
    <t>Sp.Z.0.06</t>
  </si>
  <si>
    <t>019</t>
  </si>
  <si>
    <t>020</t>
  </si>
  <si>
    <t>Sp.Z.0.10</t>
  </si>
  <si>
    <t>021</t>
  </si>
  <si>
    <t>Sp.Z.0.11</t>
  </si>
  <si>
    <t>022</t>
  </si>
  <si>
    <t>Sp.Z.0.13</t>
  </si>
  <si>
    <t>023</t>
  </si>
  <si>
    <t>Sp.Z.0.15</t>
  </si>
  <si>
    <t>024</t>
  </si>
  <si>
    <t>025</t>
  </si>
  <si>
    <t>027</t>
  </si>
  <si>
    <t>Sp.Z.0.14</t>
  </si>
  <si>
    <t>028</t>
  </si>
  <si>
    <t>Sp.Z.0.12</t>
  </si>
  <si>
    <t>029</t>
  </si>
  <si>
    <t>Sp.Z.0.09</t>
  </si>
  <si>
    <t>030</t>
  </si>
  <si>
    <t>Sp.Z.0.08</t>
  </si>
  <si>
    <t>031</t>
  </si>
  <si>
    <t>Sp.Z.0.07</t>
  </si>
  <si>
    <t>032</t>
  </si>
  <si>
    <t>033</t>
  </si>
  <si>
    <t>034</t>
  </si>
  <si>
    <t>SP.W.1.01</t>
  </si>
  <si>
    <t>SP.W.1.02</t>
  </si>
  <si>
    <t>SP.W.1.03</t>
  </si>
  <si>
    <t>SP.W.1.04</t>
  </si>
  <si>
    <t>SP.W.1.06</t>
  </si>
  <si>
    <t>SP.W.1.07</t>
  </si>
  <si>
    <t>Sp.Z.1.03</t>
  </si>
  <si>
    <t>Sp.Z.1.05</t>
  </si>
  <si>
    <t>Sp.Z.1.13</t>
  </si>
  <si>
    <t>Sp.Z.1.15</t>
  </si>
  <si>
    <t>Sp.Z.107</t>
  </si>
  <si>
    <t>100</t>
  </si>
  <si>
    <t>Sp.Z.1.01</t>
  </si>
  <si>
    <t>101</t>
  </si>
  <si>
    <t>102</t>
  </si>
  <si>
    <t>103</t>
  </si>
  <si>
    <t>Sp.Z.1.04</t>
  </si>
  <si>
    <t>104</t>
  </si>
  <si>
    <t>Sp.Z.1.02</t>
  </si>
  <si>
    <t>105</t>
  </si>
  <si>
    <t>106</t>
  </si>
  <si>
    <t>107</t>
  </si>
  <si>
    <t>108</t>
  </si>
  <si>
    <t>109</t>
  </si>
  <si>
    <t>110</t>
  </si>
  <si>
    <t>111</t>
  </si>
  <si>
    <t>112</t>
  </si>
  <si>
    <t>113</t>
  </si>
  <si>
    <t>Sp.Z.1.09</t>
  </si>
  <si>
    <t>114</t>
  </si>
  <si>
    <t>115</t>
  </si>
  <si>
    <t>Sp.Z.1.11</t>
  </si>
  <si>
    <t>118</t>
  </si>
  <si>
    <t>Sp.Z.1.17</t>
  </si>
  <si>
    <t>119</t>
  </si>
  <si>
    <t>Sp.Z.1.19</t>
  </si>
  <si>
    <t>120</t>
  </si>
  <si>
    <t>Sp.Z.1.20</t>
  </si>
  <si>
    <t>121</t>
  </si>
  <si>
    <t>122</t>
  </si>
  <si>
    <t>SpZ.1.21</t>
  </si>
  <si>
    <t>Sp.Z.1.16</t>
  </si>
  <si>
    <t>125</t>
  </si>
  <si>
    <t>Sp.Z.1.12</t>
  </si>
  <si>
    <t>126</t>
  </si>
  <si>
    <t>Sp.Z.1.10</t>
  </si>
  <si>
    <t>127</t>
  </si>
  <si>
    <t>Sp.Z.1.08</t>
  </si>
  <si>
    <t>129</t>
  </si>
  <si>
    <t>130</t>
  </si>
  <si>
    <t>131</t>
  </si>
  <si>
    <t>132</t>
  </si>
  <si>
    <t>133</t>
  </si>
  <si>
    <t>Sp.Z.2.01</t>
  </si>
  <si>
    <t>Sp.Z.2.02a</t>
  </si>
  <si>
    <t>Sp.O.2.03</t>
  </si>
  <si>
    <t>Sp.Z.2.03</t>
  </si>
  <si>
    <t>Sp.Z.2.17</t>
  </si>
  <si>
    <t>Sp.Z.2.20</t>
  </si>
  <si>
    <t>Sp.Z.2.21</t>
  </si>
  <si>
    <t>SP.W.2.01</t>
  </si>
  <si>
    <t>231</t>
  </si>
  <si>
    <t>SP.W.2.02</t>
  </si>
  <si>
    <t>SP.W.2.03</t>
  </si>
  <si>
    <t>SP.W.2.04</t>
  </si>
  <si>
    <t>SP.W.2.05</t>
  </si>
  <si>
    <t>SP.W.2.06</t>
  </si>
  <si>
    <t>SP.W.2.07</t>
  </si>
  <si>
    <t>200</t>
  </si>
  <si>
    <t>201</t>
  </si>
  <si>
    <t>202</t>
  </si>
  <si>
    <t>Sp.Z.2.02</t>
  </si>
  <si>
    <t>203</t>
  </si>
  <si>
    <t>Sp.Z.2.03a</t>
  </si>
  <si>
    <t>204</t>
  </si>
  <si>
    <t>205</t>
  </si>
  <si>
    <t>206</t>
  </si>
  <si>
    <t>207</t>
  </si>
  <si>
    <t>Sp.Z.2.08</t>
  </si>
  <si>
    <t>208</t>
  </si>
  <si>
    <t>Sp.Z.2.06</t>
  </si>
  <si>
    <t>209</t>
  </si>
  <si>
    <t>Sp.Z.2.04</t>
  </si>
  <si>
    <t>210</t>
  </si>
  <si>
    <t>Sp.Z.2.05</t>
  </si>
  <si>
    <t>211</t>
  </si>
  <si>
    <t>Sp.Z.2.07</t>
  </si>
  <si>
    <t>212</t>
  </si>
  <si>
    <t>Sp.Z.2.09</t>
  </si>
  <si>
    <t>213</t>
  </si>
  <si>
    <t>Sp.Z.2.13</t>
  </si>
  <si>
    <t>214</t>
  </si>
  <si>
    <t>Sp.Z.2.15</t>
  </si>
  <si>
    <t>215</t>
  </si>
  <si>
    <t>Sp.Z.2.16</t>
  </si>
  <si>
    <t>216</t>
  </si>
  <si>
    <t>217</t>
  </si>
  <si>
    <t>219</t>
  </si>
  <si>
    <t>221</t>
  </si>
  <si>
    <t>Sp.Z.2.18</t>
  </si>
  <si>
    <t>222</t>
  </si>
  <si>
    <t>Sp.Z.2.14</t>
  </si>
  <si>
    <t>223</t>
  </si>
  <si>
    <t>Sp.Z.2.12</t>
  </si>
  <si>
    <t>224</t>
  </si>
  <si>
    <t>Sp.Z.2.11</t>
  </si>
  <si>
    <t>225</t>
  </si>
  <si>
    <t>Sp.Z.2.10</t>
  </si>
  <si>
    <t>226</t>
  </si>
  <si>
    <t>227</t>
  </si>
  <si>
    <t>228</t>
  </si>
  <si>
    <t>229</t>
  </si>
  <si>
    <t>230</t>
  </si>
  <si>
    <t>SpZ.3.19</t>
  </si>
  <si>
    <t>Sp.Z.3.19</t>
  </si>
  <si>
    <t>SpW.3.01</t>
  </si>
  <si>
    <t>300</t>
  </si>
  <si>
    <t>301</t>
  </si>
  <si>
    <t>SpZ.3.01</t>
  </si>
  <si>
    <t>302</t>
  </si>
  <si>
    <t>303</t>
  </si>
  <si>
    <t>Sp.Z.3.03</t>
  </si>
  <si>
    <t>304</t>
  </si>
  <si>
    <t>306</t>
  </si>
  <si>
    <t>SpZ.3.02</t>
  </si>
  <si>
    <t>307</t>
  </si>
  <si>
    <t>308</t>
  </si>
  <si>
    <t>309</t>
  </si>
  <si>
    <t>310</t>
  </si>
  <si>
    <t>311</t>
  </si>
  <si>
    <t>Sp.Z.3.09</t>
  </si>
  <si>
    <t>312</t>
  </si>
  <si>
    <t>313</t>
  </si>
  <si>
    <t>Sp.Z.3.11</t>
  </si>
  <si>
    <t>315</t>
  </si>
  <si>
    <t>Sp.Z.3.15</t>
  </si>
  <si>
    <t>316</t>
  </si>
  <si>
    <t>318</t>
  </si>
  <si>
    <t>Sp.Z.3.20</t>
  </si>
  <si>
    <t>319</t>
  </si>
  <si>
    <t>Sp.Z.3.21</t>
  </si>
  <si>
    <t>320</t>
  </si>
  <si>
    <t>Sp.Z.3.18</t>
  </si>
  <si>
    <t>321</t>
  </si>
  <si>
    <t>Sp.Z.3.14</t>
  </si>
  <si>
    <t>322</t>
  </si>
  <si>
    <t>Sp.Z.3.12</t>
  </si>
  <si>
    <t>323</t>
  </si>
  <si>
    <t>Sp.Z.3.10</t>
  </si>
  <si>
    <t>324</t>
  </si>
  <si>
    <t>325</t>
  </si>
  <si>
    <t>326</t>
  </si>
  <si>
    <t>327</t>
  </si>
  <si>
    <t>328</t>
  </si>
  <si>
    <t>A000</t>
  </si>
  <si>
    <t>Sp.O.0.03</t>
  </si>
  <si>
    <t>Sp.O.0.04</t>
  </si>
  <si>
    <t>Sp.O.0.05</t>
  </si>
  <si>
    <t>Sp.O.0.06</t>
  </si>
  <si>
    <t>Sp.O.1.01</t>
  </si>
  <si>
    <t>Sp.O.1.03</t>
  </si>
  <si>
    <t>Sp.O.1.02</t>
  </si>
  <si>
    <t>Sp.O.1.04</t>
  </si>
  <si>
    <t>Sp.O.1.05</t>
  </si>
  <si>
    <t>Sp.O.1.07</t>
  </si>
  <si>
    <t>Sp.O.1.08</t>
  </si>
  <si>
    <t>Sp.O.2.01</t>
  </si>
  <si>
    <t>Sp.O.2.02</t>
  </si>
  <si>
    <t>Sp.O.2.04</t>
  </si>
  <si>
    <t>Sp.O.2.06</t>
  </si>
  <si>
    <t>Sp.O.2.08</t>
  </si>
  <si>
    <t>Sp.O.2.05</t>
  </si>
  <si>
    <t>Sp.O.2.10</t>
  </si>
  <si>
    <t>Sp.O.2.12</t>
  </si>
  <si>
    <t>Sp.O.2.07</t>
  </si>
  <si>
    <t>Sp.O.2.14</t>
  </si>
  <si>
    <t>Sp.O.2.09</t>
  </si>
  <si>
    <t>Sp.O.3.01</t>
  </si>
  <si>
    <t>Sp.O.3.02</t>
  </si>
  <si>
    <t>Sp.O.3.04</t>
  </si>
  <si>
    <t>Sp.O.3.03</t>
  </si>
  <si>
    <t>Sp.O.3.05</t>
  </si>
  <si>
    <t>Sp.O.3.07</t>
  </si>
  <si>
    <t>Sp.O.3.06</t>
  </si>
  <si>
    <t>Sp.O.3.10</t>
  </si>
  <si>
    <t>Sp.O.3.11</t>
  </si>
  <si>
    <t>009a</t>
  </si>
  <si>
    <t>A001</t>
  </si>
  <si>
    <t>A003</t>
  </si>
  <si>
    <t>A004</t>
  </si>
  <si>
    <t>A005</t>
  </si>
  <si>
    <t>A006</t>
  </si>
  <si>
    <t>A007</t>
  </si>
  <si>
    <t>A008</t>
  </si>
  <si>
    <t>A009</t>
  </si>
  <si>
    <t>A011</t>
  </si>
  <si>
    <t>A012</t>
  </si>
  <si>
    <t>A013</t>
  </si>
  <si>
    <t>A015</t>
  </si>
  <si>
    <t>A016</t>
  </si>
  <si>
    <t>A102</t>
  </si>
  <si>
    <t>B000</t>
  </si>
  <si>
    <t>B001</t>
  </si>
  <si>
    <t>B002</t>
  </si>
  <si>
    <t>B003</t>
  </si>
  <si>
    <t>B004</t>
  </si>
  <si>
    <t>B005</t>
  </si>
  <si>
    <t>B006</t>
  </si>
  <si>
    <t>B007</t>
  </si>
  <si>
    <t>B008</t>
  </si>
  <si>
    <t>B009</t>
  </si>
  <si>
    <t>B009a</t>
  </si>
  <si>
    <t>B010</t>
  </si>
  <si>
    <t>B011</t>
  </si>
  <si>
    <t>B012</t>
  </si>
  <si>
    <t>B013</t>
  </si>
  <si>
    <t>B014</t>
  </si>
  <si>
    <t>B015</t>
  </si>
  <si>
    <t>B016</t>
  </si>
  <si>
    <t>B017</t>
  </si>
  <si>
    <t>B018</t>
  </si>
  <si>
    <t>B019</t>
  </si>
  <si>
    <t>B021</t>
  </si>
  <si>
    <t>B022</t>
  </si>
  <si>
    <t>B023</t>
  </si>
  <si>
    <t>B024</t>
  </si>
  <si>
    <t>B025</t>
  </si>
  <si>
    <t>B026</t>
  </si>
  <si>
    <t>B027</t>
  </si>
  <si>
    <t>B028</t>
  </si>
  <si>
    <t>B029</t>
  </si>
  <si>
    <t>B030</t>
  </si>
  <si>
    <t>B031</t>
  </si>
  <si>
    <t>B033</t>
  </si>
  <si>
    <t>B102</t>
  </si>
  <si>
    <t>B104</t>
  </si>
  <si>
    <t>B105</t>
  </si>
  <si>
    <t>B106</t>
  </si>
  <si>
    <t>B107</t>
  </si>
  <si>
    <t>B108</t>
  </si>
  <si>
    <t>B109</t>
  </si>
  <si>
    <t>B110</t>
  </si>
  <si>
    <t>B111</t>
  </si>
  <si>
    <t>B112</t>
  </si>
  <si>
    <t>B115</t>
  </si>
  <si>
    <t>B116</t>
  </si>
  <si>
    <t>B117</t>
  </si>
  <si>
    <t>B118</t>
  </si>
  <si>
    <t>B119</t>
  </si>
  <si>
    <t>B122</t>
  </si>
  <si>
    <t>B123</t>
  </si>
  <si>
    <t>B125</t>
  </si>
  <si>
    <t>B126</t>
  </si>
  <si>
    <t>B127</t>
  </si>
  <si>
    <t>B128</t>
  </si>
  <si>
    <t>B130</t>
  </si>
  <si>
    <t>B131</t>
  </si>
  <si>
    <t>C001</t>
  </si>
  <si>
    <t>C002</t>
  </si>
  <si>
    <t>C003</t>
  </si>
  <si>
    <t>C004</t>
  </si>
  <si>
    <t>C005</t>
  </si>
  <si>
    <t>C006</t>
  </si>
  <si>
    <t>C007</t>
  </si>
  <si>
    <t>C008</t>
  </si>
  <si>
    <t>C009</t>
  </si>
  <si>
    <t>C010</t>
  </si>
  <si>
    <t>C011</t>
  </si>
  <si>
    <t>C012</t>
  </si>
  <si>
    <t>C013</t>
  </si>
  <si>
    <t>C014</t>
  </si>
  <si>
    <t>C015</t>
  </si>
  <si>
    <t>C102</t>
  </si>
  <si>
    <t>C103</t>
  </si>
  <si>
    <t>C105</t>
  </si>
  <si>
    <t>C106</t>
  </si>
  <si>
    <t>C107</t>
  </si>
  <si>
    <t>C109</t>
  </si>
  <si>
    <t>000</t>
  </si>
  <si>
    <t>116</t>
  </si>
  <si>
    <t>SaA001</t>
  </si>
  <si>
    <t>A002</t>
  </si>
  <si>
    <t>SaA002</t>
  </si>
  <si>
    <t>SaA003</t>
  </si>
  <si>
    <t>SaA004</t>
  </si>
  <si>
    <t>SaA005</t>
  </si>
  <si>
    <t>SaA006</t>
  </si>
  <si>
    <t>SaA008</t>
  </si>
  <si>
    <t>A010</t>
  </si>
  <si>
    <t>A014</t>
  </si>
  <si>
    <t>SaA015</t>
  </si>
  <si>
    <t>SaB005</t>
  </si>
  <si>
    <t>B011a</t>
  </si>
  <si>
    <t>B020</t>
  </si>
  <si>
    <t>SaB033</t>
  </si>
  <si>
    <t>SaC001</t>
  </si>
  <si>
    <t>C007a</t>
  </si>
  <si>
    <t>SaC015</t>
  </si>
  <si>
    <t>A102a</t>
  </si>
  <si>
    <t>SaB102</t>
  </si>
  <si>
    <t>SaB122</t>
  </si>
  <si>
    <t>SaB123</t>
  </si>
  <si>
    <t>B124</t>
  </si>
  <si>
    <t>SaB124</t>
  </si>
  <si>
    <t>SaB125</t>
  </si>
  <si>
    <t>SaB127</t>
  </si>
  <si>
    <t>SaB128</t>
  </si>
  <si>
    <t>B128a</t>
  </si>
  <si>
    <t>SaB128a</t>
  </si>
  <si>
    <t>SaB130</t>
  </si>
  <si>
    <t>SaB131</t>
  </si>
  <si>
    <t>C102a</t>
  </si>
  <si>
    <t>SaC107</t>
  </si>
  <si>
    <t>C108</t>
  </si>
  <si>
    <t>SaC108</t>
  </si>
  <si>
    <t>SaC109</t>
  </si>
  <si>
    <t>T-A</t>
  </si>
  <si>
    <t>T-B</t>
  </si>
  <si>
    <t>T-C</t>
  </si>
  <si>
    <t>T-D</t>
  </si>
  <si>
    <t>c</t>
  </si>
  <si>
    <t>Postkamer + beheer</t>
  </si>
  <si>
    <t>Theorielokaal</t>
  </si>
  <si>
    <t>Docenten werkplek</t>
  </si>
  <si>
    <t>Dramalokaal</t>
  </si>
  <si>
    <t>Opslagruimte</t>
  </si>
  <si>
    <t>Bordes/ingang buitenzijde</t>
  </si>
  <si>
    <t>Entree "voorzijde"</t>
  </si>
  <si>
    <t>Trappenhuis</t>
  </si>
  <si>
    <t>Entree "achterzijde"</t>
  </si>
  <si>
    <t>Lift</t>
  </si>
  <si>
    <t>Centrale hal</t>
  </si>
  <si>
    <t>Centrale hal bij balie</t>
  </si>
  <si>
    <t>Technische ruimte</t>
  </si>
  <si>
    <t>Receptie balie</t>
  </si>
  <si>
    <t>Infocentrum 0.01</t>
  </si>
  <si>
    <t>Werkkast</t>
  </si>
  <si>
    <t>Algemene ruimte  0.02</t>
  </si>
  <si>
    <t>Toiletgroep</t>
  </si>
  <si>
    <t>Algemene ruimte  0.03</t>
  </si>
  <si>
    <t>Algemene ruimte 0.05</t>
  </si>
  <si>
    <t>Algemene ruimte 0.04</t>
  </si>
  <si>
    <t>Hal trappenhuis</t>
  </si>
  <si>
    <t>Magazijn</t>
  </si>
  <si>
    <t>Toilet mindervaliden</t>
  </si>
  <si>
    <t>Talant - lesruimte 0.06</t>
  </si>
  <si>
    <t>Slaapruimte</t>
  </si>
  <si>
    <t>Algemene ruimte 0.10</t>
  </si>
  <si>
    <t>Algemene ruimte 0.11</t>
  </si>
  <si>
    <t>Docenten werkplek 0.13</t>
  </si>
  <si>
    <t>Praktijkruimte</t>
  </si>
  <si>
    <t>Archief</t>
  </si>
  <si>
    <t>Studielandschap 0.14</t>
  </si>
  <si>
    <t>Algemene ruimte 0.12</t>
  </si>
  <si>
    <t>Algemene ruimte 0.09</t>
  </si>
  <si>
    <t>Algemene ruimte 0.08</t>
  </si>
  <si>
    <t>Servicepunt Geb. beheer</t>
  </si>
  <si>
    <t>Onderwijsruimte</t>
  </si>
  <si>
    <t>Administratieve ruimte</t>
  </si>
  <si>
    <t>Administratieveruimte</t>
  </si>
  <si>
    <t>Opslag en berging</t>
  </si>
  <si>
    <t>Schachtkoker</t>
  </si>
  <si>
    <t>Patchkast</t>
  </si>
  <si>
    <t>Studielandschap ICT</t>
  </si>
  <si>
    <t>Patchruimte</t>
  </si>
  <si>
    <t>Spreekkamer</t>
  </si>
  <si>
    <t>Algemene ruimte 1.02</t>
  </si>
  <si>
    <t>Personeel/cursisten 1.06</t>
  </si>
  <si>
    <t>Algemene ruimte</t>
  </si>
  <si>
    <t xml:space="preserve">Praktijkruimte VPVZ </t>
  </si>
  <si>
    <t>Theorieruimte</t>
  </si>
  <si>
    <t>Studielandschap/Gang</t>
  </si>
  <si>
    <t>Loungeplek</t>
  </si>
  <si>
    <t>Theorie lokaal</t>
  </si>
  <si>
    <t>Adminstratieveruimte</t>
  </si>
  <si>
    <t>Algemene ruimte 2.03</t>
  </si>
  <si>
    <t>Berging opslag</t>
  </si>
  <si>
    <t>Docentenwerkplek</t>
  </si>
  <si>
    <t>Algemene ruimte 2.02</t>
  </si>
  <si>
    <t>Algemene ruimte 2.03a</t>
  </si>
  <si>
    <t>Pantry 2.09</t>
  </si>
  <si>
    <t>Personeelsruimte 2.08</t>
  </si>
  <si>
    <t>Overlegruimte 2.07</t>
  </si>
  <si>
    <t>Algemene ruimte 2.05</t>
  </si>
  <si>
    <t>Uitleen Audio ruimte</t>
  </si>
  <si>
    <t>Algemene ruimte 2.04</t>
  </si>
  <si>
    <t>Algemene ruimte 2.08</t>
  </si>
  <si>
    <t>Algemene ruimte 2.09</t>
  </si>
  <si>
    <t>Algemene ruimte 2.01</t>
  </si>
  <si>
    <t>Algemene ruimte 2.13</t>
  </si>
  <si>
    <t>Spreekkamer 2.15</t>
  </si>
  <si>
    <t>Spreeekkamer 2.16</t>
  </si>
  <si>
    <t>Praktijklokaal VPVZ</t>
  </si>
  <si>
    <t>Praktijk kooklokaal</t>
  </si>
  <si>
    <t>Algemene ruimte 2.14</t>
  </si>
  <si>
    <t>Algemene ruimte 2.12</t>
  </si>
  <si>
    <t>Algemene ruimte 2.11</t>
  </si>
  <si>
    <t>Administratie ruimte 2.10</t>
  </si>
  <si>
    <t>Pantry 2.07</t>
  </si>
  <si>
    <t xml:space="preserve">Studielandschap </t>
  </si>
  <si>
    <t>Studiecentrum</t>
  </si>
  <si>
    <t>Magazijn / werkkast</t>
  </si>
  <si>
    <t>Pantryhoek</t>
  </si>
  <si>
    <t>Werkplek 3.03</t>
  </si>
  <si>
    <t>Hal</t>
  </si>
  <si>
    <t>Docentenwerkplek 3.06</t>
  </si>
  <si>
    <t>Magazijn 3.07</t>
  </si>
  <si>
    <t>Pantry 3.08</t>
  </si>
  <si>
    <t>Entree achter</t>
  </si>
  <si>
    <t>Portiersloge</t>
  </si>
  <si>
    <t>Miva toiletgroep</t>
  </si>
  <si>
    <t>Kantine</t>
  </si>
  <si>
    <t>Ruimte naast kantine</t>
  </si>
  <si>
    <t>Open leerruimte</t>
  </si>
  <si>
    <t>Kantoor</t>
  </si>
  <si>
    <t xml:space="preserve">Kantoor </t>
  </si>
  <si>
    <t>Trap bordes bgg-1e</t>
  </si>
  <si>
    <t>Trap bordes achter bgg-1e</t>
  </si>
  <si>
    <t>Traphal achter</t>
  </si>
  <si>
    <t>Lifthal</t>
  </si>
  <si>
    <t xml:space="preserve">Adminsitratieve ruimte </t>
  </si>
  <si>
    <t>Trap bordes 1e-2e</t>
  </si>
  <si>
    <t>Trap bordes achter 1e-2e</t>
  </si>
  <si>
    <t>Kantoor 0201</t>
  </si>
  <si>
    <t>archief</t>
  </si>
  <si>
    <t>Pantry</t>
  </si>
  <si>
    <t>Trap bordes 2e-3e</t>
  </si>
  <si>
    <t>Trap bordes achter 2e-3e</t>
  </si>
  <si>
    <t>Kantoor 0301</t>
  </si>
  <si>
    <t>Leerruimte 0304</t>
  </si>
  <si>
    <t>Leerruimte 0305</t>
  </si>
  <si>
    <t>Leerruimte 0307</t>
  </si>
  <si>
    <t xml:space="preserve">Leerruimte </t>
  </si>
  <si>
    <t>Leerruimte 0310</t>
  </si>
  <si>
    <t>Leerruimte 0311</t>
  </si>
  <si>
    <t>CV-ruimte</t>
  </si>
  <si>
    <t>Berging</t>
  </si>
  <si>
    <t>Toiletruimte</t>
  </si>
  <si>
    <t>Administratie</t>
  </si>
  <si>
    <t>Flex plek</t>
  </si>
  <si>
    <t>Afzuigkap/filter</t>
  </si>
  <si>
    <t xml:space="preserve">Schacht </t>
  </si>
  <si>
    <t>Dames Toilet</t>
  </si>
  <si>
    <t>Heren Toilet</t>
  </si>
  <si>
    <t xml:space="preserve">Werkkast </t>
  </si>
  <si>
    <t>Docenten Toilet</t>
  </si>
  <si>
    <t>Opslag</t>
  </si>
  <si>
    <t xml:space="preserve">Kast </t>
  </si>
  <si>
    <t>Zie project additionele werkzaamheden</t>
  </si>
  <si>
    <t>Werkplaats</t>
  </si>
  <si>
    <t>Kleedruimte</t>
  </si>
  <si>
    <t>Niet van toepassing</t>
  </si>
  <si>
    <t>Homeopaat</t>
  </si>
  <si>
    <t>Computer/leslokaal</t>
  </si>
  <si>
    <t>Kantoor Roobol</t>
  </si>
  <si>
    <t>Koffieruimte/keuken</t>
  </si>
  <si>
    <t>Entree + trap</t>
  </si>
  <si>
    <t>PSA</t>
  </si>
  <si>
    <t>Klassieke homeopaat</t>
  </si>
  <si>
    <t>Ruimte 105</t>
  </si>
  <si>
    <t>Roobol</t>
  </si>
  <si>
    <t>Praktikum 1</t>
  </si>
  <si>
    <t>Praktikum 2</t>
  </si>
  <si>
    <t>Praktikum 3</t>
  </si>
  <si>
    <t>Praktikum 4</t>
  </si>
  <si>
    <t>Praktikum 5</t>
  </si>
  <si>
    <t>Sluis</t>
  </si>
  <si>
    <t xml:space="preserve">Werkvoorbereiding </t>
  </si>
  <si>
    <t xml:space="preserve">Was- en Kleedruimte </t>
  </si>
  <si>
    <t xml:space="preserve">Kleedruimte Dames </t>
  </si>
  <si>
    <t xml:space="preserve">Sluis </t>
  </si>
  <si>
    <t xml:space="preserve">Garderobe met lockers </t>
  </si>
  <si>
    <t>Open Leercentrum</t>
  </si>
  <si>
    <t>Kantine excl. in-uitruime</t>
  </si>
  <si>
    <t xml:space="preserve">Kantine </t>
  </si>
  <si>
    <t>Koelen</t>
  </si>
  <si>
    <t>Spoelen</t>
  </si>
  <si>
    <t>Loze Ruimte</t>
  </si>
  <si>
    <t xml:space="preserve">Keuken Opslag </t>
  </si>
  <si>
    <t>Mindervaliden Toilet</t>
  </si>
  <si>
    <t xml:space="preserve">Voorruimte Toiletten </t>
  </si>
  <si>
    <t>Gas</t>
  </si>
  <si>
    <t xml:space="preserve">Trafo Ruimte </t>
  </si>
  <si>
    <t xml:space="preserve">Electra- en Meetruimte </t>
  </si>
  <si>
    <t xml:space="preserve">PTT en Laagspanning </t>
  </si>
  <si>
    <t>Watermeter</t>
  </si>
  <si>
    <t xml:space="preserve">Voorruimte Kantoren </t>
  </si>
  <si>
    <t xml:space="preserve">Beheer </t>
  </si>
  <si>
    <t xml:space="preserve">Directie </t>
  </si>
  <si>
    <t xml:space="preserve">Administratie </t>
  </si>
  <si>
    <t>Staf</t>
  </si>
  <si>
    <t>Concentratieplek</t>
  </si>
  <si>
    <t xml:space="preserve">Heftruckopleiding </t>
  </si>
  <si>
    <t>Grote hal vide</t>
  </si>
  <si>
    <t>Personeels Toilet</t>
  </si>
  <si>
    <t xml:space="preserve">Praktikum Distributie </t>
  </si>
  <si>
    <t xml:space="preserve">Galerij </t>
  </si>
  <si>
    <t xml:space="preserve">Theorie </t>
  </si>
  <si>
    <t>Kleed/wasruimte personeel</t>
  </si>
  <si>
    <t xml:space="preserve">Liftmachinekamer </t>
  </si>
  <si>
    <t>Server</t>
  </si>
  <si>
    <t>Galerij magazijn</t>
  </si>
  <si>
    <t>Galerij</t>
  </si>
  <si>
    <t>Purline</t>
  </si>
  <si>
    <t>Natuursteen</t>
  </si>
  <si>
    <t>Rubbernoppen</t>
  </si>
  <si>
    <t>Epoxy</t>
  </si>
  <si>
    <t>Rubber</t>
  </si>
  <si>
    <t>Metaal</t>
  </si>
  <si>
    <t>Mat</t>
  </si>
  <si>
    <t>Pvc</t>
  </si>
  <si>
    <t>Gietvloer</t>
  </si>
  <si>
    <t>Ruw opp.</t>
  </si>
  <si>
    <t>Tapijt/hout/steen</t>
  </si>
  <si>
    <t>Beton+staal</t>
  </si>
  <si>
    <t>Metaal/steen</t>
  </si>
  <si>
    <t>14,2</t>
  </si>
  <si>
    <t>35,4</t>
  </si>
  <si>
    <t>42,5</t>
  </si>
  <si>
    <t>18,5</t>
  </si>
  <si>
    <t>24,4</t>
  </si>
  <si>
    <t>5 x per 2 weken - 40 weken</t>
  </si>
  <si>
    <t>5 x per 2 weken - 51 weken</t>
  </si>
  <si>
    <t>B</t>
  </si>
  <si>
    <t>op afroep</t>
  </si>
  <si>
    <t>Op afroep (in overleg)</t>
  </si>
  <si>
    <t>Tijdelijk niet van toepassing</t>
  </si>
  <si>
    <t>Administratieve -, personeels- en vergaderruimte</t>
  </si>
  <si>
    <t>Sanitaire ruimte (toilet-/doucheruimte)</t>
  </si>
  <si>
    <t>Restaurant, kantine, atrium</t>
  </si>
  <si>
    <t>Keuken, spoelkeuken</t>
  </si>
  <si>
    <t>Vloer m2 zonder formule</t>
  </si>
  <si>
    <t xml:space="preserve"> GEBRUIK</t>
  </si>
  <si>
    <t>M2 VLOER GEBRUIK</t>
  </si>
  <si>
    <t>M2 VLOER</t>
  </si>
  <si>
    <t>Alle locaties</t>
  </si>
  <si>
    <t>MUTATIE DATUM</t>
  </si>
  <si>
    <t>CODE</t>
  </si>
  <si>
    <t>PERCEEL</t>
  </si>
  <si>
    <t>RUIMTE OMSCHRIJVING</t>
  </si>
  <si>
    <t>PROGR. CODE MA-VR</t>
  </si>
  <si>
    <t>UREN P/JR MA-VR</t>
  </si>
  <si>
    <t>KENGETAL MA-VR</t>
  </si>
  <si>
    <t>MUTATIE OPMERKING</t>
  </si>
  <si>
    <t>Vloer m2 met formule</t>
  </si>
  <si>
    <t>PERIODE</t>
  </si>
  <si>
    <t>Datum verwijzing</t>
  </si>
  <si>
    <t>Uren verwijzing</t>
  </si>
  <si>
    <t>Leverancier</t>
  </si>
  <si>
    <t>Facilitair Bedrijf</t>
  </si>
  <si>
    <t>testruimte</t>
  </si>
  <si>
    <t>Cios</t>
  </si>
  <si>
    <t>MBO Welzijn</t>
  </si>
  <si>
    <t>MBO Toerisme en Vrije Tijd</t>
  </si>
  <si>
    <t>Servicecentrum Cursisten</t>
  </si>
  <si>
    <t>Leerbedrijf ICT</t>
  </si>
  <si>
    <t>ICT Lyceum</t>
  </si>
  <si>
    <t>Sp.Z.1.14</t>
  </si>
  <si>
    <t>MBO Verpleging en Verzorging</t>
  </si>
  <si>
    <t>Spreekkamers</t>
  </si>
  <si>
    <t>Pantry 1.07</t>
  </si>
  <si>
    <t>Flex werkplek 1.05</t>
  </si>
  <si>
    <t>Overlegruimte 1.04</t>
  </si>
  <si>
    <t>Personeelsruimte 1.03</t>
  </si>
  <si>
    <t>Algemene ruimte 1.01</t>
  </si>
  <si>
    <t>Algemene ruimte 1.09</t>
  </si>
  <si>
    <t>Algemene ruimte 1.10</t>
  </si>
  <si>
    <t>Algemene ruimte 1.11</t>
  </si>
  <si>
    <t>Praktijkruimte VPVZ 1.19</t>
  </si>
  <si>
    <t>Sp.Z.1.18</t>
  </si>
  <si>
    <t>FC-XL</t>
  </si>
  <si>
    <t>Personeelsruimte 1.12</t>
  </si>
  <si>
    <t>Administratieve ruimten</t>
  </si>
  <si>
    <t>Algemene ruimte 1.08</t>
  </si>
  <si>
    <t>Administratief serviceteam</t>
  </si>
  <si>
    <t>FC algemeen</t>
  </si>
  <si>
    <t>Overlegruimte Welzijn</t>
  </si>
  <si>
    <t>SpZ.3.17</t>
  </si>
  <si>
    <t>Algemene ruimte 3.17</t>
  </si>
  <si>
    <t>Studielandschap 3.12</t>
  </si>
  <si>
    <t>Docentenwerkplek 3.09</t>
  </si>
  <si>
    <t>Algemene ruimte 3.10</t>
  </si>
  <si>
    <t>Docentenwerkplek 3.11</t>
  </si>
  <si>
    <t>Sp.Z.3.16</t>
  </si>
  <si>
    <t>Administratie ruimte 3.18</t>
  </si>
  <si>
    <t>Algemene ruimte 3.14</t>
  </si>
  <si>
    <t>Restaurant - kantine</t>
  </si>
  <si>
    <t>Berging - opslag - archief</t>
  </si>
  <si>
    <t xml:space="preserve">MBO Handel en MBO Zakelijke Dienstverlening </t>
  </si>
  <si>
    <t>Kantoor 0006</t>
  </si>
  <si>
    <t>Kantoor 0005</t>
  </si>
  <si>
    <t>Open leerruimte 0101</t>
  </si>
  <si>
    <t>MBO Handel en MBO Zakelijke Dienstverlening</t>
  </si>
  <si>
    <t>Sp.O.1.06</t>
  </si>
  <si>
    <t>Open leerruimte 0105</t>
  </si>
  <si>
    <t>8,2</t>
  </si>
  <si>
    <t>Sp.O.2.11</t>
  </si>
  <si>
    <t>MBO Handel/ MBO Zakelijke Dienstverlening Heerenveen</t>
  </si>
  <si>
    <t>Sp.O.2.13</t>
  </si>
  <si>
    <t>Talencentrum</t>
  </si>
  <si>
    <t>Diverse</t>
  </si>
  <si>
    <t>Techno Lyceum</t>
  </si>
  <si>
    <t>Werken met de Stad TechnoONE</t>
  </si>
  <si>
    <t>Open leercentrum</t>
  </si>
  <si>
    <t>MBO Vervoer en Logistiek</t>
  </si>
  <si>
    <t>Buitenterrein</t>
  </si>
  <si>
    <t>UREN P/JR PERIODIEK</t>
  </si>
  <si>
    <t>KENGETAL PERIODIEK</t>
  </si>
  <si>
    <t>ORGANISATIE ONDER DEEL</t>
  </si>
  <si>
    <t>Productie-uren</t>
  </si>
  <si>
    <t>Schrobdweilautomaat</t>
  </si>
  <si>
    <t>Meubilair</t>
  </si>
  <si>
    <t>Gestoffeerde stoelen</t>
  </si>
  <si>
    <t>PROGR. CODE NALOOP MA-VR</t>
  </si>
  <si>
    <t>KENGETAL NALOOP</t>
  </si>
  <si>
    <t>UREN P/JR NALOOP</t>
  </si>
  <si>
    <t>Productie uren Naloop</t>
  </si>
  <si>
    <t>Jousterweg 28, Heerenveen</t>
  </si>
  <si>
    <t>Jo.B0.01</t>
  </si>
  <si>
    <t>Jo.B0.02</t>
  </si>
  <si>
    <t>Jo.B0.03</t>
  </si>
  <si>
    <t>Jo.B0.04</t>
  </si>
  <si>
    <t>Jo.B0.05</t>
  </si>
  <si>
    <t>Jo.B0.06</t>
  </si>
  <si>
    <t>Jo.A.0.01</t>
  </si>
  <si>
    <t>Jo.A.0.02</t>
  </si>
  <si>
    <t>Jo.A.0.03</t>
  </si>
  <si>
    <t>Jo.A.0.05</t>
  </si>
  <si>
    <t>Jo.A.0.04</t>
  </si>
  <si>
    <t>Jo.A.0.06</t>
  </si>
  <si>
    <t>Jo.B.0.02a</t>
  </si>
  <si>
    <t>Jo.B.1.02</t>
  </si>
  <si>
    <t>Jo.B.1.03</t>
  </si>
  <si>
    <t>Jo.B.1.06</t>
  </si>
  <si>
    <t>Jo.B.1.07</t>
  </si>
  <si>
    <t>Jo.A.1.01</t>
  </si>
  <si>
    <t>Jo.A.1.02</t>
  </si>
  <si>
    <t>Jo.A.1.03</t>
  </si>
  <si>
    <t>Jo.A.1.04</t>
  </si>
  <si>
    <t>Jo.A.1.05</t>
  </si>
  <si>
    <t>Jo.A.1.06</t>
  </si>
  <si>
    <t>Jo.A.1.10</t>
  </si>
  <si>
    <t>Jo.B.1.05</t>
  </si>
  <si>
    <t>Jo.B.1.04</t>
  </si>
  <si>
    <t>Jo.A.1.07</t>
  </si>
  <si>
    <t>119a</t>
  </si>
  <si>
    <t>Jo.A.1.08</t>
  </si>
  <si>
    <t>Jo.A.1.09</t>
  </si>
  <si>
    <t>Tapijt/lino</t>
  </si>
  <si>
    <t>Praktijklokaal</t>
  </si>
  <si>
    <t>Docentenwerkruimte</t>
  </si>
  <si>
    <t>School voor techniek en technologie</t>
  </si>
  <si>
    <t>Metaalbewerking</t>
  </si>
  <si>
    <t>lift</t>
  </si>
  <si>
    <t>Gang technopark</t>
  </si>
  <si>
    <t>Meterkasten</t>
  </si>
  <si>
    <t>Leskeuken</t>
  </si>
  <si>
    <t>Keuken - spoelkeuken</t>
  </si>
  <si>
    <t>Onderwijs Personeel &amp; Innovatie</t>
  </si>
  <si>
    <t>Buitenbordes</t>
  </si>
  <si>
    <t>Houtbewerking</t>
  </si>
  <si>
    <t>Houtopslag verd.</t>
  </si>
  <si>
    <t>School voor volwasseneneducatie &amp; AVO</t>
  </si>
  <si>
    <t>Docentenruimte</t>
  </si>
  <si>
    <t>St Antoniusplein 5-2, Sneek</t>
  </si>
  <si>
    <t>Sn.A.2.14</t>
  </si>
  <si>
    <t>Sn.A.2.13</t>
  </si>
  <si>
    <t>Sn.A.2.11</t>
  </si>
  <si>
    <t>Sn.A.2.12</t>
  </si>
  <si>
    <t>Sn.A.2.10</t>
  </si>
  <si>
    <t>Sn.A.2.09</t>
  </si>
  <si>
    <t>Sn.A.2.08</t>
  </si>
  <si>
    <t>Sn.A.2.07</t>
  </si>
  <si>
    <t>Sn.A.2.06</t>
  </si>
  <si>
    <t>Sn.A.2.05</t>
  </si>
  <si>
    <t>Sn.A.2.04</t>
  </si>
  <si>
    <t>Sn.A.2.03</t>
  </si>
  <si>
    <t>Sn.A.2.02</t>
  </si>
  <si>
    <t>Sn.A.2.01</t>
  </si>
  <si>
    <t>Trappen</t>
  </si>
  <si>
    <t>Dames toilet</t>
  </si>
  <si>
    <t>Heren toilet</t>
  </si>
  <si>
    <t>Ruw. Opp</t>
  </si>
  <si>
    <t>Bureau Bedrijfsvoering</t>
  </si>
  <si>
    <t>Studie centrum</t>
  </si>
  <si>
    <t>Admin/teamleider</t>
  </si>
  <si>
    <t>Lesruimte</t>
  </si>
  <si>
    <t>O</t>
  </si>
  <si>
    <t>VLOEREN</t>
  </si>
  <si>
    <t>1 x per jaar</t>
  </si>
  <si>
    <t>Frequentie notatie</t>
  </si>
  <si>
    <t>Uren per dag</t>
  </si>
  <si>
    <t>Trappenhuis-bordes</t>
  </si>
  <si>
    <t>Gang, hal, pantry, aula, repro, gardarobe</t>
  </si>
  <si>
    <t>Totaal</t>
  </si>
  <si>
    <t>Geel gearceerde werken in één opdracht uitvoeren i.v.m. kosten kamersteiger, hoogwerker en waterzuiveringsunit</t>
  </si>
  <si>
    <t>Deze rapportage zal bij oplevering van de werkzaamheden worden over gedragen aan gebouwenbeheer van de betreffende lokatie</t>
  </si>
  <si>
    <t>Om met een hoogwerker te kunnen werken moeten de ruimtes, waar dit nodig is, ontruimt worden. Gebouwen beheer maakt hier afspraken over met de gebruikers</t>
  </si>
  <si>
    <t>Als er niet ontruimt is worden de kosten van de ontruiming doorberekend aan het het serviceteam.</t>
  </si>
  <si>
    <t>BUDGET SCHOONMAAK: Abe Lenstra Boulevard 29, Heerenveen</t>
  </si>
  <si>
    <t>Omschrijving activiteit</t>
  </si>
  <si>
    <r>
      <t>Prijs per stuk/m</t>
    </r>
    <r>
      <rPr>
        <b/>
        <vertAlign val="superscript"/>
        <sz val="10"/>
        <rFont val="Verdana"/>
      </rPr>
      <t>2</t>
    </r>
  </si>
  <si>
    <t>Kosten per beurt</t>
  </si>
  <si>
    <t>Kosten per jaar excl. b.t.w.</t>
  </si>
  <si>
    <t>BINNEN</t>
  </si>
  <si>
    <t>Glasbewassing binnen incl. puien en kozijnen</t>
  </si>
  <si>
    <t>Seperatieglas (enkelzijdig gemeten - dubbelzijdig gewassen)</t>
  </si>
  <si>
    <t>Balustradeglas (enkelzijdig gemeten - dubbelzijdig gewassen)</t>
  </si>
  <si>
    <t>Separatieglas enkelzijdig bij gang naar turnhal/zwembad</t>
  </si>
  <si>
    <t>Kosten hoogwerkers t.b.v. glasbewassing</t>
  </si>
  <si>
    <t xml:space="preserve">inzet rolsteiger tbv glasbewassing binnen </t>
  </si>
  <si>
    <t>Ventilatie buizen, roosters, gaten, contructiedelen en dergelijke reinigen</t>
  </si>
  <si>
    <t>Hoogwerker voor binnenwerk</t>
  </si>
  <si>
    <t>BUITEN</t>
  </si>
  <si>
    <t>Glasbewassing incl. koepelglas en lichtstraten</t>
  </si>
  <si>
    <t>Kosten hoogwerker t.b.v. glasbewassing</t>
  </si>
  <si>
    <t>gebruik rijplaten</t>
  </si>
  <si>
    <t>Dak schoonmaken waar schoonmaakwerkzaamheden worden uitgevoerd</t>
  </si>
  <si>
    <t>Kozijnen aluminium reinigen en conserveren incl. waterslagen</t>
  </si>
  <si>
    <t>Reinigen metalen gevelbeplating, incl. dakranden, en inpregneren</t>
  </si>
  <si>
    <t>Reinigen palen tussen ramen bij uitbouw</t>
  </si>
  <si>
    <t>Waterslagen reinigen</t>
  </si>
  <si>
    <t>Rokersoverkapping reinigen met gepaste hogedruk</t>
  </si>
  <si>
    <t>Vaste zonwering reinigen en inpregneren</t>
  </si>
  <si>
    <t>Reinigen houten/trespa gevelbeplating</t>
  </si>
  <si>
    <t>Verlichting hangend reinigen incl. TL verlichting rokersoverkapping</t>
  </si>
  <si>
    <t>Verlichting staand reinigen</t>
  </si>
  <si>
    <t>Reclame en verwijs en aanduidingsborden reinigen</t>
  </si>
  <si>
    <t>Vlaggemast reinigen</t>
  </si>
  <si>
    <t>Banken reinigen</t>
  </si>
  <si>
    <t>Diverse paaltjes, betonblokken en plantebakken reinigen</t>
  </si>
  <si>
    <t>Inzet autohoogwerker tbv buiten terrein</t>
  </si>
  <si>
    <t>Inzet hogedrukunit tbv buitenterrein</t>
  </si>
  <si>
    <t>Inzet hoogwerker t.b.v. glasbewassing dak</t>
  </si>
  <si>
    <t>Inzet rolsteiger</t>
  </si>
  <si>
    <t>Beton keringsmuurtjes en betonfundering reinigen en inpregneren</t>
  </si>
  <si>
    <t>Inzet hoogwerker tbv gevelreiniging</t>
  </si>
  <si>
    <t>Inzet Waterzuiveringsunit</t>
  </si>
  <si>
    <t>Kozijnen aluminium reinigen en conserveren</t>
  </si>
  <si>
    <t>Vensterbanken en waterslagen reinigen en staal/aluminium conserveren</t>
  </si>
  <si>
    <t>Verlichting hangend reinigen</t>
  </si>
  <si>
    <t>Prullebakken en stortkokers reinigen</t>
  </si>
  <si>
    <t>RVS rookpaal reinigen en in de olie zetten</t>
  </si>
  <si>
    <t>Fietsenstalling en rokersoverkapping reinigen</t>
  </si>
  <si>
    <t>Kauwgom verwijderen van bestrating.</t>
  </si>
  <si>
    <t>Diverse paaltjes reinigen</t>
  </si>
  <si>
    <t>Inzet hoogwerker t.b.v. buitenterrein</t>
  </si>
  <si>
    <t>Glasbewassing koepelglas</t>
  </si>
  <si>
    <t>Glasbewassing buiten incl. puien en kozijnen</t>
  </si>
  <si>
    <t>Inzet hoogwerker t.b.v. glasbewassing</t>
  </si>
  <si>
    <t>Inzet hoogwerker t.b.v. reinigen gevelbeplating</t>
  </si>
  <si>
    <t>Inzet hoogwerker t.b.v. zonwering</t>
  </si>
  <si>
    <t>BUDGET SCHOONMAAK: Kerkstraat 51, Buitenpost</t>
  </si>
  <si>
    <t>BUDGET SCHOONMAAK: Saturnus 7, Heerenveen</t>
  </si>
  <si>
    <t>Glasbewassing dakglas</t>
  </si>
  <si>
    <t>Ventilatieroosters in de ramen reinigen</t>
  </si>
  <si>
    <t>Ventilatie buizen, contructiedelen en dergelijke reinigen</t>
  </si>
  <si>
    <t>Stalen gevelbeplaating reinigen</t>
  </si>
  <si>
    <t>Reinigen constructie 4 trappen</t>
  </si>
  <si>
    <t>Inzet hoogwerker t.b.v. reinigen contructiedelen</t>
  </si>
  <si>
    <t>Ventilatiebuizen en constructiedelen reinigen</t>
  </si>
  <si>
    <t>Luchtbehandelingskasten bovenzijde reinigen (verdieping)</t>
  </si>
  <si>
    <t>Vloer schoon opleveren</t>
  </si>
  <si>
    <t>Inzet hoogwerker t.b.v. reinigen beplating</t>
  </si>
  <si>
    <t>Vloeren zolders en motorvoertuigen schoon opleveren</t>
  </si>
  <si>
    <t>Contructie delen 5 lokalen motorvoertuigen reinigen</t>
  </si>
  <si>
    <t>Reinigen gevelbeplating en staal/aluminium conserveren</t>
  </si>
  <si>
    <t>Zonwering cassette buitenzijde reinigen en conserveren</t>
  </si>
  <si>
    <t>Entrée luifelonderkant reinigen incl. contructiedelen</t>
  </si>
  <si>
    <t>Inzet hoogwerker t.b.v. gevelreinigen</t>
  </si>
  <si>
    <t>Prullebakken reinigen</t>
  </si>
  <si>
    <t>Verlichting staand</t>
  </si>
  <si>
    <t>Inzet autohoogwerker tbv buitenterrein</t>
  </si>
  <si>
    <t>BUDGET SCHOONMAAK: Jousterweg 28, Heerenveen</t>
  </si>
  <si>
    <t>Prijsvorming Vloerenonderhoud  (inclusief uit-/inruimen van het meubilair)</t>
  </si>
  <si>
    <t>Totaal m2 of stuks</t>
  </si>
  <si>
    <t>BUDGET PROJECTGEBONDEN SCHOONMAAKWERKZAAMHEDEN</t>
  </si>
  <si>
    <t>Lino-/marmoleum conserveren</t>
  </si>
  <si>
    <t>Lino-/marmoleum sprayen</t>
  </si>
  <si>
    <t>Steen/PVC schrobben</t>
  </si>
  <si>
    <t>Code staffel</t>
  </si>
  <si>
    <t>Frequentie omschrijving</t>
  </si>
  <si>
    <t>Koolzuurreiniging</t>
  </si>
  <si>
    <t>Aantal m2/stuks of uren per jaar</t>
  </si>
  <si>
    <t>olieën</t>
  </si>
  <si>
    <t>2 x per jaar</t>
  </si>
  <si>
    <t>Houten vloer</t>
  </si>
  <si>
    <t>.</t>
  </si>
  <si>
    <t>Hal, gangen, kantine en eerste verd.</t>
  </si>
  <si>
    <t>Autotechniek incl. 5 lokalen</t>
  </si>
  <si>
    <t>Hal voorheen heftruckhal</t>
  </si>
  <si>
    <t>Budget werkzaamheden</t>
  </si>
  <si>
    <t>Glasbewassing (opgenomen in budget werkzaamheden)</t>
  </si>
  <si>
    <t>Schoonmaak op afroep 2% van totaal regulier schoonmaakonderhoud productiekosten</t>
  </si>
  <si>
    <t>Op het tabblad 1.5 Opbouw uurtarieven dient u uw gegevens in de oranje omlijnde invoervelden in te voeren.</t>
  </si>
  <si>
    <t>Op het tabblad 1.6 Machine-investering dient u uw gegevens in de oranje omlijnde invoervelden in te voeren.</t>
  </si>
  <si>
    <t>Op het tabblad 1.8  Afroepprijs dient u uw gegevens in de oranje omlijnde invoervelden in te voeren.</t>
  </si>
  <si>
    <t>Op het tabblad 1.8a Budget afroep werkzaamheden dient u uw gegevens in de oranje omlijnde invoervelden in te voeren.</t>
  </si>
  <si>
    <t>Selecteer als eerste aan de linkerzijde een wite cel, selecteer de pijl         en kies uw keuze van medewerker/ster uit het overzicht. De desbetreffende gegevens van categorie medewerker en tarief worden automatisch ingevoerd.</t>
  </si>
  <si>
    <t>Voer uitsluitend de oranje omlijnde en de oranje gekleurde invoervelden in (in een aantal beige gekleurde velden zijn koppelingen met oranje omlijnde en oranje velden) geplaatst. de gegevens wordenautomatisch geplaatst in de tabbladen 1.0-Contractblad en 1.1-Jaarprijzen.</t>
  </si>
  <si>
    <t>Reserve kolom</t>
  </si>
  <si>
    <t>afzuigkappen</t>
  </si>
  <si>
    <t>Afzuigkappen</t>
  </si>
  <si>
    <t>reken eenheid (meter)</t>
  </si>
  <si>
    <t>11.02 All-round werknemer algemeen schoonmaakonderhoud 8 jaar en meer</t>
  </si>
  <si>
    <t>11.01 Werknemer meewerkend toezicht algemeen schoonmaakonderhoud 0 t/m 7 jaar</t>
  </si>
  <si>
    <t>11.01 Werknemer niet meewerkend toezicht algemeen schoonmaakonderhoud 0 t/m 7 jaar</t>
  </si>
  <si>
    <t>2 x per jaar (schoolvakanties)</t>
  </si>
  <si>
    <t>Diverse ruimten op regiebasis in schoonmaakonderhoud (uren zijn vastgesteld)</t>
  </si>
  <si>
    <t>Onderwijsruimte (theorie)</t>
  </si>
  <si>
    <t>Onderwijsruimte (praktijk)</t>
  </si>
  <si>
    <t>Tijdens het uitvoeren van de werkzaamheden is de aannemer verplicht een rapportage te maken van de geconstateerde gebreken</t>
  </si>
  <si>
    <t>Extra uren voor wegklappen zonwering, lamellen en assisteren traphallen ivm veiligheid</t>
  </si>
  <si>
    <t>Luchtbehandelingskasten op plat dak reinigen (buitenzijde)</t>
  </si>
  <si>
    <t>BUDGET SCHOONMAAK:St Antoniusplein 5-2, Sneek</t>
  </si>
  <si>
    <t>Is voor de verhuurder</t>
  </si>
  <si>
    <t>11.01 Werknemer algemeen schoonmaakonderhoud 19 jaar 0 t/m 7 jaar</t>
  </si>
  <si>
    <t>1/5 deel 1 x per jaar</t>
  </si>
  <si>
    <t>De Zwaai, Drachten</t>
  </si>
  <si>
    <t>Inzet arbeidsmiddelen t.b.v. 1.8a-Budget afroep werkzaamheden</t>
  </si>
  <si>
    <t>Zie 1.8a-Afroepprijs</t>
  </si>
  <si>
    <t>Inzet arbeidsmiddel (omschijving)</t>
  </si>
  <si>
    <t>Bedrag per dagdeel</t>
  </si>
  <si>
    <t>Bedrag per dag</t>
  </si>
  <si>
    <t>Bedrag per week</t>
  </si>
  <si>
    <t>Inzet hoogwerkers constructiedelen</t>
  </si>
  <si>
    <t>10 x per week - 40 weken naloop</t>
  </si>
  <si>
    <t>0601-36-2013 Perceel 2</t>
  </si>
  <si>
    <t>0601-36-2014 Perceel 2</t>
  </si>
  <si>
    <t>Een aantal onderdelen worden automatisch geplaatst in de tabbladen 1.8-Afroepprijs</t>
  </si>
  <si>
    <t>Overal waar in Calculatiemodel 0601-36-2014 een oranje omlijnd/gekleurd invoerveld aanwezig is, dient een getal (niet zijnde nul (0)) te worden ingevuld. Indien er geen getal door Inschrijver wordt ingevuld of een getal dat redelijkerwijs niet in verband te brengen is met het gespecificeerde uurloon (Tabbladen 1.4 en 1.5, zal de Inschrijving als abnormaal lage aanbieding worden gezien. Als gevolg daarvan kan de inschrijving terzijde worden gelegd. Alle in te vullen tarieven dienen te herleidbaar te zijn.</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</si>
</sst>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1" formatCode="_-* #,##0_-;_-* #,##0\-;_-* &quot;-&quot;_-;_-@_-"/>
    <numFmt numFmtId="44" formatCode="_-&quot;€&quot;\ * #,##0.00_-;_-&quot;€&quot;\ * #,##0.00\-;_-&quot;€&quot;\ * &quot;-&quot;??_-;_-@_-"/>
    <numFmt numFmtId="43" formatCode="_-* #,##0.00_-;_-* #,##0.00\-;_-* &quot;-&quot;??_-;_-@_-"/>
    <numFmt numFmtId="164" formatCode="_(&quot;€&quot;* #,##0.00_);_(&quot;€&quot;* \(#,##0.00\);_(&quot;€&quot;* &quot;-&quot;??_);_(@_)"/>
    <numFmt numFmtId="165" formatCode="_(* #,##0.00_);_(* \(#,##0.00\);_(* &quot;-&quot;??_);_(@_)"/>
    <numFmt numFmtId="166" formatCode="_(&quot;ƒ&quot;* #,##0.00_);_(&quot;ƒ&quot;* \(#,##0.00\);_(&quot;ƒ&quot;* &quot;-&quot;??_);_(@_)"/>
    <numFmt numFmtId="167" formatCode="_-* #,##0.00_-;\-* #,##0.00_-;_-* &quot;-&quot;??_-;_-@_-"/>
    <numFmt numFmtId="168" formatCode="&quot;Fl.&quot;#,##0;\-&quot;Fl.&quot;#,##0"/>
    <numFmt numFmtId="169" formatCode="&quot;Fl.&quot;#,##0;[Red]\-&quot;Fl.&quot;#,##0"/>
    <numFmt numFmtId="170" formatCode="_-&quot;ƒ&quot;\ * #,##0.00_-;_-&quot;ƒ&quot;\ * #,##0.00\-;_-&quot;ƒ&quot;\ * &quot;-&quot;??_-;_-@_-"/>
    <numFmt numFmtId="171" formatCode="0_)"/>
    <numFmt numFmtId="172" formatCode="General_)"/>
    <numFmt numFmtId="173" formatCode="0.00_)"/>
    <numFmt numFmtId="174" formatCode="0.000"/>
    <numFmt numFmtId="175" formatCode="_-* #,##0_-;_-* #,##0\-;_-* &quot;-&quot;??_-;_-@_-"/>
    <numFmt numFmtId="176" formatCode="00,000"/>
    <numFmt numFmtId="177" formatCode="0.0%"/>
    <numFmt numFmtId="178" formatCode="0.0"/>
    <numFmt numFmtId="179" formatCode="#,##0.0"/>
    <numFmt numFmtId="180" formatCode="_-* #,##0.000_-;_-* #,##0.000\-;_-* &quot;-&quot;??_-;_-@_-"/>
    <numFmt numFmtId="181" formatCode="0.000%"/>
    <numFmt numFmtId="182" formatCode="_-[$€-2]\ * #,##0.00_ ;_-[$€-2]\ * \-#,##0.00\ ;_-[$€-2]\ * &quot;-&quot;??_ ;_-@_ "/>
    <numFmt numFmtId="183" formatCode="_([$€-2]\ * #,##0.00_);_([$€-2]\ * \(#,##0.00\);_([$€-2]\ * &quot;-&quot;??_);_(@_)"/>
    <numFmt numFmtId="184" formatCode="#,000"/>
    <numFmt numFmtId="185" formatCode="_-[$€-2]\ * #,##0.00_-;_-[$€-2]\ * #,##0.00\-;_-[$€-2]\ * &quot;-&quot;??_-;_-@_-"/>
    <numFmt numFmtId="186" formatCode="[$-413]d\-mmm\-yy;@"/>
    <numFmt numFmtId="187" formatCode="0.0000000%"/>
    <numFmt numFmtId="188" formatCode="_-[$€-413]\ * #,##0.00_-;_-[$€-413]\ * #,##0.00\-;_-[$€-413]\ * &quot;-&quot;??_-;_-@_-"/>
    <numFmt numFmtId="189" formatCode="[$-413]d/mmm/yy;@"/>
    <numFmt numFmtId="190" formatCode="000"/>
    <numFmt numFmtId="191" formatCode="m/d/yyyy"/>
    <numFmt numFmtId="192" formatCode="00\ 00\ 00"/>
    <numFmt numFmtId="193" formatCode="#,##0\ &quot;m2/st&quot;"/>
    <numFmt numFmtId="194" formatCode="0.00\ &quot;uur&quot;"/>
    <numFmt numFmtId="195" formatCode="0\ &quot;x per jaar&quot;"/>
  </numFmts>
  <fonts count="90" x14ac:knownFonts="1">
    <font>
      <sz val="10"/>
      <name val="MS Sans Serif"/>
      <family val="2"/>
    </font>
    <font>
      <sz val="10"/>
      <color theme="1"/>
      <name val="Verdana"/>
      <family val="2"/>
      <charset val="129"/>
    </font>
    <font>
      <sz val="10"/>
      <color theme="1"/>
      <name val="Verdana"/>
      <family val="2"/>
    </font>
    <font>
      <b/>
      <sz val="10"/>
      <name val="MS Sans Serif"/>
      <family val="2"/>
    </font>
    <font>
      <sz val="10"/>
      <name val="MS Sans Serif"/>
      <family val="2"/>
    </font>
    <font>
      <sz val="10"/>
      <name val="Helvetica"/>
    </font>
    <font>
      <sz val="10"/>
      <name val="Times"/>
      <family val="1"/>
    </font>
    <font>
      <sz val="10"/>
      <name val="Arial"/>
    </font>
    <font>
      <sz val="10"/>
      <name val="Courier"/>
      <family val="3"/>
    </font>
    <font>
      <sz val="8"/>
      <name val="Helvetica"/>
    </font>
    <font>
      <sz val="8"/>
      <name val="MS Sans Serif"/>
      <family val="2"/>
    </font>
    <font>
      <sz val="9"/>
      <name val="Geneva"/>
    </font>
    <font>
      <sz val="12"/>
      <name val="Times"/>
      <family val="1"/>
    </font>
    <font>
      <sz val="8"/>
      <name val="Geneva"/>
    </font>
    <font>
      <sz val="10"/>
      <name val="Verdana"/>
    </font>
    <font>
      <b/>
      <sz val="10"/>
      <name val="Verdana"/>
    </font>
    <font>
      <sz val="10"/>
      <color indexed="10"/>
      <name val="Verdana"/>
      <family val="2"/>
    </font>
    <font>
      <sz val="10"/>
      <color indexed="8"/>
      <name val="Verdana"/>
      <family val="2"/>
    </font>
    <font>
      <b/>
      <sz val="10"/>
      <color indexed="18"/>
      <name val="Verdana"/>
      <family val="2"/>
    </font>
    <font>
      <sz val="10"/>
      <color indexed="18"/>
      <name val="Verdana"/>
      <family val="2"/>
    </font>
    <font>
      <sz val="12"/>
      <name val="Verdana"/>
      <family val="2"/>
    </font>
    <font>
      <b/>
      <sz val="10"/>
      <color indexed="20"/>
      <name val="Verdana"/>
      <family val="2"/>
    </font>
    <font>
      <b/>
      <sz val="10"/>
      <color indexed="8"/>
      <name val="Verdana"/>
      <family val="2"/>
    </font>
    <font>
      <b/>
      <sz val="12"/>
      <name val="Verdana"/>
      <family val="2"/>
    </font>
    <font>
      <sz val="12"/>
      <color indexed="8"/>
      <name val="Verdana"/>
      <family val="2"/>
    </font>
    <font>
      <sz val="10"/>
      <color indexed="9"/>
      <name val="Verdana"/>
      <family val="2"/>
    </font>
    <font>
      <sz val="12"/>
      <color indexed="10"/>
      <name val="Verdana"/>
      <family val="2"/>
    </font>
    <font>
      <b/>
      <sz val="10"/>
      <color indexed="9"/>
      <name val="Verdana"/>
      <family val="2"/>
    </font>
    <font>
      <b/>
      <sz val="10"/>
      <color indexed="63"/>
      <name val="Verdana"/>
      <family val="2"/>
    </font>
    <font>
      <sz val="10"/>
      <color indexed="63"/>
      <name val="Verdana"/>
    </font>
    <font>
      <b/>
      <sz val="12"/>
      <color indexed="63"/>
      <name val="Verdana"/>
    </font>
    <font>
      <sz val="12"/>
      <color indexed="63"/>
      <name val="Verdana"/>
      <family val="2"/>
    </font>
    <font>
      <sz val="9"/>
      <color indexed="63"/>
      <name val="Verdana"/>
      <family val="2"/>
    </font>
    <font>
      <sz val="10"/>
      <color indexed="63"/>
      <name val="MS Sans Serif"/>
      <family val="2"/>
    </font>
    <font>
      <sz val="8"/>
      <color indexed="63"/>
      <name val="Verdana"/>
      <family val="2"/>
    </font>
    <font>
      <b/>
      <sz val="8"/>
      <color indexed="63"/>
      <name val="Verdana"/>
      <family val="2"/>
    </font>
    <font>
      <i/>
      <sz val="10"/>
      <color indexed="63"/>
      <name val="Verdana"/>
      <family val="2"/>
    </font>
    <font>
      <i/>
      <sz val="10"/>
      <name val="Verdana"/>
    </font>
    <font>
      <b/>
      <sz val="11"/>
      <color indexed="52"/>
      <name val="Calibri"/>
      <family val="2"/>
    </font>
    <font>
      <sz val="11"/>
      <color indexed="52"/>
      <name val="Calibri"/>
      <family val="2"/>
    </font>
    <font>
      <sz val="11"/>
      <color indexed="17"/>
      <name val="Calibri"/>
      <family val="2"/>
    </font>
    <font>
      <sz val="10"/>
      <color indexed="12"/>
      <name val="Times New Roman"/>
      <family val="1"/>
    </font>
    <font>
      <b/>
      <sz val="8"/>
      <name val="Arial"/>
      <family val="2"/>
    </font>
    <font>
      <b/>
      <sz val="10"/>
      <name val="Arial"/>
    </font>
    <font>
      <sz val="11"/>
      <color indexed="60"/>
      <name val="Calibri"/>
      <family val="2"/>
    </font>
    <font>
      <b/>
      <sz val="18"/>
      <color indexed="56"/>
      <name val="Cambria"/>
      <family val="2"/>
    </font>
    <font>
      <b/>
      <sz val="11"/>
      <color indexed="8"/>
      <name val="Calibri"/>
      <family val="2"/>
    </font>
    <font>
      <sz val="11"/>
      <color indexed="10"/>
      <name val="Calibri"/>
      <family val="2"/>
    </font>
    <font>
      <b/>
      <sz val="14"/>
      <color indexed="63"/>
      <name val="Verdana"/>
      <family val="2"/>
    </font>
    <font>
      <i/>
      <sz val="10"/>
      <color indexed="10"/>
      <name val="Verdana"/>
      <family val="2"/>
    </font>
    <font>
      <sz val="10"/>
      <color indexed="10"/>
      <name val="MS Sans Serif"/>
      <family val="2"/>
    </font>
    <font>
      <b/>
      <sz val="9"/>
      <name val="Verdana"/>
    </font>
    <font>
      <b/>
      <i/>
      <sz val="10"/>
      <color indexed="63"/>
      <name val="Verdana"/>
      <family val="2"/>
    </font>
    <font>
      <b/>
      <sz val="10"/>
      <color indexed="10"/>
      <name val="Verdana"/>
      <family val="2"/>
    </font>
    <font>
      <sz val="9"/>
      <name val="Verdana"/>
    </font>
    <font>
      <b/>
      <sz val="16"/>
      <name val="Verdana"/>
      <family val="2"/>
    </font>
    <font>
      <b/>
      <sz val="14"/>
      <name val="Verdana"/>
    </font>
    <font>
      <sz val="10"/>
      <color indexed="22"/>
      <name val="Verdana"/>
      <family val="2"/>
    </font>
    <font>
      <b/>
      <sz val="12"/>
      <color theme="1" tint="4.9989318521683403E-2"/>
      <name val="Verdana"/>
      <family val="2"/>
    </font>
    <font>
      <sz val="12"/>
      <color theme="1" tint="4.9989318521683403E-2"/>
      <name val="Verdana"/>
      <family val="2"/>
    </font>
    <font>
      <b/>
      <sz val="12"/>
      <color theme="1" tint="0.499984740745262"/>
      <name val="Verdana"/>
      <family val="2"/>
    </font>
    <font>
      <sz val="12"/>
      <color theme="1" tint="0.499984740745262"/>
      <name val="Verdana"/>
      <family val="2"/>
    </font>
    <font>
      <b/>
      <sz val="10"/>
      <color theme="1" tint="4.9989318521683403E-2"/>
      <name val="Verdana"/>
      <family val="2"/>
    </font>
    <font>
      <sz val="10"/>
      <color theme="1" tint="4.9989318521683403E-2"/>
      <name val="Verdana"/>
      <family val="2"/>
    </font>
    <font>
      <sz val="10"/>
      <color rgb="FF336699"/>
      <name val="Verdana"/>
      <family val="2"/>
    </font>
    <font>
      <sz val="10"/>
      <color theme="0"/>
      <name val="Verdana"/>
      <family val="2"/>
    </font>
    <font>
      <sz val="12"/>
      <color theme="0"/>
      <name val="Verdana"/>
      <family val="2"/>
    </font>
    <font>
      <b/>
      <sz val="10"/>
      <color theme="0"/>
      <name val="Verdana"/>
      <family val="2"/>
    </font>
    <font>
      <sz val="10"/>
      <color theme="0" tint="-0.499984740745262"/>
      <name val="MS Sans Serif"/>
      <family val="2"/>
    </font>
    <font>
      <sz val="10"/>
      <color theme="1" tint="4.9989318521683403E-2"/>
      <name val="MS Sans Serif"/>
      <family val="2"/>
    </font>
    <font>
      <b/>
      <i/>
      <sz val="10"/>
      <color theme="1" tint="4.9989318521683403E-2"/>
      <name val="Verdana"/>
      <family val="2"/>
    </font>
    <font>
      <sz val="9"/>
      <color theme="0" tint="-0.499984740745262"/>
      <name val="Verdana"/>
      <family val="2"/>
    </font>
    <font>
      <b/>
      <sz val="10"/>
      <color theme="0" tint="-0.499984740745262"/>
      <name val="Verdana"/>
      <family val="2"/>
    </font>
    <font>
      <sz val="10"/>
      <color theme="0"/>
      <name val="MS Sans Serif"/>
      <family val="2"/>
    </font>
    <font>
      <b/>
      <sz val="14"/>
      <color theme="1" tint="4.9989318521683403E-2"/>
      <name val="Verdana"/>
      <family val="2"/>
    </font>
    <font>
      <sz val="9"/>
      <color theme="1" tint="4.9989318521683403E-2"/>
      <name val="Verdana"/>
      <family val="2"/>
    </font>
    <font>
      <b/>
      <sz val="10"/>
      <color rgb="FFFF0000"/>
      <name val="Verdana"/>
      <family val="2"/>
    </font>
    <font>
      <sz val="10"/>
      <color rgb="FF424242"/>
      <name val="Verdana"/>
      <family val="2"/>
    </font>
    <font>
      <b/>
      <sz val="10"/>
      <color theme="0"/>
      <name val="MS Sans Serif"/>
      <family val="2"/>
    </font>
    <font>
      <b/>
      <sz val="9"/>
      <color theme="0"/>
      <name val="Verdana"/>
      <family val="2"/>
    </font>
    <font>
      <u/>
      <sz val="10"/>
      <color theme="10"/>
      <name val="MS Sans Serif"/>
      <family val="2"/>
    </font>
    <font>
      <u/>
      <sz val="10"/>
      <color theme="11"/>
      <name val="MS Sans Serif"/>
      <family val="2"/>
    </font>
    <font>
      <i/>
      <sz val="9"/>
      <name val="Verdana"/>
    </font>
    <font>
      <sz val="9"/>
      <name val="MS Sans Serif"/>
      <family val="2"/>
    </font>
    <font>
      <sz val="10"/>
      <color theme="0" tint="-0.249977111117893"/>
      <name val="Verdana"/>
    </font>
    <font>
      <i/>
      <sz val="10"/>
      <color theme="0" tint="-0.249977111117893"/>
      <name val="Verdana"/>
    </font>
    <font>
      <b/>
      <i/>
      <sz val="10"/>
      <name val="Verdana"/>
    </font>
    <font>
      <b/>
      <vertAlign val="superscript"/>
      <sz val="10"/>
      <name val="Verdana"/>
    </font>
    <font>
      <i/>
      <sz val="10"/>
      <color indexed="18"/>
      <name val="Verdana"/>
    </font>
    <font>
      <b/>
      <sz val="9"/>
      <color indexed="63"/>
      <name val="Verdana"/>
      <family val="2"/>
    </font>
  </fonts>
  <fills count="24">
    <fill>
      <patternFill patternType="none"/>
    </fill>
    <fill>
      <patternFill patternType="gray125"/>
    </fill>
    <fill>
      <patternFill patternType="solid">
        <fgColor indexed="42"/>
      </patternFill>
    </fill>
    <fill>
      <patternFill patternType="solid">
        <fgColor indexed="22"/>
      </patternFill>
    </fill>
    <fill>
      <patternFill patternType="solid">
        <fgColor indexed="26"/>
        <bgColor indexed="64"/>
      </patternFill>
    </fill>
    <fill>
      <patternFill patternType="solid">
        <fgColor indexed="43"/>
      </patternFill>
    </fill>
    <fill>
      <patternFill patternType="solid">
        <fgColor indexed="22"/>
        <bgColor indexed="64"/>
      </patternFill>
    </fill>
    <fill>
      <patternFill patternType="solid">
        <fgColor indexed="15"/>
        <bgColor indexed="64"/>
      </patternFill>
    </fill>
    <fill>
      <patternFill patternType="solid">
        <fgColor indexed="44"/>
        <bgColor indexed="64"/>
      </patternFill>
    </fill>
    <fill>
      <patternFill patternType="solid">
        <fgColor indexed="63"/>
        <bgColor indexed="64"/>
      </patternFill>
    </fill>
    <fill>
      <patternFill patternType="solid">
        <fgColor indexed="9"/>
        <bgColor indexed="64"/>
      </patternFill>
    </fill>
    <fill>
      <patternFill patternType="solid">
        <fgColor indexed="65"/>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bgColor indexed="24"/>
      </patternFill>
    </fill>
    <fill>
      <patternFill patternType="solid">
        <fgColor theme="2" tint="-0.499984740745262"/>
        <bgColor indexed="64"/>
      </patternFill>
    </fill>
    <fill>
      <patternFill patternType="solid">
        <fgColor rgb="FFCCCCCC"/>
        <bgColor indexed="64"/>
      </patternFill>
    </fill>
    <fill>
      <patternFill patternType="solid">
        <fgColor rgb="FFFFC000"/>
        <bgColor indexed="64"/>
      </patternFill>
    </fill>
    <fill>
      <patternFill patternType="solid">
        <fgColor indexed="43"/>
        <bgColor indexed="64"/>
      </patternFill>
    </fill>
    <fill>
      <patternFill patternType="solid">
        <fgColor rgb="FFFFFF8E"/>
        <bgColor indexed="64"/>
      </patternFill>
    </fill>
    <fill>
      <patternFill patternType="solid">
        <fgColor rgb="FFFFFFFF"/>
        <bgColor rgb="FF000000"/>
      </patternFill>
    </fill>
  </fills>
  <borders count="6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style="double">
        <color auto="1"/>
      </top>
      <bottom/>
      <diagonal/>
    </border>
    <border>
      <left style="double">
        <color auto="1"/>
      </left>
      <right/>
      <top style="double">
        <color auto="1"/>
      </top>
      <bottom/>
      <diagonal/>
    </border>
    <border>
      <left/>
      <right/>
      <top style="thin">
        <color indexed="62"/>
      </top>
      <bottom style="double">
        <color indexed="62"/>
      </bottom>
      <diagonal/>
    </border>
    <border>
      <left/>
      <right/>
      <top/>
      <bottom style="thin">
        <color auto="1"/>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bottom style="thin">
        <color indexed="23"/>
      </bottom>
      <diagonal/>
    </border>
    <border>
      <left style="thin">
        <color auto="1"/>
      </left>
      <right style="thin">
        <color auto="1"/>
      </right>
      <top style="thin">
        <color auto="1"/>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top/>
      <bottom style="thin">
        <color indexed="23"/>
      </bottom>
      <diagonal/>
    </border>
    <border>
      <left style="thin">
        <color auto="1"/>
      </left>
      <right/>
      <top style="thin">
        <color auto="1"/>
      </top>
      <bottom style="thin">
        <color auto="1"/>
      </bottom>
      <diagonal/>
    </border>
    <border>
      <left/>
      <right/>
      <top/>
      <bottom style="thin">
        <color indexed="4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9933"/>
      </left>
      <right/>
      <top/>
      <bottom/>
      <diagonal/>
    </border>
    <border>
      <left style="thin">
        <color rgb="FFFF9933"/>
      </left>
      <right style="thin">
        <color rgb="FFFF9933"/>
      </right>
      <top style="thin">
        <color rgb="FFFF9933"/>
      </top>
      <bottom style="thin">
        <color rgb="FFFF993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FF9933"/>
      </right>
      <top style="thin">
        <color rgb="FFFF9933"/>
      </top>
      <bottom style="thin">
        <color rgb="FFFF993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rgb="FFFF9933"/>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thin">
        <color rgb="FFFF9933"/>
      </top>
      <bottom/>
      <diagonal/>
    </border>
    <border>
      <left/>
      <right/>
      <top/>
      <bottom style="thin">
        <color rgb="FFFF9933"/>
      </bottom>
      <diagonal/>
    </border>
    <border>
      <left style="thin">
        <color rgb="FFFF9933"/>
      </left>
      <right/>
      <top style="thin">
        <color rgb="FFFF9933"/>
      </top>
      <bottom/>
      <diagonal/>
    </border>
    <border>
      <left style="thin">
        <color rgb="FFFF9933"/>
      </left>
      <right/>
      <top style="thin">
        <color rgb="FFFF9933"/>
      </top>
      <bottom style="thin">
        <color rgb="FFFF993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style="double">
        <color rgb="FFFF9933"/>
      </left>
      <right/>
      <top style="double">
        <color rgb="FFFF9933"/>
      </top>
      <bottom/>
      <diagonal/>
    </border>
    <border>
      <left/>
      <right/>
      <top style="double">
        <color rgb="FFFF9933"/>
      </top>
      <bottom/>
      <diagonal/>
    </border>
    <border>
      <left/>
      <right style="double">
        <color rgb="FFFF9933"/>
      </right>
      <top style="double">
        <color rgb="FFFF9933"/>
      </top>
      <bottom/>
      <diagonal/>
    </border>
    <border>
      <left style="double">
        <color rgb="FFFF9933"/>
      </left>
      <right/>
      <top/>
      <bottom/>
      <diagonal/>
    </border>
    <border>
      <left/>
      <right style="double">
        <color rgb="FFFF9933"/>
      </right>
      <top/>
      <bottom/>
      <diagonal/>
    </border>
    <border>
      <left style="double">
        <color rgb="FFFF9933"/>
      </left>
      <right/>
      <top/>
      <bottom style="double">
        <color rgb="FFFF9933"/>
      </bottom>
      <diagonal/>
    </border>
    <border>
      <left/>
      <right/>
      <top/>
      <bottom style="double">
        <color rgb="FFFF9933"/>
      </bottom>
      <diagonal/>
    </border>
    <border>
      <left/>
      <right style="double">
        <color rgb="FFFF9933"/>
      </right>
      <top/>
      <bottom style="double">
        <color rgb="FFFF9933"/>
      </bottom>
      <diagonal/>
    </border>
    <border>
      <left/>
      <right style="thin">
        <color rgb="FFFF9933"/>
      </right>
      <top/>
      <bottom/>
      <diagonal/>
    </border>
    <border>
      <left/>
      <right/>
      <top style="thin">
        <color rgb="FFFF9933"/>
      </top>
      <bottom style="thin">
        <color rgb="FFFF9933"/>
      </bottom>
      <diagonal/>
    </border>
    <border>
      <left/>
      <right style="thin">
        <color theme="0" tint="-0.499984740745262"/>
      </right>
      <top/>
      <bottom/>
      <diagonal/>
    </border>
    <border>
      <left style="thin">
        <color theme="0" tint="-0.249977111117893"/>
      </left>
      <right style="thin">
        <color theme="0" tint="-0.249977111117893"/>
      </right>
      <top style="thin">
        <color theme="0" tint="-0.249977111117893"/>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55"/>
      </left>
      <right/>
      <top/>
      <bottom/>
      <diagonal/>
    </border>
    <border>
      <left style="thin">
        <color auto="1"/>
      </left>
      <right style="thin">
        <color indexed="55"/>
      </right>
      <top style="thin">
        <color auto="1"/>
      </top>
      <bottom style="thin">
        <color auto="1"/>
      </bottom>
      <diagonal/>
    </border>
    <border>
      <left style="thin">
        <color indexed="23"/>
      </left>
      <right style="thin">
        <color indexed="23"/>
      </right>
      <top style="thin">
        <color auto="1"/>
      </top>
      <bottom style="thin">
        <color indexed="23"/>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rgb="FF969696"/>
      </left>
      <right style="thin">
        <color rgb="FF969696"/>
      </right>
      <top style="thin">
        <color rgb="FF969696"/>
      </top>
      <bottom style="thin">
        <color rgb="FF969696"/>
      </bottom>
      <diagonal/>
    </border>
  </borders>
  <cellStyleXfs count="2193">
    <xf numFmtId="0" fontId="0" fillId="0" borderId="0"/>
    <xf numFmtId="0" fontId="38" fillId="3" borderId="1" applyNumberFormat="0" applyAlignment="0" applyProtection="0"/>
    <xf numFmtId="43" fontId="4" fillId="0" borderId="0" applyFont="0" applyFill="0" applyBorder="0" applyAlignment="0" applyProtection="0"/>
    <xf numFmtId="41" fontId="4"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70" fontId="4" fillId="0" borderId="0" applyFont="0" applyFill="0" applyBorder="0" applyAlignment="0" applyProtection="0"/>
    <xf numFmtId="166" fontId="6" fillId="0" borderId="0" applyFont="0" applyFill="0" applyBorder="0" applyAlignment="0" applyProtection="0"/>
    <xf numFmtId="166" fontId="5" fillId="0" borderId="0" applyFont="0" applyFill="0" applyBorder="0" applyAlignment="0" applyProtection="0"/>
    <xf numFmtId="164" fontId="12" fillId="0" borderId="0" applyFont="0" applyFill="0" applyBorder="0" applyAlignment="0" applyProtection="0"/>
    <xf numFmtId="169" fontId="14" fillId="0" borderId="0"/>
    <xf numFmtId="0" fontId="39" fillId="0" borderId="2" applyNumberFormat="0" applyFill="0" applyAlignment="0" applyProtection="0"/>
    <xf numFmtId="0" fontId="40" fillId="2" borderId="0" applyNumberFormat="0" applyBorder="0" applyAlignment="0" applyProtection="0"/>
    <xf numFmtId="0" fontId="41" fillId="6" borderId="0"/>
    <xf numFmtId="43" fontId="42" fillId="0" borderId="0">
      <alignment horizontal="center" vertical="center" textRotation="90" wrapText="1"/>
    </xf>
    <xf numFmtId="0" fontId="43" fillId="4" borderId="4"/>
    <xf numFmtId="168" fontId="14" fillId="0" borderId="0"/>
    <xf numFmtId="0" fontId="44" fillId="5" borderId="0" applyNumberFormat="0" applyBorder="0" applyAlignment="0" applyProtection="0"/>
    <xf numFmtId="0" fontId="5" fillId="0" borderId="0"/>
    <xf numFmtId="0" fontId="17" fillId="0" borderId="0"/>
    <xf numFmtId="0" fontId="11" fillId="0" borderId="0"/>
    <xf numFmtId="0" fontId="6" fillId="0" borderId="0"/>
    <xf numFmtId="0" fontId="5" fillId="0" borderId="0"/>
    <xf numFmtId="0" fontId="4" fillId="0" borderId="0"/>
    <xf numFmtId="0" fontId="12" fillId="0" borderId="0"/>
    <xf numFmtId="0" fontId="4" fillId="0" borderId="0"/>
    <xf numFmtId="0" fontId="7" fillId="0" borderId="0"/>
    <xf numFmtId="0" fontId="14" fillId="0" borderId="0"/>
    <xf numFmtId="0" fontId="5" fillId="0" borderId="0"/>
    <xf numFmtId="0" fontId="5" fillId="0" borderId="0"/>
    <xf numFmtId="0" fontId="8" fillId="0" borderId="0"/>
    <xf numFmtId="9" fontId="4" fillId="0" borderId="0" applyFont="0" applyFill="0" applyBorder="0" applyAlignment="0" applyProtection="0"/>
    <xf numFmtId="9" fontId="4" fillId="0" borderId="0" applyFont="0" applyFill="0" applyBorder="0" applyAlignment="0" applyProtection="0"/>
    <xf numFmtId="0" fontId="43" fillId="7" borderId="5" applyNumberFormat="0" applyFont="0" applyBorder="0">
      <alignment horizontal="center"/>
    </xf>
    <xf numFmtId="0" fontId="5" fillId="0" borderId="0"/>
    <xf numFmtId="0" fontId="45" fillId="0" borderId="0" applyNumberFormat="0" applyFill="0" applyBorder="0" applyAlignment="0" applyProtection="0"/>
    <xf numFmtId="0" fontId="46" fillId="0" borderId="6" applyNumberFormat="0" applyFill="0" applyAlignment="0" applyProtection="0"/>
    <xf numFmtId="0" fontId="47"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2" fillId="0" borderId="0"/>
    <xf numFmtId="43" fontId="2" fillId="0" borderId="0" applyFon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14" fillId="0" borderId="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cellStyleXfs>
  <cellXfs count="824">
    <xf numFmtId="0" fontId="0" fillId="0" borderId="0" xfId="0"/>
    <xf numFmtId="0" fontId="14" fillId="0" borderId="0" xfId="0" applyFont="1"/>
    <xf numFmtId="0" fontId="14" fillId="0" borderId="0" xfId="28" applyFont="1" applyFill="1" applyProtection="1">
      <protection hidden="1"/>
    </xf>
    <xf numFmtId="181" fontId="14" fillId="0" borderId="0" xfId="21" applyNumberFormat="1" applyFont="1" applyFill="1" applyBorder="1" applyAlignment="1" applyProtection="1">
      <alignment vertical="center"/>
      <protection hidden="1"/>
    </xf>
    <xf numFmtId="181" fontId="14" fillId="0" borderId="0" xfId="31" applyNumberFormat="1" applyFont="1" applyFill="1" applyBorder="1" applyAlignment="1" applyProtection="1">
      <alignment vertical="center"/>
      <protection locked="0"/>
    </xf>
    <xf numFmtId="0" fontId="14" fillId="0" borderId="0" xfId="28" applyFont="1" applyFill="1" applyBorder="1" applyAlignment="1" applyProtection="1">
      <alignment vertical="center"/>
      <protection hidden="1"/>
    </xf>
    <xf numFmtId="0" fontId="17" fillId="0" borderId="0" xfId="28" applyFont="1" applyFill="1" applyBorder="1" applyAlignment="1" applyProtection="1">
      <alignment vertical="center"/>
      <protection hidden="1"/>
    </xf>
    <xf numFmtId="178" fontId="17" fillId="0" borderId="0" xfId="28" applyNumberFormat="1" applyFont="1" applyFill="1" applyBorder="1" applyAlignment="1" applyProtection="1">
      <alignment vertical="center"/>
      <protection hidden="1"/>
    </xf>
    <xf numFmtId="178" fontId="19" fillId="0" borderId="0" xfId="28" applyNumberFormat="1" applyFont="1" applyFill="1" applyBorder="1" applyAlignment="1" applyProtection="1">
      <alignment vertical="center"/>
      <protection hidden="1"/>
    </xf>
    <xf numFmtId="178" fontId="14" fillId="0" borderId="0" xfId="28" applyNumberFormat="1" applyFont="1" applyFill="1" applyBorder="1" applyAlignment="1" applyProtection="1">
      <alignment vertical="center"/>
      <protection hidden="1"/>
    </xf>
    <xf numFmtId="0" fontId="14" fillId="0" borderId="0" xfId="0" applyFont="1" applyFill="1" applyBorder="1" applyAlignment="1">
      <alignment vertical="center"/>
    </xf>
    <xf numFmtId="0" fontId="14" fillId="0" borderId="0" xfId="28" applyFont="1" applyFill="1" applyBorder="1" applyProtection="1">
      <protection hidden="1"/>
    </xf>
    <xf numFmtId="0" fontId="21" fillId="0" borderId="0" xfId="28" applyFont="1" applyFill="1" applyBorder="1" applyAlignment="1" applyProtection="1">
      <alignment horizontal="right" vertical="center"/>
      <protection hidden="1"/>
    </xf>
    <xf numFmtId="0" fontId="21" fillId="0" borderId="0" xfId="28" applyFont="1" applyFill="1" applyBorder="1" applyAlignment="1" applyProtection="1">
      <alignment horizontal="center" vertical="center"/>
      <protection hidden="1"/>
    </xf>
    <xf numFmtId="178" fontId="17" fillId="0" borderId="0" xfId="28" applyNumberFormat="1" applyFont="1" applyFill="1" applyBorder="1" applyAlignment="1" applyProtection="1">
      <alignment vertical="center"/>
      <protection locked="0"/>
    </xf>
    <xf numFmtId="2" fontId="14" fillId="0" borderId="0" xfId="21" applyNumberFormat="1" applyFont="1" applyFill="1" applyBorder="1" applyProtection="1">
      <protection hidden="1"/>
    </xf>
    <xf numFmtId="0" fontId="18" fillId="0" borderId="0" xfId="28" applyFont="1" applyFill="1" applyBorder="1" applyAlignment="1" applyProtection="1">
      <alignment horizontal="left" vertical="center"/>
      <protection hidden="1"/>
    </xf>
    <xf numFmtId="2" fontId="14" fillId="0" borderId="0" xfId="0" applyNumberFormat="1" applyFont="1" applyFill="1" applyBorder="1" applyAlignment="1">
      <alignment vertical="center"/>
    </xf>
    <xf numFmtId="2" fontId="20" fillId="0" borderId="0" xfId="21" applyNumberFormat="1" applyFont="1" applyFill="1" applyBorder="1" applyProtection="1">
      <protection hidden="1"/>
    </xf>
    <xf numFmtId="0" fontId="20" fillId="0" borderId="0" xfId="0" applyFont="1" applyFill="1" applyBorder="1"/>
    <xf numFmtId="9" fontId="15" fillId="0" borderId="0" xfId="21" applyNumberFormat="1" applyFont="1" applyFill="1" applyBorder="1" applyAlignment="1" applyProtection="1">
      <alignment horizontal="center" vertical="center"/>
      <protection hidden="1"/>
    </xf>
    <xf numFmtId="181" fontId="15" fillId="0" borderId="0" xfId="21" applyNumberFormat="1" applyFont="1" applyFill="1" applyBorder="1" applyAlignment="1" applyProtection="1">
      <alignment vertical="center"/>
      <protection hidden="1"/>
    </xf>
    <xf numFmtId="0" fontId="24" fillId="0" borderId="0" xfId="28" applyFont="1" applyFill="1" applyBorder="1" applyAlignment="1" applyProtection="1">
      <alignment horizontal="left" vertical="center"/>
      <protection hidden="1"/>
    </xf>
    <xf numFmtId="2" fontId="17" fillId="0" borderId="0" xfId="28" applyNumberFormat="1" applyFont="1" applyFill="1" applyBorder="1" applyAlignment="1" applyProtection="1">
      <alignment horizontal="right" vertical="center"/>
      <protection hidden="1"/>
    </xf>
    <xf numFmtId="0" fontId="22" fillId="0" borderId="0" xfId="28" applyFont="1" applyFill="1" applyBorder="1" applyAlignment="1" applyProtection="1">
      <alignment vertical="center"/>
      <protection hidden="1"/>
    </xf>
    <xf numFmtId="10" fontId="17" fillId="0" borderId="0" xfId="31" applyNumberFormat="1" applyFont="1" applyFill="1" applyBorder="1" applyAlignment="1" applyProtection="1">
      <alignment vertical="center"/>
      <protection hidden="1"/>
    </xf>
    <xf numFmtId="0" fontId="28" fillId="0" borderId="0" xfId="22" applyFont="1" applyFill="1" applyBorder="1" applyAlignment="1"/>
    <xf numFmtId="0" fontId="29" fillId="0" borderId="0" xfId="22" applyFont="1" applyFill="1" applyAlignment="1"/>
    <xf numFmtId="49" fontId="29" fillId="0" borderId="0" xfId="18" applyNumberFormat="1" applyFont="1" applyFill="1" applyBorder="1" applyAlignment="1" applyProtection="1">
      <alignment horizontal="left" vertical="top"/>
      <protection hidden="1"/>
    </xf>
    <xf numFmtId="49" fontId="30" fillId="0" borderId="0" xfId="22" applyNumberFormat="1" applyFont="1" applyFill="1" applyBorder="1" applyAlignment="1"/>
    <xf numFmtId="2" fontId="31" fillId="0" borderId="0" xfId="22" applyNumberFormat="1" applyFont="1" applyFill="1" applyBorder="1" applyAlignment="1"/>
    <xf numFmtId="2" fontId="31" fillId="0" borderId="0" xfId="22" applyNumberFormat="1" applyFont="1" applyFill="1" applyAlignment="1"/>
    <xf numFmtId="2" fontId="30" fillId="0" borderId="0" xfId="22" applyNumberFormat="1" applyFont="1" applyFill="1" applyAlignment="1"/>
    <xf numFmtId="0" fontId="31" fillId="0" borderId="0" xfId="22" applyFont="1" applyFill="1" applyAlignment="1"/>
    <xf numFmtId="183" fontId="28" fillId="0" borderId="0" xfId="22" applyNumberFormat="1" applyFont="1" applyFill="1" applyBorder="1" applyAlignment="1">
      <alignment horizontal="left"/>
    </xf>
    <xf numFmtId="49" fontId="29" fillId="0" borderId="0" xfId="22" applyNumberFormat="1" applyFont="1" applyFill="1" applyBorder="1" applyAlignment="1"/>
    <xf numFmtId="0" fontId="29" fillId="0" borderId="0" xfId="22" applyFont="1" applyFill="1" applyAlignment="1">
      <alignment horizontal="center"/>
    </xf>
    <xf numFmtId="175" fontId="29" fillId="0" borderId="0" xfId="18" applyNumberFormat="1" applyFont="1" applyFill="1" applyBorder="1" applyAlignment="1" applyProtection="1">
      <alignment horizontal="left" vertical="top"/>
      <protection hidden="1"/>
    </xf>
    <xf numFmtId="49" fontId="29" fillId="0" borderId="0" xfId="18" applyNumberFormat="1" applyFont="1" applyFill="1" applyBorder="1" applyAlignment="1" applyProtection="1">
      <alignment horizontal="left"/>
      <protection hidden="1"/>
    </xf>
    <xf numFmtId="165" fontId="29" fillId="0" borderId="0" xfId="4" applyFont="1" applyFill="1" applyAlignment="1"/>
    <xf numFmtId="1" fontId="29" fillId="0" borderId="0" xfId="4" applyNumberFormat="1" applyFont="1" applyFill="1" applyAlignment="1">
      <alignment horizontal="center"/>
    </xf>
    <xf numFmtId="182" fontId="29" fillId="0" borderId="0" xfId="8" applyNumberFormat="1" applyFont="1" applyFill="1" applyAlignment="1"/>
    <xf numFmtId="182" fontId="29" fillId="0" borderId="0" xfId="8" applyNumberFormat="1" applyFont="1" applyFill="1" applyAlignment="1">
      <alignment horizontal="right"/>
    </xf>
    <xf numFmtId="165" fontId="29" fillId="0" borderId="0" xfId="22" applyNumberFormat="1" applyFont="1" applyFill="1" applyAlignment="1"/>
    <xf numFmtId="165" fontId="29" fillId="0" borderId="7" xfId="4" applyFont="1" applyFill="1" applyBorder="1" applyAlignment="1"/>
    <xf numFmtId="182" fontId="29" fillId="0" borderId="7" xfId="8" applyNumberFormat="1" applyFont="1" applyFill="1" applyBorder="1" applyAlignment="1">
      <alignment horizontal="right"/>
    </xf>
    <xf numFmtId="49" fontId="28" fillId="0" borderId="0" xfId="18" applyNumberFormat="1" applyFont="1" applyFill="1" applyBorder="1" applyAlignment="1" applyProtection="1">
      <alignment horizontal="left"/>
      <protection hidden="1"/>
    </xf>
    <xf numFmtId="177" fontId="28" fillId="0" borderId="0" xfId="18" applyNumberFormat="1" applyFont="1" applyFill="1" applyBorder="1" applyAlignment="1" applyProtection="1">
      <alignment horizontal="center"/>
      <protection hidden="1"/>
    </xf>
    <xf numFmtId="165" fontId="28" fillId="0" borderId="0" xfId="4" applyFont="1" applyFill="1" applyBorder="1" applyAlignment="1" applyProtection="1">
      <alignment horizontal="left"/>
      <protection hidden="1"/>
    </xf>
    <xf numFmtId="0" fontId="28" fillId="0" borderId="0" xfId="18" applyNumberFormat="1" applyFont="1" applyFill="1" applyBorder="1" applyAlignment="1" applyProtection="1">
      <alignment horizontal="left"/>
      <protection hidden="1"/>
    </xf>
    <xf numFmtId="182" fontId="28" fillId="0" borderId="0" xfId="18" applyNumberFormat="1" applyFont="1" applyFill="1" applyBorder="1" applyAlignment="1" applyProtection="1">
      <alignment horizontal="left"/>
      <protection hidden="1"/>
    </xf>
    <xf numFmtId="0" fontId="29" fillId="0" borderId="0" xfId="18" applyFont="1" applyFill="1" applyBorder="1" applyAlignment="1" applyProtection="1">
      <alignment horizontal="left"/>
      <protection hidden="1"/>
    </xf>
    <xf numFmtId="177" fontId="28" fillId="0" borderId="0" xfId="31" applyNumberFormat="1" applyFont="1" applyFill="1" applyBorder="1" applyAlignment="1" applyProtection="1">
      <alignment horizontal="center"/>
      <protection hidden="1"/>
    </xf>
    <xf numFmtId="183" fontId="29" fillId="0" borderId="0" xfId="22" applyNumberFormat="1" applyFont="1" applyFill="1" applyAlignment="1"/>
    <xf numFmtId="165" fontId="29" fillId="0" borderId="0" xfId="4" applyFont="1" applyFill="1" applyAlignment="1">
      <alignment horizontal="center"/>
    </xf>
    <xf numFmtId="0" fontId="29" fillId="0" borderId="0" xfId="18" applyNumberFormat="1" applyFont="1" applyFill="1" applyBorder="1" applyAlignment="1" applyProtection="1">
      <alignment horizontal="center"/>
      <protection hidden="1"/>
    </xf>
    <xf numFmtId="49" fontId="28" fillId="0" borderId="0" xfId="22" applyNumberFormat="1" applyFont="1" applyFill="1" applyBorder="1" applyAlignment="1"/>
    <xf numFmtId="0" fontId="29" fillId="0" borderId="0" xfId="22" applyFont="1" applyFill="1" applyAlignment="1">
      <alignment horizontal="right"/>
    </xf>
    <xf numFmtId="183" fontId="28" fillId="0" borderId="0" xfId="18" applyNumberFormat="1" applyFont="1" applyFill="1" applyBorder="1" applyAlignment="1" applyProtection="1">
      <alignment horizontal="left"/>
      <protection hidden="1"/>
    </xf>
    <xf numFmtId="10" fontId="29" fillId="0" borderId="0" xfId="22" applyNumberFormat="1" applyFont="1" applyFill="1" applyAlignment="1">
      <alignment horizontal="right"/>
    </xf>
    <xf numFmtId="0" fontId="29" fillId="0" borderId="0" xfId="0" applyFont="1"/>
    <xf numFmtId="0" fontId="29" fillId="0" borderId="0" xfId="0" applyFont="1" applyAlignment="1">
      <alignment vertical="center"/>
    </xf>
    <xf numFmtId="0" fontId="29" fillId="0" borderId="0" xfId="22" applyFont="1" applyFill="1" applyAlignment="1">
      <alignment vertical="center"/>
    </xf>
    <xf numFmtId="1" fontId="29" fillId="0" borderId="0" xfId="34" applyNumberFormat="1" applyFont="1" applyAlignment="1">
      <alignment horizontal="center"/>
    </xf>
    <xf numFmtId="43" fontId="29" fillId="0" borderId="0" xfId="2" applyFont="1" applyAlignment="1">
      <alignment horizontal="left"/>
    </xf>
    <xf numFmtId="174" fontId="29" fillId="0" borderId="0" xfId="34" applyNumberFormat="1" applyFont="1" applyAlignment="1">
      <alignment horizontal="center"/>
    </xf>
    <xf numFmtId="3" fontId="29" fillId="0" borderId="0" xfId="34" applyNumberFormat="1" applyFont="1" applyAlignment="1">
      <alignment horizontal="right"/>
    </xf>
    <xf numFmtId="3" fontId="29" fillId="0" borderId="0" xfId="2" applyNumberFormat="1" applyFont="1" applyAlignment="1">
      <alignment horizontal="right"/>
    </xf>
    <xf numFmtId="43" fontId="29" fillId="0" borderId="0" xfId="2" applyFont="1" applyAlignment="1">
      <alignment horizontal="right"/>
    </xf>
    <xf numFmtId="43" fontId="29" fillId="0" borderId="0" xfId="2" applyFont="1" applyAlignment="1">
      <alignment horizontal="center"/>
    </xf>
    <xf numFmtId="0" fontId="29" fillId="0" borderId="0" xfId="34" applyFont="1" applyAlignment="1">
      <alignment horizontal="center"/>
    </xf>
    <xf numFmtId="0" fontId="29" fillId="0" borderId="0" xfId="34" applyFont="1"/>
    <xf numFmtId="2" fontId="30" fillId="0" borderId="0" xfId="22" applyNumberFormat="1" applyFont="1" applyFill="1" applyBorder="1" applyAlignment="1"/>
    <xf numFmtId="174" fontId="31" fillId="0" borderId="0" xfId="22" applyNumberFormat="1" applyFont="1" applyFill="1" applyAlignment="1"/>
    <xf numFmtId="3" fontId="31" fillId="0" borderId="0" xfId="22" applyNumberFormat="1" applyFont="1" applyFill="1" applyAlignment="1">
      <alignment horizontal="right"/>
    </xf>
    <xf numFmtId="0" fontId="31" fillId="0" borderId="0" xfId="22" applyFont="1" applyFill="1" applyAlignment="1">
      <alignment horizontal="right"/>
    </xf>
    <xf numFmtId="2" fontId="31" fillId="0" borderId="0" xfId="22" applyNumberFormat="1" applyFont="1" applyFill="1" applyBorder="1" applyAlignment="1">
      <alignment horizontal="left" vertical="top"/>
    </xf>
    <xf numFmtId="0" fontId="33" fillId="0" borderId="0" xfId="0" applyFont="1" applyAlignment="1">
      <alignment vertical="top"/>
    </xf>
    <xf numFmtId="0" fontId="29" fillId="0" borderId="0" xfId="34" applyFont="1" applyFill="1" applyAlignment="1">
      <alignment horizontal="center"/>
    </xf>
    <xf numFmtId="2" fontId="29" fillId="0" borderId="0" xfId="34" applyNumberFormat="1" applyFont="1" applyAlignment="1">
      <alignment horizontal="center"/>
    </xf>
    <xf numFmtId="2" fontId="29" fillId="0" borderId="0" xfId="2" applyNumberFormat="1" applyFont="1" applyAlignment="1">
      <alignment horizontal="left"/>
    </xf>
    <xf numFmtId="3" fontId="29" fillId="0" borderId="0" xfId="2" applyNumberFormat="1" applyFont="1" applyFill="1" applyAlignment="1">
      <alignment horizontal="right"/>
    </xf>
    <xf numFmtId="43" fontId="29" fillId="0" borderId="0" xfId="2" applyFont="1" applyFill="1" applyAlignment="1">
      <alignment horizontal="right"/>
    </xf>
    <xf numFmtId="1" fontId="29" fillId="0" borderId="0" xfId="34" applyNumberFormat="1" applyFont="1" applyFill="1" applyAlignment="1">
      <alignment horizontal="center"/>
    </xf>
    <xf numFmtId="43" fontId="29" fillId="0" borderId="0" xfId="2" applyFont="1" applyFill="1" applyAlignment="1">
      <alignment horizontal="left"/>
    </xf>
    <xf numFmtId="43" fontId="29" fillId="0" borderId="0" xfId="2" applyFont="1" applyFill="1" applyAlignment="1">
      <alignment horizontal="center"/>
    </xf>
    <xf numFmtId="174" fontId="29" fillId="0" borderId="0" xfId="34" applyNumberFormat="1" applyFont="1" applyFill="1" applyAlignment="1">
      <alignment horizontal="center"/>
    </xf>
    <xf numFmtId="3" fontId="29" fillId="0" borderId="0" xfId="34" applyNumberFormat="1" applyFont="1" applyFill="1" applyAlignment="1">
      <alignment horizontal="right"/>
    </xf>
    <xf numFmtId="0" fontId="29" fillId="0" borderId="0" xfId="34" applyFont="1" applyFill="1"/>
    <xf numFmtId="0" fontId="29" fillId="0" borderId="0" xfId="0" applyFont="1" applyFill="1"/>
    <xf numFmtId="0" fontId="28" fillId="0" borderId="0" xfId="0" applyFont="1" applyFill="1" applyAlignment="1"/>
    <xf numFmtId="0" fontId="29" fillId="0" borderId="0" xfId="0" applyFont="1" applyFill="1" applyAlignment="1"/>
    <xf numFmtId="0" fontId="29" fillId="8" borderId="0" xfId="0" applyFont="1" applyFill="1" applyAlignment="1">
      <alignment horizontal="center"/>
    </xf>
    <xf numFmtId="0" fontId="28" fillId="0" borderId="0" xfId="0" applyFont="1"/>
    <xf numFmtId="0" fontId="29" fillId="0" borderId="0" xfId="0" applyFont="1" applyAlignment="1">
      <alignment horizontal="center"/>
    </xf>
    <xf numFmtId="0" fontId="29" fillId="0" borderId="0" xfId="0" applyNumberFormat="1" applyFont="1" applyAlignment="1">
      <alignment horizontal="center"/>
    </xf>
    <xf numFmtId="0" fontId="29" fillId="0" borderId="0" xfId="0" applyNumberFormat="1" applyFont="1" applyAlignment="1"/>
    <xf numFmtId="179" fontId="29" fillId="0" borderId="0" xfId="0" applyNumberFormat="1" applyFont="1" applyAlignment="1">
      <alignment horizontal="right"/>
    </xf>
    <xf numFmtId="176" fontId="29" fillId="0" borderId="0" xfId="0" applyNumberFormat="1" applyFont="1" applyFill="1" applyAlignment="1">
      <alignment horizontal="center"/>
    </xf>
    <xf numFmtId="43" fontId="29" fillId="0" borderId="0" xfId="2" applyFont="1"/>
    <xf numFmtId="1" fontId="29" fillId="0" borderId="0" xfId="0" applyNumberFormat="1" applyFont="1" applyFill="1"/>
    <xf numFmtId="0" fontId="34" fillId="0" borderId="0" xfId="0" applyFont="1"/>
    <xf numFmtId="2" fontId="28" fillId="0" borderId="0" xfId="0" applyNumberFormat="1" applyFont="1"/>
    <xf numFmtId="2" fontId="28" fillId="0" borderId="0" xfId="0" applyNumberFormat="1" applyFont="1" applyAlignment="1">
      <alignment horizontal="center"/>
    </xf>
    <xf numFmtId="0" fontId="28" fillId="0" borderId="0" xfId="0" applyNumberFormat="1" applyFont="1" applyAlignment="1">
      <alignment horizontal="center"/>
    </xf>
    <xf numFmtId="0" fontId="28" fillId="0" borderId="0" xfId="0" applyNumberFormat="1" applyFont="1" applyAlignment="1"/>
    <xf numFmtId="179" fontId="28" fillId="0" borderId="0" xfId="0" applyNumberFormat="1" applyFont="1" applyAlignment="1">
      <alignment horizontal="right"/>
    </xf>
    <xf numFmtId="176" fontId="28" fillId="0" borderId="0" xfId="0" applyNumberFormat="1" applyFont="1" applyFill="1" applyAlignment="1">
      <alignment horizontal="center"/>
    </xf>
    <xf numFmtId="43" fontId="28" fillId="0" borderId="0" xfId="2" applyFont="1"/>
    <xf numFmtId="2" fontId="28" fillId="0" borderId="0" xfId="0" applyNumberFormat="1" applyFont="1" applyFill="1"/>
    <xf numFmtId="0" fontId="35" fillId="0" borderId="0" xfId="0" applyFont="1"/>
    <xf numFmtId="2" fontId="30" fillId="0" borderId="0" xfId="0" applyNumberFormat="1" applyFont="1" applyAlignment="1">
      <alignment horizontal="center"/>
    </xf>
    <xf numFmtId="2" fontId="30" fillId="0" borderId="0" xfId="0" applyNumberFormat="1" applyFont="1"/>
    <xf numFmtId="2" fontId="30" fillId="0" borderId="0" xfId="22" applyNumberFormat="1" applyFont="1" applyFill="1" applyBorder="1" applyAlignment="1">
      <alignment horizontal="center"/>
    </xf>
    <xf numFmtId="0" fontId="31" fillId="0" borderId="0" xfId="22" applyNumberFormat="1" applyFont="1" applyFill="1" applyBorder="1" applyAlignment="1"/>
    <xf numFmtId="0" fontId="29" fillId="0" borderId="0" xfId="0" applyFont="1" applyAlignment="1">
      <alignment vertical="top"/>
    </xf>
    <xf numFmtId="0" fontId="29" fillId="0" borderId="0" xfId="0" applyFont="1" applyAlignment="1">
      <alignment horizontal="right" vertical="top"/>
    </xf>
    <xf numFmtId="176" fontId="29" fillId="0" borderId="0" xfId="0" applyNumberFormat="1" applyFont="1" applyAlignment="1">
      <alignment horizontal="center"/>
    </xf>
    <xf numFmtId="0" fontId="29" fillId="0" borderId="0" xfId="0" applyFont="1" applyAlignment="1">
      <alignment horizontal="right"/>
    </xf>
    <xf numFmtId="2" fontId="30" fillId="0" borderId="0" xfId="0" applyNumberFormat="1" applyFont="1" applyAlignment="1">
      <alignment horizontal="left"/>
    </xf>
    <xf numFmtId="2" fontId="31" fillId="0" borderId="0" xfId="0" applyNumberFormat="1" applyFont="1" applyAlignment="1">
      <alignment horizontal="left"/>
    </xf>
    <xf numFmtId="2" fontId="29" fillId="0" borderId="0" xfId="18" applyNumberFormat="1" applyFont="1" applyFill="1" applyAlignment="1" applyProtection="1">
      <alignment horizontal="center"/>
      <protection hidden="1"/>
    </xf>
    <xf numFmtId="2" fontId="29" fillId="0" borderId="0" xfId="18" applyNumberFormat="1" applyFont="1" applyFill="1" applyProtection="1">
      <protection hidden="1"/>
    </xf>
    <xf numFmtId="0" fontId="29" fillId="0" borderId="0" xfId="18" applyFont="1" applyFill="1" applyProtection="1">
      <protection hidden="1"/>
    </xf>
    <xf numFmtId="0" fontId="29" fillId="0" borderId="0" xfId="18" applyNumberFormat="1" applyFont="1" applyFill="1" applyBorder="1" applyAlignment="1" applyProtection="1">
      <alignment horizontal="left"/>
      <protection hidden="1"/>
    </xf>
    <xf numFmtId="4" fontId="29" fillId="0" borderId="0" xfId="18" applyNumberFormat="1" applyFont="1" applyFill="1" applyBorder="1" applyAlignment="1" applyProtection="1">
      <alignment horizontal="center"/>
      <protection hidden="1"/>
    </xf>
    <xf numFmtId="0" fontId="29" fillId="0" borderId="0" xfId="18" applyFont="1" applyFill="1" applyBorder="1" applyAlignment="1" applyProtection="1">
      <alignment horizontal="center"/>
      <protection hidden="1"/>
    </xf>
    <xf numFmtId="183" fontId="29" fillId="0" borderId="0" xfId="18" applyNumberFormat="1" applyFont="1" applyFill="1" applyBorder="1" applyAlignment="1" applyProtection="1">
      <alignment horizontal="center"/>
      <protection hidden="1"/>
    </xf>
    <xf numFmtId="2" fontId="30" fillId="0" borderId="0" xfId="20" applyNumberFormat="1" applyFont="1" applyFill="1" applyBorder="1" applyAlignment="1">
      <alignment vertical="center"/>
    </xf>
    <xf numFmtId="2" fontId="31" fillId="0" borderId="0" xfId="20" applyNumberFormat="1" applyFont="1" applyFill="1" applyBorder="1" applyAlignment="1">
      <alignment vertical="center"/>
    </xf>
    <xf numFmtId="0" fontId="30" fillId="0" borderId="0" xfId="18" applyNumberFormat="1" applyFont="1" applyFill="1" applyBorder="1" applyAlignment="1" applyProtection="1">
      <alignment horizontal="left" vertical="center"/>
      <protection hidden="1"/>
    </xf>
    <xf numFmtId="0" fontId="29" fillId="0" borderId="0" xfId="0" applyFont="1" applyFill="1" applyAlignment="1">
      <alignment vertical="center"/>
    </xf>
    <xf numFmtId="0" fontId="29" fillId="0" borderId="0" xfId="0" applyFont="1" applyFill="1" applyAlignment="1">
      <alignment horizontal="center" vertical="center"/>
    </xf>
    <xf numFmtId="2" fontId="30" fillId="0" borderId="0" xfId="20" applyNumberFormat="1" applyFont="1" applyFill="1" applyBorder="1" applyAlignment="1">
      <alignment horizontal="center" vertical="center"/>
    </xf>
    <xf numFmtId="0" fontId="29" fillId="0" borderId="0" xfId="0" applyFont="1" applyFill="1" applyAlignment="1">
      <alignment horizontal="left" vertical="center" wrapText="1"/>
    </xf>
    <xf numFmtId="0" fontId="29" fillId="0" borderId="0" xfId="0" applyFont="1" applyFill="1" applyAlignment="1">
      <alignment vertical="center" wrapText="1"/>
    </xf>
    <xf numFmtId="0" fontId="29" fillId="0" borderId="0" xfId="0" applyFont="1" applyFill="1" applyAlignment="1">
      <alignment horizontal="left" vertical="center"/>
    </xf>
    <xf numFmtId="0" fontId="32" fillId="0" borderId="0" xfId="20" applyFont="1" applyAlignment="1">
      <alignment vertical="center"/>
    </xf>
    <xf numFmtId="0" fontId="32" fillId="0" borderId="0" xfId="20" applyFont="1" applyAlignment="1">
      <alignment horizontal="center" vertical="center"/>
    </xf>
    <xf numFmtId="0" fontId="29" fillId="0" borderId="0" xfId="0" applyFont="1" applyAlignment="1">
      <alignment horizontal="center" vertical="center"/>
    </xf>
    <xf numFmtId="2" fontId="30" fillId="0" borderId="0" xfId="22" applyNumberFormat="1" applyFont="1" applyFill="1" applyBorder="1" applyAlignment="1">
      <alignment vertical="center"/>
    </xf>
    <xf numFmtId="2" fontId="31" fillId="0" borderId="0" xfId="22" applyNumberFormat="1" applyFont="1" applyFill="1" applyBorder="1" applyAlignment="1">
      <alignment vertical="center"/>
    </xf>
    <xf numFmtId="2" fontId="32" fillId="0" borderId="0" xfId="20" applyNumberFormat="1" applyFont="1" applyFill="1" applyAlignment="1">
      <alignment vertical="center"/>
    </xf>
    <xf numFmtId="2" fontId="31" fillId="0" borderId="0" xfId="22" applyNumberFormat="1" applyFont="1" applyFill="1" applyBorder="1" applyAlignment="1">
      <alignment horizontal="left" vertical="center"/>
    </xf>
    <xf numFmtId="0" fontId="29" fillId="0" borderId="0" xfId="29" applyFont="1" applyFill="1" applyBorder="1" applyAlignment="1">
      <alignment vertical="center"/>
    </xf>
    <xf numFmtId="2" fontId="29" fillId="0" borderId="0" xfId="29" applyNumberFormat="1" applyFont="1" applyFill="1" applyBorder="1" applyAlignment="1">
      <alignment vertical="center"/>
    </xf>
    <xf numFmtId="2" fontId="29" fillId="0" borderId="0" xfId="29" applyNumberFormat="1" applyFont="1" applyFill="1" applyBorder="1" applyAlignment="1">
      <alignment horizontal="center" vertical="center"/>
    </xf>
    <xf numFmtId="0" fontId="32" fillId="0" borderId="0" xfId="20" applyFont="1" applyBorder="1" applyAlignment="1">
      <alignment vertical="center"/>
    </xf>
    <xf numFmtId="0" fontId="29" fillId="0" borderId="0" xfId="20" applyFont="1" applyFill="1" applyAlignment="1">
      <alignment horizontal="center" vertical="center"/>
    </xf>
    <xf numFmtId="0" fontId="28" fillId="0" borderId="0" xfId="0" applyFont="1" applyFill="1" applyAlignment="1">
      <alignment vertical="center"/>
    </xf>
    <xf numFmtId="0" fontId="32" fillId="0" borderId="0" xfId="20" applyFont="1" applyFill="1" applyBorder="1" applyAlignment="1">
      <alignment vertical="center"/>
    </xf>
    <xf numFmtId="0" fontId="29" fillId="0" borderId="0" xfId="20" applyFont="1" applyFill="1" applyBorder="1" applyAlignment="1">
      <alignment horizontal="center" vertical="center"/>
    </xf>
    <xf numFmtId="0" fontId="29" fillId="0" borderId="0" xfId="20" applyFont="1" applyFill="1" applyBorder="1" applyAlignment="1">
      <alignment vertical="center"/>
    </xf>
    <xf numFmtId="0" fontId="29" fillId="0" borderId="0" xfId="4" applyNumberFormat="1" applyFont="1" applyFill="1" applyAlignment="1"/>
    <xf numFmtId="177" fontId="29" fillId="0" borderId="0" xfId="31" applyNumberFormat="1" applyFont="1" applyFill="1" applyBorder="1" applyAlignment="1" applyProtection="1">
      <alignment horizontal="center"/>
      <protection hidden="1"/>
    </xf>
    <xf numFmtId="181" fontId="37" fillId="0" borderId="0" xfId="31" applyNumberFormat="1" applyFont="1" applyFill="1" applyBorder="1" applyAlignment="1" applyProtection="1">
      <alignment vertical="center"/>
      <protection locked="0"/>
    </xf>
    <xf numFmtId="0" fontId="23" fillId="0" borderId="0" xfId="0" applyFont="1" applyFill="1" applyBorder="1"/>
    <xf numFmtId="172" fontId="25" fillId="9" borderId="1" xfId="0" applyNumberFormat="1" applyFont="1" applyFill="1" applyBorder="1" applyAlignment="1" applyProtection="1">
      <alignment horizontal="center"/>
    </xf>
    <xf numFmtId="0" fontId="23" fillId="0" borderId="0" xfId="0" applyFont="1"/>
    <xf numFmtId="0" fontId="37" fillId="0" borderId="0" xfId="0" applyFont="1"/>
    <xf numFmtId="0" fontId="30" fillId="0" borderId="0" xfId="0" applyFont="1"/>
    <xf numFmtId="0" fontId="29" fillId="0" borderId="0" xfId="28" applyFont="1" applyFill="1" applyProtection="1">
      <protection hidden="1"/>
    </xf>
    <xf numFmtId="0" fontId="29" fillId="0" borderId="0" xfId="28" applyFont="1" applyFill="1" applyBorder="1" applyProtection="1">
      <protection hidden="1"/>
    </xf>
    <xf numFmtId="0" fontId="33" fillId="0" borderId="0" xfId="23" applyFont="1"/>
    <xf numFmtId="0" fontId="28" fillId="0" borderId="0" xfId="23" applyFont="1" applyAlignment="1">
      <alignment horizontal="center"/>
    </xf>
    <xf numFmtId="0" fontId="29" fillId="0" borderId="0" xfId="23" applyFont="1" applyFill="1" applyAlignment="1">
      <alignment vertical="center"/>
    </xf>
    <xf numFmtId="0" fontId="29" fillId="0" borderId="0" xfId="28" applyFont="1" applyFill="1" applyAlignment="1" applyProtection="1">
      <alignment vertical="center"/>
      <protection hidden="1"/>
    </xf>
    <xf numFmtId="0" fontId="29" fillId="0" borderId="0" xfId="28" applyFont="1" applyFill="1" applyBorder="1" applyAlignment="1" applyProtection="1">
      <alignment vertical="center"/>
      <protection hidden="1"/>
    </xf>
    <xf numFmtId="2" fontId="29" fillId="0" borderId="0" xfId="23" applyNumberFormat="1" applyFont="1" applyFill="1" applyAlignment="1">
      <alignment vertical="center"/>
    </xf>
    <xf numFmtId="2" fontId="29" fillId="0" borderId="0" xfId="28" applyNumberFormat="1" applyFont="1" applyFill="1" applyAlignment="1" applyProtection="1">
      <alignment vertical="center"/>
      <protection hidden="1"/>
    </xf>
    <xf numFmtId="0" fontId="28" fillId="0" borderId="0" xfId="28" applyFont="1" applyFill="1" applyBorder="1" applyAlignment="1" applyProtection="1">
      <alignment horizontal="center" vertical="center"/>
      <protection hidden="1"/>
    </xf>
    <xf numFmtId="0" fontId="28" fillId="0" borderId="0" xfId="28" applyFont="1" applyFill="1" applyBorder="1" applyAlignment="1" applyProtection="1">
      <alignment horizontal="right" vertical="center"/>
      <protection hidden="1"/>
    </xf>
    <xf numFmtId="2" fontId="28" fillId="0" borderId="0" xfId="23" applyNumberFormat="1" applyFont="1" applyAlignment="1">
      <alignment horizontal="center"/>
    </xf>
    <xf numFmtId="2" fontId="29" fillId="0" borderId="0" xfId="28" applyNumberFormat="1" applyFont="1" applyFill="1" applyBorder="1" applyAlignment="1" applyProtection="1">
      <alignment vertical="center"/>
      <protection hidden="1"/>
    </xf>
    <xf numFmtId="0" fontId="33" fillId="0" borderId="0" xfId="23" applyFont="1" applyFill="1" applyBorder="1"/>
    <xf numFmtId="2" fontId="30" fillId="0" borderId="0" xfId="28" applyNumberFormat="1" applyFont="1" applyFill="1" applyBorder="1" applyAlignment="1" applyProtection="1">
      <alignment vertical="center"/>
      <protection locked="0"/>
    </xf>
    <xf numFmtId="2" fontId="29" fillId="0" borderId="8" xfId="21" applyNumberFormat="1" applyFont="1" applyFill="1" applyBorder="1" applyProtection="1">
      <protection hidden="1"/>
    </xf>
    <xf numFmtId="2" fontId="29" fillId="0" borderId="0" xfId="21" applyNumberFormat="1" applyFont="1" applyFill="1" applyBorder="1" applyProtection="1">
      <protection hidden="1"/>
    </xf>
    <xf numFmtId="0" fontId="33" fillId="0" borderId="0" xfId="23" applyFont="1" applyFill="1"/>
    <xf numFmtId="0" fontId="28" fillId="0" borderId="0" xfId="28" applyFont="1" applyFill="1" applyBorder="1" applyAlignment="1" applyProtection="1">
      <alignment vertical="center"/>
      <protection hidden="1"/>
    </xf>
    <xf numFmtId="0" fontId="33" fillId="0" borderId="0" xfId="23" applyFont="1" applyBorder="1"/>
    <xf numFmtId="181" fontId="28" fillId="0" borderId="0" xfId="23" applyNumberFormat="1" applyFont="1" applyFill="1" applyBorder="1" applyAlignment="1"/>
    <xf numFmtId="0" fontId="28" fillId="0" borderId="8" xfId="28" applyFont="1" applyFill="1" applyBorder="1" applyAlignment="1" applyProtection="1">
      <alignment horizontal="left" vertical="center"/>
      <protection hidden="1"/>
    </xf>
    <xf numFmtId="0" fontId="28" fillId="0" borderId="0" xfId="28" applyFont="1" applyFill="1" applyBorder="1" applyAlignment="1" applyProtection="1">
      <alignment horizontal="left" vertical="center"/>
      <protection hidden="1"/>
    </xf>
    <xf numFmtId="2" fontId="28" fillId="0" borderId="0" xfId="21" applyNumberFormat="1" applyFont="1" applyFill="1" applyBorder="1" applyAlignment="1" applyProtection="1">
      <alignment horizontal="center"/>
      <protection hidden="1"/>
    </xf>
    <xf numFmtId="183" fontId="29" fillId="0" borderId="0" xfId="28" applyNumberFormat="1" applyFont="1" applyFill="1" applyBorder="1" applyAlignment="1" applyProtection="1">
      <alignment horizontal="left" vertical="center"/>
      <protection hidden="1"/>
    </xf>
    <xf numFmtId="10" fontId="29" fillId="0" borderId="0" xfId="31" applyNumberFormat="1" applyFont="1" applyFill="1" applyBorder="1" applyAlignment="1" applyProtection="1">
      <alignment horizontal="right" vertical="center"/>
      <protection hidden="1"/>
    </xf>
    <xf numFmtId="10" fontId="28" fillId="0" borderId="0" xfId="31" applyNumberFormat="1" applyFont="1" applyFill="1" applyBorder="1" applyAlignment="1"/>
    <xf numFmtId="183" fontId="29" fillId="0" borderId="0" xfId="28" applyNumberFormat="1" applyFont="1" applyFill="1" applyBorder="1" applyAlignment="1" applyProtection="1">
      <alignment vertical="center"/>
      <protection hidden="1"/>
    </xf>
    <xf numFmtId="178" fontId="29" fillId="0" borderId="0" xfId="28" applyNumberFormat="1" applyFont="1" applyFill="1" applyBorder="1" applyAlignment="1" applyProtection="1">
      <alignment vertical="center"/>
      <protection hidden="1"/>
    </xf>
    <xf numFmtId="178" fontId="29" fillId="0" borderId="0" xfId="28" applyNumberFormat="1" applyFont="1" applyFill="1" applyBorder="1" applyAlignment="1" applyProtection="1">
      <alignment vertical="center"/>
      <protection locked="0"/>
    </xf>
    <xf numFmtId="181" fontId="29" fillId="0" borderId="0" xfId="28" applyNumberFormat="1" applyFont="1" applyFill="1" applyBorder="1" applyAlignment="1" applyProtection="1">
      <alignment vertical="center"/>
      <protection hidden="1"/>
    </xf>
    <xf numFmtId="181" fontId="29" fillId="0" borderId="0" xfId="28" applyNumberFormat="1" applyFont="1" applyFill="1" applyBorder="1" applyAlignment="1" applyProtection="1">
      <alignment horizontal="right" vertical="center"/>
      <protection hidden="1"/>
    </xf>
    <xf numFmtId="0" fontId="29" fillId="0" borderId="0" xfId="28" applyFont="1" applyFill="1" applyBorder="1" applyAlignment="1" applyProtection="1">
      <alignment horizontal="right" vertical="center"/>
      <protection hidden="1"/>
    </xf>
    <xf numFmtId="0" fontId="28" fillId="0" borderId="0" xfId="28" applyFont="1" applyFill="1" applyBorder="1" applyAlignment="1" applyProtection="1">
      <protection hidden="1"/>
    </xf>
    <xf numFmtId="0" fontId="29" fillId="0" borderId="0" xfId="28" applyFont="1" applyFill="1" applyAlignment="1" applyProtection="1">
      <protection hidden="1"/>
    </xf>
    <xf numFmtId="0" fontId="29" fillId="0" borderId="0" xfId="23" applyFont="1" applyAlignment="1"/>
    <xf numFmtId="0" fontId="29" fillId="0" borderId="0" xfId="23" applyFont="1" applyFill="1" applyAlignment="1"/>
    <xf numFmtId="177" fontId="29" fillId="0" borderId="7" xfId="31" applyNumberFormat="1" applyFont="1" applyFill="1" applyBorder="1" applyAlignment="1" applyProtection="1">
      <alignment horizontal="center"/>
      <protection hidden="1"/>
    </xf>
    <xf numFmtId="183" fontId="28" fillId="0" borderId="0" xfId="4" applyNumberFormat="1" applyFont="1" applyFill="1" applyBorder="1" applyAlignment="1" applyProtection="1">
      <alignment horizontal="left"/>
      <protection hidden="1"/>
    </xf>
    <xf numFmtId="165" fontId="28" fillId="0" borderId="0" xfId="18" applyNumberFormat="1" applyFont="1" applyFill="1" applyBorder="1" applyAlignment="1" applyProtection="1">
      <alignment horizontal="left"/>
      <protection hidden="1"/>
    </xf>
    <xf numFmtId="181" fontId="28" fillId="8" borderId="1" xfId="21" applyNumberFormat="1" applyFont="1" applyFill="1" applyBorder="1" applyAlignment="1" applyProtection="1">
      <alignment horizontal="center" vertical="center"/>
      <protection hidden="1"/>
    </xf>
    <xf numFmtId="2" fontId="48" fillId="0" borderId="0" xfId="0" applyNumberFormat="1" applyFont="1"/>
    <xf numFmtId="165" fontId="29" fillId="0" borderId="0" xfId="4" applyFont="1" applyFill="1" applyBorder="1" applyAlignment="1"/>
    <xf numFmtId="165" fontId="14" fillId="0" borderId="0" xfId="0" applyNumberFormat="1" applyFont="1"/>
    <xf numFmtId="4" fontId="14" fillId="0" borderId="0" xfId="0" applyNumberFormat="1" applyFont="1"/>
    <xf numFmtId="182" fontId="29" fillId="0" borderId="0" xfId="22" applyNumberFormat="1" applyFont="1" applyFill="1" applyAlignment="1"/>
    <xf numFmtId="49" fontId="14" fillId="0" borderId="0" xfId="0" applyNumberFormat="1" applyFont="1"/>
    <xf numFmtId="183" fontId="14" fillId="0" borderId="0" xfId="0" applyNumberFormat="1" applyFont="1"/>
    <xf numFmtId="0" fontId="15" fillId="0" borderId="0" xfId="0" applyFont="1"/>
    <xf numFmtId="4" fontId="15" fillId="0" borderId="0" xfId="0" applyNumberFormat="1" applyFont="1"/>
    <xf numFmtId="2" fontId="15" fillId="0" borderId="0" xfId="0" applyNumberFormat="1" applyFont="1"/>
    <xf numFmtId="2" fontId="23" fillId="0" borderId="0" xfId="22" applyNumberFormat="1" applyFont="1" applyFill="1" applyBorder="1" applyAlignment="1"/>
    <xf numFmtId="2" fontId="31" fillId="0" borderId="0" xfId="22" applyNumberFormat="1" applyFont="1" applyFill="1" applyBorder="1" applyAlignment="1">
      <alignment horizontal="left"/>
    </xf>
    <xf numFmtId="0" fontId="28" fillId="0" borderId="0" xfId="18" applyNumberFormat="1" applyFont="1" applyFill="1" applyBorder="1" applyAlignment="1" applyProtection="1">
      <alignment horizontal="center"/>
      <protection hidden="1"/>
    </xf>
    <xf numFmtId="0" fontId="15" fillId="12" borderId="3" xfId="34" applyFont="1" applyFill="1" applyBorder="1" applyAlignment="1">
      <alignment horizontal="center"/>
    </xf>
    <xf numFmtId="179" fontId="15" fillId="12" borderId="3" xfId="34" applyNumberFormat="1" applyFont="1" applyFill="1" applyBorder="1" applyAlignment="1">
      <alignment horizontal="center"/>
    </xf>
    <xf numFmtId="0" fontId="52" fillId="0" borderId="0" xfId="34" applyFont="1" applyFill="1"/>
    <xf numFmtId="185" fontId="15" fillId="12" borderId="0" xfId="22" applyNumberFormat="1" applyFont="1" applyFill="1" applyAlignment="1">
      <alignment horizontal="center"/>
    </xf>
    <xf numFmtId="0" fontId="14" fillId="0" borderId="0" xfId="0" applyFont="1" applyFill="1" applyBorder="1"/>
    <xf numFmtId="0" fontId="14" fillId="0" borderId="0" xfId="0" applyFont="1" applyBorder="1"/>
    <xf numFmtId="4" fontId="14" fillId="0" borderId="0" xfId="0" applyNumberFormat="1" applyFont="1" applyBorder="1"/>
    <xf numFmtId="0" fontId="14" fillId="0" borderId="0" xfId="0" applyFont="1" applyBorder="1" applyAlignment="1">
      <alignment horizontal="center"/>
    </xf>
    <xf numFmtId="165" fontId="29" fillId="0" borderId="0" xfId="0" applyNumberFormat="1" applyFont="1" applyBorder="1"/>
    <xf numFmtId="0" fontId="58" fillId="0" borderId="0" xfId="22" applyNumberFormat="1" applyFont="1" applyFill="1" applyBorder="1" applyAlignment="1"/>
    <xf numFmtId="0" fontId="59" fillId="0" borderId="0" xfId="22" applyNumberFormat="1" applyFont="1" applyFill="1" applyBorder="1" applyAlignment="1"/>
    <xf numFmtId="0" fontId="29" fillId="0" borderId="0" xfId="22" applyFont="1" applyFill="1" applyBorder="1" applyAlignment="1"/>
    <xf numFmtId="0" fontId="28" fillId="0" borderId="0" xfId="22" applyFont="1" applyFill="1" applyAlignment="1">
      <alignment vertical="top" wrapText="1"/>
    </xf>
    <xf numFmtId="49" fontId="28" fillId="0" borderId="0" xfId="18" applyNumberFormat="1" applyFont="1" applyFill="1" applyBorder="1" applyAlignment="1" applyProtection="1">
      <alignment horizontal="left" vertical="top" wrapText="1"/>
      <protection hidden="1"/>
    </xf>
    <xf numFmtId="0" fontId="28" fillId="0" borderId="0" xfId="22" applyFont="1" applyFill="1" applyAlignment="1">
      <alignment horizontal="center" vertical="top" wrapText="1"/>
    </xf>
    <xf numFmtId="0" fontId="28" fillId="0" borderId="0" xfId="18" applyFont="1" applyFill="1" applyBorder="1" applyAlignment="1" applyProtection="1">
      <alignment horizontal="center" vertical="top" wrapText="1"/>
      <protection hidden="1"/>
    </xf>
    <xf numFmtId="49" fontId="60" fillId="0" borderId="0" xfId="22" applyNumberFormat="1" applyFont="1" applyFill="1" applyBorder="1" applyAlignment="1"/>
    <xf numFmtId="2" fontId="61" fillId="0" borderId="0" xfId="22" applyNumberFormat="1" applyFont="1" applyFill="1" applyBorder="1" applyAlignment="1"/>
    <xf numFmtId="15" fontId="61" fillId="0" borderId="0" xfId="22" applyNumberFormat="1" applyFont="1" applyFill="1" applyBorder="1" applyAlignment="1">
      <alignment horizontal="left"/>
    </xf>
    <xf numFmtId="49" fontId="62" fillId="0" borderId="0" xfId="18" applyNumberFormat="1" applyFont="1" applyFill="1" applyBorder="1" applyAlignment="1" applyProtection="1">
      <alignment horizontal="left"/>
      <protection hidden="1"/>
    </xf>
    <xf numFmtId="49" fontId="63" fillId="0" borderId="0" xfId="18" applyNumberFormat="1" applyFont="1" applyFill="1" applyBorder="1" applyAlignment="1" applyProtection="1">
      <alignment horizontal="left"/>
      <protection hidden="1"/>
    </xf>
    <xf numFmtId="49" fontId="62" fillId="0" borderId="0" xfId="18" applyNumberFormat="1" applyFont="1" applyFill="1" applyBorder="1" applyAlignment="1" applyProtection="1">
      <alignment horizontal="left" vertical="center"/>
      <protection hidden="1"/>
    </xf>
    <xf numFmtId="0" fontId="28" fillId="0" borderId="0" xfId="18" applyNumberFormat="1" applyFont="1" applyFill="1" applyBorder="1" applyAlignment="1" applyProtection="1">
      <alignment horizontal="left" vertical="center"/>
      <protection hidden="1"/>
    </xf>
    <xf numFmtId="175" fontId="29" fillId="0" borderId="0" xfId="18" applyNumberFormat="1" applyFont="1" applyFill="1" applyBorder="1" applyAlignment="1" applyProtection="1">
      <alignment horizontal="left" vertical="center"/>
      <protection hidden="1"/>
    </xf>
    <xf numFmtId="182" fontId="29" fillId="0" borderId="0" xfId="22" applyNumberFormat="1" applyFont="1" applyFill="1" applyAlignment="1">
      <alignment vertical="center"/>
    </xf>
    <xf numFmtId="43" fontId="29" fillId="0" borderId="0" xfId="22" applyNumberFormat="1" applyFont="1" applyFill="1" applyAlignment="1">
      <alignment vertical="center"/>
    </xf>
    <xf numFmtId="177" fontId="28" fillId="0" borderId="0" xfId="18" applyNumberFormat="1" applyFont="1" applyFill="1" applyBorder="1" applyAlignment="1" applyProtection="1">
      <alignment horizontal="center" vertical="center"/>
      <protection hidden="1"/>
    </xf>
    <xf numFmtId="165" fontId="28" fillId="0" borderId="0" xfId="4" applyFont="1" applyFill="1" applyBorder="1" applyAlignment="1" applyProtection="1">
      <alignment horizontal="left" vertical="center"/>
      <protection hidden="1"/>
    </xf>
    <xf numFmtId="182" fontId="28" fillId="0" borderId="0" xfId="18" applyNumberFormat="1" applyFont="1" applyFill="1" applyBorder="1" applyAlignment="1" applyProtection="1">
      <alignment horizontal="left" vertical="center"/>
      <protection hidden="1"/>
    </xf>
    <xf numFmtId="183" fontId="29" fillId="0" borderId="0" xfId="23" applyNumberFormat="1" applyFont="1" applyAlignment="1">
      <alignment horizontal="center" vertical="center"/>
    </xf>
    <xf numFmtId="4" fontId="29" fillId="0" borderId="17" xfId="31" applyNumberFormat="1" applyFont="1" applyFill="1" applyBorder="1" applyAlignment="1" applyProtection="1">
      <alignment horizontal="center" vertical="center"/>
      <protection hidden="1"/>
    </xf>
    <xf numFmtId="10" fontId="29" fillId="0" borderId="17" xfId="31" applyNumberFormat="1" applyFont="1" applyFill="1" applyBorder="1" applyAlignment="1" applyProtection="1">
      <alignment horizontal="center" vertical="center"/>
      <protection hidden="1"/>
    </xf>
    <xf numFmtId="4" fontId="29" fillId="0" borderId="17" xfId="5" applyNumberFormat="1" applyFont="1" applyFill="1" applyBorder="1" applyAlignment="1" applyProtection="1">
      <alignment horizontal="center" vertical="center"/>
      <protection locked="0"/>
    </xf>
    <xf numFmtId="4" fontId="28" fillId="13" borderId="17" xfId="7" applyNumberFormat="1" applyFont="1" applyFill="1" applyBorder="1" applyAlignment="1" applyProtection="1">
      <alignment horizontal="center" vertical="center"/>
      <protection hidden="1"/>
    </xf>
    <xf numFmtId="0" fontId="64" fillId="0" borderId="0" xfId="0" applyFont="1"/>
    <xf numFmtId="0" fontId="14" fillId="0" borderId="0" xfId="0" applyFont="1" applyAlignment="1">
      <alignment horizontal="center"/>
    </xf>
    <xf numFmtId="0" fontId="14" fillId="0" borderId="0" xfId="0" applyFont="1" applyAlignment="1">
      <alignment horizontal="center" vertical="center" textRotation="90"/>
    </xf>
    <xf numFmtId="0" fontId="14" fillId="0" borderId="0" xfId="0" applyFont="1" applyAlignment="1">
      <alignment horizontal="center" vertical="center"/>
    </xf>
    <xf numFmtId="0" fontId="64" fillId="0" borderId="0" xfId="0" applyFont="1" applyAlignment="1">
      <alignment horizontal="left" vertical="center"/>
    </xf>
    <xf numFmtId="0" fontId="54" fillId="0" borderId="0" xfId="0" applyFont="1" applyAlignment="1">
      <alignment horizontal="center" vertical="center" textRotation="90"/>
    </xf>
    <xf numFmtId="0" fontId="54" fillId="0" borderId="0" xfId="0" applyFont="1" applyAlignment="1">
      <alignment vertical="center"/>
    </xf>
    <xf numFmtId="0" fontId="54" fillId="0" borderId="0" xfId="0" applyFont="1" applyAlignment="1">
      <alignment horizontal="left" vertical="center"/>
    </xf>
    <xf numFmtId="0" fontId="54" fillId="0" borderId="0" xfId="0" applyFont="1" applyAlignment="1">
      <alignment horizontal="center"/>
    </xf>
    <xf numFmtId="0" fontId="62" fillId="0" borderId="0" xfId="0" applyFont="1" applyAlignment="1">
      <alignment wrapText="1"/>
    </xf>
    <xf numFmtId="0" fontId="15" fillId="0" borderId="0" xfId="0" applyFont="1" applyAlignment="1">
      <alignment horizontal="center" wrapText="1"/>
    </xf>
    <xf numFmtId="0" fontId="62" fillId="0" borderId="0" xfId="0" applyFont="1" applyAlignment="1">
      <alignment horizontal="center" wrapText="1"/>
    </xf>
    <xf numFmtId="2" fontId="28" fillId="0" borderId="0" xfId="22" applyNumberFormat="1" applyFont="1" applyFill="1" applyAlignment="1">
      <alignment vertical="center" wrapText="1"/>
    </xf>
    <xf numFmtId="182" fontId="29" fillId="0" borderId="0" xfId="22" applyNumberFormat="1" applyFont="1" applyFill="1" applyAlignment="1">
      <alignment horizontal="right" vertical="center"/>
    </xf>
    <xf numFmtId="165" fontId="29" fillId="0" borderId="0" xfId="22" applyNumberFormat="1" applyFont="1" applyFill="1" applyAlignment="1">
      <alignment vertical="center"/>
    </xf>
    <xf numFmtId="165" fontId="29" fillId="0" borderId="0" xfId="4" applyFont="1" applyFill="1" applyAlignment="1">
      <alignment vertical="center"/>
    </xf>
    <xf numFmtId="182" fontId="29" fillId="0" borderId="0" xfId="8" applyNumberFormat="1" applyFont="1" applyFill="1" applyAlignment="1">
      <alignment horizontal="right" vertical="center"/>
    </xf>
    <xf numFmtId="0" fontId="65" fillId="0" borderId="0" xfId="22" applyFont="1" applyFill="1" applyBorder="1" applyAlignment="1"/>
    <xf numFmtId="0" fontId="66" fillId="0" borderId="0" xfId="22" applyFont="1" applyFill="1" applyBorder="1" applyAlignment="1"/>
    <xf numFmtId="0" fontId="67" fillId="0" borderId="0" xfId="22" applyFont="1" applyFill="1" applyBorder="1" applyAlignment="1">
      <alignment vertical="top" wrapText="1"/>
    </xf>
    <xf numFmtId="0" fontId="65" fillId="0" borderId="0" xfId="22" applyFont="1" applyFill="1" applyBorder="1" applyAlignment="1">
      <alignment vertical="center"/>
    </xf>
    <xf numFmtId="0" fontId="31" fillId="0" borderId="0" xfId="22" applyFont="1" applyFill="1" applyBorder="1" applyAlignment="1"/>
    <xf numFmtId="0" fontId="28" fillId="0" borderId="0" xfId="22" applyFont="1" applyFill="1" applyBorder="1" applyAlignment="1">
      <alignment vertical="top" wrapText="1"/>
    </xf>
    <xf numFmtId="0" fontId="29" fillId="0" borderId="0" xfId="22" applyFont="1" applyFill="1" applyBorder="1" applyAlignment="1">
      <alignment vertical="center"/>
    </xf>
    <xf numFmtId="0" fontId="65" fillId="0" borderId="18" xfId="22" applyFont="1" applyFill="1" applyBorder="1" applyAlignment="1"/>
    <xf numFmtId="0" fontId="65" fillId="0" borderId="19" xfId="22" applyFont="1" applyFill="1" applyBorder="1" applyAlignment="1">
      <alignment vertical="center" wrapText="1"/>
    </xf>
    <xf numFmtId="0" fontId="16" fillId="0" borderId="0" xfId="22" applyFont="1" applyFill="1" applyBorder="1" applyAlignment="1"/>
    <xf numFmtId="0" fontId="26" fillId="0" borderId="0" xfId="22" applyFont="1" applyFill="1" applyBorder="1" applyAlignment="1"/>
    <xf numFmtId="0" fontId="53" fillId="0" borderId="0" xfId="22" applyFont="1" applyFill="1" applyBorder="1" applyAlignment="1">
      <alignment vertical="top" wrapText="1"/>
    </xf>
    <xf numFmtId="0" fontId="16" fillId="0" borderId="0" xfId="22" applyFont="1" applyFill="1" applyBorder="1" applyAlignment="1">
      <alignment vertical="center"/>
    </xf>
    <xf numFmtId="49" fontId="16" fillId="0" borderId="0" xfId="18" applyNumberFormat="1" applyFont="1" applyFill="1" applyBorder="1" applyAlignment="1" applyProtection="1">
      <alignment horizontal="left"/>
      <protection hidden="1"/>
    </xf>
    <xf numFmtId="165" fontId="16" fillId="0" borderId="0" xfId="4" applyFont="1" applyFill="1" applyBorder="1" applyAlignment="1"/>
    <xf numFmtId="2" fontId="62" fillId="14" borderId="0" xfId="0" applyNumberFormat="1" applyFont="1" applyFill="1" applyBorder="1" applyAlignment="1">
      <alignment vertical="center" wrapText="1"/>
    </xf>
    <xf numFmtId="49" fontId="62" fillId="14" borderId="0" xfId="18" applyNumberFormat="1" applyFont="1" applyFill="1" applyBorder="1" applyAlignment="1" applyProtection="1">
      <alignment horizontal="center" vertical="center" wrapText="1"/>
      <protection hidden="1"/>
    </xf>
    <xf numFmtId="0" fontId="15" fillId="0" borderId="0" xfId="0" applyFont="1" applyAlignment="1">
      <alignment vertical="center"/>
    </xf>
    <xf numFmtId="0" fontId="3" fillId="0" borderId="0" xfId="0" applyFont="1" applyAlignment="1">
      <alignment vertical="center"/>
    </xf>
    <xf numFmtId="2" fontId="62" fillId="14" borderId="0" xfId="0"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alignment vertical="center"/>
    </xf>
    <xf numFmtId="4" fontId="14" fillId="0" borderId="0" xfId="0" applyNumberFormat="1" applyFont="1" applyAlignment="1">
      <alignment vertical="center"/>
    </xf>
    <xf numFmtId="183" fontId="58" fillId="14" borderId="0" xfId="0" applyNumberFormat="1" applyFont="1" applyFill="1" applyAlignment="1">
      <alignment vertical="center"/>
    </xf>
    <xf numFmtId="183" fontId="62" fillId="14" borderId="0" xfId="0" applyNumberFormat="1" applyFont="1" applyFill="1" applyAlignment="1">
      <alignment vertical="center"/>
    </xf>
    <xf numFmtId="0" fontId="14" fillId="14" borderId="0" xfId="0" applyFont="1" applyFill="1"/>
    <xf numFmtId="0" fontId="68" fillId="14" borderId="0" xfId="0" applyFont="1" applyFill="1"/>
    <xf numFmtId="0" fontId="63" fillId="14" borderId="0" xfId="0" applyFont="1" applyFill="1"/>
    <xf numFmtId="0" fontId="69" fillId="14" borderId="0" xfId="0" applyFont="1" applyFill="1"/>
    <xf numFmtId="0" fontId="63" fillId="14" borderId="0" xfId="26" applyFont="1" applyFill="1" applyBorder="1"/>
    <xf numFmtId="0" fontId="70" fillId="14" borderId="0" xfId="26" applyFont="1" applyFill="1" applyBorder="1" applyAlignment="1">
      <alignment horizontal="right"/>
    </xf>
    <xf numFmtId="9" fontId="65" fillId="14" borderId="0" xfId="26" applyNumberFormat="1" applyFont="1" applyFill="1" applyBorder="1"/>
    <xf numFmtId="187" fontId="71" fillId="14" borderId="0" xfId="26" applyNumberFormat="1" applyFont="1" applyFill="1" applyBorder="1"/>
    <xf numFmtId="10" fontId="72" fillId="14" borderId="0" xfId="26" applyNumberFormat="1" applyFont="1" applyFill="1" applyBorder="1" applyAlignment="1" applyProtection="1">
      <alignment horizontal="center"/>
      <protection locked="0" hidden="1"/>
    </xf>
    <xf numFmtId="4" fontId="14" fillId="14" borderId="0" xfId="0" applyNumberFormat="1" applyFont="1" applyFill="1"/>
    <xf numFmtId="0" fontId="51" fillId="13" borderId="19" xfId="26" applyFont="1" applyFill="1" applyBorder="1" applyAlignment="1">
      <alignment horizontal="center"/>
    </xf>
    <xf numFmtId="10" fontId="63" fillId="13" borderId="19" xfId="26" applyNumberFormat="1" applyFont="1" applyFill="1" applyBorder="1" applyAlignment="1" applyProtection="1">
      <alignment horizontal="center" vertical="center"/>
      <protection locked="0" hidden="1"/>
    </xf>
    <xf numFmtId="0" fontId="70" fillId="14" borderId="0" xfId="26" applyFont="1" applyFill="1" applyBorder="1" applyAlignment="1">
      <alignment horizontal="right" vertical="center"/>
    </xf>
    <xf numFmtId="186" fontId="51" fillId="10" borderId="19" xfId="26" applyNumberFormat="1" applyFont="1" applyFill="1" applyBorder="1" applyAlignment="1">
      <alignment horizontal="center" vertical="center"/>
    </xf>
    <xf numFmtId="0" fontId="51" fillId="10" borderId="19" xfId="26" applyFont="1" applyFill="1" applyBorder="1" applyAlignment="1">
      <alignment horizontal="center" vertical="center"/>
    </xf>
    <xf numFmtId="0" fontId="14" fillId="14" borderId="0" xfId="0" applyFont="1" applyFill="1" applyAlignment="1">
      <alignment vertical="center"/>
    </xf>
    <xf numFmtId="181" fontId="62" fillId="14" borderId="19" xfId="26" applyNumberFormat="1" applyFont="1" applyFill="1" applyBorder="1" applyAlignment="1" applyProtection="1">
      <alignment horizontal="center" vertical="center"/>
      <protection locked="0" hidden="1"/>
    </xf>
    <xf numFmtId="0" fontId="14" fillId="0" borderId="20" xfId="0" applyFont="1" applyFill="1" applyBorder="1"/>
    <xf numFmtId="0" fontId="14" fillId="0" borderId="20" xfId="0" applyFont="1" applyBorder="1"/>
    <xf numFmtId="4" fontId="14" fillId="0" borderId="20" xfId="0" applyNumberFormat="1" applyFont="1" applyBorder="1"/>
    <xf numFmtId="165" fontId="29" fillId="0" borderId="20" xfId="0" applyNumberFormat="1" applyFont="1" applyBorder="1"/>
    <xf numFmtId="0" fontId="14" fillId="0" borderId="21" xfId="0" applyFont="1" applyBorder="1"/>
    <xf numFmtId="4" fontId="14" fillId="0" borderId="21" xfId="0" applyNumberFormat="1" applyFont="1" applyBorder="1"/>
    <xf numFmtId="165" fontId="29" fillId="0" borderId="21" xfId="4" applyFont="1" applyFill="1" applyBorder="1" applyAlignment="1"/>
    <xf numFmtId="165" fontId="29" fillId="0" borderId="21" xfId="0" applyNumberFormat="1" applyFont="1" applyBorder="1"/>
    <xf numFmtId="183" fontId="29" fillId="0" borderId="20" xfId="0" applyNumberFormat="1" applyFont="1" applyBorder="1"/>
    <xf numFmtId="0" fontId="15" fillId="0" borderId="0" xfId="0" applyFont="1" applyAlignment="1">
      <alignment horizontal="right" vertical="center"/>
    </xf>
    <xf numFmtId="0" fontId="73" fillId="0" borderId="0" xfId="0" applyFont="1"/>
    <xf numFmtId="0" fontId="65" fillId="0" borderId="0" xfId="0" applyFont="1" applyAlignment="1">
      <alignment horizontal="center" vertical="center" textRotation="90"/>
    </xf>
    <xf numFmtId="0" fontId="65" fillId="0" borderId="0" xfId="0" applyFont="1" applyAlignment="1">
      <alignment horizontal="center" vertical="center"/>
    </xf>
    <xf numFmtId="0" fontId="65" fillId="0" borderId="0" xfId="0" applyFont="1" applyAlignment="1">
      <alignment horizontal="center"/>
    </xf>
    <xf numFmtId="0" fontId="65" fillId="0" borderId="0" xfId="0" applyFont="1"/>
    <xf numFmtId="0" fontId="65" fillId="0" borderId="0" xfId="0" applyFont="1" applyAlignment="1">
      <alignment horizontal="center" textRotation="90" wrapText="1"/>
    </xf>
    <xf numFmtId="2" fontId="29" fillId="0" borderId="22" xfId="28" applyNumberFormat="1" applyFont="1" applyFill="1" applyBorder="1" applyAlignment="1" applyProtection="1">
      <alignment horizontal="center" textRotation="90" wrapText="1"/>
      <protection hidden="1"/>
    </xf>
    <xf numFmtId="2" fontId="29" fillId="0" borderId="23" xfId="28" applyNumberFormat="1" applyFont="1" applyFill="1" applyBorder="1" applyAlignment="1" applyProtection="1">
      <alignment horizontal="center" textRotation="90" wrapText="1"/>
      <protection hidden="1"/>
    </xf>
    <xf numFmtId="0" fontId="29" fillId="0" borderId="23" xfId="28" applyFont="1" applyFill="1" applyBorder="1" applyAlignment="1" applyProtection="1">
      <alignment horizontal="center" textRotation="90" wrapText="1"/>
      <protection hidden="1"/>
    </xf>
    <xf numFmtId="0" fontId="28" fillId="0" borderId="23" xfId="28" applyFont="1" applyFill="1" applyBorder="1" applyAlignment="1" applyProtection="1">
      <alignment horizontal="center" textRotation="90" wrapText="1"/>
      <protection hidden="1"/>
    </xf>
    <xf numFmtId="0" fontId="14" fillId="0" borderId="0" xfId="0" applyFont="1" applyBorder="1" applyAlignment="1">
      <alignment horizontal="center" wrapText="1"/>
    </xf>
    <xf numFmtId="0" fontId="29" fillId="0" borderId="23" xfId="28" applyNumberFormat="1" applyFont="1" applyFill="1" applyBorder="1" applyAlignment="1" applyProtection="1">
      <alignment horizontal="center" textRotation="90" wrapText="1"/>
      <protection hidden="1"/>
    </xf>
    <xf numFmtId="0" fontId="36" fillId="0" borderId="23" xfId="28" applyNumberFormat="1" applyFont="1" applyFill="1" applyBorder="1" applyAlignment="1" applyProtection="1">
      <alignment horizontal="center" textRotation="90" wrapText="1"/>
      <protection hidden="1"/>
    </xf>
    <xf numFmtId="0" fontId="28" fillId="0" borderId="24" xfId="28" applyFont="1" applyFill="1" applyBorder="1" applyAlignment="1" applyProtection="1">
      <alignment horizontal="center" textRotation="90" wrapText="1"/>
      <protection hidden="1"/>
    </xf>
    <xf numFmtId="0" fontId="14" fillId="0" borderId="0" xfId="0" applyFont="1" applyAlignment="1">
      <alignment horizontal="center" wrapText="1"/>
    </xf>
    <xf numFmtId="0" fontId="14" fillId="0" borderId="0" xfId="0" applyFont="1" applyAlignment="1">
      <alignment horizontal="center" textRotation="90" wrapText="1"/>
    </xf>
    <xf numFmtId="172" fontId="25" fillId="9" borderId="10" xfId="0" applyNumberFormat="1" applyFont="1" applyFill="1" applyBorder="1" applyAlignment="1" applyProtection="1">
      <alignment horizontal="center"/>
    </xf>
    <xf numFmtId="171" fontId="62" fillId="14" borderId="0" xfId="0" applyNumberFormat="1" applyFont="1" applyFill="1" applyBorder="1" applyAlignment="1" applyProtection="1">
      <alignment horizontal="left" vertical="center" wrapText="1"/>
    </xf>
    <xf numFmtId="2" fontId="62" fillId="14" borderId="0" xfId="2" applyNumberFormat="1" applyFont="1" applyFill="1" applyBorder="1" applyAlignment="1" applyProtection="1">
      <alignment horizontal="left" vertical="center" wrapText="1"/>
    </xf>
    <xf numFmtId="2" fontId="62" fillId="14" borderId="0" xfId="0" applyNumberFormat="1" applyFont="1" applyFill="1" applyBorder="1" applyAlignment="1" applyProtection="1">
      <alignment horizontal="left" vertical="center" wrapText="1"/>
    </xf>
    <xf numFmtId="174" fontId="62" fillId="14" borderId="0" xfId="0" applyNumberFormat="1" applyFont="1" applyFill="1" applyBorder="1" applyAlignment="1" applyProtection="1">
      <alignment horizontal="center" vertical="center" wrapText="1"/>
    </xf>
    <xf numFmtId="3" fontId="62" fillId="14" borderId="0" xfId="0" applyNumberFormat="1" applyFont="1" applyFill="1" applyBorder="1" applyAlignment="1" applyProtection="1">
      <alignment horizontal="right" vertical="center" wrapText="1"/>
    </xf>
    <xf numFmtId="179" fontId="62" fillId="14" borderId="0" xfId="0" applyNumberFormat="1" applyFont="1" applyFill="1" applyBorder="1" applyAlignment="1">
      <alignment horizontal="center" vertical="center" wrapText="1"/>
    </xf>
    <xf numFmtId="173" fontId="62" fillId="14" borderId="0" xfId="0" applyNumberFormat="1" applyFont="1" applyFill="1" applyBorder="1" applyAlignment="1" applyProtection="1">
      <alignment horizontal="right" vertical="center" wrapText="1"/>
    </xf>
    <xf numFmtId="173" fontId="62" fillId="14" borderId="0" xfId="0" applyNumberFormat="1" applyFont="1" applyFill="1" applyBorder="1" applyAlignment="1" applyProtection="1">
      <alignment horizontal="center" vertical="center" wrapText="1"/>
    </xf>
    <xf numFmtId="174" fontId="29" fillId="15" borderId="1" xfId="0" applyNumberFormat="1" applyFont="1" applyFill="1" applyBorder="1" applyAlignment="1">
      <alignment horizontal="center"/>
    </xf>
    <xf numFmtId="0" fontId="29" fillId="13" borderId="10" xfId="0" applyNumberFormat="1" applyFont="1" applyFill="1" applyBorder="1" applyAlignment="1">
      <alignment horizontal="center"/>
    </xf>
    <xf numFmtId="0" fontId="29" fillId="13" borderId="10" xfId="3" quotePrefix="1" applyNumberFormat="1" applyFont="1" applyFill="1" applyBorder="1" applyAlignment="1">
      <alignment horizontal="center"/>
    </xf>
    <xf numFmtId="0" fontId="29" fillId="13" borderId="10" xfId="0" applyNumberFormat="1" applyFont="1" applyFill="1" applyBorder="1" applyAlignment="1">
      <alignment horizontal="left"/>
    </xf>
    <xf numFmtId="1" fontId="29" fillId="13" borderId="1" xfId="0" applyNumberFormat="1" applyFont="1" applyFill="1" applyBorder="1" applyAlignment="1">
      <alignment horizontal="center"/>
    </xf>
    <xf numFmtId="2" fontId="29" fillId="13" borderId="1" xfId="0" applyNumberFormat="1" applyFont="1" applyFill="1" applyBorder="1"/>
    <xf numFmtId="176" fontId="29" fillId="13" borderId="1" xfId="0" applyNumberFormat="1" applyFont="1" applyFill="1" applyBorder="1" applyAlignment="1">
      <alignment horizontal="center"/>
    </xf>
    <xf numFmtId="184" fontId="29" fillId="13" borderId="1" xfId="0" applyNumberFormat="1" applyFont="1" applyFill="1" applyBorder="1" applyAlignment="1">
      <alignment horizontal="center"/>
    </xf>
    <xf numFmtId="1" fontId="29" fillId="13" borderId="1" xfId="34" applyNumberFormat="1" applyFont="1" applyFill="1" applyBorder="1" applyAlignment="1">
      <alignment horizontal="center"/>
    </xf>
    <xf numFmtId="0" fontId="29" fillId="13" borderId="1" xfId="2" applyNumberFormat="1" applyFont="1" applyFill="1" applyBorder="1" applyAlignment="1">
      <alignment horizontal="left"/>
    </xf>
    <xf numFmtId="0" fontId="29" fillId="13" borderId="1" xfId="2" applyNumberFormat="1" applyFont="1" applyFill="1" applyBorder="1" applyAlignment="1"/>
    <xf numFmtId="174" fontId="29" fillId="13" borderId="1" xfId="0" applyNumberFormat="1" applyFont="1" applyFill="1" applyBorder="1" applyAlignment="1">
      <alignment horizontal="center"/>
    </xf>
    <xf numFmtId="174" fontId="29" fillId="13" borderId="1" xfId="0" applyNumberFormat="1" applyFont="1" applyFill="1" applyBorder="1" applyAlignment="1">
      <alignment horizontal="left"/>
    </xf>
    <xf numFmtId="3" fontId="29" fillId="13" borderId="10" xfId="0" applyNumberFormat="1" applyFont="1" applyFill="1" applyBorder="1" applyAlignment="1">
      <alignment horizontal="right"/>
    </xf>
    <xf numFmtId="3" fontId="29" fillId="13" borderId="10" xfId="0" applyNumberFormat="1" applyFont="1" applyFill="1" applyBorder="1" applyAlignment="1" applyProtection="1">
      <alignment horizontal="right"/>
    </xf>
    <xf numFmtId="173" fontId="29" fillId="13" borderId="10" xfId="0" applyNumberFormat="1" applyFont="1" applyFill="1" applyBorder="1" applyAlignment="1" applyProtection="1">
      <alignment horizontal="right"/>
    </xf>
    <xf numFmtId="173" fontId="29" fillId="13" borderId="10" xfId="0" applyNumberFormat="1" applyFont="1" applyFill="1" applyBorder="1" applyAlignment="1" applyProtection="1">
      <alignment horizontal="left" indent="1"/>
    </xf>
    <xf numFmtId="3" fontId="29" fillId="13" borderId="1" xfId="25" applyNumberFormat="1" applyFont="1" applyFill="1" applyBorder="1" applyAlignment="1">
      <alignment horizontal="right"/>
    </xf>
    <xf numFmtId="179" fontId="29" fillId="13" borderId="1" xfId="2" applyNumberFormat="1" applyFont="1" applyFill="1" applyBorder="1" applyAlignment="1">
      <alignment horizontal="right"/>
    </xf>
    <xf numFmtId="177" fontId="29" fillId="13" borderId="1" xfId="0" applyNumberFormat="1" applyFont="1" applyFill="1" applyBorder="1" applyAlignment="1" applyProtection="1">
      <alignment horizontal="right"/>
    </xf>
    <xf numFmtId="3" fontId="29" fillId="13" borderId="1" xfId="0" applyNumberFormat="1" applyFont="1" applyFill="1" applyBorder="1" applyAlignment="1">
      <alignment horizontal="right"/>
    </xf>
    <xf numFmtId="173" fontId="29" fillId="13" borderId="1" xfId="0" applyNumberFormat="1" applyFont="1" applyFill="1" applyBorder="1" applyAlignment="1" applyProtection="1">
      <alignment horizontal="left" indent="1"/>
    </xf>
    <xf numFmtId="0" fontId="28" fillId="14" borderId="19" xfId="34" applyFont="1" applyFill="1" applyBorder="1" applyAlignment="1">
      <alignment horizontal="center" vertical="center"/>
    </xf>
    <xf numFmtId="0" fontId="29" fillId="14" borderId="0" xfId="0" applyFont="1" applyFill="1" applyAlignment="1">
      <alignment horizontal="center"/>
    </xf>
    <xf numFmtId="43" fontId="29" fillId="15" borderId="19" xfId="2" applyFont="1" applyFill="1" applyBorder="1" applyAlignment="1">
      <alignment horizontal="center"/>
    </xf>
    <xf numFmtId="174" fontId="29" fillId="0" borderId="19" xfId="0" applyNumberFormat="1" applyFont="1" applyBorder="1"/>
    <xf numFmtId="0" fontId="62" fillId="14" borderId="0" xfId="0" applyFont="1" applyFill="1" applyBorder="1" applyAlignment="1">
      <alignment horizontal="center" vertical="center"/>
    </xf>
    <xf numFmtId="0" fontId="62" fillId="14" borderId="0" xfId="0" applyNumberFormat="1" applyFont="1" applyFill="1" applyBorder="1" applyAlignment="1">
      <alignment horizontal="center" vertical="center" wrapText="1"/>
    </xf>
    <xf numFmtId="0" fontId="62" fillId="14" borderId="0" xfId="0" applyNumberFormat="1" applyFont="1" applyFill="1" applyBorder="1" applyAlignment="1">
      <alignment vertical="center" wrapText="1"/>
    </xf>
    <xf numFmtId="0" fontId="62" fillId="14" borderId="0" xfId="0" applyFont="1" applyFill="1" applyBorder="1" applyAlignment="1">
      <alignment vertical="center" wrapText="1"/>
    </xf>
    <xf numFmtId="176" fontId="62" fillId="14" borderId="0" xfId="0" applyNumberFormat="1" applyFont="1" applyFill="1" applyBorder="1" applyAlignment="1">
      <alignment horizontal="center" vertical="center" wrapText="1"/>
    </xf>
    <xf numFmtId="43" fontId="62" fillId="14" borderId="0" xfId="2" applyFont="1" applyFill="1" applyBorder="1" applyAlignment="1">
      <alignment horizontal="center" vertical="center" wrapText="1"/>
    </xf>
    <xf numFmtId="180" fontId="62" fillId="14" borderId="0" xfId="2" applyNumberFormat="1" applyFont="1" applyFill="1" applyBorder="1" applyAlignment="1">
      <alignment horizontal="center" vertical="center" wrapText="1"/>
    </xf>
    <xf numFmtId="0" fontId="62" fillId="14" borderId="0" xfId="0" applyFont="1" applyFill="1" applyBorder="1" applyAlignment="1">
      <alignment vertical="center"/>
    </xf>
    <xf numFmtId="2" fontId="29" fillId="0" borderId="26" xfId="21" applyNumberFormat="1" applyFont="1" applyFill="1" applyBorder="1" applyProtection="1">
      <protection hidden="1"/>
    </xf>
    <xf numFmtId="0" fontId="33" fillId="0" borderId="27" xfId="23" applyFont="1" applyBorder="1"/>
    <xf numFmtId="2" fontId="74" fillId="0" borderId="0" xfId="28" applyNumberFormat="1" applyFont="1" applyFill="1" applyBorder="1" applyAlignment="1" applyProtection="1">
      <alignment horizontal="left" vertical="center"/>
      <protection hidden="1"/>
    </xf>
    <xf numFmtId="2" fontId="63" fillId="0" borderId="0" xfId="21" applyNumberFormat="1" applyFont="1" applyFill="1" applyBorder="1" applyProtection="1">
      <protection hidden="1"/>
    </xf>
    <xf numFmtId="0" fontId="74" fillId="0" borderId="0" xfId="28" applyFont="1" applyFill="1" applyBorder="1" applyAlignment="1" applyProtection="1">
      <alignment horizontal="left" vertical="center"/>
      <protection hidden="1"/>
    </xf>
    <xf numFmtId="0" fontId="58" fillId="0" borderId="0" xfId="28" applyFont="1" applyFill="1" applyBorder="1" applyAlignment="1" applyProtection="1">
      <alignment horizontal="left" vertical="center"/>
      <protection hidden="1"/>
    </xf>
    <xf numFmtId="9" fontId="63" fillId="0" borderId="0" xfId="28" applyNumberFormat="1" applyFont="1" applyFill="1" applyBorder="1" applyAlignment="1" applyProtection="1">
      <alignment vertical="center"/>
      <protection hidden="1"/>
    </xf>
    <xf numFmtId="0" fontId="63" fillId="0" borderId="0" xfId="28" applyFont="1" applyFill="1" applyBorder="1" applyAlignment="1" applyProtection="1">
      <alignment vertical="center"/>
      <protection hidden="1"/>
    </xf>
    <xf numFmtId="2" fontId="28" fillId="0" borderId="11" xfId="21" applyNumberFormat="1" applyFont="1" applyFill="1" applyBorder="1" applyAlignment="1" applyProtection="1">
      <alignment horizontal="center"/>
      <protection hidden="1"/>
    </xf>
    <xf numFmtId="2" fontId="29" fillId="0" borderId="19" xfId="21" applyNumberFormat="1" applyFont="1" applyFill="1" applyBorder="1" applyProtection="1">
      <protection hidden="1"/>
    </xf>
    <xf numFmtId="183" fontId="29" fillId="13" borderId="25" xfId="28" applyNumberFormat="1" applyFont="1" applyFill="1" applyBorder="1" applyAlignment="1" applyProtection="1">
      <alignment horizontal="left" vertical="center"/>
      <protection hidden="1"/>
    </xf>
    <xf numFmtId="10" fontId="29" fillId="16" borderId="25" xfId="31" applyNumberFormat="1" applyFont="1" applyFill="1" applyBorder="1" applyAlignment="1"/>
    <xf numFmtId="181" fontId="28" fillId="16" borderId="25" xfId="31" applyNumberFormat="1" applyFont="1" applyFill="1" applyBorder="1" applyAlignment="1"/>
    <xf numFmtId="0" fontId="29" fillId="0" borderId="28" xfId="23" applyFont="1" applyFill="1" applyBorder="1"/>
    <xf numFmtId="0" fontId="33" fillId="0" borderId="29" xfId="23" applyFont="1" applyBorder="1"/>
    <xf numFmtId="0" fontId="29" fillId="0" borderId="28" xfId="28" applyFont="1" applyFill="1" applyBorder="1" applyAlignment="1" applyProtection="1">
      <alignment vertical="center"/>
      <protection hidden="1"/>
    </xf>
    <xf numFmtId="0" fontId="28" fillId="0" borderId="28" xfId="28" applyFont="1" applyFill="1" applyBorder="1" applyAlignment="1" applyProtection="1">
      <alignment horizontal="right" vertical="center"/>
      <protection hidden="1"/>
    </xf>
    <xf numFmtId="0" fontId="28" fillId="0" borderId="29" xfId="28" applyFont="1" applyFill="1" applyBorder="1" applyAlignment="1" applyProtection="1">
      <alignment horizontal="right" vertical="center"/>
      <protection hidden="1"/>
    </xf>
    <xf numFmtId="0" fontId="29" fillId="0" borderId="28" xfId="21" applyFont="1" applyFill="1" applyBorder="1" applyAlignment="1" applyProtection="1">
      <alignment vertical="center"/>
      <protection hidden="1"/>
    </xf>
    <xf numFmtId="181" fontId="29" fillId="14" borderId="25" xfId="21" applyNumberFormat="1" applyFont="1" applyFill="1" applyBorder="1" applyAlignment="1" applyProtection="1">
      <alignment vertical="center"/>
      <protection hidden="1"/>
    </xf>
    <xf numFmtId="183" fontId="29" fillId="14" borderId="25" xfId="28" applyNumberFormat="1" applyFont="1" applyFill="1" applyBorder="1" applyAlignment="1" applyProtection="1">
      <alignment horizontal="left" vertical="center"/>
      <protection hidden="1"/>
    </xf>
    <xf numFmtId="0" fontId="28" fillId="0" borderId="11" xfId="28" applyFont="1" applyFill="1" applyBorder="1" applyAlignment="1" applyProtection="1">
      <alignment horizontal="center" vertical="center"/>
      <protection hidden="1"/>
    </xf>
    <xf numFmtId="0" fontId="29" fillId="0" borderId="28" xfId="28" applyFont="1" applyFill="1" applyBorder="1" applyAlignment="1" applyProtection="1">
      <alignment horizontal="left" vertical="center"/>
      <protection hidden="1"/>
    </xf>
    <xf numFmtId="0" fontId="28" fillId="0" borderId="28" xfId="28" applyFont="1" applyFill="1" applyBorder="1" applyAlignment="1" applyProtection="1">
      <alignment vertical="center"/>
      <protection hidden="1"/>
    </xf>
    <xf numFmtId="2" fontId="29" fillId="0" borderId="29" xfId="23" applyNumberFormat="1" applyFont="1" applyFill="1" applyBorder="1" applyAlignment="1">
      <alignment vertical="center"/>
    </xf>
    <xf numFmtId="0" fontId="29" fillId="0" borderId="29" xfId="23" applyFont="1" applyFill="1" applyBorder="1" applyAlignment="1">
      <alignment vertical="center"/>
    </xf>
    <xf numFmtId="2" fontId="28" fillId="13" borderId="30" xfId="21" applyNumberFormat="1" applyFont="1" applyFill="1" applyBorder="1" applyAlignment="1" applyProtection="1">
      <alignment horizontal="center"/>
      <protection hidden="1"/>
    </xf>
    <xf numFmtId="10" fontId="29" fillId="0" borderId="31" xfId="31" applyNumberFormat="1" applyFont="1" applyFill="1" applyBorder="1" applyAlignment="1" applyProtection="1">
      <alignment vertical="center"/>
      <protection hidden="1"/>
    </xf>
    <xf numFmtId="0" fontId="28" fillId="0" borderId="29" xfId="28" applyFont="1" applyFill="1" applyBorder="1" applyAlignment="1" applyProtection="1">
      <alignment vertical="center"/>
      <protection hidden="1"/>
    </xf>
    <xf numFmtId="2" fontId="29" fillId="14" borderId="19" xfId="28" applyNumberFormat="1" applyFont="1" applyFill="1" applyBorder="1" applyAlignment="1" applyProtection="1">
      <alignment horizontal="right" vertical="center"/>
      <protection hidden="1"/>
    </xf>
    <xf numFmtId="2" fontId="29" fillId="13" borderId="32" xfId="23" applyNumberFormat="1" applyFont="1" applyFill="1" applyBorder="1" applyAlignment="1">
      <alignment vertical="center"/>
    </xf>
    <xf numFmtId="0" fontId="29" fillId="13" borderId="33" xfId="23" applyFont="1" applyFill="1" applyBorder="1" applyAlignment="1">
      <alignment vertical="center"/>
    </xf>
    <xf numFmtId="0" fontId="29" fillId="13" borderId="32" xfId="23" applyFont="1" applyFill="1" applyBorder="1" applyAlignment="1">
      <alignment vertical="center"/>
    </xf>
    <xf numFmtId="0" fontId="29" fillId="13" borderId="31" xfId="23" applyFont="1" applyFill="1" applyBorder="1" applyAlignment="1">
      <alignment vertical="center"/>
    </xf>
    <xf numFmtId="10" fontId="29" fillId="13" borderId="31" xfId="31" applyNumberFormat="1" applyFont="1" applyFill="1" applyBorder="1" applyAlignment="1" applyProtection="1">
      <alignment vertical="center"/>
      <protection hidden="1"/>
    </xf>
    <xf numFmtId="2" fontId="28" fillId="16" borderId="29" xfId="28" applyNumberFormat="1" applyFont="1" applyFill="1" applyBorder="1" applyAlignment="1" applyProtection="1">
      <alignment vertical="center"/>
      <protection hidden="1"/>
    </xf>
    <xf numFmtId="0" fontId="29" fillId="14" borderId="19" xfId="28" applyFont="1" applyFill="1" applyBorder="1" applyAlignment="1" applyProtection="1">
      <protection hidden="1"/>
    </xf>
    <xf numFmtId="0" fontId="28" fillId="0" borderId="0" xfId="18" applyNumberFormat="1" applyFont="1" applyFill="1" applyBorder="1" applyAlignment="1" applyProtection="1">
      <alignment horizontal="left" vertical="top"/>
      <protection hidden="1"/>
    </xf>
    <xf numFmtId="0" fontId="29" fillId="0" borderId="0" xfId="18" applyFont="1" applyFill="1" applyBorder="1" applyAlignment="1" applyProtection="1">
      <alignment horizontal="right"/>
      <protection hidden="1"/>
    </xf>
    <xf numFmtId="0" fontId="31" fillId="0" borderId="0" xfId="24" applyFont="1" applyFill="1" applyBorder="1" applyProtection="1">
      <protection hidden="1"/>
    </xf>
    <xf numFmtId="164" fontId="28" fillId="0" borderId="0" xfId="9" applyFont="1" applyFill="1" applyBorder="1" applyAlignment="1" applyProtection="1">
      <alignment horizontal="right"/>
      <protection hidden="1"/>
    </xf>
    <xf numFmtId="183" fontId="29" fillId="14" borderId="19" xfId="18" applyNumberFormat="1" applyFont="1" applyFill="1" applyBorder="1" applyAlignment="1" applyProtection="1">
      <alignment horizontal="right"/>
      <protection hidden="1"/>
    </xf>
    <xf numFmtId="10" fontId="29" fillId="14" borderId="19" xfId="31" applyNumberFormat="1" applyFont="1" applyFill="1" applyBorder="1" applyAlignment="1" applyProtection="1">
      <alignment horizontal="center"/>
      <protection locked="0"/>
    </xf>
    <xf numFmtId="0" fontId="29" fillId="0" borderId="34" xfId="18" applyFont="1" applyFill="1" applyBorder="1" applyAlignment="1" applyProtection="1">
      <alignment horizontal="right"/>
      <protection hidden="1"/>
    </xf>
    <xf numFmtId="4" fontId="29" fillId="0" borderId="0" xfId="18" applyNumberFormat="1" applyFont="1" applyFill="1" applyBorder="1" applyAlignment="1" applyProtection="1">
      <alignment horizontal="right"/>
      <protection hidden="1"/>
    </xf>
    <xf numFmtId="183" fontId="29" fillId="13" borderId="34" xfId="18" applyNumberFormat="1" applyFont="1" applyFill="1" applyBorder="1" applyAlignment="1" applyProtection="1">
      <alignment horizontal="right"/>
      <protection hidden="1"/>
    </xf>
    <xf numFmtId="183" fontId="29" fillId="13" borderId="35" xfId="18" applyNumberFormat="1" applyFont="1" applyFill="1" applyBorder="1" applyAlignment="1" applyProtection="1">
      <alignment horizontal="right"/>
      <protection hidden="1"/>
    </xf>
    <xf numFmtId="183" fontId="29" fillId="13" borderId="36" xfId="18" applyNumberFormat="1" applyFont="1" applyFill="1" applyBorder="1" applyAlignment="1" applyProtection="1">
      <alignment horizontal="right"/>
      <protection hidden="1"/>
    </xf>
    <xf numFmtId="183" fontId="29" fillId="13" borderId="18" xfId="18" applyNumberFormat="1" applyFont="1" applyFill="1" applyBorder="1" applyAlignment="1" applyProtection="1">
      <alignment horizontal="right"/>
      <protection hidden="1"/>
    </xf>
    <xf numFmtId="183" fontId="28" fillId="13" borderId="0" xfId="18" applyNumberFormat="1" applyFont="1" applyFill="1" applyBorder="1" applyAlignment="1" applyProtection="1">
      <alignment horizontal="right"/>
      <protection hidden="1"/>
    </xf>
    <xf numFmtId="0" fontId="29" fillId="14" borderId="37" xfId="18" applyFont="1" applyFill="1" applyBorder="1" applyAlignment="1" applyProtection="1">
      <alignment horizontal="center"/>
      <protection hidden="1"/>
    </xf>
    <xf numFmtId="2" fontId="58" fillId="14" borderId="0" xfId="18" applyNumberFormat="1" applyFont="1" applyFill="1" applyBorder="1" applyAlignment="1" applyProtection="1">
      <alignment horizontal="left"/>
      <protection hidden="1"/>
    </xf>
    <xf numFmtId="0" fontId="29" fillId="0" borderId="0" xfId="0" applyFont="1" applyBorder="1"/>
    <xf numFmtId="0" fontId="29" fillId="0" borderId="34" xfId="18" applyFont="1" applyFill="1" applyBorder="1" applyAlignment="1" applyProtection="1">
      <alignment horizontal="center"/>
      <protection hidden="1"/>
    </xf>
    <xf numFmtId="0" fontId="28" fillId="14" borderId="19" xfId="20" applyFont="1" applyFill="1" applyBorder="1" applyAlignment="1">
      <alignment horizontal="center" vertical="center"/>
    </xf>
    <xf numFmtId="9" fontId="28" fillId="0" borderId="19" xfId="0" applyNumberFormat="1" applyFont="1" applyFill="1" applyBorder="1" applyAlignment="1">
      <alignment horizontal="center"/>
    </xf>
    <xf numFmtId="183" fontId="28" fillId="13" borderId="17" xfId="0" applyNumberFormat="1" applyFont="1" applyFill="1" applyBorder="1"/>
    <xf numFmtId="183" fontId="28" fillId="16" borderId="0" xfId="0" applyNumberFormat="1" applyFont="1" applyFill="1" applyBorder="1"/>
    <xf numFmtId="0" fontId="36" fillId="0" borderId="0" xfId="0" applyFont="1" applyBorder="1" applyAlignment="1">
      <alignment horizontal="left"/>
    </xf>
    <xf numFmtId="183" fontId="29" fillId="14" borderId="19" xfId="0" applyNumberFormat="1" applyFont="1" applyFill="1" applyBorder="1" applyAlignment="1">
      <alignment horizontal="center" vertical="center"/>
    </xf>
    <xf numFmtId="0" fontId="63" fillId="13" borderId="0" xfId="0" applyFont="1" applyFill="1" applyAlignment="1">
      <alignment vertical="center"/>
    </xf>
    <xf numFmtId="0" fontId="62" fillId="13" borderId="0" xfId="0" applyFont="1" applyFill="1" applyAlignment="1">
      <alignment vertical="center"/>
    </xf>
    <xf numFmtId="0" fontId="75" fillId="13" borderId="0" xfId="0" applyFont="1" applyFill="1" applyAlignment="1">
      <alignment vertical="center"/>
    </xf>
    <xf numFmtId="0" fontId="62" fillId="13" borderId="0" xfId="0" applyFont="1" applyFill="1" applyAlignment="1">
      <alignment horizontal="center" vertical="center"/>
    </xf>
    <xf numFmtId="0" fontId="62" fillId="13" borderId="0" xfId="0" applyFont="1" applyFill="1" applyAlignment="1">
      <alignment horizontal="right" vertical="center"/>
    </xf>
    <xf numFmtId="0" fontId="29" fillId="0" borderId="0" xfId="0" applyFont="1" applyFill="1" applyBorder="1" applyAlignment="1">
      <alignment vertical="center"/>
    </xf>
    <xf numFmtId="0" fontId="32" fillId="0" borderId="0" xfId="0" applyFont="1" applyFill="1" applyBorder="1" applyAlignment="1">
      <alignment vertical="center"/>
    </xf>
    <xf numFmtId="183" fontId="29" fillId="0" borderId="0" xfId="0" applyNumberFormat="1" applyFont="1" applyFill="1" applyBorder="1" applyAlignment="1">
      <alignment horizontal="right" vertical="center"/>
    </xf>
    <xf numFmtId="0" fontId="28" fillId="14" borderId="0" xfId="20" applyFont="1" applyFill="1" applyBorder="1" applyAlignment="1">
      <alignment horizontal="center" vertical="center"/>
    </xf>
    <xf numFmtId="3" fontId="28" fillId="0" borderId="0" xfId="34" applyNumberFormat="1" applyFont="1" applyAlignment="1">
      <alignment horizontal="right" vertical="center"/>
    </xf>
    <xf numFmtId="179" fontId="62" fillId="14" borderId="0" xfId="0" applyNumberFormat="1" applyFont="1" applyFill="1" applyBorder="1" applyAlignment="1" applyProtection="1">
      <alignment horizontal="right" vertical="center"/>
    </xf>
    <xf numFmtId="9" fontId="62" fillId="14" borderId="0" xfId="31" applyFont="1" applyFill="1" applyBorder="1" applyAlignment="1" applyProtection="1">
      <alignment horizontal="right" vertical="center"/>
    </xf>
    <xf numFmtId="185" fontId="14" fillId="14" borderId="0" xfId="0" applyNumberFormat="1" applyFont="1" applyFill="1"/>
    <xf numFmtId="183" fontId="63" fillId="14" borderId="0" xfId="0" applyNumberFormat="1" applyFont="1" applyFill="1" applyAlignment="1">
      <alignment vertical="center"/>
    </xf>
    <xf numFmtId="185" fontId="14" fillId="0" borderId="20" xfId="0" applyNumberFormat="1" applyFont="1" applyBorder="1"/>
    <xf numFmtId="0" fontId="29" fillId="0" borderId="0" xfId="34" applyFont="1" applyAlignment="1">
      <alignment vertical="center"/>
    </xf>
    <xf numFmtId="0" fontId="55" fillId="0" borderId="0" xfId="0" applyFont="1" applyAlignment="1">
      <alignment horizontal="center"/>
    </xf>
    <xf numFmtId="2" fontId="23" fillId="0" borderId="0" xfId="0" applyNumberFormat="1" applyFont="1"/>
    <xf numFmtId="2" fontId="14" fillId="0" borderId="0" xfId="0" applyNumberFormat="1" applyFont="1"/>
    <xf numFmtId="0" fontId="28" fillId="0" borderId="0" xfId="0" applyFont="1" applyAlignment="1">
      <alignment horizontal="left" vertical="center" wrapText="1"/>
    </xf>
    <xf numFmtId="0" fontId="15" fillId="16" borderId="0" xfId="0" applyFont="1" applyFill="1" applyAlignment="1">
      <alignment horizontal="center" vertical="center" wrapText="1"/>
    </xf>
    <xf numFmtId="181" fontId="29" fillId="13" borderId="19" xfId="21" applyNumberFormat="1" applyFont="1" applyFill="1" applyBorder="1" applyAlignment="1" applyProtection="1">
      <alignment vertical="center"/>
      <protection hidden="1"/>
    </xf>
    <xf numFmtId="181" fontId="37" fillId="0" borderId="0" xfId="31" applyNumberFormat="1" applyFont="1" applyFill="1" applyBorder="1" applyAlignment="1" applyProtection="1">
      <alignment horizontal="left" vertical="top" wrapText="1"/>
      <protection locked="0"/>
    </xf>
    <xf numFmtId="4" fontId="29" fillId="15" borderId="17" xfId="31" applyNumberFormat="1" applyFont="1" applyFill="1" applyBorder="1" applyAlignment="1" applyProtection="1">
      <alignment horizontal="center" vertical="center"/>
      <protection hidden="1"/>
    </xf>
    <xf numFmtId="181" fontId="14" fillId="0" borderId="0" xfId="31" applyNumberFormat="1" applyFont="1" applyFill="1" applyBorder="1" applyAlignment="1" applyProtection="1">
      <alignment horizontal="left" vertical="top" wrapText="1"/>
      <protection locked="0"/>
    </xf>
    <xf numFmtId="181" fontId="37" fillId="0" borderId="0" xfId="31" applyNumberFormat="1" applyFont="1" applyFill="1" applyBorder="1" applyAlignment="1" applyProtection="1">
      <alignment vertical="top"/>
      <protection locked="0"/>
    </xf>
    <xf numFmtId="181" fontId="14" fillId="0" borderId="0" xfId="31" applyNumberFormat="1" applyFont="1" applyFill="1" applyBorder="1" applyAlignment="1" applyProtection="1">
      <alignment vertical="top"/>
      <protection locked="0"/>
    </xf>
    <xf numFmtId="0" fontId="29" fillId="14" borderId="0" xfId="28" applyFont="1" applyFill="1" applyBorder="1" applyAlignment="1" applyProtection="1">
      <protection hidden="1"/>
    </xf>
    <xf numFmtId="0" fontId="29" fillId="13" borderId="1" xfId="0" applyNumberFormat="1" applyFont="1" applyFill="1" applyBorder="1" applyAlignment="1">
      <alignment horizontal="left"/>
    </xf>
    <xf numFmtId="165" fontId="29" fillId="0" borderId="20" xfId="4" applyNumberFormat="1" applyFont="1" applyFill="1" applyBorder="1" applyAlignment="1">
      <alignment horizontal="left" indent="1"/>
    </xf>
    <xf numFmtId="177" fontId="28" fillId="13" borderId="0" xfId="18" applyNumberFormat="1" applyFont="1" applyFill="1" applyBorder="1" applyAlignment="1" applyProtection="1">
      <alignment horizontal="center"/>
      <protection hidden="1"/>
    </xf>
    <xf numFmtId="185" fontId="14" fillId="0" borderId="0" xfId="0" applyNumberFormat="1" applyFont="1"/>
    <xf numFmtId="2" fontId="31" fillId="0" borderId="0" xfId="22" applyNumberFormat="1" applyFont="1" applyFill="1" applyBorder="1" applyAlignment="1">
      <alignment horizontal="center" vertical="center"/>
    </xf>
    <xf numFmtId="0" fontId="14" fillId="0" borderId="38" xfId="0" applyFont="1" applyFill="1" applyBorder="1"/>
    <xf numFmtId="0" fontId="29" fillId="0" borderId="38" xfId="0" applyFont="1" applyBorder="1" applyAlignment="1">
      <alignment horizontal="center"/>
    </xf>
    <xf numFmtId="0" fontId="29" fillId="0" borderId="38" xfId="0" applyNumberFormat="1" applyFont="1" applyBorder="1" applyAlignment="1">
      <alignment horizontal="center"/>
    </xf>
    <xf numFmtId="0" fontId="29" fillId="0" borderId="38" xfId="0" applyFont="1" applyBorder="1"/>
    <xf numFmtId="0" fontId="29" fillId="0" borderId="38" xfId="2" applyNumberFormat="1" applyFont="1" applyFill="1" applyBorder="1" applyAlignment="1"/>
    <xf numFmtId="179" fontId="14" fillId="0" borderId="38" xfId="0" applyNumberFormat="1" applyFont="1" applyBorder="1" applyAlignment="1">
      <alignment horizontal="right"/>
    </xf>
    <xf numFmtId="176" fontId="29" fillId="0" borderId="38" xfId="0" applyNumberFormat="1" applyFont="1" applyBorder="1" applyAlignment="1">
      <alignment horizontal="center"/>
    </xf>
    <xf numFmtId="1" fontId="29" fillId="0" borderId="38" xfId="0" applyNumberFormat="1" applyFont="1" applyFill="1" applyBorder="1" applyAlignment="1">
      <alignment horizontal="center"/>
    </xf>
    <xf numFmtId="2" fontId="29" fillId="0" borderId="14" xfId="0" applyNumberFormat="1" applyFont="1" applyBorder="1" applyAlignment="1">
      <alignment horizontal="center"/>
    </xf>
    <xf numFmtId="174" fontId="29" fillId="0" borderId="37" xfId="0" applyNumberFormat="1" applyFont="1" applyBorder="1"/>
    <xf numFmtId="2" fontId="29" fillId="0" borderId="38" xfId="2" applyNumberFormat="1" applyFont="1" applyFill="1" applyBorder="1" applyAlignment="1">
      <alignment horizontal="center"/>
    </xf>
    <xf numFmtId="43" fontId="29" fillId="0" borderId="38" xfId="2" applyFont="1" applyBorder="1"/>
    <xf numFmtId="183" fontId="29" fillId="0" borderId="38" xfId="0" applyNumberFormat="1" applyFont="1" applyFill="1" applyBorder="1"/>
    <xf numFmtId="0" fontId="29" fillId="0" borderId="0" xfId="0" applyFont="1" applyFill="1" applyAlignment="1">
      <alignment horizontal="center"/>
    </xf>
    <xf numFmtId="0" fontId="28" fillId="0" borderId="0" xfId="0" applyFont="1" applyFill="1" applyAlignment="1">
      <alignment horizontal="center"/>
    </xf>
    <xf numFmtId="165" fontId="29" fillId="0" borderId="0" xfId="4" applyNumberFormat="1" applyFont="1" applyFill="1" applyBorder="1" applyAlignment="1">
      <alignment horizontal="left" indent="1"/>
    </xf>
    <xf numFmtId="0" fontId="63" fillId="14" borderId="0" xfId="0" applyFont="1" applyFill="1" applyAlignment="1">
      <alignment horizontal="center"/>
    </xf>
    <xf numFmtId="3" fontId="14" fillId="0" borderId="0" xfId="0" applyNumberFormat="1" applyFont="1" applyAlignment="1">
      <alignment horizontal="center"/>
    </xf>
    <xf numFmtId="176" fontId="62" fillId="0" borderId="0" xfId="0" applyNumberFormat="1" applyFont="1" applyFill="1" applyBorder="1" applyAlignment="1">
      <alignment horizontal="center" vertical="center" wrapText="1"/>
    </xf>
    <xf numFmtId="176" fontId="77" fillId="0" borderId="38" xfId="0" applyNumberFormat="1" applyFont="1" applyFill="1" applyBorder="1" applyAlignment="1">
      <alignment horizontal="center"/>
    </xf>
    <xf numFmtId="176" fontId="29" fillId="0" borderId="38" xfId="0" applyNumberFormat="1" applyFont="1" applyFill="1" applyBorder="1" applyAlignment="1">
      <alignment horizontal="center"/>
    </xf>
    <xf numFmtId="2" fontId="14" fillId="0" borderId="23" xfId="28" applyNumberFormat="1" applyFont="1" applyFill="1" applyBorder="1" applyAlignment="1" applyProtection="1">
      <alignment horizontal="center" textRotation="90" wrapText="1"/>
      <protection hidden="1"/>
    </xf>
    <xf numFmtId="3" fontId="14" fillId="0" borderId="0" xfId="0" applyNumberFormat="1" applyFont="1"/>
    <xf numFmtId="0" fontId="28" fillId="14" borderId="0" xfId="34" applyFont="1" applyFill="1" applyBorder="1" applyAlignment="1">
      <alignment horizontal="center" vertical="center"/>
    </xf>
    <xf numFmtId="0" fontId="14" fillId="0" borderId="20" xfId="0" applyFont="1" applyFill="1" applyBorder="1" applyAlignment="1">
      <alignment vertical="center"/>
    </xf>
    <xf numFmtId="0" fontId="51" fillId="13" borderId="19" xfId="26" applyFont="1" applyFill="1" applyBorder="1" applyAlignment="1">
      <alignment horizontal="center"/>
    </xf>
    <xf numFmtId="0" fontId="14" fillId="14" borderId="20" xfId="0" applyFont="1" applyFill="1" applyBorder="1" applyAlignment="1">
      <alignment horizontal="center" vertical="center"/>
    </xf>
    <xf numFmtId="0" fontId="14" fillId="14" borderId="3" xfId="0" applyFont="1" applyFill="1" applyBorder="1" applyAlignment="1">
      <alignment horizontal="center"/>
    </xf>
    <xf numFmtId="174" fontId="29" fillId="15" borderId="1" xfId="0" applyNumberFormat="1" applyFont="1" applyFill="1" applyBorder="1" applyAlignment="1">
      <alignment horizontal="center"/>
    </xf>
    <xf numFmtId="2" fontId="29" fillId="13" borderId="17" xfId="28" applyNumberFormat="1" applyFont="1" applyFill="1" applyBorder="1" applyAlignment="1" applyProtection="1">
      <alignment horizontal="center" vertical="center" textRotation="90"/>
      <protection hidden="1"/>
    </xf>
    <xf numFmtId="181" fontId="36" fillId="13" borderId="17" xfId="31" applyNumberFormat="1" applyFont="1" applyFill="1" applyBorder="1" applyAlignment="1" applyProtection="1">
      <alignment horizontal="center" vertical="center"/>
      <protection hidden="1"/>
    </xf>
    <xf numFmtId="4" fontId="29" fillId="13" borderId="17" xfId="5" applyNumberFormat="1" applyFont="1" applyFill="1" applyBorder="1" applyAlignment="1" applyProtection="1">
      <alignment horizontal="center" vertical="center"/>
      <protection locked="0"/>
    </xf>
    <xf numFmtId="4" fontId="28" fillId="13" borderId="17" xfId="5" applyNumberFormat="1" applyFont="1" applyFill="1" applyBorder="1" applyAlignment="1" applyProtection="1">
      <alignment horizontal="center" vertical="center"/>
      <protection hidden="1"/>
    </xf>
    <xf numFmtId="4" fontId="29" fillId="17" borderId="17" xfId="5" applyNumberFormat="1" applyFont="1" applyFill="1" applyBorder="1" applyAlignment="1" applyProtection="1">
      <alignment horizontal="center" vertical="center"/>
      <protection locked="0"/>
    </xf>
    <xf numFmtId="4" fontId="36" fillId="13" borderId="17" xfId="5" applyNumberFormat="1" applyFont="1" applyFill="1" applyBorder="1" applyAlignment="1" applyProtection="1">
      <alignment horizontal="center" vertical="center"/>
      <protection locked="0"/>
    </xf>
    <xf numFmtId="183" fontId="29" fillId="13" borderId="34" xfId="18" applyNumberFormat="1" applyFont="1" applyFill="1" applyBorder="1" applyAlignment="1" applyProtection="1">
      <alignment horizontal="right"/>
      <protection hidden="1"/>
    </xf>
    <xf numFmtId="183" fontId="29" fillId="13" borderId="35" xfId="18" applyNumberFormat="1" applyFont="1" applyFill="1" applyBorder="1" applyAlignment="1" applyProtection="1">
      <alignment horizontal="right"/>
      <protection hidden="1"/>
    </xf>
    <xf numFmtId="183" fontId="29" fillId="13" borderId="36" xfId="18" applyNumberFormat="1" applyFont="1" applyFill="1" applyBorder="1" applyAlignment="1" applyProtection="1">
      <alignment horizontal="right"/>
      <protection hidden="1"/>
    </xf>
    <xf numFmtId="183" fontId="29" fillId="13" borderId="18" xfId="18" applyNumberFormat="1" applyFont="1" applyFill="1" applyBorder="1" applyAlignment="1" applyProtection="1">
      <alignment horizontal="right"/>
      <protection hidden="1"/>
    </xf>
    <xf numFmtId="183" fontId="28" fillId="13" borderId="0" xfId="18" applyNumberFormat="1" applyFont="1" applyFill="1" applyBorder="1" applyAlignment="1" applyProtection="1">
      <alignment horizontal="right"/>
      <protection hidden="1"/>
    </xf>
    <xf numFmtId="0" fontId="14" fillId="14" borderId="15" xfId="0" applyFont="1" applyFill="1" applyBorder="1" applyAlignment="1">
      <alignment horizontal="center"/>
    </xf>
    <xf numFmtId="3" fontId="14" fillId="0" borderId="38" xfId="0" applyNumberFormat="1" applyFont="1" applyBorder="1" applyAlignment="1">
      <alignment horizontal="center" vertical="center"/>
    </xf>
    <xf numFmtId="0" fontId="14" fillId="0" borderId="38" xfId="0" applyFont="1" applyBorder="1" applyAlignment="1">
      <alignment horizontal="center" vertical="center"/>
    </xf>
    <xf numFmtId="3" fontId="14" fillId="0" borderId="39" xfId="0" applyNumberFormat="1" applyFont="1" applyBorder="1" applyAlignment="1">
      <alignment horizontal="center"/>
    </xf>
    <xf numFmtId="4" fontId="29" fillId="0" borderId="20" xfId="0" applyNumberFormat="1" applyFont="1" applyBorder="1"/>
    <xf numFmtId="4" fontId="29" fillId="0" borderId="20" xfId="0" applyNumberFormat="1" applyFont="1" applyBorder="1" applyAlignment="1">
      <alignment horizontal="center"/>
    </xf>
    <xf numFmtId="0" fontId="29" fillId="14" borderId="19" xfId="18" applyNumberFormat="1" applyFont="1" applyFill="1" applyBorder="1" applyAlignment="1" applyProtection="1">
      <alignment horizontal="right"/>
      <protection hidden="1"/>
    </xf>
    <xf numFmtId="0" fontId="63" fillId="13" borderId="0" xfId="0" applyFont="1" applyFill="1" applyAlignment="1">
      <alignment vertical="center"/>
    </xf>
    <xf numFmtId="0" fontId="62" fillId="13" borderId="0" xfId="0" applyFont="1" applyFill="1" applyAlignment="1">
      <alignment vertical="center"/>
    </xf>
    <xf numFmtId="9" fontId="29" fillId="13" borderId="17" xfId="31" applyFont="1" applyFill="1" applyBorder="1" applyAlignment="1" applyProtection="1">
      <alignment horizontal="center" vertical="center"/>
      <protection hidden="1"/>
    </xf>
    <xf numFmtId="189" fontId="31" fillId="0" borderId="0" xfId="22" applyNumberFormat="1" applyFont="1" applyFill="1" applyBorder="1" applyAlignment="1">
      <alignment horizontal="left"/>
    </xf>
    <xf numFmtId="2" fontId="29" fillId="13" borderId="32" xfId="23" applyNumberFormat="1" applyFont="1" applyFill="1" applyBorder="1" applyAlignment="1">
      <alignment vertical="center"/>
    </xf>
    <xf numFmtId="2" fontId="28" fillId="16" borderId="29" xfId="28" applyNumberFormat="1" applyFont="1" applyFill="1" applyBorder="1" applyAlignment="1" applyProtection="1">
      <alignment vertical="center"/>
      <protection hidden="1"/>
    </xf>
    <xf numFmtId="0" fontId="29" fillId="13" borderId="33" xfId="23" applyFont="1" applyFill="1" applyBorder="1" applyAlignment="1">
      <alignment vertical="center"/>
    </xf>
    <xf numFmtId="0" fontId="29" fillId="13" borderId="32" xfId="23" applyFont="1" applyFill="1" applyBorder="1" applyAlignment="1">
      <alignment vertical="center"/>
    </xf>
    <xf numFmtId="0" fontId="29" fillId="13" borderId="31" xfId="23" applyFont="1" applyFill="1" applyBorder="1" applyAlignment="1">
      <alignment vertical="center"/>
    </xf>
    <xf numFmtId="10" fontId="29" fillId="13" borderId="31" xfId="31" applyNumberFormat="1" applyFont="1" applyFill="1" applyBorder="1" applyAlignment="1" applyProtection="1">
      <alignment vertical="center"/>
      <protection hidden="1"/>
    </xf>
    <xf numFmtId="2" fontId="29" fillId="18" borderId="17" xfId="28" applyNumberFormat="1" applyFont="1" applyFill="1" applyBorder="1" applyAlignment="1" applyProtection="1">
      <alignment horizontal="center" vertical="center" textRotation="90"/>
      <protection hidden="1"/>
    </xf>
    <xf numFmtId="0" fontId="29" fillId="18" borderId="17" xfId="28" applyFont="1" applyFill="1" applyBorder="1" applyAlignment="1" applyProtection="1">
      <alignment horizontal="center" vertical="center" textRotation="90"/>
      <protection hidden="1"/>
    </xf>
    <xf numFmtId="0" fontId="28" fillId="18" borderId="17" xfId="28" applyFont="1" applyFill="1" applyBorder="1" applyAlignment="1" applyProtection="1">
      <alignment horizontal="center" vertical="center" textRotation="90"/>
      <protection hidden="1"/>
    </xf>
    <xf numFmtId="0" fontId="36" fillId="18" borderId="17" xfId="28" applyNumberFormat="1" applyFont="1" applyFill="1" applyBorder="1" applyAlignment="1" applyProtection="1">
      <alignment horizontal="center" vertical="center" textRotation="90"/>
      <protection hidden="1"/>
    </xf>
    <xf numFmtId="0" fontId="52" fillId="18" borderId="17" xfId="28" applyFont="1" applyFill="1" applyBorder="1" applyAlignment="1" applyProtection="1">
      <alignment horizontal="center" vertical="center" textRotation="90"/>
      <protection hidden="1"/>
    </xf>
    <xf numFmtId="4" fontId="28" fillId="13" borderId="17" xfId="5" applyNumberFormat="1" applyFont="1" applyFill="1" applyBorder="1" applyAlignment="1" applyProtection="1">
      <alignment horizontal="center" vertical="center"/>
      <protection hidden="1"/>
    </xf>
    <xf numFmtId="2" fontId="23" fillId="0" borderId="0" xfId="0" applyNumberFormat="1" applyFont="1" applyAlignment="1">
      <alignment horizontal="center"/>
    </xf>
    <xf numFmtId="0" fontId="29" fillId="10" borderId="16" xfId="0" applyFont="1" applyFill="1" applyBorder="1" applyAlignment="1">
      <alignment horizontal="center"/>
    </xf>
    <xf numFmtId="0" fontId="17" fillId="0" borderId="19" xfId="19" applyBorder="1"/>
    <xf numFmtId="189" fontId="29" fillId="0" borderId="19" xfId="0" applyNumberFormat="1" applyFont="1" applyBorder="1" applyAlignment="1">
      <alignment horizontal="center"/>
    </xf>
    <xf numFmtId="0" fontId="30" fillId="0" borderId="0" xfId="22" applyNumberFormat="1" applyFont="1" applyFill="1" applyBorder="1" applyAlignment="1">
      <alignment horizontal="left"/>
    </xf>
    <xf numFmtId="2" fontId="60" fillId="0" borderId="0" xfId="22" applyNumberFormat="1" applyFont="1" applyFill="1" applyBorder="1" applyAlignment="1"/>
    <xf numFmtId="0" fontId="29" fillId="0" borderId="0" xfId="18" applyNumberFormat="1" applyFont="1" applyFill="1" applyBorder="1" applyAlignment="1" applyProtection="1">
      <alignment horizontal="left" wrapText="1"/>
      <protection hidden="1"/>
    </xf>
    <xf numFmtId="49" fontId="63" fillId="0" borderId="0" xfId="18" applyNumberFormat="1" applyFont="1" applyFill="1" applyBorder="1" applyAlignment="1" applyProtection="1">
      <alignment horizontal="left" vertical="center"/>
      <protection hidden="1"/>
    </xf>
    <xf numFmtId="188" fontId="0" fillId="0" borderId="0" xfId="6" applyNumberFormat="1" applyFont="1" applyAlignment="1">
      <alignment horizontal="center" vertical="center"/>
    </xf>
    <xf numFmtId="182" fontId="29" fillId="0" borderId="0" xfId="8" applyNumberFormat="1" applyFont="1" applyFill="1" applyAlignment="1">
      <alignment horizontal="center" vertical="center"/>
    </xf>
    <xf numFmtId="181" fontId="29" fillId="0" borderId="25" xfId="21" applyNumberFormat="1" applyFont="1" applyFill="1" applyBorder="1" applyAlignment="1" applyProtection="1">
      <alignment vertical="center"/>
      <protection hidden="1"/>
    </xf>
    <xf numFmtId="2" fontId="56" fillId="13" borderId="0" xfId="0" applyNumberFormat="1" applyFont="1" applyFill="1" applyAlignment="1">
      <alignment horizontal="center" vertical="center"/>
    </xf>
    <xf numFmtId="0" fontId="0" fillId="13" borderId="0" xfId="0" applyFill="1"/>
    <xf numFmtId="0" fontId="14" fillId="0" borderId="38" xfId="0" applyFont="1" applyBorder="1"/>
    <xf numFmtId="0" fontId="29" fillId="0" borderId="38" xfId="23" applyFont="1" applyFill="1" applyBorder="1"/>
    <xf numFmtId="0" fontId="28" fillId="0" borderId="38" xfId="23" applyFont="1" applyFill="1" applyBorder="1"/>
    <xf numFmtId="10" fontId="15" fillId="13" borderId="25" xfId="27" applyNumberFormat="1" applyFont="1" applyFill="1" applyBorder="1"/>
    <xf numFmtId="0" fontId="29" fillId="0" borderId="38" xfId="21" applyFont="1" applyFill="1" applyBorder="1" applyAlignment="1" applyProtection="1">
      <alignment vertical="center"/>
      <protection hidden="1"/>
    </xf>
    <xf numFmtId="0" fontId="28" fillId="0" borderId="38" xfId="21" applyFont="1" applyFill="1" applyBorder="1" applyAlignment="1" applyProtection="1">
      <alignment vertical="center"/>
      <protection hidden="1"/>
    </xf>
    <xf numFmtId="181" fontId="29" fillId="13" borderId="25" xfId="21" applyNumberFormat="1" applyFont="1" applyFill="1" applyBorder="1" applyAlignment="1" applyProtection="1">
      <alignment vertical="center"/>
      <protection hidden="1"/>
    </xf>
    <xf numFmtId="0" fontId="28" fillId="0" borderId="38" xfId="28" applyFont="1" applyFill="1" applyBorder="1" applyAlignment="1" applyProtection="1">
      <alignment horizontal="right" vertical="center"/>
      <protection hidden="1"/>
    </xf>
    <xf numFmtId="181" fontId="28" fillId="16" borderId="25" xfId="23" applyNumberFormat="1" applyFont="1" applyFill="1" applyBorder="1" applyAlignment="1"/>
    <xf numFmtId="0" fontId="29" fillId="0" borderId="0" xfId="23" applyFont="1" applyBorder="1"/>
    <xf numFmtId="0" fontId="14" fillId="0" borderId="0" xfId="0" applyNumberFormat="1" applyFont="1" applyBorder="1"/>
    <xf numFmtId="0" fontId="14" fillId="0" borderId="0" xfId="0" applyNumberFormat="1" applyFont="1" applyFill="1" applyBorder="1"/>
    <xf numFmtId="0" fontId="29" fillId="0" borderId="29" xfId="23" applyFont="1" applyBorder="1"/>
    <xf numFmtId="44" fontId="14" fillId="14" borderId="25" xfId="10" applyNumberFormat="1" applyFont="1" applyFill="1" applyBorder="1" applyAlignment="1">
      <alignment horizontal="center"/>
    </xf>
    <xf numFmtId="0" fontId="29" fillId="0" borderId="0" xfId="23" applyFont="1"/>
    <xf numFmtId="181" fontId="28" fillId="16" borderId="29" xfId="31" applyNumberFormat="1" applyFont="1" applyFill="1" applyBorder="1" applyAlignment="1" applyProtection="1">
      <alignment vertical="center"/>
      <protection hidden="1"/>
    </xf>
    <xf numFmtId="2" fontId="29" fillId="0" borderId="17" xfId="32" applyNumberFormat="1" applyFont="1" applyFill="1" applyBorder="1" applyAlignment="1" applyProtection="1">
      <alignment horizontal="center" vertical="center"/>
      <protection hidden="1"/>
    </xf>
    <xf numFmtId="0" fontId="29" fillId="0" borderId="0" xfId="0" applyNumberFormat="1" applyFont="1" applyFill="1" applyAlignment="1">
      <alignment horizontal="center"/>
    </xf>
    <xf numFmtId="0" fontId="28" fillId="0" borderId="0" xfId="0" applyNumberFormat="1" applyFont="1" applyFill="1" applyAlignment="1">
      <alignment horizontal="center"/>
    </xf>
    <xf numFmtId="1" fontId="0" fillId="0" borderId="0" xfId="0" applyNumberFormat="1" applyFill="1"/>
    <xf numFmtId="0" fontId="0" fillId="0" borderId="0" xfId="0" applyFill="1"/>
    <xf numFmtId="0" fontId="14" fillId="0" borderId="0" xfId="0" applyFont="1" applyFill="1"/>
    <xf numFmtId="0" fontId="54" fillId="0" borderId="0" xfId="0" applyFont="1" applyFill="1" applyAlignment="1">
      <alignment horizontal="center"/>
    </xf>
    <xf numFmtId="1" fontId="83" fillId="0" borderId="0" xfId="0" applyNumberFormat="1" applyFont="1" applyFill="1"/>
    <xf numFmtId="0" fontId="83" fillId="0" borderId="0" xfId="0" applyFont="1" applyFill="1" applyAlignment="1">
      <alignment horizontal="center"/>
    </xf>
    <xf numFmtId="0" fontId="83" fillId="0" borderId="0" xfId="0" applyFont="1" applyFill="1"/>
    <xf numFmtId="0" fontId="83" fillId="0" borderId="0" xfId="0" applyFont="1"/>
    <xf numFmtId="179" fontId="29" fillId="0" borderId="0" xfId="0" applyNumberFormat="1" applyFont="1" applyAlignment="1">
      <alignment horizontal="left"/>
    </xf>
    <xf numFmtId="179" fontId="28" fillId="0" borderId="0" xfId="0" applyNumberFormat="1" applyFont="1" applyAlignment="1">
      <alignment horizontal="left"/>
    </xf>
    <xf numFmtId="0" fontId="29" fillId="0" borderId="0" xfId="0" applyFont="1" applyAlignment="1">
      <alignment horizontal="left" vertical="top"/>
    </xf>
    <xf numFmtId="0" fontId="62" fillId="13" borderId="0" xfId="0" applyFont="1" applyFill="1" applyAlignment="1">
      <alignment horizontal="center" vertical="center"/>
    </xf>
    <xf numFmtId="0" fontId="27" fillId="0" borderId="0" xfId="0" applyFont="1" applyFill="1" applyAlignment="1">
      <alignment vertical="center"/>
    </xf>
    <xf numFmtId="2" fontId="29" fillId="0" borderId="0" xfId="0" applyNumberFormat="1" applyFont="1" applyFill="1" applyAlignment="1">
      <alignment horizontal="center" vertical="center"/>
    </xf>
    <xf numFmtId="2" fontId="0" fillId="0" borderId="0" xfId="0" applyNumberFormat="1" applyAlignment="1">
      <alignment horizontal="center" vertical="center"/>
    </xf>
    <xf numFmtId="0" fontId="73" fillId="0" borderId="0" xfId="0" applyFont="1" applyBorder="1"/>
    <xf numFmtId="0" fontId="73" fillId="0" borderId="0" xfId="0" applyFont="1" applyBorder="1" applyAlignment="1">
      <alignment vertical="center"/>
    </xf>
    <xf numFmtId="0" fontId="65" fillId="14" borderId="50" xfId="0" applyFont="1" applyFill="1" applyBorder="1" applyAlignment="1">
      <alignment horizontal="center" vertical="center"/>
    </xf>
    <xf numFmtId="0" fontId="73" fillId="14" borderId="0" xfId="0" applyFont="1" applyFill="1" applyBorder="1"/>
    <xf numFmtId="0" fontId="78" fillId="14" borderId="0" xfId="0" applyFont="1" applyFill="1" applyBorder="1" applyAlignment="1">
      <alignment vertical="center"/>
    </xf>
    <xf numFmtId="177" fontId="29" fillId="0" borderId="20" xfId="31" applyNumberFormat="1" applyFont="1" applyBorder="1" applyAlignment="1">
      <alignment horizontal="center"/>
    </xf>
    <xf numFmtId="0" fontId="51" fillId="13" borderId="51" xfId="0" applyFont="1" applyFill="1" applyBorder="1" applyAlignment="1">
      <alignment horizontal="center" wrapText="1"/>
    </xf>
    <xf numFmtId="178" fontId="51" fillId="13" borderId="51" xfId="0" applyNumberFormat="1" applyFont="1" applyFill="1" applyBorder="1" applyAlignment="1">
      <alignment horizontal="center" wrapText="1"/>
    </xf>
    <xf numFmtId="15" fontId="51" fillId="13" borderId="51" xfId="0" applyNumberFormat="1" applyFont="1" applyFill="1" applyBorder="1" applyAlignment="1">
      <alignment horizontal="center" wrapText="1"/>
    </xf>
    <xf numFmtId="0" fontId="54" fillId="13" borderId="51" xfId="0" applyFont="1" applyFill="1" applyBorder="1" applyAlignment="1">
      <alignment horizontal="center"/>
    </xf>
    <xf numFmtId="0" fontId="82" fillId="13" borderId="51" xfId="0" applyFont="1" applyFill="1" applyBorder="1" applyAlignment="1"/>
    <xf numFmtId="0" fontId="29" fillId="0" borderId="17" xfId="0" applyFont="1" applyFill="1" applyBorder="1"/>
    <xf numFmtId="15" fontId="29" fillId="0" borderId="17" xfId="0" applyNumberFormat="1" applyFont="1" applyFill="1" applyBorder="1" applyAlignment="1">
      <alignment horizontal="center"/>
    </xf>
    <xf numFmtId="1" fontId="29" fillId="0" borderId="17" xfId="0" applyNumberFormat="1" applyFont="1" applyFill="1" applyBorder="1" applyAlignment="1">
      <alignment horizontal="center"/>
    </xf>
    <xf numFmtId="0" fontId="17" fillId="0" borderId="17" xfId="0" applyNumberFormat="1" applyFont="1" applyFill="1" applyBorder="1" applyAlignment="1">
      <alignment horizontal="center"/>
    </xf>
    <xf numFmtId="0" fontId="17" fillId="0" borderId="17" xfId="0" applyFont="1" applyFill="1" applyBorder="1"/>
    <xf numFmtId="190" fontId="29" fillId="0" borderId="17" xfId="0" applyNumberFormat="1" applyFont="1" applyFill="1" applyBorder="1" applyAlignment="1">
      <alignment horizontal="center"/>
    </xf>
    <xf numFmtId="178" fontId="29" fillId="0" borderId="17" xfId="2" applyNumberFormat="1" applyFont="1" applyFill="1" applyBorder="1" applyAlignment="1"/>
    <xf numFmtId="0" fontId="29" fillId="0" borderId="17" xfId="0" applyFont="1" applyFill="1" applyBorder="1" applyAlignment="1">
      <alignment horizontal="left"/>
    </xf>
    <xf numFmtId="178" fontId="16" fillId="0" borderId="17" xfId="31" applyNumberFormat="1" applyFont="1" applyFill="1" applyBorder="1" applyAlignment="1">
      <alignment horizontal="center"/>
    </xf>
    <xf numFmtId="178" fontId="16" fillId="0" borderId="17" xfId="0" applyNumberFormat="1" applyFont="1" applyFill="1" applyBorder="1"/>
    <xf numFmtId="178" fontId="29" fillId="0" borderId="17" xfId="0" applyNumberFormat="1" applyFont="1" applyFill="1" applyBorder="1" applyAlignment="1">
      <alignment horizontal="right"/>
    </xf>
    <xf numFmtId="192" fontId="29" fillId="0" borderId="17" xfId="0" applyNumberFormat="1" applyFont="1" applyFill="1" applyBorder="1" applyAlignment="1">
      <alignment horizontal="center"/>
    </xf>
    <xf numFmtId="176" fontId="29" fillId="0" borderId="17" xfId="0" applyNumberFormat="1" applyFont="1" applyFill="1" applyBorder="1" applyAlignment="1">
      <alignment horizontal="center"/>
    </xf>
    <xf numFmtId="43" fontId="29" fillId="0" borderId="17" xfId="2" applyFont="1" applyFill="1" applyBorder="1" applyAlignment="1">
      <alignment horizontal="center"/>
    </xf>
    <xf numFmtId="174" fontId="29" fillId="0" borderId="17" xfId="2" applyNumberFormat="1" applyFont="1" applyFill="1" applyBorder="1" applyAlignment="1">
      <alignment horizontal="center"/>
    </xf>
    <xf numFmtId="0" fontId="0" fillId="0" borderId="17" xfId="0" applyFill="1" applyBorder="1"/>
    <xf numFmtId="2" fontId="29" fillId="0" borderId="17" xfId="2" applyNumberFormat="1" applyFont="1" applyFill="1" applyBorder="1" applyAlignment="1">
      <alignment horizontal="center"/>
    </xf>
    <xf numFmtId="0" fontId="57" fillId="0" borderId="17" xfId="0" applyFont="1" applyFill="1" applyBorder="1"/>
    <xf numFmtId="0" fontId="0" fillId="0" borderId="17" xfId="0" applyFill="1" applyBorder="1" applyAlignment="1">
      <alignment horizontal="center"/>
    </xf>
    <xf numFmtId="190" fontId="29" fillId="6" borderId="17" xfId="0" applyNumberFormat="1" applyFont="1" applyFill="1" applyBorder="1" applyAlignment="1">
      <alignment horizontal="center"/>
    </xf>
    <xf numFmtId="0" fontId="29" fillId="6" borderId="17" xfId="0" applyFont="1" applyFill="1" applyBorder="1"/>
    <xf numFmtId="178" fontId="29" fillId="6" borderId="17" xfId="2" applyNumberFormat="1" applyFont="1" applyFill="1" applyBorder="1" applyAlignment="1"/>
    <xf numFmtId="0" fontId="0" fillId="6" borderId="17" xfId="0" applyFill="1" applyBorder="1"/>
    <xf numFmtId="0" fontId="29" fillId="6" borderId="17" xfId="0" applyFont="1" applyFill="1" applyBorder="1" applyAlignment="1">
      <alignment horizontal="left"/>
    </xf>
    <xf numFmtId="178" fontId="16" fillId="6" borderId="17" xfId="31" applyNumberFormat="1" applyFont="1" applyFill="1" applyBorder="1" applyAlignment="1">
      <alignment horizontal="center"/>
    </xf>
    <xf numFmtId="178" fontId="16" fillId="6" borderId="17" xfId="0" applyNumberFormat="1" applyFont="1" applyFill="1" applyBorder="1"/>
    <xf numFmtId="1" fontId="0" fillId="6" borderId="17" xfId="0" applyNumberFormat="1" applyFill="1" applyBorder="1"/>
    <xf numFmtId="15" fontId="0" fillId="0" borderId="17" xfId="0" applyNumberFormat="1" applyFill="1" applyBorder="1" applyAlignment="1">
      <alignment horizontal="center"/>
    </xf>
    <xf numFmtId="190" fontId="29" fillId="6" borderId="17" xfId="0" applyNumberFormat="1" applyFont="1" applyFill="1" applyBorder="1" applyAlignment="1">
      <alignment horizontal="left"/>
    </xf>
    <xf numFmtId="0" fontId="29" fillId="10" borderId="17" xfId="0" applyFont="1" applyFill="1" applyBorder="1"/>
    <xf numFmtId="190" fontId="29" fillId="0" borderId="17" xfId="0" applyNumberFormat="1" applyFont="1" applyFill="1" applyBorder="1" applyAlignment="1">
      <alignment horizontal="left"/>
    </xf>
    <xf numFmtId="178" fontId="16" fillId="0" borderId="17" xfId="0" applyNumberFormat="1" applyFont="1" applyFill="1" applyBorder="1" applyAlignment="1">
      <alignment horizontal="center"/>
    </xf>
    <xf numFmtId="178" fontId="16" fillId="6" borderId="17" xfId="0" applyNumberFormat="1" applyFont="1" applyFill="1" applyBorder="1" applyAlignment="1">
      <alignment horizontal="center"/>
    </xf>
    <xf numFmtId="0" fontId="14" fillId="0" borderId="17" xfId="0" applyFont="1" applyFill="1" applyBorder="1"/>
    <xf numFmtId="0" fontId="29" fillId="11" borderId="17" xfId="0" applyFont="1" applyFill="1" applyBorder="1"/>
    <xf numFmtId="0" fontId="29" fillId="20" borderId="17" xfId="0" applyFont="1" applyFill="1" applyBorder="1"/>
    <xf numFmtId="190" fontId="29" fillId="10" borderId="17" xfId="0" applyNumberFormat="1" applyFont="1" applyFill="1" applyBorder="1" applyAlignment="1">
      <alignment horizontal="center"/>
    </xf>
    <xf numFmtId="176" fontId="14" fillId="0" borderId="17" xfId="0" applyNumberFormat="1" applyFont="1" applyFill="1" applyBorder="1" applyAlignment="1">
      <alignment horizontal="center"/>
    </xf>
    <xf numFmtId="178" fontId="29" fillId="13" borderId="17" xfId="2" applyNumberFormat="1" applyFont="1" applyFill="1" applyBorder="1" applyAlignment="1"/>
    <xf numFmtId="0" fontId="29" fillId="10" borderId="17" xfId="0" applyFont="1" applyFill="1" applyBorder="1" applyAlignment="1">
      <alignment horizontal="left"/>
    </xf>
    <xf numFmtId="178" fontId="16" fillId="10" borderId="17" xfId="31" applyNumberFormat="1" applyFont="1" applyFill="1" applyBorder="1" applyAlignment="1">
      <alignment horizontal="center"/>
    </xf>
    <xf numFmtId="178" fontId="16" fillId="10" borderId="17" xfId="0" applyNumberFormat="1" applyFont="1" applyFill="1" applyBorder="1"/>
    <xf numFmtId="178" fontId="29" fillId="10" borderId="17" xfId="0" applyNumberFormat="1" applyFont="1" applyFill="1" applyBorder="1" applyAlignment="1">
      <alignment horizontal="right"/>
    </xf>
    <xf numFmtId="190" fontId="29" fillId="19" borderId="17" xfId="0" applyNumberFormat="1" applyFont="1" applyFill="1" applyBorder="1" applyAlignment="1">
      <alignment horizontal="center"/>
    </xf>
    <xf numFmtId="0" fontId="29" fillId="0" borderId="17" xfId="0" applyFont="1" applyBorder="1"/>
    <xf numFmtId="178" fontId="29" fillId="6" borderId="17" xfId="0" applyNumberFormat="1" applyFont="1" applyFill="1" applyBorder="1" applyAlignment="1">
      <alignment horizontal="right"/>
    </xf>
    <xf numFmtId="192" fontId="77" fillId="0" borderId="17" xfId="0" applyNumberFormat="1" applyFont="1" applyBorder="1" applyAlignment="1">
      <alignment horizontal="center"/>
    </xf>
    <xf numFmtId="176" fontId="77" fillId="0" borderId="17" xfId="0" applyNumberFormat="1" applyFont="1" applyBorder="1" applyAlignment="1">
      <alignment horizontal="center"/>
    </xf>
    <xf numFmtId="1" fontId="84" fillId="0" borderId="17" xfId="0" applyNumberFormat="1" applyFont="1" applyFill="1" applyBorder="1" applyAlignment="1">
      <alignment horizontal="right"/>
    </xf>
    <xf numFmtId="191" fontId="84" fillId="0" borderId="17" xfId="0" applyNumberFormat="1" applyFont="1" applyFill="1" applyBorder="1"/>
    <xf numFmtId="165" fontId="84" fillId="0" borderId="17" xfId="0" applyNumberFormat="1" applyFont="1" applyFill="1" applyBorder="1"/>
    <xf numFmtId="0" fontId="84" fillId="0" borderId="17" xfId="0" applyFont="1" applyFill="1" applyBorder="1"/>
    <xf numFmtId="1" fontId="84" fillId="0" borderId="17" xfId="0" applyNumberFormat="1" applyFont="1" applyFill="1" applyBorder="1"/>
    <xf numFmtId="0" fontId="85" fillId="0" borderId="17" xfId="0" applyFont="1" applyFill="1" applyBorder="1" applyAlignment="1"/>
    <xf numFmtId="2" fontId="29" fillId="0" borderId="17" xfId="0" applyNumberFormat="1" applyFont="1" applyFill="1" applyBorder="1" applyAlignment="1">
      <alignment horizontal="center"/>
    </xf>
    <xf numFmtId="3" fontId="29" fillId="13" borderId="1" xfId="0" applyNumberFormat="1" applyFont="1" applyFill="1" applyBorder="1" applyAlignment="1">
      <alignment horizontal="center"/>
    </xf>
    <xf numFmtId="3" fontId="29" fillId="0" borderId="17" xfId="0" applyNumberFormat="1" applyFont="1" applyFill="1" applyBorder="1" applyAlignment="1">
      <alignment horizontal="center"/>
    </xf>
    <xf numFmtId="3" fontId="14" fillId="0" borderId="17" xfId="0" applyNumberFormat="1" applyFont="1" applyFill="1" applyBorder="1" applyAlignment="1">
      <alignment horizontal="center"/>
    </xf>
    <xf numFmtId="188" fontId="14" fillId="0" borderId="0" xfId="0" applyNumberFormat="1" applyFont="1"/>
    <xf numFmtId="0" fontId="62" fillId="13" borderId="0" xfId="0" applyFont="1" applyFill="1" applyAlignment="1">
      <alignment horizontal="center" vertical="center"/>
    </xf>
    <xf numFmtId="0" fontId="15" fillId="13" borderId="0" xfId="886" applyFont="1" applyFill="1" applyBorder="1" applyAlignment="1">
      <alignment vertical="center" wrapText="1"/>
    </xf>
    <xf numFmtId="0" fontId="15" fillId="13" borderId="0" xfId="886" applyFont="1" applyFill="1" applyBorder="1" applyAlignment="1">
      <alignment horizontal="center" vertical="center" wrapText="1"/>
    </xf>
    <xf numFmtId="2" fontId="15" fillId="13" borderId="0" xfId="887" applyNumberFormat="1" applyFont="1" applyFill="1" applyBorder="1" applyAlignment="1">
      <alignment horizontal="center" vertical="center" wrapText="1"/>
    </xf>
    <xf numFmtId="0" fontId="15" fillId="13" borderId="0" xfId="887" applyNumberFormat="1" applyFont="1" applyFill="1" applyBorder="1" applyAlignment="1">
      <alignment horizontal="center" vertical="center" wrapText="1"/>
    </xf>
    <xf numFmtId="43" fontId="15" fillId="13" borderId="0" xfId="887" applyFont="1" applyFill="1" applyBorder="1" applyAlignment="1">
      <alignment horizontal="center" vertical="center" wrapText="1"/>
    </xf>
    <xf numFmtId="0" fontId="18" fillId="0" borderId="54" xfId="886" applyFont="1" applyBorder="1" applyAlignment="1">
      <alignment vertical="center" wrapText="1"/>
    </xf>
    <xf numFmtId="0" fontId="18" fillId="0" borderId="55" xfId="886" applyFont="1" applyBorder="1" applyAlignment="1">
      <alignment vertical="center" wrapText="1"/>
    </xf>
    <xf numFmtId="0" fontId="14" fillId="0" borderId="0" xfId="886" applyFont="1" applyBorder="1" applyAlignment="1">
      <alignment horizontal="center" vertical="center"/>
    </xf>
    <xf numFmtId="2" fontId="14" fillId="0" borderId="0" xfId="887" applyNumberFormat="1" applyFont="1" applyBorder="1" applyAlignment="1">
      <alignment horizontal="center" vertical="center"/>
    </xf>
    <xf numFmtId="183" fontId="14" fillId="0" borderId="0" xfId="887" applyNumberFormat="1" applyFont="1" applyBorder="1" applyAlignment="1">
      <alignment horizontal="center" vertical="center"/>
    </xf>
    <xf numFmtId="0" fontId="86" fillId="0" borderId="0" xfId="886" applyFont="1" applyBorder="1" applyAlignment="1">
      <alignment horizontal="center" vertical="center"/>
    </xf>
    <xf numFmtId="0" fontId="86" fillId="0" borderId="0" xfId="887" applyNumberFormat="1" applyFont="1" applyBorder="1" applyAlignment="1">
      <alignment horizontal="center" vertical="center"/>
    </xf>
    <xf numFmtId="43" fontId="86" fillId="0" borderId="0" xfId="887" applyFont="1" applyBorder="1" applyAlignment="1">
      <alignment horizontal="center" vertical="center"/>
    </xf>
    <xf numFmtId="193" fontId="28" fillId="14" borderId="0" xfId="20" applyNumberFormat="1" applyFont="1" applyFill="1" applyBorder="1" applyAlignment="1">
      <alignment horizontal="center" vertical="center"/>
    </xf>
    <xf numFmtId="193" fontId="32" fillId="0" borderId="0" xfId="20" applyNumberFormat="1" applyFont="1" applyAlignment="1">
      <alignment vertical="center"/>
    </xf>
    <xf numFmtId="193" fontId="30" fillId="0" borderId="0" xfId="22" applyNumberFormat="1" applyFont="1" applyFill="1" applyBorder="1" applyAlignment="1">
      <alignment vertical="center"/>
    </xf>
    <xf numFmtId="193" fontId="15" fillId="13" borderId="0" xfId="886" applyNumberFormat="1" applyFont="1" applyFill="1" applyBorder="1" applyAlignment="1">
      <alignment vertical="center" wrapText="1"/>
    </xf>
    <xf numFmtId="193" fontId="18" fillId="0" borderId="0" xfId="886" applyNumberFormat="1" applyFont="1" applyBorder="1" applyAlignment="1">
      <alignment vertical="center" wrapText="1"/>
    </xf>
    <xf numFmtId="49" fontId="14" fillId="0" borderId="0" xfId="22" applyNumberFormat="1" applyFont="1" applyFill="1" applyBorder="1" applyAlignment="1">
      <alignment vertical="center"/>
    </xf>
    <xf numFmtId="193" fontId="14" fillId="0" borderId="0" xfId="22" applyNumberFormat="1" applyFont="1" applyFill="1" applyBorder="1" applyAlignment="1">
      <alignment vertical="center"/>
    </xf>
    <xf numFmtId="0" fontId="14" fillId="0" borderId="0" xfId="22" applyFont="1" applyFill="1" applyAlignment="1">
      <alignment vertical="center"/>
    </xf>
    <xf numFmtId="2" fontId="14" fillId="0" borderId="0" xfId="22" applyNumberFormat="1" applyFont="1" applyFill="1" applyAlignment="1">
      <alignment vertical="center"/>
    </xf>
    <xf numFmtId="0" fontId="2" fillId="0" borderId="0" xfId="886" applyAlignment="1">
      <alignment vertical="center"/>
    </xf>
    <xf numFmtId="49" fontId="14" fillId="21" borderId="0" xfId="22" applyNumberFormat="1" applyFont="1" applyFill="1" applyBorder="1" applyAlignment="1">
      <alignment vertical="center"/>
    </xf>
    <xf numFmtId="193" fontId="14" fillId="21" borderId="0" xfId="22" applyNumberFormat="1" applyFont="1" applyFill="1" applyBorder="1" applyAlignment="1">
      <alignment vertical="center"/>
    </xf>
    <xf numFmtId="0" fontId="14" fillId="21" borderId="0" xfId="22" applyFont="1" applyFill="1" applyAlignment="1">
      <alignment vertical="center"/>
    </xf>
    <xf numFmtId="2" fontId="2" fillId="0" borderId="0" xfId="886" applyNumberFormat="1" applyAlignment="1">
      <alignment vertical="center"/>
    </xf>
    <xf numFmtId="0" fontId="23" fillId="13" borderId="37" xfId="22" applyNumberFormat="1" applyFont="1" applyFill="1" applyBorder="1" applyAlignment="1">
      <alignment vertical="center"/>
    </xf>
    <xf numFmtId="193" fontId="23" fillId="13" borderId="49" xfId="22" applyNumberFormat="1" applyFont="1" applyFill="1" applyBorder="1" applyAlignment="1">
      <alignment vertical="center"/>
    </xf>
    <xf numFmtId="0" fontId="23" fillId="13" borderId="49" xfId="22" applyNumberFormat="1" applyFont="1" applyFill="1" applyBorder="1" applyAlignment="1">
      <alignment vertical="center"/>
    </xf>
    <xf numFmtId="2" fontId="23" fillId="13" borderId="49" xfId="22" applyNumberFormat="1" applyFont="1" applyFill="1" applyBorder="1" applyAlignment="1">
      <alignment vertical="center"/>
    </xf>
    <xf numFmtId="0" fontId="14" fillId="0" borderId="9" xfId="886" applyFont="1" applyBorder="1" applyAlignment="1">
      <alignment vertical="center" wrapText="1"/>
    </xf>
    <xf numFmtId="0" fontId="14" fillId="0" borderId="9" xfId="886" applyFont="1" applyBorder="1" applyAlignment="1">
      <alignment horizontal="center" vertical="center"/>
    </xf>
    <xf numFmtId="193" fontId="14" fillId="10" borderId="9" xfId="886" applyNumberFormat="1" applyFont="1" applyFill="1" applyBorder="1" applyAlignment="1">
      <alignment horizontal="left" vertical="center" wrapText="1"/>
    </xf>
    <xf numFmtId="193" fontId="14" fillId="0" borderId="9" xfId="886" applyNumberFormat="1" applyFont="1" applyBorder="1" applyAlignment="1">
      <alignment horizontal="center" vertical="center"/>
    </xf>
    <xf numFmtId="188" fontId="29" fillId="15" borderId="1" xfId="886" applyNumberFormat="1" applyFont="1" applyFill="1" applyBorder="1" applyAlignment="1">
      <alignment horizontal="center" vertical="center"/>
    </xf>
    <xf numFmtId="183" fontId="14" fillId="0" borderId="9" xfId="887" applyNumberFormat="1" applyFont="1" applyBorder="1" applyAlignment="1">
      <alignment horizontal="center" vertical="center"/>
    </xf>
    <xf numFmtId="0" fontId="14" fillId="10" borderId="9" xfId="886" applyFont="1" applyFill="1" applyBorder="1" applyAlignment="1">
      <alignment vertical="center" wrapText="1"/>
    </xf>
    <xf numFmtId="193" fontId="14" fillId="10" borderId="9" xfId="886" applyNumberFormat="1" applyFont="1" applyFill="1" applyBorder="1" applyAlignment="1">
      <alignment vertical="center" wrapText="1"/>
    </xf>
    <xf numFmtId="0" fontId="14" fillId="0" borderId="9" xfId="886" applyFont="1" applyFill="1" applyBorder="1" applyAlignment="1">
      <alignment vertical="center" wrapText="1"/>
    </xf>
    <xf numFmtId="193" fontId="14" fillId="0" borderId="9" xfId="886" applyNumberFormat="1" applyFont="1" applyFill="1" applyBorder="1" applyAlignment="1">
      <alignment vertical="center" wrapText="1"/>
    </xf>
    <xf numFmtId="0" fontId="14" fillId="21" borderId="9" xfId="886" applyFont="1" applyFill="1" applyBorder="1" applyAlignment="1">
      <alignment vertical="center" wrapText="1"/>
    </xf>
    <xf numFmtId="0" fontId="14" fillId="21" borderId="9" xfId="886" applyFont="1" applyFill="1" applyBorder="1" applyAlignment="1">
      <alignment horizontal="left" vertical="center" wrapText="1"/>
    </xf>
    <xf numFmtId="0" fontId="14" fillId="0" borderId="0" xfId="886" applyFont="1" applyBorder="1" applyAlignment="1">
      <alignment vertical="center"/>
    </xf>
    <xf numFmtId="193" fontId="14" fillId="0" borderId="0" xfId="886" applyNumberFormat="1" applyFont="1" applyBorder="1" applyAlignment="1">
      <alignment vertical="center"/>
    </xf>
    <xf numFmtId="0" fontId="88" fillId="0" borderId="0" xfId="886" applyFont="1" applyBorder="1" applyAlignment="1">
      <alignment vertical="center"/>
    </xf>
    <xf numFmtId="193" fontId="88" fillId="0" borderId="0" xfId="886" applyNumberFormat="1" applyFont="1" applyBorder="1" applyAlignment="1">
      <alignment vertical="center"/>
    </xf>
    <xf numFmtId="0" fontId="15" fillId="0" borderId="15" xfId="886" applyFont="1" applyBorder="1" applyAlignment="1">
      <alignment vertical="center"/>
    </xf>
    <xf numFmtId="183" fontId="14" fillId="0" borderId="52" xfId="887" applyNumberFormat="1" applyFont="1" applyBorder="1" applyAlignment="1">
      <alignment vertical="center"/>
    </xf>
    <xf numFmtId="183" fontId="14" fillId="0" borderId="53" xfId="887" applyNumberFormat="1" applyFont="1" applyBorder="1" applyAlignment="1">
      <alignment vertical="center"/>
    </xf>
    <xf numFmtId="183" fontId="15" fillId="0" borderId="3" xfId="887" applyNumberFormat="1" applyFont="1" applyBorder="1" applyAlignment="1">
      <alignment vertical="center"/>
    </xf>
    <xf numFmtId="0" fontId="15" fillId="0" borderId="0" xfId="886" applyFont="1" applyBorder="1" applyAlignment="1">
      <alignment vertical="center"/>
    </xf>
    <xf numFmtId="183" fontId="14" fillId="0" borderId="0" xfId="887" applyNumberFormat="1" applyFont="1" applyBorder="1" applyAlignment="1">
      <alignment vertical="center"/>
    </xf>
    <xf numFmtId="183" fontId="15" fillId="0" borderId="0" xfId="887" applyNumberFormat="1" applyFont="1" applyBorder="1" applyAlignment="1">
      <alignment vertical="center"/>
    </xf>
    <xf numFmtId="0" fontId="18" fillId="0" borderId="12" xfId="886" applyFont="1" applyBorder="1" applyAlignment="1">
      <alignment vertical="center" wrapText="1"/>
    </xf>
    <xf numFmtId="193" fontId="18" fillId="0" borderId="13" xfId="886" applyNumberFormat="1" applyFont="1" applyBorder="1" applyAlignment="1">
      <alignment vertical="center" wrapText="1"/>
    </xf>
    <xf numFmtId="0" fontId="18" fillId="0" borderId="0" xfId="886" applyFont="1" applyBorder="1" applyAlignment="1">
      <alignment vertical="center"/>
    </xf>
    <xf numFmtId="0" fontId="14" fillId="0" borderId="9" xfId="886" applyFont="1" applyBorder="1" applyAlignment="1">
      <alignment horizontal="left" vertical="center" wrapText="1"/>
    </xf>
    <xf numFmtId="183" fontId="19" fillId="0" borderId="0" xfId="887" applyNumberFormat="1" applyFont="1" applyBorder="1" applyAlignment="1">
      <alignment vertical="center"/>
    </xf>
    <xf numFmtId="183" fontId="18" fillId="0" borderId="0" xfId="887" applyNumberFormat="1" applyFont="1" applyBorder="1" applyAlignment="1">
      <alignment vertical="center"/>
    </xf>
    <xf numFmtId="0" fontId="18" fillId="0" borderId="12" xfId="886" applyFont="1" applyFill="1" applyBorder="1" applyAlignment="1">
      <alignment vertical="center" wrapText="1"/>
    </xf>
    <xf numFmtId="193" fontId="18" fillId="0" borderId="13" xfId="886" applyNumberFormat="1" applyFont="1" applyFill="1" applyBorder="1" applyAlignment="1">
      <alignment vertical="center" wrapText="1"/>
    </xf>
    <xf numFmtId="0" fontId="14" fillId="0" borderId="13" xfId="886" applyFont="1" applyFill="1" applyBorder="1" applyAlignment="1">
      <alignment horizontal="center" vertical="center"/>
    </xf>
    <xf numFmtId="183" fontId="14" fillId="0" borderId="13" xfId="887" applyNumberFormat="1" applyFont="1" applyFill="1" applyBorder="1" applyAlignment="1">
      <alignment horizontal="center" vertical="center"/>
    </xf>
    <xf numFmtId="2" fontId="14" fillId="0" borderId="0" xfId="886" applyNumberFormat="1" applyFont="1" applyBorder="1" applyAlignment="1">
      <alignment horizontal="center" vertical="center"/>
    </xf>
    <xf numFmtId="2" fontId="14" fillId="0" borderId="52" xfId="887" applyNumberFormat="1" applyFont="1" applyBorder="1" applyAlignment="1">
      <alignment vertical="center"/>
    </xf>
    <xf numFmtId="193" fontId="2" fillId="0" borderId="0" xfId="886" applyNumberFormat="1" applyAlignment="1">
      <alignment vertical="center"/>
    </xf>
    <xf numFmtId="183" fontId="29" fillId="0" borderId="20" xfId="0" applyNumberFormat="1" applyFont="1" applyFill="1" applyBorder="1"/>
    <xf numFmtId="4" fontId="36" fillId="0" borderId="20" xfId="0" applyNumberFormat="1" applyFont="1" applyFill="1" applyBorder="1"/>
    <xf numFmtId="185" fontId="15" fillId="0" borderId="0" xfId="0" applyNumberFormat="1" applyFont="1" applyFill="1" applyAlignment="1">
      <alignment vertical="center"/>
    </xf>
    <xf numFmtId="0" fontId="14" fillId="0" borderId="12" xfId="886" applyFont="1" applyBorder="1" applyAlignment="1">
      <alignment horizontal="center" vertical="center"/>
    </xf>
    <xf numFmtId="2" fontId="30" fillId="0" borderId="0" xfId="22" applyNumberFormat="1" applyFont="1" applyFill="1" applyBorder="1" applyAlignment="1">
      <alignment horizontal="center" vertical="center"/>
    </xf>
    <xf numFmtId="2" fontId="31" fillId="0" borderId="0" xfId="20" applyNumberFormat="1" applyFont="1" applyFill="1" applyBorder="1" applyAlignment="1">
      <alignment horizontal="center" vertical="center"/>
    </xf>
    <xf numFmtId="0" fontId="14" fillId="0" borderId="0" xfId="22" applyFont="1" applyFill="1" applyAlignment="1">
      <alignment horizontal="center" vertical="center"/>
    </xf>
    <xf numFmtId="0" fontId="14" fillId="21" borderId="0" xfId="22" applyFont="1" applyFill="1" applyAlignment="1">
      <alignment horizontal="center" vertical="center"/>
    </xf>
    <xf numFmtId="0" fontId="2" fillId="0" borderId="0" xfId="886" applyAlignment="1">
      <alignment horizontal="center" vertical="center"/>
    </xf>
    <xf numFmtId="0" fontId="23" fillId="13" borderId="49" xfId="22" applyNumberFormat="1" applyFont="1" applyFill="1" applyBorder="1" applyAlignment="1">
      <alignment horizontal="center" vertical="center"/>
    </xf>
    <xf numFmtId="1" fontId="2" fillId="0" borderId="0" xfId="886" applyNumberFormat="1" applyAlignment="1">
      <alignment horizontal="center" vertical="center"/>
    </xf>
    <xf numFmtId="188" fontId="29" fillId="16" borderId="1" xfId="886" applyNumberFormat="1" applyFont="1" applyFill="1" applyBorder="1" applyAlignment="1">
      <alignment horizontal="center" vertical="center"/>
    </xf>
    <xf numFmtId="183" fontId="14" fillId="13" borderId="12" xfId="887" applyNumberFormat="1" applyFont="1" applyFill="1" applyBorder="1" applyAlignment="1">
      <alignment horizontal="center" vertical="center"/>
    </xf>
    <xf numFmtId="188" fontId="29" fillId="15" borderId="1" xfId="0" applyNumberFormat="1" applyFont="1" applyFill="1" applyBorder="1" applyAlignment="1">
      <alignment horizontal="center"/>
    </xf>
    <xf numFmtId="188" fontId="29" fillId="15" borderId="1" xfId="0" applyNumberFormat="1" applyFont="1" applyFill="1" applyBorder="1" applyAlignment="1">
      <alignment horizontal="center" vertical="center"/>
    </xf>
    <xf numFmtId="188" fontId="14" fillId="0" borderId="9" xfId="887" applyNumberFormat="1" applyFont="1" applyBorder="1" applyAlignment="1">
      <alignment horizontal="center" vertical="center"/>
    </xf>
    <xf numFmtId="188" fontId="14" fillId="0" borderId="0" xfId="887" applyNumberFormat="1" applyFont="1" applyBorder="1" applyAlignment="1">
      <alignment horizontal="center" vertical="center"/>
    </xf>
    <xf numFmtId="188" fontId="14" fillId="13" borderId="13" xfId="887" applyNumberFormat="1" applyFont="1" applyFill="1" applyBorder="1" applyAlignment="1">
      <alignment horizontal="center" vertical="center"/>
    </xf>
    <xf numFmtId="194" fontId="14" fillId="0" borderId="9" xfId="886" applyNumberFormat="1" applyFont="1" applyBorder="1" applyAlignment="1">
      <alignment horizontal="center" vertical="center"/>
    </xf>
    <xf numFmtId="0" fontId="14" fillId="0" borderId="9" xfId="886" applyFont="1" applyFill="1" applyBorder="1" applyAlignment="1">
      <alignment horizontal="left" vertical="center" wrapText="1"/>
    </xf>
    <xf numFmtId="0" fontId="14" fillId="22" borderId="9" xfId="886" applyFont="1" applyFill="1" applyBorder="1" applyAlignment="1">
      <alignment vertical="center" wrapText="1"/>
    </xf>
    <xf numFmtId="0" fontId="18" fillId="0" borderId="12" xfId="0" applyFont="1" applyBorder="1" applyAlignment="1">
      <alignment vertical="top" wrapText="1"/>
    </xf>
    <xf numFmtId="181" fontId="37" fillId="0" borderId="0" xfId="31" applyNumberFormat="1" applyFont="1" applyFill="1" applyBorder="1" applyAlignment="1" applyProtection="1">
      <alignment vertical="center" wrapText="1"/>
      <protection locked="0"/>
    </xf>
    <xf numFmtId="0" fontId="14" fillId="0" borderId="56" xfId="886" applyFont="1" applyBorder="1" applyAlignment="1">
      <alignment vertical="center"/>
    </xf>
    <xf numFmtId="193" fontId="14" fillId="0" borderId="52" xfId="886" applyNumberFormat="1" applyFont="1" applyBorder="1" applyAlignment="1">
      <alignment vertical="center"/>
    </xf>
    <xf numFmtId="0" fontId="14" fillId="0" borderId="53" xfId="886" applyFont="1" applyBorder="1" applyAlignment="1">
      <alignment horizontal="center" vertical="center"/>
    </xf>
    <xf numFmtId="188" fontId="14" fillId="16" borderId="0" xfId="886" applyNumberFormat="1" applyFont="1" applyFill="1" applyBorder="1" applyAlignment="1">
      <alignment horizontal="center" vertical="center"/>
    </xf>
    <xf numFmtId="0" fontId="65" fillId="0" borderId="19" xfId="22" applyFont="1" applyFill="1" applyBorder="1" applyAlignment="1">
      <alignment vertical="center"/>
    </xf>
    <xf numFmtId="182" fontId="76" fillId="0" borderId="0" xfId="8" applyNumberFormat="1" applyFont="1" applyFill="1" applyAlignment="1">
      <alignment vertical="top"/>
    </xf>
    <xf numFmtId="180" fontId="29" fillId="0" borderId="0" xfId="0" applyNumberFormat="1" applyFont="1"/>
    <xf numFmtId="180" fontId="29" fillId="0" borderId="0" xfId="2" applyNumberFormat="1" applyFont="1"/>
    <xf numFmtId="180" fontId="28" fillId="0" borderId="0" xfId="2" applyNumberFormat="1" applyFont="1"/>
    <xf numFmtId="180" fontId="51" fillId="13" borderId="51" xfId="0" applyNumberFormat="1" applyFont="1" applyFill="1" applyBorder="1" applyAlignment="1">
      <alignment horizontal="center" wrapText="1"/>
    </xf>
    <xf numFmtId="180" fontId="0" fillId="0" borderId="17" xfId="0" applyNumberFormat="1" applyFill="1" applyBorder="1"/>
    <xf numFmtId="3" fontId="1" fillId="0" borderId="17" xfId="0" applyNumberFormat="1" applyFont="1" applyFill="1" applyBorder="1" applyAlignment="1">
      <alignment horizontal="center"/>
    </xf>
    <xf numFmtId="176" fontId="1" fillId="0" borderId="17" xfId="0" applyNumberFormat="1" applyFont="1" applyFill="1" applyBorder="1" applyAlignment="1">
      <alignment horizontal="center"/>
    </xf>
    <xf numFmtId="0" fontId="1" fillId="13" borderId="17" xfId="0" applyFont="1" applyFill="1" applyBorder="1"/>
    <xf numFmtId="178" fontId="1" fillId="13" borderId="17" xfId="2" applyNumberFormat="1" applyFont="1" applyFill="1" applyBorder="1" applyAlignment="1"/>
    <xf numFmtId="0" fontId="15" fillId="13" borderId="0" xfId="886" applyFont="1" applyFill="1" applyBorder="1" applyAlignment="1">
      <alignment horizontal="center" vertical="center"/>
    </xf>
    <xf numFmtId="193" fontId="14" fillId="10" borderId="9" xfId="886" applyNumberFormat="1" applyFont="1" applyFill="1" applyBorder="1" applyAlignment="1">
      <alignment horizontal="right" vertical="center" wrapText="1"/>
    </xf>
    <xf numFmtId="193" fontId="14" fillId="0" borderId="9" xfId="886" applyNumberFormat="1" applyFont="1" applyBorder="1" applyAlignment="1">
      <alignment horizontal="right" vertical="center" wrapText="1"/>
    </xf>
    <xf numFmtId="193" fontId="14" fillId="0" borderId="9" xfId="886" applyNumberFormat="1" applyFont="1" applyFill="1" applyBorder="1" applyAlignment="1">
      <alignment horizontal="right" vertical="center" wrapText="1"/>
    </xf>
    <xf numFmtId="183" fontId="14" fillId="13" borderId="9" xfId="887" applyNumberFormat="1" applyFont="1" applyFill="1" applyBorder="1" applyAlignment="1">
      <alignment horizontal="right" vertical="center"/>
    </xf>
    <xf numFmtId="193" fontId="2" fillId="0" borderId="0" xfId="886" applyNumberFormat="1" applyAlignment="1">
      <alignment horizontal="right" vertical="center"/>
    </xf>
    <xf numFmtId="193" fontId="14" fillId="13" borderId="9" xfId="886" applyNumberFormat="1" applyFont="1" applyFill="1" applyBorder="1" applyAlignment="1">
      <alignment vertical="center" wrapText="1"/>
    </xf>
    <xf numFmtId="183" fontId="14" fillId="13" borderId="9" xfId="887" applyNumberFormat="1" applyFont="1" applyFill="1" applyBorder="1" applyAlignment="1">
      <alignment horizontal="left" vertical="center"/>
    </xf>
    <xf numFmtId="0" fontId="14" fillId="0" borderId="57" xfId="0" applyFont="1" applyFill="1" applyBorder="1" applyAlignment="1">
      <alignment vertical="center"/>
    </xf>
    <xf numFmtId="10" fontId="29" fillId="13" borderId="17" xfId="28" applyNumberFormat="1" applyFont="1" applyFill="1" applyBorder="1" applyAlignment="1" applyProtection="1">
      <alignment horizontal="center" vertical="center"/>
      <protection hidden="1"/>
    </xf>
    <xf numFmtId="4" fontId="14" fillId="0" borderId="20" xfId="0" applyNumberFormat="1" applyFont="1" applyFill="1" applyBorder="1"/>
    <xf numFmtId="188" fontId="14" fillId="13" borderId="13" xfId="887" applyNumberFormat="1" applyFont="1" applyFill="1" applyBorder="1" applyAlignment="1">
      <alignment horizontal="left" vertical="center"/>
    </xf>
    <xf numFmtId="188" fontId="29" fillId="0" borderId="19" xfId="6" applyNumberFormat="1" applyFont="1" applyFill="1" applyBorder="1" applyAlignment="1">
      <alignment horizontal="center" vertical="center"/>
    </xf>
    <xf numFmtId="195" fontId="14" fillId="0" borderId="0" xfId="2066" applyNumberFormat="1" applyFont="1" applyFill="1" applyBorder="1" applyAlignment="1">
      <alignment horizontal="center" vertical="center"/>
    </xf>
    <xf numFmtId="3" fontId="29" fillId="0" borderId="0" xfId="0" applyNumberFormat="1" applyFont="1" applyFill="1" applyBorder="1" applyAlignment="1">
      <alignment horizontal="center" vertical="center"/>
    </xf>
    <xf numFmtId="3" fontId="29" fillId="0" borderId="0" xfId="0" applyNumberFormat="1" applyFont="1" applyFill="1" applyBorder="1" applyAlignment="1">
      <alignment horizontal="left" vertical="top" wrapText="1"/>
    </xf>
    <xf numFmtId="0" fontId="89" fillId="0" borderId="0" xfId="20" applyFont="1" applyBorder="1" applyAlignment="1">
      <alignment vertical="center" wrapText="1"/>
    </xf>
    <xf numFmtId="0" fontId="29" fillId="0" borderId="0" xfId="0" applyFont="1" applyAlignment="1">
      <alignment vertical="center" wrapText="1"/>
    </xf>
    <xf numFmtId="49" fontId="52" fillId="0" borderId="0" xfId="4" applyNumberFormat="1" applyFont="1" applyFill="1" applyBorder="1" applyAlignment="1" applyProtection="1">
      <alignment horizontal="center" vertical="center" wrapText="1"/>
      <protection hidden="1"/>
    </xf>
    <xf numFmtId="49" fontId="52" fillId="0" borderId="0" xfId="4" applyNumberFormat="1" applyFont="1" applyFill="1" applyBorder="1" applyAlignment="1" applyProtection="1">
      <alignment vertical="center" wrapText="1"/>
      <protection hidden="1"/>
    </xf>
    <xf numFmtId="0" fontId="33" fillId="0" borderId="0" xfId="2066" applyFont="1" applyAlignment="1">
      <alignment vertical="center" wrapText="1"/>
    </xf>
    <xf numFmtId="0" fontId="14" fillId="0" borderId="21" xfId="0" applyFont="1" applyFill="1" applyBorder="1" applyAlignment="1">
      <alignment vertical="center"/>
    </xf>
    <xf numFmtId="3" fontId="29" fillId="0" borderId="49" xfId="0" applyNumberFormat="1" applyFont="1" applyFill="1" applyBorder="1" applyAlignment="1">
      <alignment horizontal="center" vertical="top" wrapText="1"/>
    </xf>
    <xf numFmtId="3" fontId="29" fillId="0" borderId="25" xfId="0" applyNumberFormat="1" applyFont="1" applyFill="1" applyBorder="1" applyAlignment="1">
      <alignment horizontal="center" vertical="top" wrapText="1"/>
    </xf>
    <xf numFmtId="3" fontId="29" fillId="0" borderId="37" xfId="0" applyNumberFormat="1" applyFont="1" applyFill="1" applyBorder="1" applyAlignment="1">
      <alignment horizontal="center" vertical="top" wrapText="1"/>
    </xf>
    <xf numFmtId="188" fontId="29" fillId="0" borderId="25" xfId="6" applyNumberFormat="1" applyFont="1" applyFill="1" applyBorder="1" applyAlignment="1">
      <alignment horizontal="center" vertical="center"/>
    </xf>
    <xf numFmtId="0" fontId="29" fillId="0" borderId="58" xfId="0" applyFont="1" applyBorder="1" applyAlignment="1">
      <alignment vertical="center"/>
    </xf>
    <xf numFmtId="0" fontId="32" fillId="0" borderId="59" xfId="20" applyFont="1" applyBorder="1" applyAlignment="1">
      <alignment vertical="center"/>
    </xf>
    <xf numFmtId="0" fontId="32" fillId="0" borderId="58" xfId="20" applyFont="1" applyBorder="1" applyAlignment="1">
      <alignment vertical="center"/>
    </xf>
    <xf numFmtId="0" fontId="14" fillId="13" borderId="21" xfId="0" applyFont="1" applyFill="1" applyBorder="1" applyAlignment="1">
      <alignment vertical="center"/>
    </xf>
    <xf numFmtId="170" fontId="14" fillId="0" borderId="0" xfId="6" applyFont="1"/>
    <xf numFmtId="193" fontId="14" fillId="23" borderId="62" xfId="0" applyNumberFormat="1" applyFont="1" applyFill="1" applyBorder="1" applyAlignment="1">
      <alignment horizontal="right" vertical="center" wrapText="1"/>
    </xf>
    <xf numFmtId="181" fontId="37" fillId="0" borderId="0" xfId="31" applyNumberFormat="1" applyFont="1" applyFill="1" applyBorder="1" applyAlignment="1" applyProtection="1">
      <alignment vertical="center" wrapText="1"/>
      <protection locked="0"/>
    </xf>
    <xf numFmtId="181" fontId="49" fillId="0" borderId="0" xfId="31" applyNumberFormat="1" applyFont="1" applyFill="1" applyBorder="1" applyAlignment="1" applyProtection="1">
      <alignment vertical="top" wrapText="1"/>
      <protection locked="0"/>
    </xf>
    <xf numFmtId="0" fontId="50" fillId="0" borderId="0" xfId="0" applyFont="1" applyAlignment="1">
      <alignment vertical="top" wrapText="1"/>
    </xf>
    <xf numFmtId="0" fontId="28" fillId="16" borderId="40" xfId="0" applyFont="1" applyFill="1" applyBorder="1" applyAlignment="1">
      <alignment horizontal="left" vertical="center" wrapText="1"/>
    </xf>
    <xf numFmtId="0" fontId="28" fillId="16" borderId="41" xfId="0" applyFont="1" applyFill="1" applyBorder="1" applyAlignment="1">
      <alignment horizontal="left" vertical="center" wrapText="1"/>
    </xf>
    <xf numFmtId="0" fontId="28" fillId="16" borderId="42" xfId="0" applyFont="1" applyFill="1" applyBorder="1" applyAlignment="1">
      <alignment horizontal="left" vertical="center" wrapText="1"/>
    </xf>
    <xf numFmtId="0" fontId="28" fillId="16" borderId="43" xfId="0" applyFont="1" applyFill="1" applyBorder="1" applyAlignment="1">
      <alignment horizontal="left" vertical="center" wrapText="1"/>
    </xf>
    <xf numFmtId="0" fontId="28" fillId="16" borderId="0" xfId="0" applyFont="1" applyFill="1" applyBorder="1" applyAlignment="1">
      <alignment horizontal="left" vertical="center" wrapText="1"/>
    </xf>
    <xf numFmtId="0" fontId="28" fillId="16" borderId="44" xfId="0" applyFont="1" applyFill="1" applyBorder="1" applyAlignment="1">
      <alignment horizontal="left" vertical="center" wrapText="1"/>
    </xf>
    <xf numFmtId="0" fontId="28" fillId="16" borderId="45" xfId="0" applyFont="1" applyFill="1" applyBorder="1" applyAlignment="1">
      <alignment horizontal="left" vertical="center" wrapText="1"/>
    </xf>
    <xf numFmtId="0" fontId="28" fillId="16" borderId="46" xfId="0" applyFont="1" applyFill="1" applyBorder="1" applyAlignment="1">
      <alignment horizontal="left" vertical="center" wrapText="1"/>
    </xf>
    <xf numFmtId="0" fontId="28" fillId="16" borderId="47" xfId="0" applyFont="1" applyFill="1" applyBorder="1" applyAlignment="1">
      <alignment horizontal="left" vertical="center" wrapText="1"/>
    </xf>
    <xf numFmtId="181" fontId="37" fillId="0" borderId="0" xfId="31" applyNumberFormat="1" applyFont="1" applyFill="1" applyBorder="1" applyAlignment="1" applyProtection="1">
      <alignment horizontal="left" vertical="top" wrapText="1"/>
      <protection locked="0"/>
    </xf>
    <xf numFmtId="181" fontId="37" fillId="0" borderId="48" xfId="31" applyNumberFormat="1" applyFont="1" applyFill="1" applyBorder="1" applyAlignment="1" applyProtection="1">
      <alignment horizontal="left" vertical="top" wrapText="1"/>
      <protection locked="0"/>
    </xf>
    <xf numFmtId="181" fontId="37" fillId="0" borderId="0" xfId="31" applyNumberFormat="1" applyFont="1" applyFill="1" applyBorder="1" applyAlignment="1" applyProtection="1">
      <alignment horizontal="left" vertical="center" wrapText="1"/>
      <protection locked="0"/>
    </xf>
    <xf numFmtId="0" fontId="23" fillId="0" borderId="0" xfId="0" applyFont="1" applyFill="1" applyBorder="1" applyAlignment="1">
      <alignment horizontal="left" wrapText="1"/>
    </xf>
    <xf numFmtId="181" fontId="76" fillId="0" borderId="18" xfId="31" applyNumberFormat="1" applyFont="1" applyFill="1" applyBorder="1" applyAlignment="1" applyProtection="1">
      <alignment horizontal="left" vertical="top" wrapText="1"/>
      <protection locked="0"/>
    </xf>
    <xf numFmtId="181" fontId="76" fillId="0" borderId="0" xfId="31" applyNumberFormat="1" applyFont="1" applyFill="1" applyBorder="1" applyAlignment="1" applyProtection="1">
      <alignment horizontal="left" vertical="top" wrapText="1"/>
      <protection locked="0"/>
    </xf>
    <xf numFmtId="0" fontId="79" fillId="0" borderId="0" xfId="18" applyFont="1" applyFill="1" applyBorder="1" applyAlignment="1" applyProtection="1">
      <alignment horizontal="right" vertical="center" wrapText="1"/>
      <protection hidden="1"/>
    </xf>
    <xf numFmtId="0" fontId="79" fillId="0" borderId="35" xfId="18" applyFont="1" applyFill="1" applyBorder="1" applyAlignment="1" applyProtection="1">
      <alignment horizontal="right" vertical="center" wrapText="1"/>
      <protection hidden="1"/>
    </xf>
    <xf numFmtId="0" fontId="14" fillId="0" borderId="0" xfId="0" applyNumberFormat="1" applyFont="1" applyBorder="1" applyAlignment="1">
      <alignment horizontal="left" wrapText="1"/>
    </xf>
    <xf numFmtId="2" fontId="58" fillId="14" borderId="0" xfId="18" applyNumberFormat="1" applyFont="1" applyFill="1" applyBorder="1" applyAlignment="1" applyProtection="1">
      <alignment horizontal="center"/>
      <protection hidden="1"/>
    </xf>
    <xf numFmtId="3" fontId="28" fillId="14" borderId="37" xfId="18" applyNumberFormat="1" applyFont="1" applyFill="1" applyBorder="1" applyAlignment="1" applyProtection="1">
      <alignment horizontal="left" vertical="top" wrapText="1"/>
      <protection hidden="1"/>
    </xf>
    <xf numFmtId="3" fontId="28" fillId="14" borderId="49" xfId="18" applyNumberFormat="1" applyFont="1" applyFill="1" applyBorder="1" applyAlignment="1" applyProtection="1">
      <alignment horizontal="left" vertical="top" wrapText="1"/>
      <protection hidden="1"/>
    </xf>
    <xf numFmtId="3" fontId="28" fillId="14" borderId="25" xfId="18" applyNumberFormat="1" applyFont="1" applyFill="1" applyBorder="1" applyAlignment="1" applyProtection="1">
      <alignment horizontal="left" vertical="top" wrapText="1"/>
      <protection hidden="1"/>
    </xf>
    <xf numFmtId="0" fontId="58" fillId="14" borderId="0" xfId="18" applyNumberFormat="1" applyFont="1" applyFill="1" applyBorder="1" applyAlignment="1" applyProtection="1">
      <alignment horizontal="left" vertical="center"/>
      <protection hidden="1"/>
    </xf>
    <xf numFmtId="0" fontId="29" fillId="0" borderId="0" xfId="0" applyFont="1" applyFill="1" applyAlignment="1">
      <alignment horizontal="left" vertical="center" wrapText="1"/>
    </xf>
    <xf numFmtId="0" fontId="62" fillId="13" borderId="0" xfId="0" applyFont="1" applyFill="1" applyAlignment="1">
      <alignment horizontal="center" vertical="center"/>
    </xf>
    <xf numFmtId="0" fontId="58" fillId="14" borderId="0" xfId="0" applyFont="1" applyFill="1" applyBorder="1" applyAlignment="1">
      <alignment horizontal="left" vertical="center" wrapText="1"/>
    </xf>
    <xf numFmtId="3" fontId="29" fillId="0" borderId="37" xfId="0" applyNumberFormat="1" applyFont="1" applyFill="1" applyBorder="1" applyAlignment="1">
      <alignment horizontal="center" vertical="top" wrapText="1"/>
    </xf>
    <xf numFmtId="3" fontId="29" fillId="0" borderId="49" xfId="0" applyNumberFormat="1" applyFont="1" applyFill="1" applyBorder="1" applyAlignment="1">
      <alignment horizontal="center" vertical="top" wrapText="1"/>
    </xf>
    <xf numFmtId="3" fontId="29" fillId="0" borderId="25" xfId="0" applyNumberFormat="1" applyFont="1" applyFill="1" applyBorder="1" applyAlignment="1">
      <alignment horizontal="center" vertical="top" wrapText="1"/>
    </xf>
    <xf numFmtId="0" fontId="14" fillId="13" borderId="60" xfId="0" applyFont="1" applyFill="1" applyBorder="1" applyAlignment="1">
      <alignment horizontal="center" vertical="center"/>
    </xf>
    <xf numFmtId="0" fontId="14" fillId="13" borderId="61" xfId="0" applyFont="1" applyFill="1" applyBorder="1" applyAlignment="1">
      <alignment horizontal="center" vertical="center"/>
    </xf>
    <xf numFmtId="0" fontId="14" fillId="13" borderId="20" xfId="0" applyFont="1" applyFill="1" applyBorder="1" applyAlignment="1">
      <alignment horizontal="center" vertical="center"/>
    </xf>
    <xf numFmtId="49" fontId="14" fillId="0" borderId="0" xfId="22" applyNumberFormat="1" applyFont="1" applyFill="1" applyBorder="1" applyAlignment="1">
      <alignment vertical="center" wrapText="1"/>
    </xf>
  </cellXfs>
  <cellStyles count="2193">
    <cellStyle name="Berekening" xfId="1"/>
    <cellStyle name="Comma_CALCULATIEBLAD.XLS" xfId="4"/>
    <cellStyle name="Comma_Uurtarieven 2000 LEVERANCIER" xfId="5"/>
    <cellStyle name="Currency_ATIR-Calc-Uurtarief 2001" xfId="7"/>
    <cellStyle name="Currency_CALCULATIEBLAD.XLS" xfId="8"/>
    <cellStyle name="Currency_MACHINEKST.xls" xfId="9"/>
    <cellStyle name="euro" xfId="10"/>
    <cellStyle name="Gekoppelde cel" xfId="11"/>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299"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Gevolgde hyperlink" xfId="467" builtinId="9" hidden="1"/>
    <cellStyle name="Gevolgde hyperlink" xfId="469" builtinId="9" hidden="1"/>
    <cellStyle name="Gevolgde hyperlink" xfId="471" builtinId="9" hidden="1"/>
    <cellStyle name="Gevolgde hyperlink" xfId="473" builtinId="9" hidden="1"/>
    <cellStyle name="Gevolgde hyperlink" xfId="475" builtinId="9" hidden="1"/>
    <cellStyle name="Gevolgde hyperlink" xfId="477" builtinId="9" hidden="1"/>
    <cellStyle name="Gevolgde hyperlink" xfId="479" builtinId="9" hidden="1"/>
    <cellStyle name="Gevolgde hyperlink" xfId="481" builtinId="9" hidden="1"/>
    <cellStyle name="Gevolgde hyperlink" xfId="483" builtinId="9" hidden="1"/>
    <cellStyle name="Gevolgde hyperlink" xfId="485" builtinId="9" hidden="1"/>
    <cellStyle name="Gevolgde hyperlink" xfId="487" builtinId="9" hidden="1"/>
    <cellStyle name="Gevolgde hyperlink" xfId="489" builtinId="9" hidden="1"/>
    <cellStyle name="Gevolgde hyperlink" xfId="491" builtinId="9" hidden="1"/>
    <cellStyle name="Gevolgde hyperlink" xfId="493" builtinId="9" hidden="1"/>
    <cellStyle name="Gevolgde hyperlink" xfId="495" builtinId="9" hidden="1"/>
    <cellStyle name="Gevolgde hyperlink" xfId="497" builtinId="9" hidden="1"/>
    <cellStyle name="Gevolgde hyperlink" xfId="499" builtinId="9" hidden="1"/>
    <cellStyle name="Gevolgde hyperlink" xfId="501" builtinId="9" hidden="1"/>
    <cellStyle name="Gevolgde hyperlink" xfId="503" builtinId="9" hidden="1"/>
    <cellStyle name="Gevolgde hyperlink" xfId="505" builtinId="9" hidden="1"/>
    <cellStyle name="Gevolgde hyperlink" xfId="507" builtinId="9" hidden="1"/>
    <cellStyle name="Gevolgde hyperlink" xfId="509" builtinId="9" hidden="1"/>
    <cellStyle name="Gevolgde hyperlink" xfId="511" builtinId="9" hidden="1"/>
    <cellStyle name="Gevolgde hyperlink" xfId="513" builtinId="9" hidden="1"/>
    <cellStyle name="Gevolgde hyperlink" xfId="515" builtinId="9" hidden="1"/>
    <cellStyle name="Gevolgde hyperlink" xfId="517" builtinId="9" hidden="1"/>
    <cellStyle name="Gevolgde hyperlink" xfId="519" builtinId="9" hidden="1"/>
    <cellStyle name="Gevolgde hyperlink" xfId="521" builtinId="9" hidden="1"/>
    <cellStyle name="Gevolgde hyperlink" xfId="523" builtinId="9" hidden="1"/>
    <cellStyle name="Gevolgde hyperlink" xfId="525" builtinId="9" hidden="1"/>
    <cellStyle name="Gevolgde hyperlink" xfId="527" builtinId="9" hidden="1"/>
    <cellStyle name="Gevolgde hyperlink" xfId="529" builtinId="9" hidden="1"/>
    <cellStyle name="Gevolgde hyperlink" xfId="531" builtinId="9" hidden="1"/>
    <cellStyle name="Gevolgde hyperlink" xfId="533" builtinId="9" hidden="1"/>
    <cellStyle name="Gevolgde hyperlink" xfId="535" builtinId="9" hidden="1"/>
    <cellStyle name="Gevolgde hyperlink" xfId="537" builtinId="9" hidden="1"/>
    <cellStyle name="Gevolgde hyperlink" xfId="539" builtinId="9" hidden="1"/>
    <cellStyle name="Gevolgde hyperlink" xfId="541" builtinId="9" hidden="1"/>
    <cellStyle name="Gevolgde hyperlink" xfId="543" builtinId="9" hidden="1"/>
    <cellStyle name="Gevolgde hyperlink" xfId="545" builtinId="9" hidden="1"/>
    <cellStyle name="Gevolgde hyperlink" xfId="547" builtinId="9" hidden="1"/>
    <cellStyle name="Gevolgde hyperlink" xfId="549" builtinId="9" hidden="1"/>
    <cellStyle name="Gevolgde hyperlink" xfId="551" builtinId="9" hidden="1"/>
    <cellStyle name="Gevolgde hyperlink" xfId="553" builtinId="9" hidden="1"/>
    <cellStyle name="Gevolgde hyperlink" xfId="555" builtinId="9" hidden="1"/>
    <cellStyle name="Gevolgde hyperlink" xfId="557" builtinId="9" hidden="1"/>
    <cellStyle name="Gevolgde hyperlink" xfId="559" builtinId="9" hidden="1"/>
    <cellStyle name="Gevolgde hyperlink" xfId="561" builtinId="9" hidden="1"/>
    <cellStyle name="Gevolgde hyperlink" xfId="563" builtinId="9" hidden="1"/>
    <cellStyle name="Gevolgde hyperlink" xfId="565" builtinId="9" hidden="1"/>
    <cellStyle name="Gevolgde hyperlink" xfId="567" builtinId="9" hidden="1"/>
    <cellStyle name="Gevolgde hyperlink" xfId="569" builtinId="9" hidden="1"/>
    <cellStyle name="Gevolgde hyperlink" xfId="571" builtinId="9" hidden="1"/>
    <cellStyle name="Gevolgde hyperlink" xfId="573" builtinId="9" hidden="1"/>
    <cellStyle name="Gevolgde hyperlink" xfId="575" builtinId="9" hidden="1"/>
    <cellStyle name="Gevolgde hyperlink" xfId="577" builtinId="9" hidden="1"/>
    <cellStyle name="Gevolgde hyperlink" xfId="579" builtinId="9" hidden="1"/>
    <cellStyle name="Gevolgde hyperlink" xfId="581" builtinId="9" hidden="1"/>
    <cellStyle name="Gevolgde hyperlink" xfId="583" builtinId="9" hidden="1"/>
    <cellStyle name="Gevolgde hyperlink" xfId="585" builtinId="9" hidden="1"/>
    <cellStyle name="Gevolgde hyperlink" xfId="587" builtinId="9" hidden="1"/>
    <cellStyle name="Gevolgde hyperlink" xfId="589" builtinId="9" hidden="1"/>
    <cellStyle name="Gevolgde hyperlink" xfId="591" builtinId="9" hidden="1"/>
    <cellStyle name="Gevolgde hyperlink" xfId="593" builtinId="9" hidden="1"/>
    <cellStyle name="Gevolgde hyperlink" xfId="595" builtinId="9" hidden="1"/>
    <cellStyle name="Gevolgde hyperlink" xfId="597" builtinId="9" hidden="1"/>
    <cellStyle name="Gevolgde hyperlink" xfId="599" builtinId="9" hidden="1"/>
    <cellStyle name="Gevolgde hyperlink" xfId="601" builtinId="9" hidden="1"/>
    <cellStyle name="Gevolgde hyperlink" xfId="603" builtinId="9" hidden="1"/>
    <cellStyle name="Gevolgde hyperlink" xfId="605" builtinId="9" hidden="1"/>
    <cellStyle name="Gevolgde hyperlink" xfId="607" builtinId="9" hidden="1"/>
    <cellStyle name="Gevolgde hyperlink" xfId="609" builtinId="9" hidden="1"/>
    <cellStyle name="Gevolgde hyperlink" xfId="611" builtinId="9" hidden="1"/>
    <cellStyle name="Gevolgde hyperlink" xfId="613" builtinId="9" hidden="1"/>
    <cellStyle name="Gevolgde hyperlink" xfId="615" builtinId="9" hidden="1"/>
    <cellStyle name="Gevolgde hyperlink" xfId="617" builtinId="9" hidden="1"/>
    <cellStyle name="Gevolgde hyperlink" xfId="619" builtinId="9" hidden="1"/>
    <cellStyle name="Gevolgde hyperlink" xfId="621" builtinId="9" hidden="1"/>
    <cellStyle name="Gevolgde hyperlink" xfId="623" builtinId="9" hidden="1"/>
    <cellStyle name="Gevolgde hyperlink" xfId="625" builtinId="9" hidden="1"/>
    <cellStyle name="Gevolgde hyperlink" xfId="627" builtinId="9" hidden="1"/>
    <cellStyle name="Gevolgde hyperlink" xfId="629" builtinId="9" hidden="1"/>
    <cellStyle name="Gevolgde hyperlink" xfId="631" builtinId="9" hidden="1"/>
    <cellStyle name="Gevolgde hyperlink" xfId="633" builtinId="9" hidden="1"/>
    <cellStyle name="Gevolgde hyperlink" xfId="635" builtinId="9" hidden="1"/>
    <cellStyle name="Gevolgde hyperlink" xfId="637" builtinId="9" hidden="1"/>
    <cellStyle name="Gevolgde hyperlink" xfId="639" builtinId="9" hidden="1"/>
    <cellStyle name="Gevolgde hyperlink" xfId="641" builtinId="9" hidden="1"/>
    <cellStyle name="Gevolgde hyperlink" xfId="643" builtinId="9" hidden="1"/>
    <cellStyle name="Gevolgde hyperlink" xfId="645" builtinId="9" hidden="1"/>
    <cellStyle name="Gevolgde hyperlink" xfId="647" builtinId="9" hidden="1"/>
    <cellStyle name="Gevolgde hyperlink" xfId="649" builtinId="9" hidden="1"/>
    <cellStyle name="Gevolgde hyperlink" xfId="651" builtinId="9" hidden="1"/>
    <cellStyle name="Gevolgde hyperlink" xfId="653" builtinId="9" hidden="1"/>
    <cellStyle name="Gevolgde hyperlink" xfId="655" builtinId="9" hidden="1"/>
    <cellStyle name="Gevolgde hyperlink" xfId="657" builtinId="9" hidden="1"/>
    <cellStyle name="Gevolgde hyperlink" xfId="659" builtinId="9" hidden="1"/>
    <cellStyle name="Gevolgde hyperlink" xfId="661" builtinId="9" hidden="1"/>
    <cellStyle name="Gevolgde hyperlink" xfId="663" builtinId="9" hidden="1"/>
    <cellStyle name="Gevolgde hyperlink" xfId="665" builtinId="9" hidden="1"/>
    <cellStyle name="Gevolgde hyperlink" xfId="667" builtinId="9" hidden="1"/>
    <cellStyle name="Gevolgde hyperlink" xfId="669" builtinId="9" hidden="1"/>
    <cellStyle name="Gevolgde hyperlink" xfId="671" builtinId="9" hidden="1"/>
    <cellStyle name="Gevolgde hyperlink" xfId="673" builtinId="9" hidden="1"/>
    <cellStyle name="Gevolgde hyperlink" xfId="675" builtinId="9" hidden="1"/>
    <cellStyle name="Gevolgde hyperlink" xfId="677" builtinId="9" hidden="1"/>
    <cellStyle name="Gevolgde hyperlink" xfId="679" builtinId="9" hidden="1"/>
    <cellStyle name="Gevolgde hyperlink" xfId="681" builtinId="9" hidden="1"/>
    <cellStyle name="Gevolgde hyperlink" xfId="683" builtinId="9" hidden="1"/>
    <cellStyle name="Gevolgde hyperlink" xfId="685" builtinId="9" hidden="1"/>
    <cellStyle name="Gevolgde hyperlink" xfId="687" builtinId="9" hidden="1"/>
    <cellStyle name="Gevolgde hyperlink" xfId="689" builtinId="9" hidden="1"/>
    <cellStyle name="Gevolgde hyperlink" xfId="691" builtinId="9" hidden="1"/>
    <cellStyle name="Gevolgde hyperlink" xfId="693" builtinId="9" hidden="1"/>
    <cellStyle name="Gevolgde hyperlink" xfId="695" builtinId="9" hidden="1"/>
    <cellStyle name="Gevolgde hyperlink" xfId="697" builtinId="9" hidden="1"/>
    <cellStyle name="Gevolgde hyperlink" xfId="699" builtinId="9" hidden="1"/>
    <cellStyle name="Gevolgde hyperlink" xfId="701" builtinId="9" hidden="1"/>
    <cellStyle name="Gevolgde hyperlink" xfId="703" builtinId="9" hidden="1"/>
    <cellStyle name="Gevolgde hyperlink" xfId="705" builtinId="9" hidden="1"/>
    <cellStyle name="Gevolgde hyperlink" xfId="707" builtinId="9" hidden="1"/>
    <cellStyle name="Gevolgde hyperlink" xfId="709" builtinId="9" hidden="1"/>
    <cellStyle name="Gevolgde hyperlink" xfId="711" builtinId="9" hidden="1"/>
    <cellStyle name="Gevolgde hyperlink" xfId="713" builtinId="9" hidden="1"/>
    <cellStyle name="Gevolgde hyperlink" xfId="715" builtinId="9" hidden="1"/>
    <cellStyle name="Gevolgde hyperlink" xfId="717" builtinId="9" hidden="1"/>
    <cellStyle name="Gevolgde hyperlink" xfId="719" builtinId="9" hidden="1"/>
    <cellStyle name="Gevolgde hyperlink" xfId="721" builtinId="9" hidden="1"/>
    <cellStyle name="Gevolgde hyperlink" xfId="723" builtinId="9" hidden="1"/>
    <cellStyle name="Gevolgde hyperlink" xfId="725" builtinId="9" hidden="1"/>
    <cellStyle name="Gevolgde hyperlink" xfId="727" builtinId="9" hidden="1"/>
    <cellStyle name="Gevolgde hyperlink" xfId="729" builtinId="9" hidden="1"/>
    <cellStyle name="Gevolgde hyperlink" xfId="731" builtinId="9" hidden="1"/>
    <cellStyle name="Gevolgde hyperlink" xfId="733" builtinId="9" hidden="1"/>
    <cellStyle name="Gevolgde hyperlink" xfId="735" builtinId="9" hidden="1"/>
    <cellStyle name="Gevolgde hyperlink" xfId="737" builtinId="9" hidden="1"/>
    <cellStyle name="Gevolgde hyperlink" xfId="739" builtinId="9" hidden="1"/>
    <cellStyle name="Gevolgde hyperlink" xfId="741" builtinId="9" hidden="1"/>
    <cellStyle name="Gevolgde hyperlink" xfId="743" builtinId="9" hidden="1"/>
    <cellStyle name="Gevolgde hyperlink" xfId="745" builtinId="9" hidden="1"/>
    <cellStyle name="Gevolgde hyperlink" xfId="747" builtinId="9" hidden="1"/>
    <cellStyle name="Gevolgde hyperlink" xfId="749" builtinId="9" hidden="1"/>
    <cellStyle name="Gevolgde hyperlink" xfId="751" builtinId="9" hidden="1"/>
    <cellStyle name="Gevolgde hyperlink" xfId="753" builtinId="9" hidden="1"/>
    <cellStyle name="Gevolgde hyperlink" xfId="755" builtinId="9" hidden="1"/>
    <cellStyle name="Gevolgde hyperlink" xfId="757" builtinId="9" hidden="1"/>
    <cellStyle name="Gevolgde hyperlink" xfId="759" builtinId="9" hidden="1"/>
    <cellStyle name="Gevolgde hyperlink" xfId="761" builtinId="9" hidden="1"/>
    <cellStyle name="Gevolgde hyperlink" xfId="763" builtinId="9" hidden="1"/>
    <cellStyle name="Gevolgde hyperlink" xfId="765" builtinId="9" hidden="1"/>
    <cellStyle name="Gevolgde hyperlink" xfId="767" builtinId="9" hidden="1"/>
    <cellStyle name="Gevolgde hyperlink" xfId="769" builtinId="9" hidden="1"/>
    <cellStyle name="Gevolgde hyperlink" xfId="771" builtinId="9" hidden="1"/>
    <cellStyle name="Gevolgde hyperlink" xfId="773" builtinId="9" hidden="1"/>
    <cellStyle name="Gevolgde hyperlink" xfId="775" builtinId="9" hidden="1"/>
    <cellStyle name="Gevolgde hyperlink" xfId="777" builtinId="9" hidden="1"/>
    <cellStyle name="Gevolgde hyperlink" xfId="779" builtinId="9" hidden="1"/>
    <cellStyle name="Gevolgde hyperlink" xfId="781" builtinId="9" hidden="1"/>
    <cellStyle name="Gevolgde hyperlink" xfId="783" builtinId="9" hidden="1"/>
    <cellStyle name="Gevolgde hyperlink" xfId="785" builtinId="9" hidden="1"/>
    <cellStyle name="Gevolgde hyperlink" xfId="787" builtinId="9" hidden="1"/>
    <cellStyle name="Gevolgde hyperlink" xfId="789" builtinId="9" hidden="1"/>
    <cellStyle name="Gevolgde hyperlink" xfId="791" builtinId="9" hidden="1"/>
    <cellStyle name="Gevolgde hyperlink" xfId="793" builtinId="9" hidden="1"/>
    <cellStyle name="Gevolgde hyperlink" xfId="795" builtinId="9" hidden="1"/>
    <cellStyle name="Gevolgde hyperlink" xfId="797" builtinId="9" hidden="1"/>
    <cellStyle name="Gevolgde hyperlink" xfId="799" builtinId="9" hidden="1"/>
    <cellStyle name="Gevolgde hyperlink" xfId="801" builtinId="9" hidden="1"/>
    <cellStyle name="Gevolgde hyperlink" xfId="803" builtinId="9" hidden="1"/>
    <cellStyle name="Gevolgde hyperlink" xfId="805" builtinId="9" hidden="1"/>
    <cellStyle name="Gevolgde hyperlink" xfId="807" builtinId="9" hidden="1"/>
    <cellStyle name="Gevolgde hyperlink" xfId="809" builtinId="9" hidden="1"/>
    <cellStyle name="Gevolgde hyperlink" xfId="811" builtinId="9" hidden="1"/>
    <cellStyle name="Gevolgde hyperlink" xfId="813" builtinId="9" hidden="1"/>
    <cellStyle name="Gevolgde hyperlink" xfId="815" builtinId="9" hidden="1"/>
    <cellStyle name="Gevolgde hyperlink" xfId="817" builtinId="9" hidden="1"/>
    <cellStyle name="Gevolgde hyperlink" xfId="819" builtinId="9" hidden="1"/>
    <cellStyle name="Gevolgde hyperlink" xfId="821" builtinId="9" hidden="1"/>
    <cellStyle name="Gevolgde hyperlink" xfId="823" builtinId="9" hidden="1"/>
    <cellStyle name="Gevolgde hyperlink" xfId="825" builtinId="9" hidden="1"/>
    <cellStyle name="Gevolgde hyperlink" xfId="827" builtinId="9" hidden="1"/>
    <cellStyle name="Gevolgde hyperlink" xfId="829" builtinId="9" hidden="1"/>
    <cellStyle name="Gevolgde hyperlink" xfId="831" builtinId="9" hidden="1"/>
    <cellStyle name="Gevolgde hyperlink" xfId="833" builtinId="9" hidden="1"/>
    <cellStyle name="Gevolgde hyperlink" xfId="835" builtinId="9" hidden="1"/>
    <cellStyle name="Gevolgde hyperlink" xfId="837" builtinId="9" hidden="1"/>
    <cellStyle name="Gevolgde hyperlink" xfId="839" builtinId="9" hidden="1"/>
    <cellStyle name="Gevolgde hyperlink" xfId="841" builtinId="9" hidden="1"/>
    <cellStyle name="Gevolgde hyperlink" xfId="843" builtinId="9" hidden="1"/>
    <cellStyle name="Gevolgde hyperlink" xfId="845" builtinId="9" hidden="1"/>
    <cellStyle name="Gevolgde hyperlink" xfId="847" builtinId="9" hidden="1"/>
    <cellStyle name="Gevolgde hyperlink" xfId="849" builtinId="9" hidden="1"/>
    <cellStyle name="Gevolgde hyperlink" xfId="851" builtinId="9" hidden="1"/>
    <cellStyle name="Gevolgde hyperlink" xfId="853" builtinId="9" hidden="1"/>
    <cellStyle name="Gevolgde hyperlink" xfId="855" builtinId="9" hidden="1"/>
    <cellStyle name="Gevolgde hyperlink" xfId="857" builtinId="9" hidden="1"/>
    <cellStyle name="Gevolgde hyperlink" xfId="859" builtinId="9" hidden="1"/>
    <cellStyle name="Gevolgde hyperlink" xfId="861" builtinId="9" hidden="1"/>
    <cellStyle name="Gevolgde hyperlink" xfId="863" builtinId="9" hidden="1"/>
    <cellStyle name="Gevolgde hyperlink" xfId="865" builtinId="9" hidden="1"/>
    <cellStyle name="Gevolgde hyperlink" xfId="867" builtinId="9" hidden="1"/>
    <cellStyle name="Gevolgde hyperlink" xfId="869" builtinId="9" hidden="1"/>
    <cellStyle name="Gevolgde hyperlink" xfId="871" builtinId="9" hidden="1"/>
    <cellStyle name="Gevolgde hyperlink" xfId="873" builtinId="9" hidden="1"/>
    <cellStyle name="Gevolgde hyperlink" xfId="875" builtinId="9" hidden="1"/>
    <cellStyle name="Gevolgde hyperlink" xfId="877" builtinId="9" hidden="1"/>
    <cellStyle name="Gevolgde hyperlink" xfId="879" builtinId="9" hidden="1"/>
    <cellStyle name="Gevolgde hyperlink" xfId="881" builtinId="9" hidden="1"/>
    <cellStyle name="Gevolgde hyperlink" xfId="883" builtinId="9" hidden="1"/>
    <cellStyle name="Gevolgde hyperlink" xfId="885" builtinId="9" hidden="1"/>
    <cellStyle name="Gevolgde hyperlink" xfId="889" builtinId="9" hidden="1"/>
    <cellStyle name="Gevolgde hyperlink" xfId="891" builtinId="9" hidden="1"/>
    <cellStyle name="Gevolgde hyperlink" xfId="893" builtinId="9" hidden="1"/>
    <cellStyle name="Gevolgde hyperlink" xfId="895" builtinId="9" hidden="1"/>
    <cellStyle name="Gevolgde hyperlink" xfId="897" builtinId="9" hidden="1"/>
    <cellStyle name="Gevolgde hyperlink" xfId="899" builtinId="9" hidden="1"/>
    <cellStyle name="Gevolgde hyperlink" xfId="901" builtinId="9" hidden="1"/>
    <cellStyle name="Gevolgde hyperlink" xfId="903" builtinId="9" hidden="1"/>
    <cellStyle name="Gevolgde hyperlink" xfId="905" builtinId="9" hidden="1"/>
    <cellStyle name="Gevolgde hyperlink" xfId="907" builtinId="9" hidden="1"/>
    <cellStyle name="Gevolgde hyperlink" xfId="909" builtinId="9" hidden="1"/>
    <cellStyle name="Gevolgde hyperlink" xfId="911" builtinId="9" hidden="1"/>
    <cellStyle name="Gevolgde hyperlink" xfId="913" builtinId="9" hidden="1"/>
    <cellStyle name="Gevolgde hyperlink" xfId="915" builtinId="9" hidden="1"/>
    <cellStyle name="Gevolgde hyperlink" xfId="917" builtinId="9" hidden="1"/>
    <cellStyle name="Gevolgde hyperlink" xfId="919" builtinId="9" hidden="1"/>
    <cellStyle name="Gevolgde hyperlink" xfId="921" builtinId="9" hidden="1"/>
    <cellStyle name="Gevolgde hyperlink" xfId="923" builtinId="9" hidden="1"/>
    <cellStyle name="Gevolgde hyperlink" xfId="925" builtinId="9" hidden="1"/>
    <cellStyle name="Gevolgde hyperlink" xfId="927" builtinId="9" hidden="1"/>
    <cellStyle name="Gevolgde hyperlink" xfId="929" builtinId="9" hidden="1"/>
    <cellStyle name="Gevolgde hyperlink" xfId="931" builtinId="9" hidden="1"/>
    <cellStyle name="Gevolgde hyperlink" xfId="933" builtinId="9" hidden="1"/>
    <cellStyle name="Gevolgde hyperlink" xfId="935" builtinId="9" hidden="1"/>
    <cellStyle name="Gevolgde hyperlink" xfId="937" builtinId="9" hidden="1"/>
    <cellStyle name="Gevolgde hyperlink" xfId="939" builtinId="9" hidden="1"/>
    <cellStyle name="Gevolgde hyperlink" xfId="941" builtinId="9" hidden="1"/>
    <cellStyle name="Gevolgde hyperlink" xfId="943" builtinId="9" hidden="1"/>
    <cellStyle name="Gevolgde hyperlink" xfId="945" builtinId="9" hidden="1"/>
    <cellStyle name="Gevolgde hyperlink" xfId="947" builtinId="9" hidden="1"/>
    <cellStyle name="Gevolgde hyperlink" xfId="949" builtinId="9" hidden="1"/>
    <cellStyle name="Gevolgde hyperlink" xfId="951" builtinId="9" hidden="1"/>
    <cellStyle name="Gevolgde hyperlink" xfId="953" builtinId="9" hidden="1"/>
    <cellStyle name="Gevolgde hyperlink" xfId="955" builtinId="9" hidden="1"/>
    <cellStyle name="Gevolgde hyperlink" xfId="957" builtinId="9" hidden="1"/>
    <cellStyle name="Gevolgde hyperlink" xfId="959" builtinId="9" hidden="1"/>
    <cellStyle name="Gevolgde hyperlink" xfId="961" builtinId="9" hidden="1"/>
    <cellStyle name="Gevolgde hyperlink" xfId="963" builtinId="9" hidden="1"/>
    <cellStyle name="Gevolgde hyperlink" xfId="965" builtinId="9" hidden="1"/>
    <cellStyle name="Gevolgde hyperlink" xfId="967" builtinId="9" hidden="1"/>
    <cellStyle name="Gevolgde hyperlink" xfId="969" builtinId="9" hidden="1"/>
    <cellStyle name="Gevolgde hyperlink" xfId="971" builtinId="9" hidden="1"/>
    <cellStyle name="Gevolgde hyperlink" xfId="973" builtinId="9" hidden="1"/>
    <cellStyle name="Gevolgde hyperlink" xfId="975" builtinId="9" hidden="1"/>
    <cellStyle name="Gevolgde hyperlink" xfId="977" builtinId="9" hidden="1"/>
    <cellStyle name="Gevolgde hyperlink" xfId="979" builtinId="9" hidden="1"/>
    <cellStyle name="Gevolgde hyperlink" xfId="981" builtinId="9" hidden="1"/>
    <cellStyle name="Gevolgde hyperlink" xfId="983" builtinId="9" hidden="1"/>
    <cellStyle name="Gevolgde hyperlink" xfId="985" builtinId="9" hidden="1"/>
    <cellStyle name="Gevolgde hyperlink" xfId="987" builtinId="9" hidden="1"/>
    <cellStyle name="Gevolgde hyperlink" xfId="989" builtinId="9" hidden="1"/>
    <cellStyle name="Gevolgde hyperlink" xfId="991" builtinId="9" hidden="1"/>
    <cellStyle name="Gevolgde hyperlink" xfId="993" builtinId="9" hidden="1"/>
    <cellStyle name="Gevolgde hyperlink" xfId="995" builtinId="9" hidden="1"/>
    <cellStyle name="Gevolgde hyperlink" xfId="997" builtinId="9" hidden="1"/>
    <cellStyle name="Gevolgde hyperlink" xfId="999" builtinId="9" hidden="1"/>
    <cellStyle name="Gevolgde hyperlink" xfId="1001" builtinId="9" hidden="1"/>
    <cellStyle name="Gevolgde hyperlink" xfId="1003" builtinId="9" hidden="1"/>
    <cellStyle name="Gevolgde hyperlink" xfId="1005" builtinId="9" hidden="1"/>
    <cellStyle name="Gevolgde hyperlink" xfId="1007" builtinId="9" hidden="1"/>
    <cellStyle name="Gevolgde hyperlink" xfId="1009" builtinId="9" hidden="1"/>
    <cellStyle name="Gevolgde hyperlink" xfId="1011" builtinId="9" hidden="1"/>
    <cellStyle name="Gevolgde hyperlink" xfId="1013" builtinId="9" hidden="1"/>
    <cellStyle name="Gevolgde hyperlink" xfId="1015" builtinId="9" hidden="1"/>
    <cellStyle name="Gevolgde hyperlink" xfId="1017" builtinId="9" hidden="1"/>
    <cellStyle name="Gevolgde hyperlink" xfId="1019" builtinId="9" hidden="1"/>
    <cellStyle name="Gevolgde hyperlink" xfId="1021" builtinId="9" hidden="1"/>
    <cellStyle name="Gevolgde hyperlink" xfId="1023" builtinId="9" hidden="1"/>
    <cellStyle name="Gevolgde hyperlink" xfId="1025" builtinId="9" hidden="1"/>
    <cellStyle name="Gevolgde hyperlink" xfId="1027" builtinId="9" hidden="1"/>
    <cellStyle name="Gevolgde hyperlink" xfId="1029" builtinId="9" hidden="1"/>
    <cellStyle name="Gevolgde hyperlink" xfId="1031" builtinId="9" hidden="1"/>
    <cellStyle name="Gevolgde hyperlink" xfId="1033" builtinId="9" hidden="1"/>
    <cellStyle name="Gevolgde hyperlink" xfId="1035" builtinId="9" hidden="1"/>
    <cellStyle name="Gevolgde hyperlink" xfId="1037" builtinId="9" hidden="1"/>
    <cellStyle name="Gevolgde hyperlink" xfId="1039" builtinId="9" hidden="1"/>
    <cellStyle name="Gevolgde hyperlink" xfId="1041" builtinId="9" hidden="1"/>
    <cellStyle name="Gevolgde hyperlink" xfId="1043" builtinId="9" hidden="1"/>
    <cellStyle name="Gevolgde hyperlink" xfId="1045" builtinId="9" hidden="1"/>
    <cellStyle name="Gevolgde hyperlink" xfId="1047" builtinId="9" hidden="1"/>
    <cellStyle name="Gevolgde hyperlink" xfId="1049" builtinId="9" hidden="1"/>
    <cellStyle name="Gevolgde hyperlink" xfId="1051" builtinId="9" hidden="1"/>
    <cellStyle name="Gevolgde hyperlink" xfId="1053" builtinId="9" hidden="1"/>
    <cellStyle name="Gevolgde hyperlink" xfId="1055" builtinId="9" hidden="1"/>
    <cellStyle name="Gevolgde hyperlink" xfId="1057" builtinId="9" hidden="1"/>
    <cellStyle name="Gevolgde hyperlink" xfId="1059" builtinId="9" hidden="1"/>
    <cellStyle name="Gevolgde hyperlink" xfId="1061" builtinId="9" hidden="1"/>
    <cellStyle name="Gevolgde hyperlink" xfId="1063" builtinId="9" hidden="1"/>
    <cellStyle name="Gevolgde hyperlink" xfId="1065" builtinId="9" hidden="1"/>
    <cellStyle name="Gevolgde hyperlink" xfId="1067" builtinId="9" hidden="1"/>
    <cellStyle name="Gevolgde hyperlink" xfId="1069" builtinId="9" hidden="1"/>
    <cellStyle name="Gevolgde hyperlink" xfId="1071" builtinId="9" hidden="1"/>
    <cellStyle name="Gevolgde hyperlink" xfId="1073" builtinId="9" hidden="1"/>
    <cellStyle name="Gevolgde hyperlink" xfId="1075" builtinId="9" hidden="1"/>
    <cellStyle name="Gevolgde hyperlink" xfId="1077" builtinId="9" hidden="1"/>
    <cellStyle name="Gevolgde hyperlink" xfId="1079" builtinId="9" hidden="1"/>
    <cellStyle name="Gevolgde hyperlink" xfId="1081" builtinId="9" hidden="1"/>
    <cellStyle name="Gevolgde hyperlink" xfId="1083" builtinId="9" hidden="1"/>
    <cellStyle name="Gevolgde hyperlink" xfId="1085" builtinId="9" hidden="1"/>
    <cellStyle name="Gevolgde hyperlink" xfId="1087" builtinId="9" hidden="1"/>
    <cellStyle name="Gevolgde hyperlink" xfId="1089" builtinId="9" hidden="1"/>
    <cellStyle name="Gevolgde hyperlink" xfId="1091" builtinId="9" hidden="1"/>
    <cellStyle name="Gevolgde hyperlink" xfId="1093" builtinId="9" hidden="1"/>
    <cellStyle name="Gevolgde hyperlink" xfId="1095" builtinId="9" hidden="1"/>
    <cellStyle name="Gevolgde hyperlink" xfId="1097" builtinId="9" hidden="1"/>
    <cellStyle name="Gevolgde hyperlink" xfId="1099" builtinId="9" hidden="1"/>
    <cellStyle name="Gevolgde hyperlink" xfId="1101" builtinId="9" hidden="1"/>
    <cellStyle name="Gevolgde hyperlink" xfId="1103" builtinId="9" hidden="1"/>
    <cellStyle name="Gevolgde hyperlink" xfId="1105" builtinId="9" hidden="1"/>
    <cellStyle name="Gevolgde hyperlink" xfId="1107" builtinId="9" hidden="1"/>
    <cellStyle name="Gevolgde hyperlink" xfId="1109" builtinId="9" hidden="1"/>
    <cellStyle name="Gevolgde hyperlink" xfId="1111" builtinId="9" hidden="1"/>
    <cellStyle name="Gevolgde hyperlink" xfId="1113" builtinId="9" hidden="1"/>
    <cellStyle name="Gevolgde hyperlink" xfId="1115" builtinId="9" hidden="1"/>
    <cellStyle name="Gevolgde hyperlink" xfId="1117" builtinId="9" hidden="1"/>
    <cellStyle name="Gevolgde hyperlink" xfId="1119" builtinId="9" hidden="1"/>
    <cellStyle name="Gevolgde hyperlink" xfId="1121" builtinId="9" hidden="1"/>
    <cellStyle name="Gevolgde hyperlink" xfId="1123" builtinId="9" hidden="1"/>
    <cellStyle name="Gevolgde hyperlink" xfId="1125" builtinId="9" hidden="1"/>
    <cellStyle name="Gevolgde hyperlink" xfId="1127" builtinId="9" hidden="1"/>
    <cellStyle name="Gevolgde hyperlink" xfId="1129" builtinId="9" hidden="1"/>
    <cellStyle name="Gevolgde hyperlink" xfId="1131" builtinId="9" hidden="1"/>
    <cellStyle name="Gevolgde hyperlink" xfId="1133" builtinId="9" hidden="1"/>
    <cellStyle name="Gevolgde hyperlink" xfId="1135" builtinId="9" hidden="1"/>
    <cellStyle name="Gevolgde hyperlink" xfId="1137" builtinId="9" hidden="1"/>
    <cellStyle name="Gevolgde hyperlink" xfId="1139" builtinId="9" hidden="1"/>
    <cellStyle name="Gevolgde hyperlink" xfId="1141" builtinId="9" hidden="1"/>
    <cellStyle name="Gevolgde hyperlink" xfId="1143" builtinId="9" hidden="1"/>
    <cellStyle name="Gevolgde hyperlink" xfId="1145" builtinId="9" hidden="1"/>
    <cellStyle name="Gevolgde hyperlink" xfId="1147" builtinId="9" hidden="1"/>
    <cellStyle name="Gevolgde hyperlink" xfId="1149" builtinId="9" hidden="1"/>
    <cellStyle name="Gevolgde hyperlink" xfId="1151" builtinId="9" hidden="1"/>
    <cellStyle name="Gevolgde hyperlink" xfId="1153" builtinId="9" hidden="1"/>
    <cellStyle name="Gevolgde hyperlink" xfId="1155" builtinId="9" hidden="1"/>
    <cellStyle name="Gevolgde hyperlink" xfId="1157" builtinId="9" hidden="1"/>
    <cellStyle name="Gevolgde hyperlink" xfId="1159" builtinId="9" hidden="1"/>
    <cellStyle name="Gevolgde hyperlink" xfId="1161" builtinId="9" hidden="1"/>
    <cellStyle name="Gevolgde hyperlink" xfId="1163" builtinId="9" hidden="1"/>
    <cellStyle name="Gevolgde hyperlink" xfId="1165" builtinId="9" hidden="1"/>
    <cellStyle name="Gevolgde hyperlink" xfId="1167" builtinId="9" hidden="1"/>
    <cellStyle name="Gevolgde hyperlink" xfId="1169" builtinId="9" hidden="1"/>
    <cellStyle name="Gevolgde hyperlink" xfId="1171" builtinId="9" hidden="1"/>
    <cellStyle name="Gevolgde hyperlink" xfId="1173" builtinId="9" hidden="1"/>
    <cellStyle name="Gevolgde hyperlink" xfId="1175" builtinId="9" hidden="1"/>
    <cellStyle name="Gevolgde hyperlink" xfId="1177" builtinId="9" hidden="1"/>
    <cellStyle name="Gevolgde hyperlink" xfId="1179" builtinId="9" hidden="1"/>
    <cellStyle name="Gevolgde hyperlink" xfId="1181" builtinId="9" hidden="1"/>
    <cellStyle name="Gevolgde hyperlink" xfId="1183" builtinId="9" hidden="1"/>
    <cellStyle name="Gevolgde hyperlink" xfId="1185" builtinId="9" hidden="1"/>
    <cellStyle name="Gevolgde hyperlink" xfId="1187" builtinId="9" hidden="1"/>
    <cellStyle name="Gevolgde hyperlink" xfId="1189" builtinId="9" hidden="1"/>
    <cellStyle name="Gevolgde hyperlink" xfId="1191" builtinId="9" hidden="1"/>
    <cellStyle name="Gevolgde hyperlink" xfId="1193" builtinId="9" hidden="1"/>
    <cellStyle name="Gevolgde hyperlink" xfId="1195" builtinId="9" hidden="1"/>
    <cellStyle name="Gevolgde hyperlink" xfId="1197" builtinId="9" hidden="1"/>
    <cellStyle name="Gevolgde hyperlink" xfId="1199" builtinId="9" hidden="1"/>
    <cellStyle name="Gevolgde hyperlink" xfId="1201" builtinId="9" hidden="1"/>
    <cellStyle name="Gevolgde hyperlink" xfId="1203" builtinId="9" hidden="1"/>
    <cellStyle name="Gevolgde hyperlink" xfId="1205" builtinId="9" hidden="1"/>
    <cellStyle name="Gevolgde hyperlink" xfId="1207" builtinId="9" hidden="1"/>
    <cellStyle name="Gevolgde hyperlink" xfId="1209" builtinId="9" hidden="1"/>
    <cellStyle name="Gevolgde hyperlink" xfId="1211" builtinId="9" hidden="1"/>
    <cellStyle name="Gevolgde hyperlink" xfId="1213" builtinId="9" hidden="1"/>
    <cellStyle name="Gevolgde hyperlink" xfId="1215" builtinId="9" hidden="1"/>
    <cellStyle name="Gevolgde hyperlink" xfId="1217" builtinId="9" hidden="1"/>
    <cellStyle name="Gevolgde hyperlink" xfId="1219" builtinId="9" hidden="1"/>
    <cellStyle name="Gevolgde hyperlink" xfId="1221" builtinId="9" hidden="1"/>
    <cellStyle name="Gevolgde hyperlink" xfId="1223" builtinId="9" hidden="1"/>
    <cellStyle name="Gevolgde hyperlink" xfId="1225" builtinId="9" hidden="1"/>
    <cellStyle name="Gevolgde hyperlink" xfId="1227" builtinId="9" hidden="1"/>
    <cellStyle name="Gevolgde hyperlink" xfId="1229" builtinId="9" hidden="1"/>
    <cellStyle name="Gevolgde hyperlink" xfId="1231" builtinId="9" hidden="1"/>
    <cellStyle name="Gevolgde hyperlink" xfId="1233" builtinId="9" hidden="1"/>
    <cellStyle name="Gevolgde hyperlink" xfId="1235" builtinId="9" hidden="1"/>
    <cellStyle name="Gevolgde hyperlink" xfId="1237" builtinId="9" hidden="1"/>
    <cellStyle name="Gevolgde hyperlink" xfId="1239" builtinId="9" hidden="1"/>
    <cellStyle name="Gevolgde hyperlink" xfId="1241" builtinId="9" hidden="1"/>
    <cellStyle name="Gevolgde hyperlink" xfId="1243" builtinId="9" hidden="1"/>
    <cellStyle name="Gevolgde hyperlink" xfId="1245" builtinId="9" hidden="1"/>
    <cellStyle name="Gevolgde hyperlink" xfId="1247" builtinId="9" hidden="1"/>
    <cellStyle name="Gevolgde hyperlink" xfId="1249" builtinId="9" hidden="1"/>
    <cellStyle name="Gevolgde hyperlink" xfId="1251" builtinId="9" hidden="1"/>
    <cellStyle name="Gevolgde hyperlink" xfId="1253" builtinId="9" hidden="1"/>
    <cellStyle name="Gevolgde hyperlink" xfId="1255" builtinId="9" hidden="1"/>
    <cellStyle name="Gevolgde hyperlink" xfId="1257" builtinId="9" hidden="1"/>
    <cellStyle name="Gevolgde hyperlink" xfId="1259" builtinId="9" hidden="1"/>
    <cellStyle name="Gevolgde hyperlink" xfId="1261" builtinId="9" hidden="1"/>
    <cellStyle name="Gevolgde hyperlink" xfId="1263" builtinId="9" hidden="1"/>
    <cellStyle name="Gevolgde hyperlink" xfId="1265" builtinId="9" hidden="1"/>
    <cellStyle name="Gevolgde hyperlink" xfId="1267" builtinId="9" hidden="1"/>
    <cellStyle name="Gevolgde hyperlink" xfId="1269" builtinId="9" hidden="1"/>
    <cellStyle name="Gevolgde hyperlink" xfId="1271" builtinId="9" hidden="1"/>
    <cellStyle name="Gevolgde hyperlink" xfId="1273" builtinId="9" hidden="1"/>
    <cellStyle name="Gevolgde hyperlink" xfId="1275" builtinId="9" hidden="1"/>
    <cellStyle name="Gevolgde hyperlink" xfId="1277" builtinId="9" hidden="1"/>
    <cellStyle name="Gevolgde hyperlink" xfId="1279" builtinId="9" hidden="1"/>
    <cellStyle name="Gevolgde hyperlink" xfId="1281" builtinId="9" hidden="1"/>
    <cellStyle name="Gevolgde hyperlink" xfId="1283" builtinId="9" hidden="1"/>
    <cellStyle name="Gevolgde hyperlink" xfId="1285" builtinId="9" hidden="1"/>
    <cellStyle name="Gevolgde hyperlink" xfId="1287" builtinId="9" hidden="1"/>
    <cellStyle name="Gevolgde hyperlink" xfId="1289" builtinId="9" hidden="1"/>
    <cellStyle name="Gevolgde hyperlink" xfId="1291" builtinId="9" hidden="1"/>
    <cellStyle name="Gevolgde hyperlink" xfId="1293" builtinId="9" hidden="1"/>
    <cellStyle name="Gevolgde hyperlink" xfId="1295" builtinId="9" hidden="1"/>
    <cellStyle name="Gevolgde hyperlink" xfId="1297" builtinId="9" hidden="1"/>
    <cellStyle name="Gevolgde hyperlink" xfId="1299" builtinId="9" hidden="1"/>
    <cellStyle name="Gevolgde hyperlink" xfId="1301" builtinId="9" hidden="1"/>
    <cellStyle name="Gevolgde hyperlink" xfId="1303" builtinId="9" hidden="1"/>
    <cellStyle name="Gevolgde hyperlink" xfId="1305" builtinId="9" hidden="1"/>
    <cellStyle name="Gevolgde hyperlink" xfId="1307" builtinId="9" hidden="1"/>
    <cellStyle name="Gevolgde hyperlink" xfId="1309" builtinId="9" hidden="1"/>
    <cellStyle name="Gevolgde hyperlink" xfId="1311" builtinId="9" hidden="1"/>
    <cellStyle name="Gevolgde hyperlink" xfId="1313" builtinId="9" hidden="1"/>
    <cellStyle name="Gevolgde hyperlink" xfId="1315" builtinId="9" hidden="1"/>
    <cellStyle name="Gevolgde hyperlink" xfId="1317" builtinId="9" hidden="1"/>
    <cellStyle name="Gevolgde hyperlink" xfId="1319" builtinId="9" hidden="1"/>
    <cellStyle name="Gevolgde hyperlink" xfId="1321" builtinId="9" hidden="1"/>
    <cellStyle name="Gevolgde hyperlink" xfId="1323" builtinId="9" hidden="1"/>
    <cellStyle name="Gevolgde hyperlink" xfId="1325" builtinId="9" hidden="1"/>
    <cellStyle name="Gevolgde hyperlink" xfId="1327" builtinId="9" hidden="1"/>
    <cellStyle name="Gevolgde hyperlink" xfId="1329" builtinId="9" hidden="1"/>
    <cellStyle name="Gevolgde hyperlink" xfId="1331" builtinId="9" hidden="1"/>
    <cellStyle name="Gevolgde hyperlink" xfId="1333" builtinId="9" hidden="1"/>
    <cellStyle name="Gevolgde hyperlink" xfId="1335" builtinId="9" hidden="1"/>
    <cellStyle name="Gevolgde hyperlink" xfId="1337" builtinId="9" hidden="1"/>
    <cellStyle name="Gevolgde hyperlink" xfId="1339" builtinId="9" hidden="1"/>
    <cellStyle name="Gevolgde hyperlink" xfId="1341" builtinId="9" hidden="1"/>
    <cellStyle name="Gevolgde hyperlink" xfId="1343" builtinId="9" hidden="1"/>
    <cellStyle name="Gevolgde hyperlink" xfId="1345" builtinId="9" hidden="1"/>
    <cellStyle name="Gevolgde hyperlink" xfId="1347" builtinId="9" hidden="1"/>
    <cellStyle name="Gevolgde hyperlink" xfId="1349" builtinId="9" hidden="1"/>
    <cellStyle name="Gevolgde hyperlink" xfId="1351" builtinId="9" hidden="1"/>
    <cellStyle name="Gevolgde hyperlink" xfId="1353" builtinId="9" hidden="1"/>
    <cellStyle name="Gevolgde hyperlink" xfId="1355" builtinId="9" hidden="1"/>
    <cellStyle name="Gevolgde hyperlink" xfId="1357" builtinId="9" hidden="1"/>
    <cellStyle name="Gevolgde hyperlink" xfId="1359" builtinId="9" hidden="1"/>
    <cellStyle name="Gevolgde hyperlink" xfId="1361" builtinId="9" hidden="1"/>
    <cellStyle name="Gevolgde hyperlink" xfId="1363" builtinId="9" hidden="1"/>
    <cellStyle name="Gevolgde hyperlink" xfId="1365" builtinId="9" hidden="1"/>
    <cellStyle name="Gevolgde hyperlink" xfId="1367" builtinId="9" hidden="1"/>
    <cellStyle name="Gevolgde hyperlink" xfId="1369" builtinId="9" hidden="1"/>
    <cellStyle name="Gevolgde hyperlink" xfId="1371" builtinId="9" hidden="1"/>
    <cellStyle name="Gevolgde hyperlink" xfId="1373" builtinId="9" hidden="1"/>
    <cellStyle name="Gevolgde hyperlink" xfId="1375" builtinId="9" hidden="1"/>
    <cellStyle name="Gevolgde hyperlink" xfId="1377" builtinId="9" hidden="1"/>
    <cellStyle name="Gevolgde hyperlink" xfId="1379" builtinId="9" hidden="1"/>
    <cellStyle name="Gevolgde hyperlink" xfId="1381" builtinId="9" hidden="1"/>
    <cellStyle name="Gevolgde hyperlink" xfId="1383" builtinId="9" hidden="1"/>
    <cellStyle name="Gevolgde hyperlink" xfId="1385" builtinId="9" hidden="1"/>
    <cellStyle name="Gevolgde hyperlink" xfId="1387" builtinId="9" hidden="1"/>
    <cellStyle name="Gevolgde hyperlink" xfId="1389" builtinId="9" hidden="1"/>
    <cellStyle name="Gevolgde hyperlink" xfId="1391" builtinId="9" hidden="1"/>
    <cellStyle name="Gevolgde hyperlink" xfId="1393" builtinId="9" hidden="1"/>
    <cellStyle name="Gevolgde hyperlink" xfId="1395" builtinId="9" hidden="1"/>
    <cellStyle name="Gevolgde hyperlink" xfId="1397" builtinId="9" hidden="1"/>
    <cellStyle name="Gevolgde hyperlink" xfId="1399" builtinId="9" hidden="1"/>
    <cellStyle name="Gevolgde hyperlink" xfId="1401" builtinId="9" hidden="1"/>
    <cellStyle name="Gevolgde hyperlink" xfId="1403" builtinId="9" hidden="1"/>
    <cellStyle name="Gevolgde hyperlink" xfId="1405" builtinId="9" hidden="1"/>
    <cellStyle name="Gevolgde hyperlink" xfId="1407" builtinId="9" hidden="1"/>
    <cellStyle name="Gevolgde hyperlink" xfId="1409" builtinId="9" hidden="1"/>
    <cellStyle name="Gevolgde hyperlink" xfId="1411" builtinId="9" hidden="1"/>
    <cellStyle name="Gevolgde hyperlink" xfId="1413" builtinId="9" hidden="1"/>
    <cellStyle name="Gevolgde hyperlink" xfId="1415" builtinId="9" hidden="1"/>
    <cellStyle name="Gevolgde hyperlink" xfId="1417" builtinId="9" hidden="1"/>
    <cellStyle name="Gevolgde hyperlink" xfId="1419" builtinId="9" hidden="1"/>
    <cellStyle name="Gevolgde hyperlink" xfId="1421" builtinId="9" hidden="1"/>
    <cellStyle name="Gevolgde hyperlink" xfId="1423" builtinId="9" hidden="1"/>
    <cellStyle name="Gevolgde hyperlink" xfId="1425" builtinId="9" hidden="1"/>
    <cellStyle name="Gevolgde hyperlink" xfId="1427" builtinId="9" hidden="1"/>
    <cellStyle name="Gevolgde hyperlink" xfId="1429" builtinId="9" hidden="1"/>
    <cellStyle name="Gevolgde hyperlink" xfId="1431" builtinId="9" hidden="1"/>
    <cellStyle name="Gevolgde hyperlink" xfId="1433" builtinId="9" hidden="1"/>
    <cellStyle name="Gevolgde hyperlink" xfId="1435" builtinId="9" hidden="1"/>
    <cellStyle name="Gevolgde hyperlink" xfId="1437" builtinId="9" hidden="1"/>
    <cellStyle name="Gevolgde hyperlink" xfId="1439" builtinId="9" hidden="1"/>
    <cellStyle name="Gevolgde hyperlink" xfId="1441" builtinId="9" hidden="1"/>
    <cellStyle name="Gevolgde hyperlink" xfId="1443" builtinId="9" hidden="1"/>
    <cellStyle name="Gevolgde hyperlink" xfId="1445" builtinId="9" hidden="1"/>
    <cellStyle name="Gevolgde hyperlink" xfId="1447" builtinId="9" hidden="1"/>
    <cellStyle name="Gevolgde hyperlink" xfId="1449" builtinId="9" hidden="1"/>
    <cellStyle name="Gevolgde hyperlink" xfId="1451" builtinId="9" hidden="1"/>
    <cellStyle name="Gevolgde hyperlink" xfId="1453" builtinId="9" hidden="1"/>
    <cellStyle name="Gevolgde hyperlink" xfId="1455" builtinId="9" hidden="1"/>
    <cellStyle name="Gevolgde hyperlink" xfId="1457" builtinId="9" hidden="1"/>
    <cellStyle name="Gevolgde hyperlink" xfId="1459" builtinId="9" hidden="1"/>
    <cellStyle name="Gevolgde hyperlink" xfId="1461" builtinId="9" hidden="1"/>
    <cellStyle name="Gevolgde hyperlink" xfId="1463" builtinId="9" hidden="1"/>
    <cellStyle name="Gevolgde hyperlink" xfId="1465" builtinId="9" hidden="1"/>
    <cellStyle name="Gevolgde hyperlink" xfId="1467" builtinId="9" hidden="1"/>
    <cellStyle name="Gevolgde hyperlink" xfId="1469" builtinId="9" hidden="1"/>
    <cellStyle name="Gevolgde hyperlink" xfId="1471" builtinId="9" hidden="1"/>
    <cellStyle name="Gevolgde hyperlink" xfId="1473" builtinId="9" hidden="1"/>
    <cellStyle name="Gevolgde hyperlink" xfId="1475" builtinId="9" hidden="1"/>
    <cellStyle name="Gevolgde hyperlink" xfId="1477" builtinId="9" hidden="1"/>
    <cellStyle name="Gevolgde hyperlink" xfId="1479" builtinId="9" hidden="1"/>
    <cellStyle name="Gevolgde hyperlink" xfId="1481" builtinId="9" hidden="1"/>
    <cellStyle name="Gevolgde hyperlink" xfId="1483" builtinId="9" hidden="1"/>
    <cellStyle name="Gevolgde hyperlink" xfId="1485" builtinId="9" hidden="1"/>
    <cellStyle name="Gevolgde hyperlink" xfId="1487" builtinId="9" hidden="1"/>
    <cellStyle name="Gevolgde hyperlink" xfId="1489" builtinId="9" hidden="1"/>
    <cellStyle name="Gevolgde hyperlink" xfId="1491" builtinId="9" hidden="1"/>
    <cellStyle name="Gevolgde hyperlink" xfId="1493" builtinId="9" hidden="1"/>
    <cellStyle name="Gevolgde hyperlink" xfId="1495" builtinId="9" hidden="1"/>
    <cellStyle name="Gevolgde hyperlink" xfId="1497" builtinId="9" hidden="1"/>
    <cellStyle name="Gevolgde hyperlink" xfId="1499" builtinId="9" hidden="1"/>
    <cellStyle name="Gevolgde hyperlink" xfId="1501" builtinId="9" hidden="1"/>
    <cellStyle name="Gevolgde hyperlink" xfId="1503" builtinId="9" hidden="1"/>
    <cellStyle name="Gevolgde hyperlink" xfId="1505" builtinId="9" hidden="1"/>
    <cellStyle name="Gevolgde hyperlink" xfId="1507" builtinId="9" hidden="1"/>
    <cellStyle name="Gevolgde hyperlink" xfId="1509" builtinId="9" hidden="1"/>
    <cellStyle name="Gevolgde hyperlink" xfId="1511" builtinId="9" hidden="1"/>
    <cellStyle name="Gevolgde hyperlink" xfId="1513" builtinId="9" hidden="1"/>
    <cellStyle name="Gevolgde hyperlink" xfId="1515" builtinId="9" hidden="1"/>
    <cellStyle name="Gevolgde hyperlink" xfId="1517" builtinId="9" hidden="1"/>
    <cellStyle name="Gevolgde hyperlink" xfId="1519" builtinId="9" hidden="1"/>
    <cellStyle name="Gevolgde hyperlink" xfId="1521" builtinId="9" hidden="1"/>
    <cellStyle name="Gevolgde hyperlink" xfId="1523" builtinId="9" hidden="1"/>
    <cellStyle name="Gevolgde hyperlink" xfId="1525" builtinId="9" hidden="1"/>
    <cellStyle name="Gevolgde hyperlink" xfId="1527" builtinId="9" hidden="1"/>
    <cellStyle name="Gevolgde hyperlink" xfId="1529" builtinId="9" hidden="1"/>
    <cellStyle name="Gevolgde hyperlink" xfId="1531" builtinId="9" hidden="1"/>
    <cellStyle name="Gevolgde hyperlink" xfId="1533" builtinId="9" hidden="1"/>
    <cellStyle name="Gevolgde hyperlink" xfId="1535" builtinId="9" hidden="1"/>
    <cellStyle name="Gevolgde hyperlink" xfId="1537" builtinId="9" hidden="1"/>
    <cellStyle name="Gevolgde hyperlink" xfId="1539" builtinId="9" hidden="1"/>
    <cellStyle name="Gevolgde hyperlink" xfId="1541" builtinId="9" hidden="1"/>
    <cellStyle name="Gevolgde hyperlink" xfId="1543" builtinId="9" hidden="1"/>
    <cellStyle name="Gevolgde hyperlink" xfId="1545" builtinId="9" hidden="1"/>
    <cellStyle name="Gevolgde hyperlink" xfId="1547" builtinId="9" hidden="1"/>
    <cellStyle name="Gevolgde hyperlink" xfId="1549" builtinId="9" hidden="1"/>
    <cellStyle name="Gevolgde hyperlink" xfId="1551" builtinId="9" hidden="1"/>
    <cellStyle name="Gevolgde hyperlink" xfId="1553" builtinId="9" hidden="1"/>
    <cellStyle name="Gevolgde hyperlink" xfId="1555" builtinId="9" hidden="1"/>
    <cellStyle name="Gevolgde hyperlink" xfId="1557" builtinId="9" hidden="1"/>
    <cellStyle name="Gevolgde hyperlink" xfId="1559" builtinId="9" hidden="1"/>
    <cellStyle name="Gevolgde hyperlink" xfId="1561" builtinId="9" hidden="1"/>
    <cellStyle name="Gevolgde hyperlink" xfId="1563" builtinId="9" hidden="1"/>
    <cellStyle name="Gevolgde hyperlink" xfId="1565" builtinId="9" hidden="1"/>
    <cellStyle name="Gevolgde hyperlink" xfId="1567" builtinId="9" hidden="1"/>
    <cellStyle name="Gevolgde hyperlink" xfId="1569" builtinId="9" hidden="1"/>
    <cellStyle name="Gevolgde hyperlink" xfId="1571" builtinId="9" hidden="1"/>
    <cellStyle name="Gevolgde hyperlink" xfId="1573" builtinId="9" hidden="1"/>
    <cellStyle name="Gevolgde hyperlink" xfId="1575" builtinId="9" hidden="1"/>
    <cellStyle name="Gevolgde hyperlink" xfId="1577" builtinId="9" hidden="1"/>
    <cellStyle name="Gevolgde hyperlink" xfId="1579" builtinId="9" hidden="1"/>
    <cellStyle name="Gevolgde hyperlink" xfId="1581" builtinId="9" hidden="1"/>
    <cellStyle name="Gevolgde hyperlink" xfId="1583" builtinId="9" hidden="1"/>
    <cellStyle name="Gevolgde hyperlink" xfId="1585" builtinId="9" hidden="1"/>
    <cellStyle name="Gevolgde hyperlink" xfId="1587" builtinId="9" hidden="1"/>
    <cellStyle name="Gevolgde hyperlink" xfId="1589" builtinId="9" hidden="1"/>
    <cellStyle name="Gevolgde hyperlink" xfId="1591" builtinId="9" hidden="1"/>
    <cellStyle name="Gevolgde hyperlink" xfId="1593" builtinId="9" hidden="1"/>
    <cellStyle name="Gevolgde hyperlink" xfId="1595" builtinId="9" hidden="1"/>
    <cellStyle name="Gevolgde hyperlink" xfId="1597" builtinId="9" hidden="1"/>
    <cellStyle name="Gevolgde hyperlink" xfId="1599" builtinId="9" hidden="1"/>
    <cellStyle name="Gevolgde hyperlink" xfId="1601" builtinId="9" hidden="1"/>
    <cellStyle name="Gevolgde hyperlink" xfId="1603" builtinId="9" hidden="1"/>
    <cellStyle name="Gevolgde hyperlink" xfId="1605" builtinId="9" hidden="1"/>
    <cellStyle name="Gevolgde hyperlink" xfId="1607" builtinId="9" hidden="1"/>
    <cellStyle name="Gevolgde hyperlink" xfId="1609" builtinId="9" hidden="1"/>
    <cellStyle name="Gevolgde hyperlink" xfId="1611" builtinId="9" hidden="1"/>
    <cellStyle name="Gevolgde hyperlink" xfId="1613" builtinId="9" hidden="1"/>
    <cellStyle name="Gevolgde hyperlink" xfId="1615" builtinId="9" hidden="1"/>
    <cellStyle name="Gevolgde hyperlink" xfId="1617" builtinId="9" hidden="1"/>
    <cellStyle name="Gevolgde hyperlink" xfId="1619" builtinId="9" hidden="1"/>
    <cellStyle name="Gevolgde hyperlink" xfId="1621" builtinId="9" hidden="1"/>
    <cellStyle name="Gevolgde hyperlink" xfId="1623" builtinId="9" hidden="1"/>
    <cellStyle name="Gevolgde hyperlink" xfId="1625" builtinId="9" hidden="1"/>
    <cellStyle name="Gevolgde hyperlink" xfId="1627" builtinId="9" hidden="1"/>
    <cellStyle name="Gevolgde hyperlink" xfId="1629" builtinId="9" hidden="1"/>
    <cellStyle name="Gevolgde hyperlink" xfId="1631" builtinId="9" hidden="1"/>
    <cellStyle name="Gevolgde hyperlink" xfId="1633" builtinId="9" hidden="1"/>
    <cellStyle name="Gevolgde hyperlink" xfId="1635" builtinId="9" hidden="1"/>
    <cellStyle name="Gevolgde hyperlink" xfId="1637" builtinId="9" hidden="1"/>
    <cellStyle name="Gevolgde hyperlink" xfId="1639" builtinId="9" hidden="1"/>
    <cellStyle name="Gevolgde hyperlink" xfId="1641" builtinId="9" hidden="1"/>
    <cellStyle name="Gevolgde hyperlink" xfId="1643" builtinId="9" hidden="1"/>
    <cellStyle name="Gevolgde hyperlink" xfId="1645" builtinId="9" hidden="1"/>
    <cellStyle name="Gevolgde hyperlink" xfId="1647" builtinId="9" hidden="1"/>
    <cellStyle name="Gevolgde hyperlink" xfId="1649" builtinId="9" hidden="1"/>
    <cellStyle name="Gevolgde hyperlink" xfId="1651" builtinId="9" hidden="1"/>
    <cellStyle name="Gevolgde hyperlink" xfId="1653" builtinId="9" hidden="1"/>
    <cellStyle name="Gevolgde hyperlink" xfId="1655" builtinId="9" hidden="1"/>
    <cellStyle name="Gevolgde hyperlink" xfId="1657" builtinId="9" hidden="1"/>
    <cellStyle name="Gevolgde hyperlink" xfId="1659" builtinId="9" hidden="1"/>
    <cellStyle name="Gevolgde hyperlink" xfId="1661" builtinId="9" hidden="1"/>
    <cellStyle name="Gevolgde hyperlink" xfId="1663" builtinId="9" hidden="1"/>
    <cellStyle name="Gevolgde hyperlink" xfId="1665" builtinId="9" hidden="1"/>
    <cellStyle name="Gevolgde hyperlink" xfId="1667" builtinId="9" hidden="1"/>
    <cellStyle name="Gevolgde hyperlink" xfId="1669" builtinId="9" hidden="1"/>
    <cellStyle name="Gevolgde hyperlink" xfId="1671" builtinId="9" hidden="1"/>
    <cellStyle name="Gevolgde hyperlink" xfId="1673" builtinId="9" hidden="1"/>
    <cellStyle name="Gevolgde hyperlink" xfId="1675" builtinId="9" hidden="1"/>
    <cellStyle name="Gevolgde hyperlink" xfId="1677" builtinId="9" hidden="1"/>
    <cellStyle name="Gevolgde hyperlink" xfId="1679" builtinId="9" hidden="1"/>
    <cellStyle name="Gevolgde hyperlink" xfId="1681" builtinId="9" hidden="1"/>
    <cellStyle name="Gevolgde hyperlink" xfId="1683" builtinId="9" hidden="1"/>
    <cellStyle name="Gevolgde hyperlink" xfId="1685" builtinId="9" hidden="1"/>
    <cellStyle name="Gevolgde hyperlink" xfId="1687" builtinId="9" hidden="1"/>
    <cellStyle name="Gevolgde hyperlink" xfId="1689" builtinId="9" hidden="1"/>
    <cellStyle name="Gevolgde hyperlink" xfId="1691" builtinId="9" hidden="1"/>
    <cellStyle name="Gevolgde hyperlink" xfId="1693" builtinId="9" hidden="1"/>
    <cellStyle name="Gevolgde hyperlink" xfId="1695" builtinId="9" hidden="1"/>
    <cellStyle name="Gevolgde hyperlink" xfId="1697" builtinId="9" hidden="1"/>
    <cellStyle name="Gevolgde hyperlink" xfId="1699" builtinId="9" hidden="1"/>
    <cellStyle name="Gevolgde hyperlink" xfId="1701" builtinId="9" hidden="1"/>
    <cellStyle name="Gevolgde hyperlink" xfId="1703" builtinId="9" hidden="1"/>
    <cellStyle name="Gevolgde hyperlink" xfId="1705" builtinId="9" hidden="1"/>
    <cellStyle name="Gevolgde hyperlink" xfId="1707" builtinId="9" hidden="1"/>
    <cellStyle name="Gevolgde hyperlink" xfId="1709" builtinId="9" hidden="1"/>
    <cellStyle name="Gevolgde hyperlink" xfId="1711" builtinId="9" hidden="1"/>
    <cellStyle name="Gevolgde hyperlink" xfId="1713" builtinId="9" hidden="1"/>
    <cellStyle name="Gevolgde hyperlink" xfId="1715" builtinId="9" hidden="1"/>
    <cellStyle name="Gevolgde hyperlink" xfId="1717" builtinId="9" hidden="1"/>
    <cellStyle name="Gevolgde hyperlink" xfId="1719" builtinId="9" hidden="1"/>
    <cellStyle name="Gevolgde hyperlink" xfId="1721" builtinId="9" hidden="1"/>
    <cellStyle name="Gevolgde hyperlink" xfId="1723" builtinId="9" hidden="1"/>
    <cellStyle name="Gevolgde hyperlink" xfId="1725" builtinId="9" hidden="1"/>
    <cellStyle name="Gevolgde hyperlink" xfId="1727" builtinId="9" hidden="1"/>
    <cellStyle name="Gevolgde hyperlink" xfId="1729" builtinId="9" hidden="1"/>
    <cellStyle name="Gevolgde hyperlink" xfId="1731" builtinId="9" hidden="1"/>
    <cellStyle name="Gevolgde hyperlink" xfId="1733" builtinId="9" hidden="1"/>
    <cellStyle name="Gevolgde hyperlink" xfId="1735" builtinId="9" hidden="1"/>
    <cellStyle name="Gevolgde hyperlink" xfId="1737" builtinId="9" hidden="1"/>
    <cellStyle name="Gevolgde hyperlink" xfId="1739" builtinId="9" hidden="1"/>
    <cellStyle name="Gevolgde hyperlink" xfId="1741" builtinId="9" hidden="1"/>
    <cellStyle name="Gevolgde hyperlink" xfId="1743" builtinId="9" hidden="1"/>
    <cellStyle name="Gevolgde hyperlink" xfId="1745" builtinId="9" hidden="1"/>
    <cellStyle name="Gevolgde hyperlink" xfId="1747" builtinId="9" hidden="1"/>
    <cellStyle name="Gevolgde hyperlink" xfId="1749" builtinId="9" hidden="1"/>
    <cellStyle name="Gevolgde hyperlink" xfId="1751" builtinId="9" hidden="1"/>
    <cellStyle name="Gevolgde hyperlink" xfId="1753" builtinId="9" hidden="1"/>
    <cellStyle name="Gevolgde hyperlink" xfId="1755" builtinId="9" hidden="1"/>
    <cellStyle name="Gevolgde hyperlink" xfId="1757" builtinId="9" hidden="1"/>
    <cellStyle name="Gevolgde hyperlink" xfId="1759" builtinId="9" hidden="1"/>
    <cellStyle name="Gevolgde hyperlink" xfId="1761" builtinId="9" hidden="1"/>
    <cellStyle name="Gevolgde hyperlink" xfId="1763" builtinId="9" hidden="1"/>
    <cellStyle name="Gevolgde hyperlink" xfId="1765" builtinId="9" hidden="1"/>
    <cellStyle name="Gevolgde hyperlink" xfId="1767" builtinId="9" hidden="1"/>
    <cellStyle name="Gevolgde hyperlink" xfId="1769" builtinId="9" hidden="1"/>
    <cellStyle name="Gevolgde hyperlink" xfId="1771" builtinId="9" hidden="1"/>
    <cellStyle name="Gevolgde hyperlink" xfId="1773" builtinId="9" hidden="1"/>
    <cellStyle name="Gevolgde hyperlink" xfId="1775" builtinId="9" hidden="1"/>
    <cellStyle name="Gevolgde hyperlink" xfId="1777" builtinId="9" hidden="1"/>
    <cellStyle name="Gevolgde hyperlink" xfId="1779" builtinId="9" hidden="1"/>
    <cellStyle name="Gevolgde hyperlink" xfId="1781" builtinId="9" hidden="1"/>
    <cellStyle name="Gevolgde hyperlink" xfId="1783" builtinId="9" hidden="1"/>
    <cellStyle name="Gevolgde hyperlink" xfId="1785" builtinId="9" hidden="1"/>
    <cellStyle name="Gevolgde hyperlink" xfId="1787" builtinId="9" hidden="1"/>
    <cellStyle name="Gevolgde hyperlink" xfId="1789" builtinId="9" hidden="1"/>
    <cellStyle name="Gevolgde hyperlink" xfId="1791" builtinId="9" hidden="1"/>
    <cellStyle name="Gevolgde hyperlink" xfId="1793" builtinId="9" hidden="1"/>
    <cellStyle name="Gevolgde hyperlink" xfId="1795" builtinId="9" hidden="1"/>
    <cellStyle name="Gevolgde hyperlink" xfId="1797" builtinId="9" hidden="1"/>
    <cellStyle name="Gevolgde hyperlink" xfId="1799" builtinId="9" hidden="1"/>
    <cellStyle name="Gevolgde hyperlink" xfId="1801" builtinId="9" hidden="1"/>
    <cellStyle name="Gevolgde hyperlink" xfId="1803" builtinId="9" hidden="1"/>
    <cellStyle name="Gevolgde hyperlink" xfId="1805" builtinId="9" hidden="1"/>
    <cellStyle name="Gevolgde hyperlink" xfId="1807" builtinId="9" hidden="1"/>
    <cellStyle name="Gevolgde hyperlink" xfId="1809" builtinId="9" hidden="1"/>
    <cellStyle name="Gevolgde hyperlink" xfId="1811" builtinId="9" hidden="1"/>
    <cellStyle name="Gevolgde hyperlink" xfId="1813" builtinId="9" hidden="1"/>
    <cellStyle name="Gevolgde hyperlink" xfId="1815" builtinId="9" hidden="1"/>
    <cellStyle name="Gevolgde hyperlink" xfId="1817" builtinId="9" hidden="1"/>
    <cellStyle name="Gevolgde hyperlink" xfId="1819" builtinId="9" hidden="1"/>
    <cellStyle name="Gevolgde hyperlink" xfId="1821" builtinId="9" hidden="1"/>
    <cellStyle name="Gevolgde hyperlink" xfId="1823" builtinId="9" hidden="1"/>
    <cellStyle name="Gevolgde hyperlink" xfId="1825" builtinId="9" hidden="1"/>
    <cellStyle name="Gevolgde hyperlink" xfId="1827" builtinId="9" hidden="1"/>
    <cellStyle name="Gevolgde hyperlink" xfId="1829" builtinId="9" hidden="1"/>
    <cellStyle name="Gevolgde hyperlink" xfId="1831" builtinId="9" hidden="1"/>
    <cellStyle name="Gevolgde hyperlink" xfId="1833" builtinId="9" hidden="1"/>
    <cellStyle name="Gevolgde hyperlink" xfId="1835" builtinId="9" hidden="1"/>
    <cellStyle name="Gevolgde hyperlink" xfId="1837" builtinId="9" hidden="1"/>
    <cellStyle name="Gevolgde hyperlink" xfId="1839" builtinId="9" hidden="1"/>
    <cellStyle name="Gevolgde hyperlink" xfId="1841" builtinId="9" hidden="1"/>
    <cellStyle name="Gevolgde hyperlink" xfId="1843" builtinId="9" hidden="1"/>
    <cellStyle name="Gevolgde hyperlink" xfId="1845" builtinId="9" hidden="1"/>
    <cellStyle name="Gevolgde hyperlink" xfId="1847" builtinId="9" hidden="1"/>
    <cellStyle name="Gevolgde hyperlink" xfId="1849" builtinId="9" hidden="1"/>
    <cellStyle name="Gevolgde hyperlink" xfId="1851" builtinId="9" hidden="1"/>
    <cellStyle name="Gevolgde hyperlink" xfId="1853" builtinId="9" hidden="1"/>
    <cellStyle name="Gevolgde hyperlink" xfId="1855" builtinId="9" hidden="1"/>
    <cellStyle name="Gevolgde hyperlink" xfId="1857" builtinId="9" hidden="1"/>
    <cellStyle name="Gevolgde hyperlink" xfId="1859" builtinId="9" hidden="1"/>
    <cellStyle name="Gevolgde hyperlink" xfId="1861" builtinId="9" hidden="1"/>
    <cellStyle name="Gevolgde hyperlink" xfId="1863" builtinId="9" hidden="1"/>
    <cellStyle name="Gevolgde hyperlink" xfId="1865" builtinId="9" hidden="1"/>
    <cellStyle name="Gevolgde hyperlink" xfId="1867" builtinId="9" hidden="1"/>
    <cellStyle name="Gevolgde hyperlink" xfId="1869" builtinId="9" hidden="1"/>
    <cellStyle name="Gevolgde hyperlink" xfId="1871" builtinId="9" hidden="1"/>
    <cellStyle name="Gevolgde hyperlink" xfId="1873" builtinId="9" hidden="1"/>
    <cellStyle name="Gevolgde hyperlink" xfId="1875" builtinId="9" hidden="1"/>
    <cellStyle name="Gevolgde hyperlink" xfId="1877" builtinId="9" hidden="1"/>
    <cellStyle name="Gevolgde hyperlink" xfId="1879" builtinId="9" hidden="1"/>
    <cellStyle name="Gevolgde hyperlink" xfId="1881" builtinId="9" hidden="1"/>
    <cellStyle name="Gevolgde hyperlink" xfId="1883" builtinId="9" hidden="1"/>
    <cellStyle name="Gevolgde hyperlink" xfId="1885" builtinId="9" hidden="1"/>
    <cellStyle name="Gevolgde hyperlink" xfId="1887" builtinId="9" hidden="1"/>
    <cellStyle name="Gevolgde hyperlink" xfId="1889" builtinId="9" hidden="1"/>
    <cellStyle name="Gevolgde hyperlink" xfId="1891" builtinId="9" hidden="1"/>
    <cellStyle name="Gevolgde hyperlink" xfId="1893" builtinId="9" hidden="1"/>
    <cellStyle name="Gevolgde hyperlink" xfId="1895" builtinId="9" hidden="1"/>
    <cellStyle name="Gevolgde hyperlink" xfId="1897" builtinId="9" hidden="1"/>
    <cellStyle name="Gevolgde hyperlink" xfId="1899" builtinId="9" hidden="1"/>
    <cellStyle name="Gevolgde hyperlink" xfId="1901" builtinId="9" hidden="1"/>
    <cellStyle name="Gevolgde hyperlink" xfId="1903" builtinId="9" hidden="1"/>
    <cellStyle name="Gevolgde hyperlink" xfId="1905" builtinId="9" hidden="1"/>
    <cellStyle name="Gevolgde hyperlink" xfId="1907" builtinId="9" hidden="1"/>
    <cellStyle name="Gevolgde hyperlink" xfId="1909" builtinId="9" hidden="1"/>
    <cellStyle name="Gevolgde hyperlink" xfId="1911" builtinId="9" hidden="1"/>
    <cellStyle name="Gevolgde hyperlink" xfId="1913" builtinId="9" hidden="1"/>
    <cellStyle name="Gevolgde hyperlink" xfId="1915" builtinId="9" hidden="1"/>
    <cellStyle name="Gevolgde hyperlink" xfId="1917" builtinId="9" hidden="1"/>
    <cellStyle name="Gevolgde hyperlink" xfId="1919" builtinId="9" hidden="1"/>
    <cellStyle name="Gevolgde hyperlink" xfId="1921" builtinId="9" hidden="1"/>
    <cellStyle name="Gevolgde hyperlink" xfId="1923" builtinId="9" hidden="1"/>
    <cellStyle name="Gevolgde hyperlink" xfId="1925" builtinId="9" hidden="1"/>
    <cellStyle name="Gevolgde hyperlink" xfId="1927" builtinId="9" hidden="1"/>
    <cellStyle name="Gevolgde hyperlink" xfId="1929" builtinId="9" hidden="1"/>
    <cellStyle name="Gevolgde hyperlink" xfId="1931" builtinId="9" hidden="1"/>
    <cellStyle name="Gevolgde hyperlink" xfId="1933" builtinId="9" hidden="1"/>
    <cellStyle name="Gevolgde hyperlink" xfId="1935" builtinId="9" hidden="1"/>
    <cellStyle name="Gevolgde hyperlink" xfId="1937" builtinId="9" hidden="1"/>
    <cellStyle name="Gevolgde hyperlink" xfId="1939" builtinId="9" hidden="1"/>
    <cellStyle name="Gevolgde hyperlink" xfId="1941" builtinId="9" hidden="1"/>
    <cellStyle name="Gevolgde hyperlink" xfId="1943" builtinId="9" hidden="1"/>
    <cellStyle name="Gevolgde hyperlink" xfId="1945" builtinId="9" hidden="1"/>
    <cellStyle name="Gevolgde hyperlink" xfId="1947" builtinId="9" hidden="1"/>
    <cellStyle name="Gevolgde hyperlink" xfId="1949" builtinId="9" hidden="1"/>
    <cellStyle name="Gevolgde hyperlink" xfId="1951" builtinId="9" hidden="1"/>
    <cellStyle name="Gevolgde hyperlink" xfId="1953" builtinId="9" hidden="1"/>
    <cellStyle name="Gevolgde hyperlink" xfId="1955" builtinId="9" hidden="1"/>
    <cellStyle name="Gevolgde hyperlink" xfId="1957" builtinId="9" hidden="1"/>
    <cellStyle name="Gevolgde hyperlink" xfId="1959" builtinId="9" hidden="1"/>
    <cellStyle name="Gevolgde hyperlink" xfId="1961" builtinId="9" hidden="1"/>
    <cellStyle name="Gevolgde hyperlink" xfId="1963" builtinId="9" hidden="1"/>
    <cellStyle name="Gevolgde hyperlink" xfId="1965" builtinId="9" hidden="1"/>
    <cellStyle name="Gevolgde hyperlink" xfId="1967" builtinId="9" hidden="1"/>
    <cellStyle name="Gevolgde hyperlink" xfId="1969" builtinId="9" hidden="1"/>
    <cellStyle name="Gevolgde hyperlink" xfId="1971" builtinId="9" hidden="1"/>
    <cellStyle name="Gevolgde hyperlink" xfId="1973" builtinId="9" hidden="1"/>
    <cellStyle name="Gevolgde hyperlink" xfId="1975" builtinId="9" hidden="1"/>
    <cellStyle name="Gevolgde hyperlink" xfId="1977" builtinId="9" hidden="1"/>
    <cellStyle name="Gevolgde hyperlink" xfId="1979" builtinId="9" hidden="1"/>
    <cellStyle name="Gevolgde hyperlink" xfId="1981" builtinId="9" hidden="1"/>
    <cellStyle name="Gevolgde hyperlink" xfId="1983" builtinId="9" hidden="1"/>
    <cellStyle name="Gevolgde hyperlink" xfId="1985" builtinId="9" hidden="1"/>
    <cellStyle name="Gevolgde hyperlink" xfId="1987" builtinId="9" hidden="1"/>
    <cellStyle name="Gevolgde hyperlink" xfId="1989" builtinId="9" hidden="1"/>
    <cellStyle name="Gevolgde hyperlink" xfId="1991" builtinId="9" hidden="1"/>
    <cellStyle name="Gevolgde hyperlink" xfId="1993" builtinId="9" hidden="1"/>
    <cellStyle name="Gevolgde hyperlink" xfId="1995" builtinId="9" hidden="1"/>
    <cellStyle name="Gevolgde hyperlink" xfId="1997" builtinId="9" hidden="1"/>
    <cellStyle name="Gevolgde hyperlink" xfId="1999" builtinId="9" hidden="1"/>
    <cellStyle name="Gevolgde hyperlink" xfId="2001" builtinId="9" hidden="1"/>
    <cellStyle name="Gevolgde hyperlink" xfId="2003" builtinId="9" hidden="1"/>
    <cellStyle name="Gevolgde hyperlink" xfId="2005" builtinId="9" hidden="1"/>
    <cellStyle name="Gevolgde hyperlink" xfId="2007" builtinId="9" hidden="1"/>
    <cellStyle name="Gevolgde hyperlink" xfId="2009" builtinId="9" hidden="1"/>
    <cellStyle name="Gevolgde hyperlink" xfId="2011" builtinId="9" hidden="1"/>
    <cellStyle name="Gevolgde hyperlink" xfId="2013" builtinId="9" hidden="1"/>
    <cellStyle name="Gevolgde hyperlink" xfId="2015" builtinId="9" hidden="1"/>
    <cellStyle name="Gevolgde hyperlink" xfId="2017" builtinId="9" hidden="1"/>
    <cellStyle name="Gevolgde hyperlink" xfId="2019" builtinId="9" hidden="1"/>
    <cellStyle name="Gevolgde hyperlink" xfId="2021" builtinId="9" hidden="1"/>
    <cellStyle name="Gevolgde hyperlink" xfId="2023" builtinId="9" hidden="1"/>
    <cellStyle name="Gevolgde hyperlink" xfId="2025" builtinId="9" hidden="1"/>
    <cellStyle name="Gevolgde hyperlink" xfId="2027" builtinId="9" hidden="1"/>
    <cellStyle name="Gevolgde hyperlink" xfId="2029" builtinId="9" hidden="1"/>
    <cellStyle name="Gevolgde hyperlink" xfId="2031" builtinId="9" hidden="1"/>
    <cellStyle name="Gevolgde hyperlink" xfId="2033" builtinId="9" hidden="1"/>
    <cellStyle name="Gevolgde hyperlink" xfId="2035" builtinId="9" hidden="1"/>
    <cellStyle name="Gevolgde hyperlink" xfId="2037" builtinId="9" hidden="1"/>
    <cellStyle name="Gevolgde hyperlink" xfId="2039" builtinId="9" hidden="1"/>
    <cellStyle name="Gevolgde hyperlink" xfId="2041" builtinId="9" hidden="1"/>
    <cellStyle name="Gevolgde hyperlink" xfId="2043" builtinId="9" hidden="1"/>
    <cellStyle name="Gevolgde hyperlink" xfId="2045" builtinId="9" hidden="1"/>
    <cellStyle name="Gevolgde hyperlink" xfId="2047" builtinId="9" hidden="1"/>
    <cellStyle name="Gevolgde hyperlink" xfId="2049" builtinId="9" hidden="1"/>
    <cellStyle name="Gevolgde hyperlink" xfId="2051" builtinId="9" hidden="1"/>
    <cellStyle name="Gevolgde hyperlink" xfId="2053" builtinId="9" hidden="1"/>
    <cellStyle name="Gevolgde hyperlink" xfId="2055" builtinId="9" hidden="1"/>
    <cellStyle name="Gevolgde hyperlink" xfId="2057" builtinId="9" hidden="1"/>
    <cellStyle name="Gevolgde hyperlink" xfId="2059" builtinId="9" hidden="1"/>
    <cellStyle name="Gevolgde hyperlink" xfId="2061" builtinId="9" hidden="1"/>
    <cellStyle name="Gevolgde hyperlink" xfId="2063" builtinId="9" hidden="1"/>
    <cellStyle name="Gevolgde hyperlink" xfId="2065" builtinId="9" hidden="1"/>
    <cellStyle name="Gevolgde hyperlink" xfId="2068" builtinId="9" hidden="1"/>
    <cellStyle name="Gevolgde hyperlink" xfId="2070" builtinId="9" hidden="1"/>
    <cellStyle name="Gevolgde hyperlink" xfId="2072" builtinId="9" hidden="1"/>
    <cellStyle name="Gevolgde hyperlink" xfId="2074" builtinId="9" hidden="1"/>
    <cellStyle name="Gevolgde hyperlink" xfId="2076" builtinId="9" hidden="1"/>
    <cellStyle name="Gevolgde hyperlink" xfId="2078" builtinId="9" hidden="1"/>
    <cellStyle name="Gevolgde hyperlink" xfId="2080" builtinId="9" hidden="1"/>
    <cellStyle name="Gevolgde hyperlink" xfId="2082" builtinId="9" hidden="1"/>
    <cellStyle name="Gevolgde hyperlink" xfId="2084" builtinId="9" hidden="1"/>
    <cellStyle name="Gevolgde hyperlink" xfId="2086" builtinId="9" hidden="1"/>
    <cellStyle name="Gevolgde hyperlink" xfId="2088" builtinId="9" hidden="1"/>
    <cellStyle name="Gevolgde hyperlink" xfId="2090" builtinId="9" hidden="1"/>
    <cellStyle name="Gevolgde hyperlink" xfId="2092" builtinId="9" hidden="1"/>
    <cellStyle name="Gevolgde hyperlink" xfId="2094" builtinId="9" hidden="1"/>
    <cellStyle name="Gevolgde hyperlink" xfId="2096" builtinId="9" hidden="1"/>
    <cellStyle name="Gevolgde hyperlink" xfId="2098" builtinId="9" hidden="1"/>
    <cellStyle name="Gevolgde hyperlink" xfId="2100" builtinId="9" hidden="1"/>
    <cellStyle name="Gevolgde hyperlink" xfId="2102" builtinId="9" hidden="1"/>
    <cellStyle name="Gevolgde hyperlink" xfId="2104" builtinId="9" hidden="1"/>
    <cellStyle name="Gevolgde hyperlink" xfId="2106" builtinId="9" hidden="1"/>
    <cellStyle name="Gevolgde hyperlink" xfId="2108" builtinId="9" hidden="1"/>
    <cellStyle name="Gevolgde hyperlink" xfId="2110" builtinId="9" hidden="1"/>
    <cellStyle name="Gevolgde hyperlink" xfId="2112" builtinId="9" hidden="1"/>
    <cellStyle name="Gevolgde hyperlink" xfId="2114" builtinId="9" hidden="1"/>
    <cellStyle name="Gevolgde hyperlink" xfId="2116" builtinId="9" hidden="1"/>
    <cellStyle name="Gevolgde hyperlink" xfId="2118" builtinId="9" hidden="1"/>
    <cellStyle name="Gevolgde hyperlink" xfId="2120" builtinId="9" hidden="1"/>
    <cellStyle name="Gevolgde hyperlink" xfId="2122" builtinId="9" hidden="1"/>
    <cellStyle name="Gevolgde hyperlink" xfId="2124" builtinId="9" hidden="1"/>
    <cellStyle name="Gevolgde hyperlink" xfId="2126" builtinId="9" hidden="1"/>
    <cellStyle name="Gevolgde hyperlink" xfId="2128" builtinId="9" hidden="1"/>
    <cellStyle name="Gevolgde hyperlink" xfId="2130" builtinId="9" hidden="1"/>
    <cellStyle name="Gevolgde hyperlink" xfId="2132" builtinId="9" hidden="1"/>
    <cellStyle name="Gevolgde hyperlink" xfId="2134" builtinId="9" hidden="1"/>
    <cellStyle name="Gevolgde hyperlink" xfId="2136" builtinId="9" hidden="1"/>
    <cellStyle name="Gevolgde hyperlink" xfId="2138" builtinId="9" hidden="1"/>
    <cellStyle name="Gevolgde hyperlink" xfId="2140" builtinId="9" hidden="1"/>
    <cellStyle name="Gevolgde hyperlink" xfId="2142" builtinId="9" hidden="1"/>
    <cellStyle name="Gevolgde hyperlink" xfId="2144" builtinId="9" hidden="1"/>
    <cellStyle name="Gevolgde hyperlink" xfId="2146" builtinId="9" hidden="1"/>
    <cellStyle name="Gevolgde hyperlink" xfId="2148" builtinId="9" hidden="1"/>
    <cellStyle name="Gevolgde hyperlink" xfId="2150" builtinId="9" hidden="1"/>
    <cellStyle name="Gevolgde hyperlink" xfId="2152" builtinId="9" hidden="1"/>
    <cellStyle name="Gevolgde hyperlink" xfId="2154" builtinId="9" hidden="1"/>
    <cellStyle name="Gevolgde hyperlink" xfId="2156" builtinId="9" hidden="1"/>
    <cellStyle name="Gevolgde hyperlink" xfId="2158" builtinId="9" hidden="1"/>
    <cellStyle name="Gevolgde hyperlink" xfId="2160" builtinId="9" hidden="1"/>
    <cellStyle name="Gevolgde hyperlink" xfId="2162" builtinId="9" hidden="1"/>
    <cellStyle name="Gevolgde hyperlink" xfId="2164" builtinId="9" hidden="1"/>
    <cellStyle name="Gevolgde hyperlink" xfId="2166" builtinId="9" hidden="1"/>
    <cellStyle name="Gevolgde hyperlink" xfId="2168" builtinId="9" hidden="1"/>
    <cellStyle name="Gevolgde hyperlink" xfId="2170" builtinId="9" hidden="1"/>
    <cellStyle name="Gevolgde hyperlink" xfId="2172" builtinId="9" hidden="1"/>
    <cellStyle name="Gevolgde hyperlink" xfId="2174" builtinId="9" hidden="1"/>
    <cellStyle name="Gevolgde hyperlink" xfId="2176" builtinId="9" hidden="1"/>
    <cellStyle name="Gevolgde hyperlink" xfId="2178" builtinId="9" hidden="1"/>
    <cellStyle name="Gevolgde hyperlink" xfId="2180" builtinId="9" hidden="1"/>
    <cellStyle name="Gevolgde hyperlink" xfId="2182" builtinId="9" hidden="1"/>
    <cellStyle name="Gevolgde hyperlink" xfId="2184" builtinId="9" hidden="1"/>
    <cellStyle name="Gevolgde hyperlink" xfId="2186" builtinId="9" hidden="1"/>
    <cellStyle name="Gevolgde hyperlink" xfId="2188" builtinId="9" hidden="1"/>
    <cellStyle name="Gevolgde hyperlink" xfId="2190" builtinId="9" hidden="1"/>
    <cellStyle name="Gevolgde hyperlink" xfId="2192" builtinId="9" hidden="1"/>
    <cellStyle name="Goed" xfId="12"/>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Hyperlink" xfId="2163" builtinId="8" hidden="1"/>
    <cellStyle name="Hyperlink" xfId="2165" builtinId="8" hidden="1"/>
    <cellStyle name="Hyperlink" xfId="2167" builtinId="8" hidden="1"/>
    <cellStyle name="Hyperlink" xfId="2169" builtinId="8" hidden="1"/>
    <cellStyle name="Hyperlink" xfId="2171" builtinId="8" hidden="1"/>
    <cellStyle name="Hyperlink" xfId="2173" builtinId="8" hidden="1"/>
    <cellStyle name="Hyperlink" xfId="2175" builtinId="8" hidden="1"/>
    <cellStyle name="Hyperlink" xfId="2177" builtinId="8" hidden="1"/>
    <cellStyle name="Hyperlink" xfId="2179" builtinId="8" hidden="1"/>
    <cellStyle name="Hyperlink" xfId="2181" builtinId="8" hidden="1"/>
    <cellStyle name="Hyperlink" xfId="2183" builtinId="8" hidden="1"/>
    <cellStyle name="Hyperlink" xfId="2185" builtinId="8" hidden="1"/>
    <cellStyle name="Hyperlink" xfId="2187" builtinId="8" hidden="1"/>
    <cellStyle name="Hyperlink" xfId="2189" builtinId="8" hidden="1"/>
    <cellStyle name="Hyperlink" xfId="2191" builtinId="8" hidden="1"/>
    <cellStyle name="Komma" xfId="2" builtinId="3"/>
    <cellStyle name="Komma [0]" xfId="3" builtinId="6"/>
    <cellStyle name="Komma 2" xfId="887"/>
    <cellStyle name="kop" xfId="13"/>
    <cellStyle name="Koppen_rekenblad" xfId="14"/>
    <cellStyle name="koppenrekenblad2" xfId="15"/>
    <cellStyle name="m2" xfId="16"/>
    <cellStyle name="Neutraal" xfId="17"/>
    <cellStyle name="Normaal" xfId="0" builtinId="0"/>
    <cellStyle name="Normaal 2" xfId="886"/>
    <cellStyle name="Normal_ KLM-CTR(STA)-Recap.xls" xfId="18"/>
    <cellStyle name="Normal_1.3-Basis ruimtestaat" xfId="19"/>
    <cellStyle name="Normal_AFRPPRIJS.xls" xfId="20"/>
    <cellStyle name="Normal_ATIR-Calc-Uurtarief 2001" xfId="21"/>
    <cellStyle name="Normal_CALCULATIEBLAD.XLS" xfId="22"/>
    <cellStyle name="Normal_GH-Calc_perceel_1_en_2.xls" xfId="23"/>
    <cellStyle name="Normal_glas locaties.xls" xfId="2066"/>
    <cellStyle name="Normal_MACHINEKST.xls" xfId="24"/>
    <cellStyle name="Normal_SCH Purmerend-Calc-04.xls" xfId="25"/>
    <cellStyle name="Normal_schoonmaaktot.xls" xfId="26"/>
    <cellStyle name="Normal_Uurloonopbouw 2010.xls" xfId="27"/>
    <cellStyle name="Normal_Uurtarieven 2000 LEVERANCIER" xfId="28"/>
    <cellStyle name="Normal_Workbook1_AFRPPRIJS.xls" xfId="29"/>
    <cellStyle name="Ongedefinieerd" xfId="30"/>
    <cellStyle name="Procent" xfId="31" builtinId="5"/>
    <cellStyle name="Procent 2" xfId="32"/>
    <cellStyle name="Ruimtestaat_Koppen" xfId="33"/>
    <cellStyle name="Standaard_Blad1" xfId="34"/>
    <cellStyle name="Titel" xfId="35"/>
    <cellStyle name="Totaal" xfId="36"/>
    <cellStyle name="Valuta" xfId="6" builtinId="4"/>
    <cellStyle name="Waarschuwingstekst" xfId="37"/>
  </cellStyles>
  <dxfs count="311">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bgColor indexed="52"/>
        </patternFill>
      </fill>
    </dxf>
    <dxf>
      <fill>
        <patternFill>
          <bgColor indexed="52"/>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33"/>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externalLink" Target="externalLinks/externalLink1.xml"/><Relationship Id="rId15" Type="http://schemas.openxmlformats.org/officeDocument/2006/relationships/externalLink" Target="externalLinks/externalLink2.xml"/><Relationship Id="rId16" Type="http://schemas.openxmlformats.org/officeDocument/2006/relationships/externalLink" Target="externalLinks/externalLink3.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850900</xdr:colOff>
      <xdr:row>19</xdr:row>
      <xdr:rowOff>152400</xdr:rowOff>
    </xdr:from>
    <xdr:to>
      <xdr:col>6</xdr:col>
      <xdr:colOff>76610</xdr:colOff>
      <xdr:row>27</xdr:row>
      <xdr:rowOff>38100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755900" y="3975100"/>
          <a:ext cx="3035710" cy="1206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8</xdr:row>
      <xdr:rowOff>152400</xdr:rowOff>
    </xdr:from>
    <xdr:to>
      <xdr:col>4</xdr:col>
      <xdr:colOff>1473200</xdr:colOff>
      <xdr:row>10</xdr:row>
      <xdr:rowOff>50800</xdr:rowOff>
    </xdr:to>
    <xdr:sp macro="" textlink="">
      <xdr:nvSpPr>
        <xdr:cNvPr id="9896" name="Rounded Rectangle 3"/>
        <xdr:cNvSpPr>
          <a:spLocks noChangeArrowheads="1"/>
        </xdr:cNvSpPr>
      </xdr:nvSpPr>
      <xdr:spPr bwMode="auto">
        <a:xfrm flipV="1">
          <a:off x="546100" y="1765300"/>
          <a:ext cx="9423400" cy="304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0</xdr:col>
      <xdr:colOff>939800</xdr:colOff>
      <xdr:row>1</xdr:row>
      <xdr:rowOff>101600</xdr:rowOff>
    </xdr:from>
    <xdr:to>
      <xdr:col>5</xdr:col>
      <xdr:colOff>0</xdr:colOff>
      <xdr:row>7</xdr:row>
      <xdr:rowOff>88900</xdr:rowOff>
    </xdr:to>
    <xdr:sp macro="" textlink="">
      <xdr:nvSpPr>
        <xdr:cNvPr id="9897" name="Rounded Rectangle 3"/>
        <xdr:cNvSpPr>
          <a:spLocks noChangeArrowheads="1"/>
        </xdr:cNvSpPr>
      </xdr:nvSpPr>
      <xdr:spPr bwMode="auto">
        <a:xfrm>
          <a:off x="546100" y="3302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91</xdr:row>
      <xdr:rowOff>152400</xdr:rowOff>
    </xdr:from>
    <xdr:to>
      <xdr:col>3</xdr:col>
      <xdr:colOff>1168400</xdr:colOff>
      <xdr:row>93</xdr:row>
      <xdr:rowOff>38100</xdr:rowOff>
    </xdr:to>
    <xdr:sp macro="" textlink="">
      <xdr:nvSpPr>
        <xdr:cNvPr id="9898" name="Rounded Rectangle 3"/>
        <xdr:cNvSpPr>
          <a:spLocks noChangeArrowheads="1"/>
        </xdr:cNvSpPr>
      </xdr:nvSpPr>
      <xdr:spPr bwMode="auto">
        <a:xfrm flipV="1">
          <a:off x="546100" y="15875000"/>
          <a:ext cx="7721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5</xdr:col>
      <xdr:colOff>1308100</xdr:colOff>
      <xdr:row>8</xdr:row>
      <xdr:rowOff>127000</xdr:rowOff>
    </xdr:to>
    <xdr:sp macro="" textlink="">
      <xdr:nvSpPr>
        <xdr:cNvPr id="25736" name="Rounded Rectangle 3"/>
        <xdr:cNvSpPr>
          <a:spLocks noChangeArrowheads="1"/>
        </xdr:cNvSpPr>
      </xdr:nvSpPr>
      <xdr:spPr bwMode="auto">
        <a:xfrm>
          <a:off x="444500" y="8128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12</xdr:row>
      <xdr:rowOff>0</xdr:rowOff>
    </xdr:from>
    <xdr:to>
      <xdr:col>8</xdr:col>
      <xdr:colOff>0</xdr:colOff>
      <xdr:row>13</xdr:row>
      <xdr:rowOff>25400</xdr:rowOff>
    </xdr:to>
    <xdr:sp macro="" textlink="">
      <xdr:nvSpPr>
        <xdr:cNvPr id="25737" name="Rounded Rectangle 3"/>
        <xdr:cNvSpPr>
          <a:spLocks noChangeArrowheads="1"/>
        </xdr:cNvSpPr>
      </xdr:nvSpPr>
      <xdr:spPr bwMode="auto">
        <a:xfrm flipV="1">
          <a:off x="444500" y="2628900"/>
          <a:ext cx="124333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0</xdr:col>
      <xdr:colOff>419100</xdr:colOff>
      <xdr:row>79</xdr:row>
      <xdr:rowOff>88900</xdr:rowOff>
    </xdr:from>
    <xdr:to>
      <xdr:col>8</xdr:col>
      <xdr:colOff>0</xdr:colOff>
      <xdr:row>79</xdr:row>
      <xdr:rowOff>342900</xdr:rowOff>
    </xdr:to>
    <xdr:sp macro="" textlink="">
      <xdr:nvSpPr>
        <xdr:cNvPr id="25738" name="Rounded Rectangle 3"/>
        <xdr:cNvSpPr>
          <a:spLocks noChangeArrowheads="1"/>
        </xdr:cNvSpPr>
      </xdr:nvSpPr>
      <xdr:spPr bwMode="auto">
        <a:xfrm flipV="1">
          <a:off x="419100" y="8064500"/>
          <a:ext cx="124587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10</xdr:col>
      <xdr:colOff>0</xdr:colOff>
      <xdr:row>8</xdr:row>
      <xdr:rowOff>127000</xdr:rowOff>
    </xdr:to>
    <xdr:sp macro="" textlink="">
      <xdr:nvSpPr>
        <xdr:cNvPr id="2" name="Rounded Rectangle 3"/>
        <xdr:cNvSpPr>
          <a:spLocks noChangeArrowheads="1"/>
        </xdr:cNvSpPr>
      </xdr:nvSpPr>
      <xdr:spPr bwMode="auto">
        <a:xfrm>
          <a:off x="939800" y="817880"/>
          <a:ext cx="1045972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12700</xdr:rowOff>
    </xdr:from>
    <xdr:to>
      <xdr:col>12</xdr:col>
      <xdr:colOff>901700</xdr:colOff>
      <xdr:row>5</xdr:row>
      <xdr:rowOff>0</xdr:rowOff>
    </xdr:to>
    <xdr:sp macro="" textlink="">
      <xdr:nvSpPr>
        <xdr:cNvPr id="19968" name="Rounded Rectangle 2"/>
        <xdr:cNvSpPr>
          <a:spLocks noChangeArrowheads="1"/>
        </xdr:cNvSpPr>
      </xdr:nvSpPr>
      <xdr:spPr bwMode="auto">
        <a:xfrm>
          <a:off x="215900" y="12700"/>
          <a:ext cx="11506200" cy="927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3</xdr:col>
      <xdr:colOff>0</xdr:colOff>
      <xdr:row>5</xdr:row>
      <xdr:rowOff>127000</xdr:rowOff>
    </xdr:from>
    <xdr:to>
      <xdr:col>12</xdr:col>
      <xdr:colOff>939800</xdr:colOff>
      <xdr:row>8</xdr:row>
      <xdr:rowOff>152400</xdr:rowOff>
    </xdr:to>
    <xdr:sp macro="" textlink="">
      <xdr:nvSpPr>
        <xdr:cNvPr id="19969" name="Rounded Rectangle 1"/>
        <xdr:cNvSpPr>
          <a:spLocks noChangeArrowheads="1"/>
        </xdr:cNvSpPr>
      </xdr:nvSpPr>
      <xdr:spPr bwMode="auto">
        <a:xfrm>
          <a:off x="215900" y="1066800"/>
          <a:ext cx="11544300" cy="6477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8</xdr:col>
      <xdr:colOff>698500</xdr:colOff>
      <xdr:row>29</xdr:row>
      <xdr:rowOff>76200</xdr:rowOff>
    </xdr:from>
    <xdr:to>
      <xdr:col>8</xdr:col>
      <xdr:colOff>939800</xdr:colOff>
      <xdr:row>30</xdr:row>
      <xdr:rowOff>63500</xdr:rowOff>
    </xdr:to>
    <xdr:pic>
      <xdr:nvPicPr>
        <xdr:cNvPr id="1997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900" y="5676900"/>
          <a:ext cx="2413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25400</xdr:colOff>
      <xdr:row>1</xdr:row>
      <xdr:rowOff>0</xdr:rowOff>
    </xdr:from>
    <xdr:to>
      <xdr:col>10</xdr:col>
      <xdr:colOff>12700</xdr:colOff>
      <xdr:row>8</xdr:row>
      <xdr:rowOff>127000</xdr:rowOff>
    </xdr:to>
    <xdr:sp macro="" textlink="">
      <xdr:nvSpPr>
        <xdr:cNvPr id="23549" name="Rounded Rectangle 1"/>
        <xdr:cNvSpPr>
          <a:spLocks noChangeArrowheads="1"/>
        </xdr:cNvSpPr>
      </xdr:nvSpPr>
      <xdr:spPr bwMode="auto">
        <a:xfrm>
          <a:off x="1676400" y="76200"/>
          <a:ext cx="10502900" cy="1549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2</xdr:col>
      <xdr:colOff>12700</xdr:colOff>
      <xdr:row>9</xdr:row>
      <xdr:rowOff>152400</xdr:rowOff>
    </xdr:from>
    <xdr:to>
      <xdr:col>10</xdr:col>
      <xdr:colOff>0</xdr:colOff>
      <xdr:row>11</xdr:row>
      <xdr:rowOff>76200</xdr:rowOff>
    </xdr:to>
    <xdr:sp macro="" textlink="">
      <xdr:nvSpPr>
        <xdr:cNvPr id="23550" name="Rounded Rectangle 2"/>
        <xdr:cNvSpPr>
          <a:spLocks noChangeArrowheads="1"/>
        </xdr:cNvSpPr>
      </xdr:nvSpPr>
      <xdr:spPr bwMode="auto">
        <a:xfrm>
          <a:off x="1663700" y="1955800"/>
          <a:ext cx="105029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13</xdr:row>
      <xdr:rowOff>25400</xdr:rowOff>
    </xdr:from>
    <xdr:to>
      <xdr:col>3</xdr:col>
      <xdr:colOff>3492500</xdr:colOff>
      <xdr:row>13</xdr:row>
      <xdr:rowOff>241300</xdr:rowOff>
    </xdr:to>
    <xdr:sp macro="" textlink="">
      <xdr:nvSpPr>
        <xdr:cNvPr id="23551" name="Rounded Rectangle 3"/>
        <xdr:cNvSpPr>
          <a:spLocks noChangeArrowheads="1"/>
        </xdr:cNvSpPr>
      </xdr:nvSpPr>
      <xdr:spPr bwMode="auto">
        <a:xfrm>
          <a:off x="1676400" y="2730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29</xdr:row>
      <xdr:rowOff>25400</xdr:rowOff>
    </xdr:from>
    <xdr:to>
      <xdr:col>4</xdr:col>
      <xdr:colOff>25400</xdr:colOff>
      <xdr:row>29</xdr:row>
      <xdr:rowOff>241300</xdr:rowOff>
    </xdr:to>
    <xdr:sp macro="" textlink="">
      <xdr:nvSpPr>
        <xdr:cNvPr id="29696" name="Rounded Rectangle 5"/>
        <xdr:cNvSpPr>
          <a:spLocks noChangeArrowheads="1"/>
        </xdr:cNvSpPr>
      </xdr:nvSpPr>
      <xdr:spPr bwMode="auto">
        <a:xfrm>
          <a:off x="1676400" y="71882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39</xdr:row>
      <xdr:rowOff>25400</xdr:rowOff>
    </xdr:from>
    <xdr:to>
      <xdr:col>4</xdr:col>
      <xdr:colOff>25400</xdr:colOff>
      <xdr:row>39</xdr:row>
      <xdr:rowOff>241300</xdr:rowOff>
    </xdr:to>
    <xdr:sp macro="" textlink="">
      <xdr:nvSpPr>
        <xdr:cNvPr id="29697" name="Rounded Rectangle 6"/>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49</xdr:row>
      <xdr:rowOff>25400</xdr:rowOff>
    </xdr:from>
    <xdr:to>
      <xdr:col>4</xdr:col>
      <xdr:colOff>25400</xdr:colOff>
      <xdr:row>49</xdr:row>
      <xdr:rowOff>241300</xdr:rowOff>
    </xdr:to>
    <xdr:sp macro="" textlink="">
      <xdr:nvSpPr>
        <xdr:cNvPr id="29698" name="Rounded Rectangle 7"/>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65</xdr:row>
      <xdr:rowOff>25400</xdr:rowOff>
    </xdr:from>
    <xdr:to>
      <xdr:col>4</xdr:col>
      <xdr:colOff>25400</xdr:colOff>
      <xdr:row>65</xdr:row>
      <xdr:rowOff>241300</xdr:rowOff>
    </xdr:to>
    <xdr:sp macro="" textlink="">
      <xdr:nvSpPr>
        <xdr:cNvPr id="29699" name="Rounded Rectangle 8"/>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75</xdr:row>
      <xdr:rowOff>25400</xdr:rowOff>
    </xdr:from>
    <xdr:to>
      <xdr:col>4</xdr:col>
      <xdr:colOff>25400</xdr:colOff>
      <xdr:row>75</xdr:row>
      <xdr:rowOff>241300</xdr:rowOff>
    </xdr:to>
    <xdr:sp macro="" textlink="">
      <xdr:nvSpPr>
        <xdr:cNvPr id="29700" name="Rounded Rectangle 9"/>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86</xdr:row>
      <xdr:rowOff>0</xdr:rowOff>
    </xdr:from>
    <xdr:to>
      <xdr:col>4</xdr:col>
      <xdr:colOff>0</xdr:colOff>
      <xdr:row>87</xdr:row>
      <xdr:rowOff>50800</xdr:rowOff>
    </xdr:to>
    <xdr:sp macro="" textlink="">
      <xdr:nvSpPr>
        <xdr:cNvPr id="29701" name="Rounded Rectangle 3"/>
        <xdr:cNvSpPr>
          <a:spLocks noChangeArrowheads="1"/>
        </xdr:cNvSpPr>
      </xdr:nvSpPr>
      <xdr:spPr bwMode="auto">
        <a:xfrm>
          <a:off x="1676400" y="105664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12700</xdr:colOff>
      <xdr:row>91</xdr:row>
      <xdr:rowOff>139700</xdr:rowOff>
    </xdr:from>
    <xdr:to>
      <xdr:col>9</xdr:col>
      <xdr:colOff>114300</xdr:colOff>
      <xdr:row>93</xdr:row>
      <xdr:rowOff>50800</xdr:rowOff>
    </xdr:to>
    <xdr:sp macro="" textlink="">
      <xdr:nvSpPr>
        <xdr:cNvPr id="29702" name="Rounded Rectangle 2"/>
        <xdr:cNvSpPr>
          <a:spLocks noChangeArrowheads="1"/>
        </xdr:cNvSpPr>
      </xdr:nvSpPr>
      <xdr:spPr bwMode="auto">
        <a:xfrm>
          <a:off x="1663700" y="11531600"/>
          <a:ext cx="9093200" cy="2794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oneCellAnchor>
    <xdr:from>
      <xdr:col>6</xdr:col>
      <xdr:colOff>1066801</xdr:colOff>
      <xdr:row>29</xdr:row>
      <xdr:rowOff>25400</xdr:rowOff>
    </xdr:from>
    <xdr:ext cx="1739900" cy="369332"/>
    <xdr:sp macro="" textlink="">
      <xdr:nvSpPr>
        <xdr:cNvPr id="2" name="Tekstvak 1"/>
        <xdr:cNvSpPr txBox="1"/>
      </xdr:nvSpPr>
      <xdr:spPr>
        <a:xfrm>
          <a:off x="8318501" y="7188200"/>
          <a:ext cx="1739900" cy="369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nl-NL" sz="900">
              <a:latin typeface="Verdana"/>
              <a:cs typeface="Verdana"/>
            </a:rPr>
            <a:t>Uren</a:t>
          </a:r>
          <a:r>
            <a:rPr lang="nl-NL" sz="900" baseline="0">
              <a:latin typeface="Verdana"/>
              <a:cs typeface="Verdana"/>
            </a:rPr>
            <a:t> zijn afkomstig van regel 416 in ruimtestaat</a:t>
          </a:r>
          <a:endParaRPr lang="nl-NL" sz="900">
            <a:latin typeface="Verdana"/>
            <a:cs typeface="Verdan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88900</xdr:rowOff>
    </xdr:from>
    <xdr:to>
      <xdr:col>13</xdr:col>
      <xdr:colOff>0</xdr:colOff>
      <xdr:row>6</xdr:row>
      <xdr:rowOff>139700</xdr:rowOff>
    </xdr:to>
    <xdr:sp macro="" textlink="">
      <xdr:nvSpPr>
        <xdr:cNvPr id="22304" name="Rounded Rectangle 1"/>
        <xdr:cNvSpPr>
          <a:spLocks noChangeArrowheads="1"/>
        </xdr:cNvSpPr>
      </xdr:nvSpPr>
      <xdr:spPr bwMode="auto">
        <a:xfrm>
          <a:off x="304800" y="88900"/>
          <a:ext cx="18669000" cy="12319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8</xdr:row>
      <xdr:rowOff>76200</xdr:rowOff>
    </xdr:from>
    <xdr:to>
      <xdr:col>13</xdr:col>
      <xdr:colOff>0</xdr:colOff>
      <xdr:row>9</xdr:row>
      <xdr:rowOff>304800</xdr:rowOff>
    </xdr:to>
    <xdr:sp macro="" textlink="">
      <xdr:nvSpPr>
        <xdr:cNvPr id="22305" name="Rounded Rectangle 2"/>
        <xdr:cNvSpPr>
          <a:spLocks noChangeArrowheads="1"/>
        </xdr:cNvSpPr>
      </xdr:nvSpPr>
      <xdr:spPr bwMode="auto">
        <a:xfrm>
          <a:off x="304800" y="1587500"/>
          <a:ext cx="19748500" cy="393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0</xdr:col>
      <xdr:colOff>266700</xdr:colOff>
      <xdr:row>23</xdr:row>
      <xdr:rowOff>101600</xdr:rowOff>
    </xdr:from>
    <xdr:to>
      <xdr:col>12</xdr:col>
      <xdr:colOff>1600200</xdr:colOff>
      <xdr:row>25</xdr:row>
      <xdr:rowOff>0</xdr:rowOff>
    </xdr:to>
    <xdr:sp macro="" textlink="">
      <xdr:nvSpPr>
        <xdr:cNvPr id="22306" name="Rounded Rectangle 3"/>
        <xdr:cNvSpPr>
          <a:spLocks noChangeArrowheads="1"/>
        </xdr:cNvSpPr>
      </xdr:nvSpPr>
      <xdr:spPr bwMode="auto">
        <a:xfrm>
          <a:off x="266700" y="5245100"/>
          <a:ext cx="18669000" cy="558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8</xdr:col>
      <xdr:colOff>12700</xdr:colOff>
      <xdr:row>36</xdr:row>
      <xdr:rowOff>0</xdr:rowOff>
    </xdr:from>
    <xdr:to>
      <xdr:col>10</xdr:col>
      <xdr:colOff>0</xdr:colOff>
      <xdr:row>37</xdr:row>
      <xdr:rowOff>63500</xdr:rowOff>
    </xdr:to>
    <xdr:sp macro="" textlink="">
      <xdr:nvSpPr>
        <xdr:cNvPr id="22307" name="Rounded Rectangle 4"/>
        <xdr:cNvSpPr>
          <a:spLocks noChangeArrowheads="1"/>
        </xdr:cNvSpPr>
      </xdr:nvSpPr>
      <xdr:spPr bwMode="auto">
        <a:xfrm>
          <a:off x="11417300" y="8610600"/>
          <a:ext cx="3200400" cy="355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11</xdr:col>
      <xdr:colOff>0</xdr:colOff>
      <xdr:row>36</xdr:row>
      <xdr:rowOff>0</xdr:rowOff>
    </xdr:from>
    <xdr:to>
      <xdr:col>12</xdr:col>
      <xdr:colOff>1625600</xdr:colOff>
      <xdr:row>37</xdr:row>
      <xdr:rowOff>76200</xdr:rowOff>
    </xdr:to>
    <xdr:sp macro="" textlink="">
      <xdr:nvSpPr>
        <xdr:cNvPr id="22308" name="Rounded Rectangle 5"/>
        <xdr:cNvSpPr>
          <a:spLocks noChangeArrowheads="1"/>
        </xdr:cNvSpPr>
      </xdr:nvSpPr>
      <xdr:spPr bwMode="auto">
        <a:xfrm>
          <a:off x="15697200" y="8610600"/>
          <a:ext cx="3263900" cy="3683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40</xdr:row>
      <xdr:rowOff>127000</xdr:rowOff>
    </xdr:from>
    <xdr:to>
      <xdr:col>13</xdr:col>
      <xdr:colOff>0</xdr:colOff>
      <xdr:row>42</xdr:row>
      <xdr:rowOff>38100</xdr:rowOff>
    </xdr:to>
    <xdr:sp macro="" textlink="">
      <xdr:nvSpPr>
        <xdr:cNvPr id="22309" name="Rounded Rectangle 3"/>
        <xdr:cNvSpPr>
          <a:spLocks noChangeArrowheads="1"/>
        </xdr:cNvSpPr>
      </xdr:nvSpPr>
      <xdr:spPr bwMode="auto">
        <a:xfrm>
          <a:off x="304800" y="9639300"/>
          <a:ext cx="18669000" cy="571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8</xdr:col>
      <xdr:colOff>12700</xdr:colOff>
      <xdr:row>47</xdr:row>
      <xdr:rowOff>0</xdr:rowOff>
    </xdr:from>
    <xdr:to>
      <xdr:col>10</xdr:col>
      <xdr:colOff>0</xdr:colOff>
      <xdr:row>48</xdr:row>
      <xdr:rowOff>0</xdr:rowOff>
    </xdr:to>
    <xdr:sp macro="" textlink="">
      <xdr:nvSpPr>
        <xdr:cNvPr id="22310" name="Rounded Rectangle 4"/>
        <xdr:cNvSpPr>
          <a:spLocks noChangeArrowheads="1"/>
        </xdr:cNvSpPr>
      </xdr:nvSpPr>
      <xdr:spPr bwMode="auto">
        <a:xfrm>
          <a:off x="11417300" y="10998200"/>
          <a:ext cx="3200400" cy="2921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11</xdr:col>
      <xdr:colOff>0</xdr:colOff>
      <xdr:row>47</xdr:row>
      <xdr:rowOff>0</xdr:rowOff>
    </xdr:from>
    <xdr:to>
      <xdr:col>12</xdr:col>
      <xdr:colOff>1625600</xdr:colOff>
      <xdr:row>48</xdr:row>
      <xdr:rowOff>25400</xdr:rowOff>
    </xdr:to>
    <xdr:sp macro="" textlink="">
      <xdr:nvSpPr>
        <xdr:cNvPr id="22311" name="Rounded Rectangle 5"/>
        <xdr:cNvSpPr>
          <a:spLocks noChangeArrowheads="1"/>
        </xdr:cNvSpPr>
      </xdr:nvSpPr>
      <xdr:spPr bwMode="auto">
        <a:xfrm>
          <a:off x="15697200" y="10998200"/>
          <a:ext cx="3263900" cy="3175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47</xdr:row>
      <xdr:rowOff>127000</xdr:rowOff>
    </xdr:from>
    <xdr:to>
      <xdr:col>7</xdr:col>
      <xdr:colOff>165100</xdr:colOff>
      <xdr:row>49</xdr:row>
      <xdr:rowOff>38100</xdr:rowOff>
    </xdr:to>
    <xdr:sp macro="" textlink="">
      <xdr:nvSpPr>
        <xdr:cNvPr id="22312" name="Rounded Rectangle 3"/>
        <xdr:cNvSpPr>
          <a:spLocks noChangeArrowheads="1"/>
        </xdr:cNvSpPr>
      </xdr:nvSpPr>
      <xdr:spPr bwMode="auto">
        <a:xfrm>
          <a:off x="304800" y="11125200"/>
          <a:ext cx="10020300" cy="698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12700</xdr:colOff>
      <xdr:row>36</xdr:row>
      <xdr:rowOff>0</xdr:rowOff>
    </xdr:from>
    <xdr:to>
      <xdr:col>7</xdr:col>
      <xdr:colOff>88900</xdr:colOff>
      <xdr:row>37</xdr:row>
      <xdr:rowOff>63500</xdr:rowOff>
    </xdr:to>
    <xdr:sp macro="" textlink="">
      <xdr:nvSpPr>
        <xdr:cNvPr id="17" name="Rounded Rectangle 4"/>
        <xdr:cNvSpPr>
          <a:spLocks noChangeArrowheads="1"/>
        </xdr:cNvSpPr>
      </xdr:nvSpPr>
      <xdr:spPr bwMode="auto">
        <a:xfrm>
          <a:off x="3708400" y="7785100"/>
          <a:ext cx="7505700" cy="355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1041400</xdr:colOff>
      <xdr:row>30</xdr:row>
      <xdr:rowOff>0</xdr:rowOff>
    </xdr:from>
    <xdr:to>
      <xdr:col>14</xdr:col>
      <xdr:colOff>76200</xdr:colOff>
      <xdr:row>31</xdr:row>
      <xdr:rowOff>0</xdr:rowOff>
    </xdr:to>
    <xdr:sp macro="" textlink="">
      <xdr:nvSpPr>
        <xdr:cNvPr id="6674" name="Rounded Rectangle 5"/>
        <xdr:cNvSpPr>
          <a:spLocks noChangeArrowheads="1"/>
        </xdr:cNvSpPr>
      </xdr:nvSpPr>
      <xdr:spPr bwMode="auto">
        <a:xfrm>
          <a:off x="12534900" y="4318000"/>
          <a:ext cx="2984500" cy="292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1</xdr:col>
      <xdr:colOff>139700</xdr:colOff>
      <xdr:row>7</xdr:row>
      <xdr:rowOff>152400</xdr:rowOff>
    </xdr:from>
    <xdr:to>
      <xdr:col>16</xdr:col>
      <xdr:colOff>0</xdr:colOff>
      <xdr:row>9</xdr:row>
      <xdr:rowOff>0</xdr:rowOff>
    </xdr:to>
    <xdr:sp macro="" textlink="">
      <xdr:nvSpPr>
        <xdr:cNvPr id="6675" name="Rounded Rectangle 1"/>
        <xdr:cNvSpPr>
          <a:spLocks noChangeArrowheads="1"/>
        </xdr:cNvSpPr>
      </xdr:nvSpPr>
      <xdr:spPr bwMode="auto">
        <a:xfrm>
          <a:off x="139700" y="1498600"/>
          <a:ext cx="17195800" cy="508000"/>
        </a:xfrm>
        <a:prstGeom prst="roundRect">
          <a:avLst>
            <a:gd name="adj" fmla="val 16667"/>
          </a:avLst>
        </a:prstGeom>
        <a:noFill/>
        <a:ln w="6350">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508000</xdr:colOff>
      <xdr:row>3</xdr:row>
      <xdr:rowOff>0</xdr:rowOff>
    </xdr:from>
    <xdr:to>
      <xdr:col>14</xdr:col>
      <xdr:colOff>698500</xdr:colOff>
      <xdr:row>8</xdr:row>
      <xdr:rowOff>25400</xdr:rowOff>
    </xdr:to>
    <xdr:sp macro="" textlink="">
      <xdr:nvSpPr>
        <xdr:cNvPr id="1612" name="Rounded Rectangle 1"/>
        <xdr:cNvSpPr>
          <a:spLocks noChangeArrowheads="1"/>
        </xdr:cNvSpPr>
      </xdr:nvSpPr>
      <xdr:spPr bwMode="auto">
        <a:xfrm>
          <a:off x="2616200" y="558800"/>
          <a:ext cx="134112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9</xdr:row>
      <xdr:rowOff>38100</xdr:rowOff>
    </xdr:from>
    <xdr:to>
      <xdr:col>31</xdr:col>
      <xdr:colOff>0</xdr:colOff>
      <xdr:row>10</xdr:row>
      <xdr:rowOff>12700</xdr:rowOff>
    </xdr:to>
    <xdr:sp macro="" textlink="">
      <xdr:nvSpPr>
        <xdr:cNvPr id="1613" name="Rounded Rectangle 2"/>
        <xdr:cNvSpPr>
          <a:spLocks noChangeArrowheads="1"/>
        </xdr:cNvSpPr>
      </xdr:nvSpPr>
      <xdr:spPr bwMode="auto">
        <a:xfrm>
          <a:off x="12700" y="1905000"/>
          <a:ext cx="36220400" cy="685800"/>
        </a:xfrm>
        <a:prstGeom prst="roundRect">
          <a:avLst>
            <a:gd name="adj" fmla="val 16667"/>
          </a:avLst>
        </a:prstGeom>
        <a:noFill/>
        <a:ln w="9525">
          <a:solidFill>
            <a:srgbClr val="FF9933"/>
          </a:solidFill>
          <a:round/>
          <a:headEnd/>
          <a:tailEnd/>
        </a:ln>
      </xdr:spPr>
      <xdr:txBody>
        <a:bodyPr rtlCol="0"/>
        <a:lstStyle/>
        <a:p>
          <a:pPr algn="ctr"/>
          <a:endParaRPr lang="en-US"/>
        </a:p>
      </xdr:txBody>
    </xdr:sp>
    <xdr:clientData/>
  </xdr:twoCellAnchor>
  <xdr:oneCellAnchor>
    <xdr:from>
      <xdr:col>11</xdr:col>
      <xdr:colOff>876300</xdr:colOff>
      <xdr:row>3</xdr:row>
      <xdr:rowOff>76200</xdr:rowOff>
    </xdr:from>
    <xdr:ext cx="7962900" cy="1028700"/>
    <xdr:sp macro="" textlink="">
      <xdr:nvSpPr>
        <xdr:cNvPr id="2" name="Tekstvak 1"/>
        <xdr:cNvSpPr txBox="1"/>
      </xdr:nvSpPr>
      <xdr:spPr>
        <a:xfrm>
          <a:off x="10147300" y="635000"/>
          <a:ext cx="7962900" cy="1028700"/>
        </a:xfrm>
        <a:prstGeom prst="rect">
          <a:avLst/>
        </a:prstGeom>
        <a:solidFill>
          <a:srgbClr val="FF993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400" b="1">
              <a:solidFill>
                <a:schemeClr val="bg1"/>
              </a:solidFill>
              <a:latin typeface="Verdana"/>
              <a:cs typeface="Verdana"/>
            </a:rPr>
            <a:t>De ruimtestaat mag onder geen enkele voorwaarden worden aangepast of worden gewijzigd.</a:t>
          </a:r>
        </a:p>
        <a:p>
          <a:r>
            <a:rPr lang="nl-NL" sz="1400" b="1">
              <a:solidFill>
                <a:schemeClr val="bg1"/>
              </a:solidFill>
              <a:latin typeface="Verdana"/>
              <a:cs typeface="Verdana"/>
            </a:rPr>
            <a:t>Na gunning wordt de</a:t>
          </a:r>
          <a:r>
            <a:rPr lang="nl-NL" sz="1400" b="1" baseline="0">
              <a:solidFill>
                <a:schemeClr val="bg1"/>
              </a:solidFill>
              <a:latin typeface="Verdana"/>
              <a:cs typeface="Verdana"/>
            </a:rPr>
            <a:t> ruimtestaat in deze </a:t>
          </a:r>
          <a:r>
            <a:rPr lang="nl-NL" sz="1400" b="1">
              <a:solidFill>
                <a:schemeClr val="bg1"/>
              </a:solidFill>
              <a:latin typeface="Verdana"/>
              <a:cs typeface="Verdana"/>
            </a:rPr>
            <a:t> opmaak door het Friesland College geïmporteerd</a:t>
          </a:r>
          <a:r>
            <a:rPr lang="nl-NL" sz="1400" b="1" baseline="0">
              <a:solidFill>
                <a:schemeClr val="bg1"/>
              </a:solidFill>
              <a:latin typeface="Verdana"/>
              <a:cs typeface="Verdana"/>
            </a:rPr>
            <a:t> in hun interne beheers- en verhuur systeem</a:t>
          </a:r>
          <a:endParaRPr lang="nl-NL" sz="1400" b="1">
            <a:solidFill>
              <a:schemeClr val="bg1"/>
            </a:solidFill>
            <a:latin typeface="Verdana"/>
            <a:cs typeface="Verdana"/>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27719"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0</xdr:col>
      <xdr:colOff>0</xdr:colOff>
      <xdr:row>9</xdr:row>
      <xdr:rowOff>12700</xdr:rowOff>
    </xdr:from>
    <xdr:to>
      <xdr:col>25</xdr:col>
      <xdr:colOff>1143000</xdr:colOff>
      <xdr:row>10</xdr:row>
      <xdr:rowOff>0</xdr:rowOff>
    </xdr:to>
    <xdr:sp macro="" textlink="">
      <xdr:nvSpPr>
        <xdr:cNvPr id="27720" name="Rounded Rectangle 2"/>
        <xdr:cNvSpPr>
          <a:spLocks noChangeArrowheads="1"/>
        </xdr:cNvSpPr>
      </xdr:nvSpPr>
      <xdr:spPr bwMode="auto">
        <a:xfrm>
          <a:off x="0" y="1879600"/>
          <a:ext cx="25831800" cy="520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7</xdr:row>
      <xdr:rowOff>177800</xdr:rowOff>
    </xdr:from>
    <xdr:to>
      <xdr:col>4</xdr:col>
      <xdr:colOff>12700</xdr:colOff>
      <xdr:row>9</xdr:row>
      <xdr:rowOff>76200</xdr:rowOff>
    </xdr:to>
    <xdr:sp macro="" textlink="">
      <xdr:nvSpPr>
        <xdr:cNvPr id="28786" name="Rounded Rectangle 2"/>
        <xdr:cNvSpPr>
          <a:spLocks noChangeArrowheads="1"/>
        </xdr:cNvSpPr>
      </xdr:nvSpPr>
      <xdr:spPr bwMode="auto">
        <a:xfrm>
          <a:off x="1282700" y="15621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0</xdr:col>
      <xdr:colOff>1231900</xdr:colOff>
      <xdr:row>0</xdr:row>
      <xdr:rowOff>114300</xdr:rowOff>
    </xdr:from>
    <xdr:to>
      <xdr:col>3</xdr:col>
      <xdr:colOff>1701800</xdr:colOff>
      <xdr:row>7</xdr:row>
      <xdr:rowOff>50800</xdr:rowOff>
    </xdr:to>
    <xdr:sp macro="" textlink="">
      <xdr:nvSpPr>
        <xdr:cNvPr id="28787" name="Rounded Rectangle 1"/>
        <xdr:cNvSpPr>
          <a:spLocks noChangeArrowheads="1"/>
        </xdr:cNvSpPr>
      </xdr:nvSpPr>
      <xdr:spPr bwMode="auto">
        <a:xfrm>
          <a:off x="1231900" y="114300"/>
          <a:ext cx="7721600" cy="13208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42</xdr:row>
      <xdr:rowOff>127000</xdr:rowOff>
    </xdr:from>
    <xdr:to>
      <xdr:col>4</xdr:col>
      <xdr:colOff>12700</xdr:colOff>
      <xdr:row>44</xdr:row>
      <xdr:rowOff>63500</xdr:rowOff>
    </xdr:to>
    <xdr:sp macro="" textlink="">
      <xdr:nvSpPr>
        <xdr:cNvPr id="28788" name="Rounded Rectangle 2"/>
        <xdr:cNvSpPr>
          <a:spLocks noChangeArrowheads="1"/>
        </xdr:cNvSpPr>
      </xdr:nvSpPr>
      <xdr:spPr bwMode="auto">
        <a:xfrm>
          <a:off x="1282700" y="74549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1</xdr:col>
      <xdr:colOff>0</xdr:colOff>
      <xdr:row>54</xdr:row>
      <xdr:rowOff>127000</xdr:rowOff>
    </xdr:from>
    <xdr:to>
      <xdr:col>4</xdr:col>
      <xdr:colOff>12700</xdr:colOff>
      <xdr:row>56</xdr:row>
      <xdr:rowOff>63500</xdr:rowOff>
    </xdr:to>
    <xdr:sp macro="" textlink="">
      <xdr:nvSpPr>
        <xdr:cNvPr id="28789" name="Rounded Rectangle 2"/>
        <xdr:cNvSpPr>
          <a:spLocks noChangeArrowheads="1"/>
        </xdr:cNvSpPr>
      </xdr:nvSpPr>
      <xdr:spPr bwMode="auto">
        <a:xfrm>
          <a:off x="1282700" y="94996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1</xdr:col>
      <xdr:colOff>0</xdr:colOff>
      <xdr:row>36</xdr:row>
      <xdr:rowOff>127000</xdr:rowOff>
    </xdr:from>
    <xdr:to>
      <xdr:col>4</xdr:col>
      <xdr:colOff>12700</xdr:colOff>
      <xdr:row>38</xdr:row>
      <xdr:rowOff>63500</xdr:rowOff>
    </xdr:to>
    <xdr:sp macro="" textlink="">
      <xdr:nvSpPr>
        <xdr:cNvPr id="28790" name="Rounded Rectangle 2"/>
        <xdr:cNvSpPr>
          <a:spLocks noChangeArrowheads="1"/>
        </xdr:cNvSpPr>
      </xdr:nvSpPr>
      <xdr:spPr bwMode="auto">
        <a:xfrm>
          <a:off x="1282700" y="64008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10</xdr:row>
      <xdr:rowOff>0</xdr:rowOff>
    </xdr:from>
    <xdr:to>
      <xdr:col>47</xdr:col>
      <xdr:colOff>12700</xdr:colOff>
      <xdr:row>11</xdr:row>
      <xdr:rowOff>0</xdr:rowOff>
    </xdr:to>
    <xdr:sp macro="" textlink="">
      <xdr:nvSpPr>
        <xdr:cNvPr id="16150" name="Rectangle 2"/>
        <xdr:cNvSpPr>
          <a:spLocks noChangeArrowheads="1"/>
        </xdr:cNvSpPr>
      </xdr:nvSpPr>
      <xdr:spPr bwMode="auto">
        <a:xfrm>
          <a:off x="10083800" y="1841500"/>
          <a:ext cx="19367500" cy="3238500"/>
        </a:xfrm>
        <a:prstGeom prst="rect">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2</xdr:col>
      <xdr:colOff>0</xdr:colOff>
      <xdr:row>10</xdr:row>
      <xdr:rowOff>2857500</xdr:rowOff>
    </xdr:from>
    <xdr:to>
      <xdr:col>4</xdr:col>
      <xdr:colOff>635000</xdr:colOff>
      <xdr:row>11</xdr:row>
      <xdr:rowOff>88900</xdr:rowOff>
    </xdr:to>
    <xdr:sp macro="" textlink="">
      <xdr:nvSpPr>
        <xdr:cNvPr id="16151" name="Rounded Rectangle 3"/>
        <xdr:cNvSpPr>
          <a:spLocks noChangeArrowheads="1"/>
        </xdr:cNvSpPr>
      </xdr:nvSpPr>
      <xdr:spPr bwMode="auto">
        <a:xfrm flipV="1">
          <a:off x="1295400" y="4699000"/>
          <a:ext cx="8724900" cy="469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0</xdr:colOff>
      <xdr:row>0</xdr:row>
      <xdr:rowOff>114300</xdr:rowOff>
    </xdr:from>
    <xdr:to>
      <xdr:col>14</xdr:col>
      <xdr:colOff>0</xdr:colOff>
      <xdr:row>6</xdr:row>
      <xdr:rowOff>101600</xdr:rowOff>
    </xdr:to>
    <xdr:sp macro="" textlink="">
      <xdr:nvSpPr>
        <xdr:cNvPr id="16152" name="Rounded Rectangle 3"/>
        <xdr:cNvSpPr>
          <a:spLocks noChangeArrowheads="1"/>
        </xdr:cNvSpPr>
      </xdr:nvSpPr>
      <xdr:spPr bwMode="auto">
        <a:xfrm>
          <a:off x="1295400" y="114300"/>
          <a:ext cx="13093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BD/CBD/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anbestedingen/Archief/2007/Noord/ZZ-Zaanstreek/Scholen%20Purmerend/Uitvoeringsfase/Mutaties/Mutatie%202010/Bestek/HD%20MBP%20Erik%20ATIR%20Werkdocumenten/%20%20ATIR%20in%20%20behandeling/Tarieven%202004/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20ATIR%20Werkdocumenten/%20%20ATIR%20in%20%20behandeling/Tarieven%202004/ati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 val="Psychiatrie"/>
      <sheetName val="Nummers"/>
      <sheetName val="Menu"/>
      <sheetName val="Tijdnormen"/>
      <sheetName val="Frekwenties"/>
      <sheetName val="Vloere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I49"/>
  <sheetViews>
    <sheetView showGridLines="0" showRowColHeaders="0" showZeros="0" showOutlineSymbols="0" workbookViewId="0">
      <selection activeCell="I49" sqref="I49"/>
    </sheetView>
  </sheetViews>
  <sheetFormatPr baseColWidth="10" defaultColWidth="0" defaultRowHeight="13" zeroHeight="1" x14ac:dyDescent="0"/>
  <cols>
    <col min="1" max="1" width="9.140625" style="1" customWidth="1"/>
    <col min="2" max="2" width="22.140625" style="1" customWidth="1"/>
    <col min="3" max="5" width="15.7109375" style="1" customWidth="1"/>
    <col min="6" max="6" width="12.85546875" style="1" bestFit="1" customWidth="1"/>
    <col min="7" max="7" width="2.140625" style="1" customWidth="1"/>
    <col min="8" max="8" width="6" style="1" customWidth="1"/>
    <col min="9" max="9" width="12.28515625" style="1" customWidth="1"/>
    <col min="10" max="16384" width="9.28515625" style="1" hidden="1"/>
  </cols>
  <sheetData>
    <row r="1" spans="1:9"/>
    <row r="2" spans="1:9" ht="16">
      <c r="A2" s="29" t="s">
        <v>161</v>
      </c>
      <c r="B2" s="160"/>
      <c r="C2" s="112" t="str">
        <f>'1.0-Contractblad'!E2</f>
        <v>Friesland College</v>
      </c>
    </row>
    <row r="3" spans="1:9" ht="16">
      <c r="A3" s="29" t="s">
        <v>163</v>
      </c>
      <c r="B3" s="160"/>
      <c r="C3" s="112" t="s">
        <v>162</v>
      </c>
    </row>
    <row r="4" spans="1:9" ht="16">
      <c r="A4" s="29" t="s">
        <v>53</v>
      </c>
      <c r="B4" s="160"/>
      <c r="C4" s="112" t="str">
        <f>'1.0-Contractblad'!E4</f>
        <v>Diverse locaties Leeuwarden e.o.</v>
      </c>
    </row>
    <row r="5" spans="1:9" ht="16">
      <c r="A5" s="29" t="s">
        <v>221</v>
      </c>
      <c r="B5" s="160"/>
      <c r="C5" s="112" t="str">
        <f>'1.0-Contractblad'!E5</f>
        <v>0601-36-2013 Perceel 2</v>
      </c>
    </row>
    <row r="6" spans="1:9"/>
    <row r="7" spans="1:9"/>
    <row r="8" spans="1:9" ht="18">
      <c r="A8" s="202" t="s">
        <v>34</v>
      </c>
      <c r="B8" s="161"/>
      <c r="C8" s="2"/>
      <c r="D8" s="2"/>
      <c r="E8" s="2"/>
      <c r="F8" s="11"/>
      <c r="G8" s="11"/>
      <c r="H8" s="11"/>
    </row>
    <row r="9" spans="1:9" ht="26" customHeight="1">
      <c r="A9" s="202" t="s">
        <v>229</v>
      </c>
      <c r="B9" s="177"/>
      <c r="C9" s="15"/>
      <c r="D9" s="15"/>
      <c r="E9" s="15"/>
      <c r="F9" s="5"/>
      <c r="G9" s="5"/>
      <c r="H9" s="5"/>
    </row>
    <row r="10" spans="1:9" ht="16">
      <c r="A10" s="18"/>
      <c r="B10" s="15"/>
      <c r="C10" s="15"/>
      <c r="D10" s="15"/>
      <c r="E10" s="15"/>
      <c r="F10" s="13"/>
      <c r="G10" s="12"/>
      <c r="H10" s="5"/>
    </row>
    <row r="11" spans="1:9" ht="16">
      <c r="A11" s="19" t="s">
        <v>21</v>
      </c>
      <c r="B11" s="3"/>
      <c r="C11" s="3"/>
      <c r="G11" s="12"/>
      <c r="I11" s="201" t="s">
        <v>226</v>
      </c>
    </row>
    <row r="12" spans="1:9" ht="16">
      <c r="A12" s="19"/>
      <c r="B12" s="4"/>
      <c r="C12" s="4"/>
      <c r="D12" s="4"/>
      <c r="E12" s="4"/>
      <c r="F12" s="13"/>
      <c r="G12" s="12"/>
      <c r="H12" s="5"/>
    </row>
    <row r="13" spans="1:9" ht="16">
      <c r="A13" s="156" t="s">
        <v>209</v>
      </c>
      <c r="B13" s="4"/>
      <c r="C13" s="4"/>
      <c r="D13" s="4"/>
      <c r="E13" s="4"/>
      <c r="F13" s="13"/>
      <c r="G13" s="12"/>
      <c r="H13" s="5"/>
    </row>
    <row r="14" spans="1:9" ht="33.75" customHeight="1">
      <c r="A14" s="19"/>
      <c r="B14" s="788" t="s">
        <v>83</v>
      </c>
      <c r="C14" s="788"/>
      <c r="D14" s="788"/>
      <c r="E14" s="788"/>
      <c r="F14" s="788"/>
      <c r="G14" s="788"/>
      <c r="H14" s="788"/>
    </row>
    <row r="15" spans="1:9" ht="16">
      <c r="A15" s="156"/>
      <c r="B15" s="155" t="s">
        <v>168</v>
      </c>
      <c r="C15" s="4"/>
      <c r="D15" s="4"/>
      <c r="E15" s="4"/>
      <c r="F15" s="13"/>
      <c r="G15" s="12"/>
      <c r="H15" s="5"/>
    </row>
    <row r="16" spans="1:9" ht="16">
      <c r="A16" s="19"/>
      <c r="C16" s="4"/>
      <c r="D16" s="4"/>
      <c r="E16" s="4"/>
      <c r="F16" s="13"/>
      <c r="G16" s="12"/>
      <c r="H16" s="5"/>
    </row>
    <row r="17" spans="1:8" ht="16">
      <c r="A17" s="156" t="s">
        <v>222</v>
      </c>
    </row>
    <row r="18" spans="1:8"/>
    <row r="19" spans="1:8"/>
    <row r="20" spans="1:8" ht="16">
      <c r="A20" s="156" t="s">
        <v>196</v>
      </c>
      <c r="B20" s="3"/>
      <c r="C20" s="3"/>
      <c r="D20" s="3"/>
      <c r="E20" s="3"/>
      <c r="F20" s="13"/>
    </row>
    <row r="21" spans="1:8" ht="16">
      <c r="A21" s="19"/>
      <c r="B21" s="155" t="s">
        <v>138</v>
      </c>
      <c r="C21" s="3"/>
      <c r="D21" s="3"/>
      <c r="E21" s="3"/>
      <c r="F21" s="13"/>
      <c r="G21" s="12"/>
      <c r="H21" s="5"/>
    </row>
    <row r="22" spans="1:8" ht="16">
      <c r="A22" s="19"/>
      <c r="B22" s="3"/>
      <c r="C22" s="3"/>
      <c r="D22" s="3"/>
      <c r="E22" s="3"/>
      <c r="F22" s="13"/>
      <c r="G22" s="12"/>
      <c r="H22" s="5"/>
    </row>
    <row r="23" spans="1:8" ht="16">
      <c r="A23" s="156" t="s">
        <v>61</v>
      </c>
      <c r="B23" s="3"/>
      <c r="C23" s="3"/>
      <c r="D23" s="3"/>
      <c r="E23" s="3"/>
      <c r="F23" s="13"/>
      <c r="G23" s="12"/>
      <c r="H23" s="5"/>
    </row>
    <row r="24" spans="1:8" ht="16">
      <c r="A24" s="19"/>
      <c r="B24" s="3"/>
      <c r="C24" s="3"/>
      <c r="D24" s="3"/>
      <c r="E24" s="3"/>
      <c r="F24" s="13"/>
      <c r="G24" s="12"/>
      <c r="H24" s="5"/>
    </row>
    <row r="25" spans="1:8" ht="16">
      <c r="A25" s="156" t="s">
        <v>137</v>
      </c>
      <c r="B25" s="3"/>
      <c r="C25" s="3"/>
      <c r="D25" s="3"/>
      <c r="E25" s="3"/>
      <c r="F25" s="13"/>
      <c r="G25" s="12"/>
      <c r="H25" s="5"/>
    </row>
    <row r="26" spans="1:8">
      <c r="B26" s="155" t="s">
        <v>57</v>
      </c>
      <c r="C26" s="3"/>
      <c r="D26" s="3"/>
      <c r="E26" s="3"/>
      <c r="F26" s="13"/>
      <c r="G26" s="12"/>
      <c r="H26" s="5"/>
    </row>
    <row r="27" spans="1:8">
      <c r="B27" s="789" t="s">
        <v>236</v>
      </c>
      <c r="C27" s="790"/>
      <c r="D27" s="790"/>
      <c r="E27" s="790"/>
      <c r="F27" s="790"/>
      <c r="G27" s="790"/>
      <c r="H27" s="5"/>
    </row>
    <row r="28" spans="1:8">
      <c r="B28" s="790"/>
      <c r="C28" s="790"/>
      <c r="D28" s="790"/>
      <c r="E28" s="790"/>
      <c r="F28" s="790"/>
      <c r="G28" s="790"/>
      <c r="H28" s="5"/>
    </row>
    <row r="29" spans="1:8">
      <c r="B29" s="3"/>
      <c r="C29" s="3"/>
      <c r="D29" s="3"/>
      <c r="E29" s="3"/>
      <c r="F29" s="13"/>
      <c r="G29" s="12"/>
      <c r="H29" s="5"/>
    </row>
    <row r="30" spans="1:8" ht="16">
      <c r="A30" s="156" t="s">
        <v>80</v>
      </c>
      <c r="B30" s="16"/>
      <c r="C30" s="16"/>
      <c r="D30" s="16"/>
      <c r="E30" s="16"/>
      <c r="F30" s="6"/>
      <c r="G30" s="12"/>
      <c r="H30" s="5"/>
    </row>
    <row r="31" spans="1:8">
      <c r="B31" s="155" t="s">
        <v>182</v>
      </c>
      <c r="C31" s="3"/>
      <c r="D31" s="20"/>
      <c r="E31" s="21"/>
      <c r="F31" s="13"/>
      <c r="G31" s="7"/>
      <c r="H31" s="5"/>
    </row>
    <row r="32" spans="1:8" ht="16">
      <c r="A32" s="22"/>
      <c r="B32" s="23"/>
      <c r="C32" s="17"/>
      <c r="D32" s="23"/>
      <c r="E32" s="17"/>
      <c r="F32" s="14"/>
      <c r="G32" s="12"/>
      <c r="H32" s="5"/>
    </row>
    <row r="33" spans="1:8" ht="16">
      <c r="A33" s="156" t="s">
        <v>153</v>
      </c>
      <c r="B33" s="23"/>
      <c r="C33" s="17"/>
      <c r="D33" s="23"/>
      <c r="E33" s="17"/>
      <c r="F33" s="14"/>
      <c r="G33" s="7"/>
      <c r="H33" s="8"/>
    </row>
    <row r="34" spans="1:8">
      <c r="A34" s="24"/>
      <c r="B34" s="10"/>
      <c r="C34" s="24"/>
      <c r="D34" s="10"/>
      <c r="E34" s="24"/>
      <c r="F34" s="7"/>
      <c r="G34" s="7"/>
      <c r="H34" s="8"/>
    </row>
    <row r="35" spans="1:8" ht="16">
      <c r="A35" s="156" t="s">
        <v>198</v>
      </c>
      <c r="B35" s="25"/>
      <c r="C35" s="10"/>
      <c r="D35" s="25"/>
      <c r="E35" s="10"/>
      <c r="F35" s="7"/>
      <c r="G35" s="7"/>
      <c r="H35" s="9"/>
    </row>
    <row r="36" spans="1:8">
      <c r="G36" s="7"/>
      <c r="H36" s="9"/>
    </row>
    <row r="37" spans="1:8" ht="16">
      <c r="A37" s="158"/>
    </row>
    <row r="38" spans="1:8">
      <c r="B38" s="159"/>
    </row>
    <row r="39" spans="1:8"/>
    <row r="40" spans="1:8" ht="16">
      <c r="A40" s="158"/>
    </row>
    <row r="41" spans="1:8">
      <c r="B41" s="159"/>
    </row>
    <row r="42" spans="1:8"/>
    <row r="43" spans="1:8" ht="16">
      <c r="A43" s="158"/>
    </row>
    <row r="44" spans="1:8"/>
    <row r="45" spans="1:8"/>
    <row r="46" spans="1:8"/>
    <row r="47" spans="1:8"/>
    <row r="48" spans="1:8"/>
    <row r="49"/>
  </sheetData>
  <dataConsolidate/>
  <mergeCells count="2">
    <mergeCell ref="B14:H14"/>
    <mergeCell ref="B27:G28"/>
  </mergeCells>
  <phoneticPr fontId="10"/>
  <pageMargins left="0.59055118110236227" right="0.59055118110236227" top="0.39370078740157483" bottom="0.78740157480314965" header="0.39370078740157483" footer="0.19685039370078741"/>
  <pageSetup paperSize="9" scale="55" orientation="portrait" horizontalDpi="4294967292" verticalDpi="4294967292"/>
  <headerFooter>
    <oddHeader>&amp;L&amp;C&amp;R</oddHeader>
    <oddFooter>&amp;L&amp;"Verdana,Regular"&amp;F-&amp;A_x000D_ICCA b.v. ©&amp;R&amp;"Verdana,Regular"printversie &amp;D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AX57"/>
  <sheetViews>
    <sheetView showGridLines="0" showZeros="0" workbookViewId="0"/>
  </sheetViews>
  <sheetFormatPr baseColWidth="10" defaultColWidth="8.85546875" defaultRowHeight="13" x14ac:dyDescent="0"/>
  <cols>
    <col min="1" max="1" width="12.28515625" style="321" customWidth="1"/>
    <col min="2" max="2" width="2.28515625" style="321" customWidth="1"/>
    <col min="3" max="3" width="74.140625" style="257" customWidth="1"/>
    <col min="4" max="4" width="16.85546875" style="250" customWidth="1"/>
    <col min="5" max="5" width="7.85546875" style="250" customWidth="1"/>
    <col min="6" max="6" width="6.5703125" style="250" bestFit="1" customWidth="1"/>
    <col min="7" max="7" width="6.42578125" style="250" hidden="1" customWidth="1"/>
    <col min="8" max="8" width="7.5703125" style="250" customWidth="1"/>
    <col min="9" max="9" width="5.85546875" style="250" bestFit="1" customWidth="1"/>
    <col min="10" max="10" width="7.140625" style="250" customWidth="1"/>
    <col min="11" max="11" width="6.42578125" style="250" customWidth="1"/>
    <col min="12" max="12" width="7.140625" style="250" bestFit="1" customWidth="1"/>
    <col min="13" max="13" width="0.7109375" style="250" customWidth="1"/>
    <col min="14" max="14" width="7" style="250" bestFit="1" customWidth="1"/>
    <col min="15" max="15" width="7.140625" style="250" bestFit="1" customWidth="1"/>
    <col min="16" max="16" width="1.28515625" style="250" customWidth="1"/>
    <col min="17" max="17" width="8.28515625" style="250" customWidth="1"/>
    <col min="18" max="18" width="10.140625" style="250" bestFit="1" customWidth="1"/>
    <col min="19" max="19" width="7.140625" style="250" bestFit="1" customWidth="1"/>
    <col min="20" max="20" width="0.7109375" style="250" customWidth="1"/>
    <col min="21" max="21" width="9.85546875" style="250" customWidth="1"/>
    <col min="22" max="22" width="7.140625" style="250" bestFit="1" customWidth="1"/>
    <col min="23" max="23" width="0.7109375" style="250" customWidth="1"/>
    <col min="24" max="25" width="5.5703125" style="250" bestFit="1" customWidth="1"/>
    <col min="26" max="26" width="6.85546875" style="250" customWidth="1"/>
    <col min="27" max="27" width="7.140625" style="250" bestFit="1" customWidth="1"/>
    <col min="28" max="28" width="0.7109375" style="250" customWidth="1"/>
    <col min="29" max="36" width="5.5703125" style="250" bestFit="1" customWidth="1"/>
    <col min="37" max="37" width="8.7109375" style="250" bestFit="1" customWidth="1"/>
    <col min="38" max="38" width="0.7109375" style="250" customWidth="1"/>
    <col min="39" max="39" width="5.85546875" style="250" bestFit="1" customWidth="1"/>
    <col min="40" max="40" width="0.7109375" style="250" customWidth="1"/>
    <col min="41" max="41" width="7.140625" style="250" bestFit="1" customWidth="1"/>
    <col min="42" max="42" width="0.7109375" style="250" customWidth="1"/>
    <col min="43" max="43" width="7.140625" style="250" bestFit="1" customWidth="1"/>
    <col min="44" max="44" width="0.7109375" style="250" customWidth="1"/>
    <col min="45" max="45" width="7.140625" style="250" bestFit="1" customWidth="1"/>
    <col min="46" max="46" width="0.7109375" style="250" customWidth="1"/>
    <col min="47" max="47" width="7.140625" style="250" bestFit="1" customWidth="1"/>
    <col min="48" max="48" width="1.28515625" style="250" customWidth="1"/>
    <col min="49" max="49" width="10.5703125" style="250" customWidth="1"/>
    <col min="50" max="16384" width="8.85546875" style="250"/>
  </cols>
  <sheetData>
    <row r="1" spans="1:50" customFormat="1">
      <c r="A1" s="318"/>
      <c r="B1" s="322"/>
      <c r="C1" s="1"/>
      <c r="D1" s="1"/>
      <c r="E1" s="1"/>
      <c r="F1" s="1"/>
      <c r="G1" s="1"/>
      <c r="H1" s="1"/>
      <c r="I1" s="1"/>
      <c r="J1" s="1"/>
      <c r="K1" s="1"/>
      <c r="L1" s="1"/>
      <c r="M1" s="1"/>
      <c r="N1" s="1"/>
      <c r="O1" s="1"/>
      <c r="P1" s="1"/>
      <c r="Q1" s="1"/>
      <c r="T1" s="1"/>
      <c r="W1" s="1"/>
      <c r="AB1" s="1"/>
      <c r="AL1" s="1"/>
      <c r="AN1" s="1"/>
      <c r="AP1" s="1"/>
      <c r="AR1" s="1"/>
      <c r="AT1" s="1"/>
    </row>
    <row r="2" spans="1:50" customFormat="1" ht="16">
      <c r="A2" s="318"/>
      <c r="B2" s="321"/>
      <c r="C2" s="72" t="str">
        <f>'1.0-Contractblad'!D2</f>
        <v>Naam opdrachtgever</v>
      </c>
      <c r="D2" s="30" t="str">
        <f>'1.0-Contractblad'!E2</f>
        <v>Friesland College</v>
      </c>
      <c r="E2" s="33"/>
      <c r="F2" s="1"/>
      <c r="G2" s="1"/>
      <c r="H2" s="1"/>
      <c r="I2" s="1"/>
      <c r="J2" s="1"/>
      <c r="K2" s="1"/>
      <c r="L2" s="1"/>
      <c r="M2" s="1"/>
      <c r="N2" s="1"/>
      <c r="O2" s="1"/>
      <c r="P2" s="1"/>
      <c r="Q2" s="1"/>
      <c r="T2" s="1"/>
      <c r="W2" s="1"/>
      <c r="AB2" s="1"/>
      <c r="AL2" s="1"/>
      <c r="AN2" s="1"/>
      <c r="AP2" s="1"/>
      <c r="AR2" s="1"/>
      <c r="AT2" s="1"/>
    </row>
    <row r="3" spans="1:50" customFormat="1" ht="16">
      <c r="A3" s="318"/>
      <c r="B3" s="321"/>
      <c r="C3" s="72" t="str">
        <f>'1.0-Contractblad'!D3</f>
        <v>Omschrijving blad</v>
      </c>
      <c r="D3" s="30" t="s">
        <v>272</v>
      </c>
      <c r="E3" s="33"/>
      <c r="F3" s="1"/>
      <c r="G3" s="1"/>
      <c r="H3" s="1"/>
      <c r="I3" s="1"/>
      <c r="J3" s="1"/>
      <c r="K3" s="1"/>
      <c r="L3" s="1"/>
      <c r="M3" s="1"/>
      <c r="N3" s="1"/>
      <c r="O3" s="1"/>
      <c r="P3" s="1"/>
      <c r="Q3" s="1"/>
      <c r="T3" s="1"/>
      <c r="W3" s="1"/>
      <c r="AB3" s="1"/>
      <c r="AL3" s="1"/>
      <c r="AN3" s="1"/>
      <c r="AP3" s="1"/>
      <c r="AR3" s="1"/>
      <c r="AT3" s="1"/>
    </row>
    <row r="4" spans="1:50" customFormat="1" ht="16">
      <c r="A4" s="318"/>
      <c r="B4" s="321"/>
      <c r="C4" s="72" t="str">
        <f>'1.0-Contractblad'!D4</f>
        <v>Adres/plaats</v>
      </c>
      <c r="D4" s="30" t="str">
        <f>'1.0-Contractblad'!E4</f>
        <v>Diverse locaties Leeuwarden e.o.</v>
      </c>
      <c r="E4" s="33"/>
      <c r="F4" s="1"/>
      <c r="G4" s="1"/>
      <c r="H4" s="1"/>
      <c r="I4" s="1"/>
      <c r="J4" s="1"/>
      <c r="K4" s="1"/>
      <c r="L4" s="1"/>
      <c r="M4" s="1"/>
      <c r="N4" s="1"/>
      <c r="O4" s="1"/>
      <c r="P4" s="1"/>
      <c r="Q4" s="1"/>
      <c r="T4" s="1"/>
      <c r="W4" s="1"/>
      <c r="AB4" s="1"/>
      <c r="AL4" s="1"/>
      <c r="AN4" s="1"/>
      <c r="AP4" s="1"/>
      <c r="AR4" s="1"/>
      <c r="AT4" s="1"/>
    </row>
    <row r="5" spans="1:50" customFormat="1" ht="16">
      <c r="A5" s="318"/>
      <c r="B5" s="321"/>
      <c r="C5" s="72" t="str">
        <f>'1.0-Contractblad'!D5</f>
        <v>Besteknummer</v>
      </c>
      <c r="D5" s="30" t="str">
        <f>'1.0-Contractblad'!E5</f>
        <v>0601-36-2013 Perceel 2</v>
      </c>
      <c r="E5" s="33"/>
      <c r="F5" s="1"/>
      <c r="G5" s="1"/>
      <c r="H5" s="1"/>
      <c r="I5" s="1"/>
      <c r="J5" s="1"/>
      <c r="K5" s="1"/>
      <c r="L5" s="1"/>
      <c r="M5" s="1"/>
      <c r="N5" s="1"/>
      <c r="O5" s="1"/>
      <c r="P5" s="1"/>
      <c r="Q5" s="1"/>
      <c r="T5" s="1"/>
      <c r="W5" s="1"/>
      <c r="AB5" s="1"/>
      <c r="AL5" s="1"/>
      <c r="AN5" s="1"/>
      <c r="AP5" s="1"/>
      <c r="AR5" s="1"/>
      <c r="AT5" s="1"/>
    </row>
    <row r="6" spans="1:50" customFormat="1" ht="16">
      <c r="A6" s="318"/>
      <c r="B6" s="321"/>
      <c r="C6" s="72" t="str">
        <f>'1.0-Contractblad'!D6</f>
        <v>Naam leverancier</v>
      </c>
      <c r="D6" s="30" t="str">
        <f>'1.0-Contractblad'!E6</f>
        <v>(Invoer naam Inschrijver)</v>
      </c>
      <c r="E6" s="33"/>
      <c r="F6" s="1"/>
      <c r="G6" s="1"/>
      <c r="H6" s="1"/>
      <c r="I6" s="1"/>
      <c r="J6" s="1"/>
      <c r="K6" s="1"/>
      <c r="L6" s="1"/>
      <c r="M6" s="1"/>
      <c r="N6" s="1"/>
      <c r="O6" s="1"/>
      <c r="P6" s="1"/>
      <c r="Q6" s="1"/>
      <c r="T6" s="1"/>
      <c r="W6" s="1"/>
      <c r="AB6" s="1"/>
      <c r="AL6" s="1"/>
      <c r="AN6" s="1"/>
      <c r="AP6" s="1"/>
      <c r="AR6" s="1"/>
      <c r="AT6" s="1"/>
    </row>
    <row r="7" spans="1:50" customFormat="1">
      <c r="A7" s="318"/>
      <c r="B7" s="321"/>
      <c r="C7" s="1"/>
      <c r="D7" s="1"/>
      <c r="E7" s="1"/>
      <c r="F7" s="1"/>
      <c r="G7" s="1"/>
      <c r="H7" s="1"/>
      <c r="I7" s="1"/>
      <c r="J7" s="1"/>
      <c r="K7" s="1"/>
      <c r="L7" s="1"/>
      <c r="M7" s="1"/>
      <c r="N7" s="1"/>
      <c r="O7" s="1"/>
      <c r="P7" s="1"/>
      <c r="Q7" s="1"/>
      <c r="T7" s="1"/>
      <c r="W7" s="1"/>
      <c r="AB7" s="1"/>
      <c r="AL7" s="1"/>
      <c r="AN7" s="1"/>
      <c r="AP7" s="1"/>
      <c r="AR7" s="1"/>
      <c r="AT7" s="1"/>
    </row>
    <row r="8" spans="1:50" customFormat="1">
      <c r="A8" s="318"/>
      <c r="B8" s="321"/>
      <c r="C8" s="1"/>
      <c r="D8" s="1"/>
      <c r="E8" s="1"/>
      <c r="F8" s="1"/>
      <c r="G8" s="1"/>
      <c r="H8" s="1"/>
      <c r="I8" s="1"/>
      <c r="J8" s="1"/>
      <c r="K8" s="1"/>
      <c r="L8" s="1"/>
      <c r="M8" s="1"/>
      <c r="N8" s="1"/>
      <c r="O8" s="1"/>
      <c r="P8" s="1"/>
      <c r="Q8" s="1"/>
      <c r="T8" s="1"/>
      <c r="W8" s="1"/>
      <c r="AB8" s="1"/>
      <c r="AL8" s="1"/>
      <c r="AN8" s="1"/>
      <c r="AP8" s="1"/>
      <c r="AR8" s="1"/>
      <c r="AT8" s="1"/>
    </row>
    <row r="11" spans="1:50" s="333" customFormat="1" ht="255.75" customHeight="1">
      <c r="A11" s="323"/>
      <c r="B11" s="323"/>
      <c r="C11" s="258" t="s">
        <v>258</v>
      </c>
      <c r="D11" s="260" t="s">
        <v>260</v>
      </c>
      <c r="E11" s="259" t="s">
        <v>257</v>
      </c>
      <c r="F11" s="324" t="s">
        <v>173</v>
      </c>
      <c r="G11" s="325"/>
      <c r="H11" s="325" t="s">
        <v>30</v>
      </c>
      <c r="I11" s="491" t="s">
        <v>317</v>
      </c>
      <c r="J11" s="326" t="s">
        <v>235</v>
      </c>
      <c r="K11" s="326" t="s">
        <v>249</v>
      </c>
      <c r="L11" s="327" t="s">
        <v>37</v>
      </c>
      <c r="M11" s="328"/>
      <c r="N11" s="329" t="s">
        <v>2</v>
      </c>
      <c r="O11" s="327" t="s">
        <v>86</v>
      </c>
      <c r="P11" s="328"/>
      <c r="Q11" s="330" t="s">
        <v>217</v>
      </c>
      <c r="R11" s="329" t="s">
        <v>195</v>
      </c>
      <c r="S11" s="327" t="s">
        <v>4</v>
      </c>
      <c r="T11" s="328"/>
      <c r="U11" s="329" t="s">
        <v>5</v>
      </c>
      <c r="V11" s="327" t="s">
        <v>74</v>
      </c>
      <c r="W11" s="328"/>
      <c r="X11" s="326" t="s">
        <v>175</v>
      </c>
      <c r="Y11" s="326" t="s">
        <v>25</v>
      </c>
      <c r="Z11" s="326" t="s">
        <v>26</v>
      </c>
      <c r="AA11" s="327" t="s">
        <v>176</v>
      </c>
      <c r="AB11" s="328"/>
      <c r="AC11" s="326" t="s">
        <v>187</v>
      </c>
      <c r="AD11" s="326" t="s">
        <v>154</v>
      </c>
      <c r="AE11" s="326" t="s">
        <v>98</v>
      </c>
      <c r="AF11" s="326" t="s">
        <v>99</v>
      </c>
      <c r="AG11" s="326" t="s">
        <v>9</v>
      </c>
      <c r="AH11" s="326" t="s">
        <v>10</v>
      </c>
      <c r="AI11" s="326" t="s">
        <v>35</v>
      </c>
      <c r="AJ11" s="326"/>
      <c r="AK11" s="327" t="s">
        <v>208</v>
      </c>
      <c r="AL11" s="328"/>
      <c r="AM11" s="326" t="s">
        <v>141</v>
      </c>
      <c r="AN11" s="328"/>
      <c r="AO11" s="327" t="s">
        <v>212</v>
      </c>
      <c r="AP11" s="328"/>
      <c r="AQ11" s="327" t="s">
        <v>275</v>
      </c>
      <c r="AR11" s="328"/>
      <c r="AS11" s="327" t="s">
        <v>79</v>
      </c>
      <c r="AT11" s="328"/>
      <c r="AU11" s="331" t="s">
        <v>29</v>
      </c>
      <c r="AV11" s="332"/>
    </row>
    <row r="12" spans="1:50" s="251" customFormat="1" ht="24.75" customHeight="1">
      <c r="A12" s="319">
        <v>0</v>
      </c>
      <c r="B12" s="319">
        <v>0</v>
      </c>
      <c r="C12" s="254">
        <v>0</v>
      </c>
      <c r="F12" s="529"/>
      <c r="G12" s="499"/>
      <c r="H12" s="529"/>
      <c r="I12" s="246">
        <v>0</v>
      </c>
      <c r="J12" s="246">
        <v>1.6E-2</v>
      </c>
      <c r="K12" s="529"/>
      <c r="L12" s="529"/>
      <c r="M12" s="252"/>
      <c r="N12" s="246">
        <v>0.08</v>
      </c>
      <c r="O12" s="529"/>
      <c r="P12" s="252"/>
      <c r="Q12" s="529"/>
      <c r="R12" s="500">
        <f>'1.4-Premies en opslagen'!D29</f>
        <v>0</v>
      </c>
      <c r="S12" s="529"/>
      <c r="T12" s="252"/>
      <c r="U12" s="500">
        <f>'1.4-Premies en opslagen'!$D$73</f>
        <v>0</v>
      </c>
      <c r="V12" s="529"/>
      <c r="W12" s="252"/>
      <c r="X12" s="529"/>
      <c r="Y12" s="529"/>
      <c r="Z12" s="529"/>
      <c r="AA12" s="529"/>
      <c r="AB12" s="252"/>
      <c r="AC12" s="529"/>
      <c r="AD12" s="529"/>
      <c r="AE12" s="529"/>
      <c r="AF12" s="529"/>
      <c r="AG12" s="529"/>
      <c r="AH12" s="529"/>
      <c r="AI12" s="529"/>
      <c r="AJ12" s="529"/>
      <c r="AK12" s="529"/>
      <c r="AL12" s="252"/>
      <c r="AM12" s="765">
        <v>0.04</v>
      </c>
      <c r="AN12" s="252"/>
      <c r="AO12" s="529"/>
      <c r="AP12" s="252"/>
      <c r="AQ12" s="529"/>
      <c r="AR12" s="252"/>
      <c r="AS12" s="529"/>
      <c r="AT12" s="252"/>
      <c r="AU12" s="529"/>
      <c r="AV12" s="252"/>
    </row>
    <row r="13" spans="1:50" s="252" customFormat="1" ht="23" customHeight="1">
      <c r="A13" s="320" t="str">
        <f>CONCATENATE($C13," ",$D13)</f>
        <v>11.01 Werknemer algemeen schoonmaakonderhoud 17 jaar 0 t/m 7 jaar</v>
      </c>
      <c r="B13" s="320" t="str">
        <f>CONCATENATE($C13," ",$D13)</f>
        <v>11.01 Werknemer algemeen schoonmaakonderhoud 17 jaar 0 t/m 7 jaar</v>
      </c>
      <c r="C13" s="255" t="s">
        <v>263</v>
      </c>
      <c r="D13" s="252" t="s">
        <v>261</v>
      </c>
      <c r="E13" s="252">
        <v>1</v>
      </c>
      <c r="F13" s="245"/>
      <c r="G13" s="245"/>
      <c r="H13" s="245">
        <v>0</v>
      </c>
      <c r="I13" s="245"/>
      <c r="J13" s="501">
        <f t="shared" ref="J13:J31" si="0">F13*$J$12</f>
        <v>0</v>
      </c>
      <c r="K13" s="245">
        <v>0</v>
      </c>
      <c r="L13" s="502">
        <f t="shared" ref="L13:L35" si="1">SUM(F13:K13)</f>
        <v>0</v>
      </c>
      <c r="N13" s="503">
        <f t="shared" ref="N13:N31" si="2">L13*$N$12</f>
        <v>0</v>
      </c>
      <c r="O13" s="502">
        <f t="shared" ref="O13:O35" si="3">SUM(L13:N13)</f>
        <v>0</v>
      </c>
      <c r="Q13" s="504">
        <f t="shared" ref="Q13:Q35" si="4">O13*0.95</f>
        <v>0</v>
      </c>
      <c r="R13" s="501">
        <f>IF(Q13=0,0,Q13*'1.4-Premies en opslagen'!$D$30)</f>
        <v>0</v>
      </c>
      <c r="S13" s="502">
        <f t="shared" ref="S13:S35" si="5">R13+O13</f>
        <v>0</v>
      </c>
      <c r="U13" s="501">
        <f>S13*'1.4-Premies en opslagen'!$D$73</f>
        <v>0</v>
      </c>
      <c r="V13" s="502">
        <f t="shared" ref="V13:V35" si="6">SUM(S13:U13)</f>
        <v>0</v>
      </c>
      <c r="X13" s="245"/>
      <c r="Y13" s="245"/>
      <c r="Z13" s="247"/>
      <c r="AA13" s="502">
        <f t="shared" ref="AA13:AA30" si="7">SUM(V13:Z13)</f>
        <v>0</v>
      </c>
      <c r="AC13" s="245"/>
      <c r="AD13" s="245"/>
      <c r="AE13" s="245"/>
      <c r="AF13" s="245"/>
      <c r="AG13" s="245"/>
      <c r="AH13" s="245"/>
      <c r="AI13" s="245"/>
      <c r="AJ13" s="245"/>
      <c r="AK13" s="502">
        <f>SUM(AA13:AJ13)+SUM(AA13:AJ13)*'1.1-Jaarprijzen'!$C$58</f>
        <v>0</v>
      </c>
      <c r="AM13" s="245"/>
      <c r="AO13" s="248">
        <f t="shared" ref="AO13:AO35" si="8">SUM(AK13:AN13)</f>
        <v>0</v>
      </c>
      <c r="AQ13" s="248">
        <f>($V13*0.3)+$AO13</f>
        <v>0</v>
      </c>
      <c r="AS13" s="248">
        <f>($V13*0.5)+$AO13</f>
        <v>0</v>
      </c>
      <c r="AU13" s="248">
        <f>($V13*1.5)+$AO13</f>
        <v>0</v>
      </c>
      <c r="AW13" s="244"/>
      <c r="AX13" s="251"/>
    </row>
    <row r="14" spans="1:50" s="252" customFormat="1" ht="23" customHeight="1">
      <c r="A14" s="320" t="str">
        <f t="shared" ref="A14:B35" si="9">CONCATENATE($C14," ",$D14)</f>
        <v>11.01 Werknemer algemeen schoonmaakonderhoud 18 jaar 0 t/m 7 jaar</v>
      </c>
      <c r="B14" s="320" t="str">
        <f t="shared" si="9"/>
        <v>11.01 Werknemer algemeen schoonmaakonderhoud 18 jaar 0 t/m 7 jaar</v>
      </c>
      <c r="C14" s="255" t="s">
        <v>264</v>
      </c>
      <c r="D14" s="252" t="s">
        <v>261</v>
      </c>
      <c r="E14" s="252">
        <v>1</v>
      </c>
      <c r="F14" s="245"/>
      <c r="G14" s="245"/>
      <c r="H14" s="245">
        <v>0</v>
      </c>
      <c r="I14" s="245">
        <v>0</v>
      </c>
      <c r="J14" s="501">
        <f t="shared" si="0"/>
        <v>0</v>
      </c>
      <c r="K14" s="245">
        <v>0</v>
      </c>
      <c r="L14" s="502">
        <f t="shared" si="1"/>
        <v>0</v>
      </c>
      <c r="N14" s="503">
        <f t="shared" si="2"/>
        <v>0</v>
      </c>
      <c r="O14" s="502">
        <f t="shared" si="3"/>
        <v>0</v>
      </c>
      <c r="Q14" s="504">
        <f t="shared" si="4"/>
        <v>0</v>
      </c>
      <c r="R14" s="501">
        <f>IF(Q14=0,0,Q14*'1.4-Premies en opslagen'!$D$30)</f>
        <v>0</v>
      </c>
      <c r="S14" s="502">
        <f t="shared" si="5"/>
        <v>0</v>
      </c>
      <c r="U14" s="501">
        <f>S14*'1.4-Premies en opslagen'!$D$73</f>
        <v>0</v>
      </c>
      <c r="V14" s="502">
        <f t="shared" si="6"/>
        <v>0</v>
      </c>
      <c r="X14" s="245"/>
      <c r="Y14" s="245"/>
      <c r="Z14" s="247"/>
      <c r="AA14" s="502">
        <f t="shared" si="7"/>
        <v>0</v>
      </c>
      <c r="AC14" s="245"/>
      <c r="AD14" s="245"/>
      <c r="AE14" s="245"/>
      <c r="AF14" s="245"/>
      <c r="AG14" s="245"/>
      <c r="AH14" s="245"/>
      <c r="AI14" s="245"/>
      <c r="AJ14" s="245"/>
      <c r="AK14" s="502">
        <f>SUM(AA14:AJ14)+SUM(AA14:AJ14)*'1.1-Jaarprijzen'!$C$58</f>
        <v>0</v>
      </c>
      <c r="AM14" s="245"/>
      <c r="AO14" s="248">
        <f t="shared" si="8"/>
        <v>0</v>
      </c>
      <c r="AQ14" s="248">
        <f t="shared" ref="AQ14:AQ31" si="10">($V14*0.3)+$AO14</f>
        <v>0</v>
      </c>
      <c r="AS14" s="248">
        <f t="shared" ref="AS14:AS31" si="11">($V14*0.5)+$AO14</f>
        <v>0</v>
      </c>
      <c r="AU14" s="248">
        <f t="shared" ref="AU14:AU31" si="12">($V14*1.5)+$AO14</f>
        <v>0</v>
      </c>
      <c r="AW14" s="244"/>
      <c r="AX14" s="251"/>
    </row>
    <row r="15" spans="1:50" s="252" customFormat="1" ht="23" customHeight="1">
      <c r="A15" s="320" t="str">
        <f t="shared" si="9"/>
        <v>11.01 Werknemer algemeen schoonmaakonderhoud 19 jaar 0 t/m 7 jaar</v>
      </c>
      <c r="B15" s="320" t="str">
        <f t="shared" si="9"/>
        <v>11.01 Werknemer algemeen schoonmaakonderhoud 19 jaar 0 t/m 7 jaar</v>
      </c>
      <c r="C15" s="255" t="s">
        <v>265</v>
      </c>
      <c r="D15" s="252" t="s">
        <v>261</v>
      </c>
      <c r="E15" s="252">
        <v>1</v>
      </c>
      <c r="F15" s="245"/>
      <c r="G15" s="245"/>
      <c r="H15" s="245">
        <v>0</v>
      </c>
      <c r="I15" s="245">
        <f>F15*$I$12</f>
        <v>0</v>
      </c>
      <c r="J15" s="501">
        <f t="shared" si="0"/>
        <v>0</v>
      </c>
      <c r="K15" s="245">
        <v>0</v>
      </c>
      <c r="L15" s="502">
        <f t="shared" si="1"/>
        <v>0</v>
      </c>
      <c r="N15" s="503">
        <f t="shared" si="2"/>
        <v>0</v>
      </c>
      <c r="O15" s="502">
        <f t="shared" si="3"/>
        <v>0</v>
      </c>
      <c r="Q15" s="504">
        <f t="shared" si="4"/>
        <v>0</v>
      </c>
      <c r="R15" s="501">
        <f>$R$12*Q15</f>
        <v>0</v>
      </c>
      <c r="S15" s="502">
        <f t="shared" si="5"/>
        <v>0</v>
      </c>
      <c r="U15" s="501">
        <f>S15*'1.4-Premies en opslagen'!$D$73</f>
        <v>0</v>
      </c>
      <c r="V15" s="502">
        <f t="shared" si="6"/>
        <v>0</v>
      </c>
      <c r="X15" s="245"/>
      <c r="Y15" s="245"/>
      <c r="Z15" s="247"/>
      <c r="AA15" s="502">
        <f t="shared" si="7"/>
        <v>0</v>
      </c>
      <c r="AC15" s="562"/>
      <c r="AD15" s="562"/>
      <c r="AE15" s="562"/>
      <c r="AF15" s="562"/>
      <c r="AG15" s="562"/>
      <c r="AH15" s="562"/>
      <c r="AI15" s="245"/>
      <c r="AJ15" s="245">
        <v>0</v>
      </c>
      <c r="AK15" s="502">
        <f>SUM(AA15:AJ15)+SUM(AA15:AJ15)*'1.1-Jaarprijzen'!$C$58</f>
        <v>0</v>
      </c>
      <c r="AM15" s="245"/>
      <c r="AO15" s="248">
        <f t="shared" si="8"/>
        <v>0</v>
      </c>
      <c r="AQ15" s="248">
        <f t="shared" si="10"/>
        <v>0</v>
      </c>
      <c r="AS15" s="248">
        <f t="shared" si="11"/>
        <v>0</v>
      </c>
      <c r="AU15" s="248">
        <f t="shared" si="12"/>
        <v>0</v>
      </c>
      <c r="AW15" s="244"/>
      <c r="AX15" s="251"/>
    </row>
    <row r="16" spans="1:50" s="252" customFormat="1" ht="23" customHeight="1">
      <c r="A16" s="320" t="str">
        <f t="shared" si="9"/>
        <v>11.01 Werknemer algemeen schoonmaakonderhoud 20 jaar 0 t/m 7 jaar</v>
      </c>
      <c r="B16" s="320" t="str">
        <f t="shared" si="9"/>
        <v>11.01 Werknemer algemeen schoonmaakonderhoud 20 jaar 0 t/m 7 jaar</v>
      </c>
      <c r="C16" s="255" t="s">
        <v>266</v>
      </c>
      <c r="D16" s="252" t="s">
        <v>261</v>
      </c>
      <c r="E16" s="252">
        <v>1</v>
      </c>
      <c r="F16" s="245"/>
      <c r="G16" s="245"/>
      <c r="H16" s="245">
        <v>0</v>
      </c>
      <c r="I16" s="245">
        <v>0</v>
      </c>
      <c r="J16" s="501">
        <f t="shared" si="0"/>
        <v>0</v>
      </c>
      <c r="K16" s="245">
        <v>0</v>
      </c>
      <c r="L16" s="502">
        <f t="shared" si="1"/>
        <v>0</v>
      </c>
      <c r="N16" s="503">
        <f t="shared" si="2"/>
        <v>0</v>
      </c>
      <c r="O16" s="502">
        <f t="shared" si="3"/>
        <v>0</v>
      </c>
      <c r="Q16" s="504">
        <f t="shared" si="4"/>
        <v>0</v>
      </c>
      <c r="R16" s="501">
        <f>IF(Q16=0,0,Q16*'1.4-Premies en opslagen'!$D$30)</f>
        <v>0</v>
      </c>
      <c r="S16" s="502">
        <f t="shared" si="5"/>
        <v>0</v>
      </c>
      <c r="U16" s="501">
        <f>S16*'1.4-Premies en opslagen'!$D$73</f>
        <v>0</v>
      </c>
      <c r="V16" s="502">
        <f t="shared" si="6"/>
        <v>0</v>
      </c>
      <c r="X16" s="245"/>
      <c r="Y16" s="245"/>
      <c r="Z16" s="247"/>
      <c r="AA16" s="502">
        <f t="shared" si="7"/>
        <v>0</v>
      </c>
      <c r="AC16" s="245"/>
      <c r="AD16" s="245"/>
      <c r="AE16" s="245"/>
      <c r="AF16" s="245"/>
      <c r="AG16" s="245"/>
      <c r="AH16" s="245"/>
      <c r="AI16" s="245"/>
      <c r="AJ16" s="245"/>
      <c r="AK16" s="502">
        <f>SUM(AA16:AJ16)+SUM(AA16:AJ16)*'1.1-Jaarprijzen'!$C$58</f>
        <v>0</v>
      </c>
      <c r="AM16" s="245"/>
      <c r="AO16" s="248">
        <f t="shared" si="8"/>
        <v>0</v>
      </c>
      <c r="AQ16" s="248">
        <f t="shared" si="10"/>
        <v>0</v>
      </c>
      <c r="AS16" s="248">
        <f t="shared" si="11"/>
        <v>0</v>
      </c>
      <c r="AU16" s="248">
        <f t="shared" si="12"/>
        <v>0</v>
      </c>
      <c r="AW16" s="244"/>
      <c r="AX16" s="251"/>
    </row>
    <row r="17" spans="1:50" s="252" customFormat="1" ht="23" customHeight="1">
      <c r="A17" s="320" t="str">
        <f t="shared" si="9"/>
        <v>11.01 Werknemer algemeen schoonmaakonderhoud 21 jaar 0 t/m 7 jaar</v>
      </c>
      <c r="B17" s="320" t="str">
        <f t="shared" si="9"/>
        <v>11.01 Werknemer algemeen schoonmaakonderhoud 21 jaar 0 t/m 7 jaar</v>
      </c>
      <c r="C17" s="255" t="s">
        <v>267</v>
      </c>
      <c r="D17" s="252" t="s">
        <v>261</v>
      </c>
      <c r="E17" s="252">
        <v>1</v>
      </c>
      <c r="F17" s="245"/>
      <c r="G17" s="245"/>
      <c r="H17" s="245">
        <v>0</v>
      </c>
      <c r="I17" s="245">
        <v>0</v>
      </c>
      <c r="J17" s="501">
        <f t="shared" si="0"/>
        <v>0</v>
      </c>
      <c r="K17" s="245">
        <v>0</v>
      </c>
      <c r="L17" s="502">
        <f t="shared" si="1"/>
        <v>0</v>
      </c>
      <c r="N17" s="503">
        <f t="shared" si="2"/>
        <v>0</v>
      </c>
      <c r="O17" s="502">
        <f t="shared" si="3"/>
        <v>0</v>
      </c>
      <c r="Q17" s="504">
        <f t="shared" si="4"/>
        <v>0</v>
      </c>
      <c r="R17" s="501">
        <f>IF(Q17=0,0,Q17*'1.4-Premies en opslagen'!$D$30)</f>
        <v>0</v>
      </c>
      <c r="S17" s="502">
        <f t="shared" si="5"/>
        <v>0</v>
      </c>
      <c r="U17" s="501">
        <f>S17*'1.4-Premies en opslagen'!$D$73</f>
        <v>0</v>
      </c>
      <c r="V17" s="502">
        <f t="shared" si="6"/>
        <v>0</v>
      </c>
      <c r="X17" s="245"/>
      <c r="Y17" s="245"/>
      <c r="Z17" s="247"/>
      <c r="AA17" s="502">
        <f t="shared" si="7"/>
        <v>0</v>
      </c>
      <c r="AC17" s="245"/>
      <c r="AD17" s="245"/>
      <c r="AE17" s="245"/>
      <c r="AF17" s="245"/>
      <c r="AG17" s="245"/>
      <c r="AH17" s="245"/>
      <c r="AI17" s="245"/>
      <c r="AJ17" s="245"/>
      <c r="AK17" s="502">
        <f>SUM(AA17:AJ17)+SUM(AA17:AJ17)*'1.1-Jaarprijzen'!$C$58</f>
        <v>0</v>
      </c>
      <c r="AM17" s="245"/>
      <c r="AO17" s="248">
        <f t="shared" si="8"/>
        <v>0</v>
      </c>
      <c r="AQ17" s="248">
        <f t="shared" si="10"/>
        <v>0</v>
      </c>
      <c r="AS17" s="248">
        <f t="shared" si="11"/>
        <v>0</v>
      </c>
      <c r="AU17" s="248">
        <f t="shared" si="12"/>
        <v>0</v>
      </c>
      <c r="AW17" s="244"/>
      <c r="AX17" s="251"/>
    </row>
    <row r="18" spans="1:50" s="252" customFormat="1" ht="23" customHeight="1">
      <c r="A18" s="320" t="str">
        <f t="shared" si="9"/>
        <v>11.01 Werknemer algemeen schoonmaakonderhoud 0 t/m 7 jaar</v>
      </c>
      <c r="B18" s="320" t="str">
        <f t="shared" si="9"/>
        <v>11.01 Werknemer algemeen schoonmaakonderhoud 0 t/m 7 jaar</v>
      </c>
      <c r="C18" s="255" t="s">
        <v>250</v>
      </c>
      <c r="D18" s="252" t="s">
        <v>261</v>
      </c>
      <c r="E18" s="252">
        <v>1</v>
      </c>
      <c r="F18" s="245"/>
      <c r="G18" s="245"/>
      <c r="H18" s="245">
        <v>0</v>
      </c>
      <c r="I18" s="245">
        <f>F18*$I$12</f>
        <v>0</v>
      </c>
      <c r="J18" s="501">
        <f t="shared" si="0"/>
        <v>0</v>
      </c>
      <c r="K18" s="245">
        <v>0</v>
      </c>
      <c r="L18" s="502">
        <f t="shared" si="1"/>
        <v>0</v>
      </c>
      <c r="N18" s="503">
        <f t="shared" si="2"/>
        <v>0</v>
      </c>
      <c r="O18" s="502">
        <f t="shared" si="3"/>
        <v>0</v>
      </c>
      <c r="Q18" s="504">
        <f t="shared" si="4"/>
        <v>0</v>
      </c>
      <c r="R18" s="501">
        <f>$R$12*Q18</f>
        <v>0</v>
      </c>
      <c r="S18" s="502">
        <f t="shared" si="5"/>
        <v>0</v>
      </c>
      <c r="U18" s="501">
        <f>S18*'1.4-Premies en opslagen'!$D$73</f>
        <v>0</v>
      </c>
      <c r="V18" s="502">
        <f t="shared" si="6"/>
        <v>0</v>
      </c>
      <c r="X18" s="245"/>
      <c r="Y18" s="245"/>
      <c r="Z18" s="247"/>
      <c r="AA18" s="502">
        <f t="shared" si="7"/>
        <v>0</v>
      </c>
      <c r="AC18" s="562"/>
      <c r="AD18" s="562"/>
      <c r="AE18" s="562"/>
      <c r="AF18" s="562"/>
      <c r="AG18" s="562"/>
      <c r="AH18" s="562"/>
      <c r="AI18" s="245"/>
      <c r="AJ18" s="245">
        <v>0</v>
      </c>
      <c r="AK18" s="502">
        <f>SUM(AA18:AJ18)+SUM(AA18:AJ18)*'1.1-Jaarprijzen'!$C$58</f>
        <v>0</v>
      </c>
      <c r="AM18" s="245"/>
      <c r="AO18" s="248">
        <f t="shared" si="8"/>
        <v>0</v>
      </c>
      <c r="AQ18" s="248">
        <f t="shared" si="10"/>
        <v>0</v>
      </c>
      <c r="AS18" s="248">
        <f t="shared" si="11"/>
        <v>0</v>
      </c>
      <c r="AU18" s="248">
        <f t="shared" si="12"/>
        <v>0</v>
      </c>
      <c r="AW18" s="244"/>
      <c r="AX18" s="251"/>
    </row>
    <row r="19" spans="1:50" s="252" customFormat="1" ht="23" customHeight="1">
      <c r="A19" s="320" t="str">
        <f t="shared" si="9"/>
        <v>11.01 Werknemer algemeen schoonmaakonderhoud 8 jaar en meer</v>
      </c>
      <c r="B19" s="320" t="str">
        <f t="shared" si="9"/>
        <v>11.01 Werknemer algemeen schoonmaakonderhoud 8 jaar en meer</v>
      </c>
      <c r="C19" s="255" t="s">
        <v>250</v>
      </c>
      <c r="D19" s="252" t="s">
        <v>262</v>
      </c>
      <c r="E19" s="252">
        <v>1</v>
      </c>
      <c r="F19" s="245"/>
      <c r="G19" s="245"/>
      <c r="H19" s="245">
        <v>0</v>
      </c>
      <c r="I19" s="245">
        <v>0</v>
      </c>
      <c r="J19" s="501">
        <f t="shared" si="0"/>
        <v>0</v>
      </c>
      <c r="K19" s="245">
        <v>0</v>
      </c>
      <c r="L19" s="502">
        <f t="shared" si="1"/>
        <v>0</v>
      </c>
      <c r="N19" s="503">
        <f t="shared" si="2"/>
        <v>0</v>
      </c>
      <c r="O19" s="502">
        <f t="shared" si="3"/>
        <v>0</v>
      </c>
      <c r="Q19" s="504">
        <f t="shared" si="4"/>
        <v>0</v>
      </c>
      <c r="R19" s="501">
        <f>$R$12*Q19</f>
        <v>0</v>
      </c>
      <c r="S19" s="502">
        <f t="shared" si="5"/>
        <v>0</v>
      </c>
      <c r="U19" s="501">
        <f>S19*'1.4-Premies en opslagen'!$D$73</f>
        <v>0</v>
      </c>
      <c r="V19" s="502">
        <f t="shared" si="6"/>
        <v>0</v>
      </c>
      <c r="X19" s="245"/>
      <c r="Y19" s="245"/>
      <c r="Z19" s="247"/>
      <c r="AA19" s="502">
        <f t="shared" si="7"/>
        <v>0</v>
      </c>
      <c r="AC19" s="562"/>
      <c r="AD19" s="562"/>
      <c r="AE19" s="562"/>
      <c r="AF19" s="562"/>
      <c r="AG19" s="562"/>
      <c r="AH19" s="562"/>
      <c r="AI19" s="245"/>
      <c r="AJ19" s="245"/>
      <c r="AK19" s="502">
        <f>SUM(AA19:AJ19)+SUM(AA19:AJ19)*'1.1-Jaarprijzen'!$C$58</f>
        <v>0</v>
      </c>
      <c r="AM19" s="245"/>
      <c r="AO19" s="248">
        <f t="shared" si="8"/>
        <v>0</v>
      </c>
      <c r="AQ19" s="248">
        <f t="shared" si="10"/>
        <v>0</v>
      </c>
      <c r="AS19" s="248">
        <f t="shared" si="11"/>
        <v>0</v>
      </c>
      <c r="AU19" s="248">
        <f t="shared" si="12"/>
        <v>0</v>
      </c>
      <c r="AW19" s="244"/>
      <c r="AX19" s="251"/>
    </row>
    <row r="20" spans="1:50" s="252" customFormat="1" ht="23" customHeight="1">
      <c r="A20" s="320" t="str">
        <f t="shared" si="9"/>
        <v>11.03 Werknemer algemeen schoonmaakonderhoud (sleutelpand)  0 t/m 7 jaar</v>
      </c>
      <c r="B20" s="320" t="str">
        <f t="shared" si="9"/>
        <v>11.03 Werknemer algemeen schoonmaakonderhoud (sleutelpand)  0 t/m 7 jaar</v>
      </c>
      <c r="C20" s="255" t="s">
        <v>251</v>
      </c>
      <c r="D20" s="252" t="s">
        <v>261</v>
      </c>
      <c r="E20" s="252">
        <v>1</v>
      </c>
      <c r="F20" s="245"/>
      <c r="G20" s="245"/>
      <c r="H20" s="245">
        <v>0</v>
      </c>
      <c r="I20" s="245">
        <v>0</v>
      </c>
      <c r="J20" s="501">
        <f t="shared" si="0"/>
        <v>0</v>
      </c>
      <c r="K20" s="245">
        <v>0</v>
      </c>
      <c r="L20" s="502">
        <f t="shared" si="1"/>
        <v>0</v>
      </c>
      <c r="N20" s="503">
        <f t="shared" si="2"/>
        <v>0</v>
      </c>
      <c r="O20" s="502">
        <f t="shared" si="3"/>
        <v>0</v>
      </c>
      <c r="Q20" s="504">
        <f t="shared" si="4"/>
        <v>0</v>
      </c>
      <c r="R20" s="501">
        <f>IF(Q20=0,0,Q20*'1.4-Premies en opslagen'!$D$30)</f>
        <v>0</v>
      </c>
      <c r="S20" s="502">
        <f t="shared" si="5"/>
        <v>0</v>
      </c>
      <c r="U20" s="501">
        <f>S20*'1.4-Premies en opslagen'!$D$73</f>
        <v>0</v>
      </c>
      <c r="V20" s="502">
        <f t="shared" si="6"/>
        <v>0</v>
      </c>
      <c r="X20" s="245"/>
      <c r="Y20" s="245"/>
      <c r="Z20" s="247"/>
      <c r="AA20" s="502">
        <f t="shared" si="7"/>
        <v>0</v>
      </c>
      <c r="AC20" s="245"/>
      <c r="AD20" s="245"/>
      <c r="AE20" s="245"/>
      <c r="AF20" s="245"/>
      <c r="AG20" s="245"/>
      <c r="AH20" s="245"/>
      <c r="AI20" s="245"/>
      <c r="AJ20" s="245"/>
      <c r="AK20" s="502">
        <f>SUM(AA20:AJ20)+SUM(AA20:AJ20)*'1.1-Jaarprijzen'!$C$58</f>
        <v>0</v>
      </c>
      <c r="AM20" s="245"/>
      <c r="AO20" s="248">
        <f t="shared" si="8"/>
        <v>0</v>
      </c>
      <c r="AQ20" s="248">
        <f t="shared" si="10"/>
        <v>0</v>
      </c>
      <c r="AS20" s="248">
        <f t="shared" si="11"/>
        <v>0</v>
      </c>
      <c r="AU20" s="248">
        <f t="shared" si="12"/>
        <v>0</v>
      </c>
      <c r="AW20" s="244"/>
      <c r="AX20" s="251"/>
    </row>
    <row r="21" spans="1:50" s="252" customFormat="1" ht="23" customHeight="1">
      <c r="A21" s="320" t="str">
        <f t="shared" si="9"/>
        <v>11.03 Werknemer algemeen schoonmaakonderhoud (sleutelpand)  8 jaar en meer</v>
      </c>
      <c r="B21" s="320" t="str">
        <f t="shared" si="9"/>
        <v>11.03 Werknemer algemeen schoonmaakonderhoud (sleutelpand)  8 jaar en meer</v>
      </c>
      <c r="C21" s="255" t="s">
        <v>251</v>
      </c>
      <c r="D21" s="252" t="s">
        <v>262</v>
      </c>
      <c r="E21" s="252">
        <v>1</v>
      </c>
      <c r="F21" s="245"/>
      <c r="G21" s="245"/>
      <c r="H21" s="245">
        <v>0</v>
      </c>
      <c r="I21" s="245">
        <v>0</v>
      </c>
      <c r="J21" s="501">
        <f t="shared" si="0"/>
        <v>0</v>
      </c>
      <c r="K21" s="245">
        <v>0</v>
      </c>
      <c r="L21" s="502">
        <f t="shared" si="1"/>
        <v>0</v>
      </c>
      <c r="N21" s="503">
        <f>L21*$N$12</f>
        <v>0</v>
      </c>
      <c r="O21" s="502">
        <f t="shared" si="3"/>
        <v>0</v>
      </c>
      <c r="Q21" s="504">
        <f t="shared" si="4"/>
        <v>0</v>
      </c>
      <c r="R21" s="501">
        <f>IF(Q21=0,0,Q21*'1.4-Premies en opslagen'!$D$30)</f>
        <v>0</v>
      </c>
      <c r="S21" s="502">
        <f t="shared" si="5"/>
        <v>0</v>
      </c>
      <c r="U21" s="501">
        <f>S21*'1.4-Premies en opslagen'!$D$73</f>
        <v>0</v>
      </c>
      <c r="V21" s="502">
        <f t="shared" si="6"/>
        <v>0</v>
      </c>
      <c r="X21" s="245"/>
      <c r="Y21" s="245"/>
      <c r="Z21" s="247"/>
      <c r="AA21" s="502">
        <f t="shared" si="7"/>
        <v>0</v>
      </c>
      <c r="AC21" s="245"/>
      <c r="AD21" s="245"/>
      <c r="AE21" s="245"/>
      <c r="AF21" s="245"/>
      <c r="AG21" s="245"/>
      <c r="AH21" s="245"/>
      <c r="AI21" s="245"/>
      <c r="AJ21" s="245"/>
      <c r="AK21" s="502">
        <f>SUM(AA21:AJ21)+SUM(AA21:AJ21)*'1.1-Jaarprijzen'!$C$58</f>
        <v>0</v>
      </c>
      <c r="AM21" s="245"/>
      <c r="AO21" s="248">
        <f t="shared" si="8"/>
        <v>0</v>
      </c>
      <c r="AQ21" s="248">
        <f t="shared" si="10"/>
        <v>0</v>
      </c>
      <c r="AS21" s="248">
        <f t="shared" si="11"/>
        <v>0</v>
      </c>
      <c r="AU21" s="248">
        <f t="shared" si="12"/>
        <v>0</v>
      </c>
      <c r="AW21" s="244"/>
      <c r="AX21" s="251"/>
    </row>
    <row r="22" spans="1:50" s="252" customFormat="1" ht="23" customHeight="1">
      <c r="A22" s="320" t="str">
        <f t="shared" si="9"/>
        <v>11.02 All-round werknemer algemeen schoonmaakonderhoud 0 t/m 7 jaar</v>
      </c>
      <c r="B22" s="320" t="str">
        <f t="shared" si="9"/>
        <v>11.02 All-round werknemer algemeen schoonmaakonderhoud 0 t/m 7 jaar</v>
      </c>
      <c r="C22" s="255" t="s">
        <v>252</v>
      </c>
      <c r="D22" s="252" t="s">
        <v>261</v>
      </c>
      <c r="E22" s="252" t="s">
        <v>256</v>
      </c>
      <c r="F22" s="245"/>
      <c r="G22" s="245"/>
      <c r="H22" s="245">
        <v>0</v>
      </c>
      <c r="I22" s="245">
        <v>0</v>
      </c>
      <c r="J22" s="501">
        <f t="shared" si="0"/>
        <v>0</v>
      </c>
      <c r="K22" s="245">
        <v>0</v>
      </c>
      <c r="L22" s="502">
        <f t="shared" si="1"/>
        <v>0</v>
      </c>
      <c r="N22" s="503">
        <f>L22*$N$12</f>
        <v>0</v>
      </c>
      <c r="O22" s="502">
        <f t="shared" si="3"/>
        <v>0</v>
      </c>
      <c r="Q22" s="504">
        <f t="shared" si="4"/>
        <v>0</v>
      </c>
      <c r="R22" s="501">
        <f>IF(Q22=0,0,Q22*'1.4-Premies en opslagen'!$D$30)</f>
        <v>0</v>
      </c>
      <c r="S22" s="502">
        <f t="shared" si="5"/>
        <v>0</v>
      </c>
      <c r="U22" s="501">
        <f>S22*'1.4-Premies en opslagen'!$D$73</f>
        <v>0</v>
      </c>
      <c r="V22" s="502">
        <f t="shared" si="6"/>
        <v>0</v>
      </c>
      <c r="X22" s="245"/>
      <c r="Y22" s="245"/>
      <c r="Z22" s="247"/>
      <c r="AA22" s="502">
        <f t="shared" si="7"/>
        <v>0</v>
      </c>
      <c r="AC22" s="245"/>
      <c r="AD22" s="245"/>
      <c r="AE22" s="245"/>
      <c r="AF22" s="245"/>
      <c r="AG22" s="245"/>
      <c r="AH22" s="245"/>
      <c r="AI22" s="245"/>
      <c r="AJ22" s="245"/>
      <c r="AK22" s="502">
        <f>SUM(AA22:AJ22)+SUM(AA22:AJ22)*'1.1-Jaarprijzen'!$C$58</f>
        <v>0</v>
      </c>
      <c r="AM22" s="245"/>
      <c r="AO22" s="248">
        <f t="shared" si="8"/>
        <v>0</v>
      </c>
      <c r="AQ22" s="248">
        <f t="shared" si="10"/>
        <v>0</v>
      </c>
      <c r="AS22" s="248">
        <f t="shared" si="11"/>
        <v>0</v>
      </c>
      <c r="AU22" s="248">
        <f t="shared" si="12"/>
        <v>0</v>
      </c>
      <c r="AW22" s="244"/>
      <c r="AX22" s="251"/>
    </row>
    <row r="23" spans="1:50" s="252" customFormat="1" ht="23" customHeight="1">
      <c r="A23" s="320" t="str">
        <f t="shared" si="9"/>
        <v>11.02 All-round werknemer algemeen schoonmaakonderhoud 8 jaar en meer</v>
      </c>
      <c r="B23" s="320" t="str">
        <f t="shared" si="9"/>
        <v>11.02 All-round werknemer algemeen schoonmaakonderhoud 8 jaar en meer</v>
      </c>
      <c r="C23" s="255" t="s">
        <v>252</v>
      </c>
      <c r="D23" s="252" t="s">
        <v>262</v>
      </c>
      <c r="E23" s="252" t="s">
        <v>256</v>
      </c>
      <c r="F23" s="245"/>
      <c r="G23" s="245"/>
      <c r="H23" s="245">
        <v>0</v>
      </c>
      <c r="I23" s="245">
        <v>0</v>
      </c>
      <c r="J23" s="501">
        <f t="shared" si="0"/>
        <v>0</v>
      </c>
      <c r="K23" s="245">
        <v>0</v>
      </c>
      <c r="L23" s="532">
        <f t="shared" si="1"/>
        <v>0</v>
      </c>
      <c r="N23" s="503">
        <f t="shared" ref="N23" si="13">L23*$N$12</f>
        <v>0</v>
      </c>
      <c r="O23" s="532">
        <f t="shared" si="3"/>
        <v>0</v>
      </c>
      <c r="Q23" s="504">
        <f t="shared" si="4"/>
        <v>0</v>
      </c>
      <c r="R23" s="501">
        <f t="shared" ref="R23:R31" si="14">$R$12*Q23</f>
        <v>0</v>
      </c>
      <c r="S23" s="532">
        <f t="shared" si="5"/>
        <v>0</v>
      </c>
      <c r="U23" s="501">
        <f>S23*'1.4-Premies en opslagen'!$D$73</f>
        <v>0</v>
      </c>
      <c r="V23" s="532">
        <f t="shared" si="6"/>
        <v>0</v>
      </c>
      <c r="X23" s="245"/>
      <c r="Y23" s="245"/>
      <c r="Z23" s="247"/>
      <c r="AA23" s="532">
        <f t="shared" si="7"/>
        <v>0</v>
      </c>
      <c r="AC23" s="562"/>
      <c r="AD23" s="562"/>
      <c r="AE23" s="562"/>
      <c r="AF23" s="562"/>
      <c r="AG23" s="562"/>
      <c r="AH23" s="562"/>
      <c r="AI23" s="245"/>
      <c r="AJ23" s="245"/>
      <c r="AK23" s="532">
        <f>SUM(AA23:AJ23)+SUM(AA23:AJ23)*'1.1-Jaarprijzen'!$C$58</f>
        <v>0</v>
      </c>
      <c r="AM23" s="245"/>
      <c r="AO23" s="248">
        <f t="shared" si="8"/>
        <v>0</v>
      </c>
      <c r="AQ23" s="248">
        <f t="shared" si="10"/>
        <v>0</v>
      </c>
      <c r="AS23" s="248">
        <f t="shared" si="11"/>
        <v>0</v>
      </c>
      <c r="AU23" s="248">
        <f t="shared" si="12"/>
        <v>0</v>
      </c>
      <c r="AW23" s="244"/>
      <c r="AX23" s="251"/>
    </row>
    <row r="24" spans="1:50" s="252" customFormat="1" ht="23" customHeight="1">
      <c r="A24" s="320" t="str">
        <f t="shared" si="9"/>
        <v>11.04 All-round werknemer algemeen schoonmaakonderhoud (sleutelpand)  0 t/m 7 jaar</v>
      </c>
      <c r="B24" s="320" t="str">
        <f t="shared" si="9"/>
        <v>11.04 All-round werknemer algemeen schoonmaakonderhoud (sleutelpand)  0 t/m 7 jaar</v>
      </c>
      <c r="C24" s="255" t="s">
        <v>253</v>
      </c>
      <c r="D24" s="252" t="s">
        <v>261</v>
      </c>
      <c r="E24" s="252" t="s">
        <v>256</v>
      </c>
      <c r="F24" s="245"/>
      <c r="G24" s="245"/>
      <c r="H24" s="245">
        <v>0</v>
      </c>
      <c r="I24" s="245">
        <v>0</v>
      </c>
      <c r="J24" s="501">
        <f t="shared" si="0"/>
        <v>0</v>
      </c>
      <c r="K24" s="245">
        <v>0</v>
      </c>
      <c r="L24" s="502">
        <f t="shared" si="1"/>
        <v>0</v>
      </c>
      <c r="N24" s="503">
        <f>L24*$N$12</f>
        <v>0</v>
      </c>
      <c r="O24" s="502">
        <f t="shared" si="3"/>
        <v>0</v>
      </c>
      <c r="Q24" s="504">
        <f t="shared" si="4"/>
        <v>0</v>
      </c>
      <c r="R24" s="501">
        <f t="shared" si="14"/>
        <v>0</v>
      </c>
      <c r="S24" s="502">
        <f t="shared" si="5"/>
        <v>0</v>
      </c>
      <c r="U24" s="501">
        <f>S24*'1.4-Premies en opslagen'!$D$73</f>
        <v>0</v>
      </c>
      <c r="V24" s="502">
        <f t="shared" si="6"/>
        <v>0</v>
      </c>
      <c r="X24" s="245"/>
      <c r="Y24" s="245"/>
      <c r="Z24" s="247"/>
      <c r="AA24" s="502">
        <f t="shared" si="7"/>
        <v>0</v>
      </c>
      <c r="AC24" s="245"/>
      <c r="AD24" s="245"/>
      <c r="AE24" s="245"/>
      <c r="AF24" s="245"/>
      <c r="AG24" s="245"/>
      <c r="AH24" s="245"/>
      <c r="AI24" s="245"/>
      <c r="AJ24" s="245"/>
      <c r="AK24" s="502">
        <f>SUM(AA24:AJ24)+SUM(AA24:AJ24)*'1.1-Jaarprijzen'!$C$58</f>
        <v>0</v>
      </c>
      <c r="AM24" s="245"/>
      <c r="AO24" s="248">
        <f t="shared" si="8"/>
        <v>0</v>
      </c>
      <c r="AQ24" s="248">
        <f t="shared" si="10"/>
        <v>0</v>
      </c>
      <c r="AS24" s="248">
        <f t="shared" si="11"/>
        <v>0</v>
      </c>
      <c r="AU24" s="248">
        <f t="shared" si="12"/>
        <v>0</v>
      </c>
      <c r="AW24" s="244"/>
      <c r="AX24" s="251"/>
    </row>
    <row r="25" spans="1:50" s="252" customFormat="1" ht="23" customHeight="1">
      <c r="A25" s="320" t="str">
        <f t="shared" si="9"/>
        <v>11.04 All-round werknemer algemeen schoonmaakonderhoud (sleutelpand)  8 jaar en meer</v>
      </c>
      <c r="B25" s="320" t="str">
        <f t="shared" si="9"/>
        <v>11.04 All-round werknemer algemeen schoonmaakonderhoud (sleutelpand)  8 jaar en meer</v>
      </c>
      <c r="C25" s="255" t="s">
        <v>253</v>
      </c>
      <c r="D25" s="252" t="s">
        <v>262</v>
      </c>
      <c r="E25" s="252" t="s">
        <v>256</v>
      </c>
      <c r="F25" s="245"/>
      <c r="G25" s="245"/>
      <c r="H25" s="245">
        <v>0</v>
      </c>
      <c r="I25" s="245">
        <v>0</v>
      </c>
      <c r="J25" s="501">
        <f t="shared" si="0"/>
        <v>0</v>
      </c>
      <c r="K25" s="245">
        <v>0</v>
      </c>
      <c r="L25" s="502">
        <f t="shared" si="1"/>
        <v>0</v>
      </c>
      <c r="N25" s="503">
        <f t="shared" si="2"/>
        <v>0</v>
      </c>
      <c r="O25" s="502">
        <f t="shared" si="3"/>
        <v>0</v>
      </c>
      <c r="Q25" s="504">
        <f t="shared" si="4"/>
        <v>0</v>
      </c>
      <c r="R25" s="501">
        <f t="shared" si="14"/>
        <v>0</v>
      </c>
      <c r="S25" s="502">
        <f t="shared" si="5"/>
        <v>0</v>
      </c>
      <c r="U25" s="501">
        <f>S25*'1.4-Premies en opslagen'!$D$73</f>
        <v>0</v>
      </c>
      <c r="V25" s="502">
        <f t="shared" si="6"/>
        <v>0</v>
      </c>
      <c r="X25" s="245"/>
      <c r="Y25" s="245"/>
      <c r="Z25" s="247"/>
      <c r="AA25" s="502">
        <f t="shared" si="7"/>
        <v>0</v>
      </c>
      <c r="AC25" s="562"/>
      <c r="AD25" s="562"/>
      <c r="AE25" s="562"/>
      <c r="AF25" s="562"/>
      <c r="AG25" s="562"/>
      <c r="AH25" s="562"/>
      <c r="AI25" s="245"/>
      <c r="AJ25" s="245"/>
      <c r="AK25" s="532">
        <f>SUM(AA25:AJ25)+SUM(AA25:AJ25)*'1.1-Jaarprijzen'!$C$58</f>
        <v>0</v>
      </c>
      <c r="AM25" s="245"/>
      <c r="AO25" s="248">
        <f t="shared" si="8"/>
        <v>0</v>
      </c>
      <c r="AQ25" s="248">
        <f t="shared" si="10"/>
        <v>0</v>
      </c>
      <c r="AS25" s="248">
        <f t="shared" si="11"/>
        <v>0</v>
      </c>
      <c r="AU25" s="248">
        <f t="shared" si="12"/>
        <v>0</v>
      </c>
      <c r="AW25" s="244"/>
      <c r="AX25" s="251"/>
    </row>
    <row r="26" spans="1:50" s="252" customFormat="1" ht="23" customHeight="1">
      <c r="A26" s="320" t="str">
        <f t="shared" si="9"/>
        <v>11.01 Werknemer meewerkend toezicht algemeen schoonmaakonderhoud 0 t/m 7 jaar</v>
      </c>
      <c r="B26" s="320" t="str">
        <f t="shared" si="9"/>
        <v>11.01 Werknemer meewerkend toezicht algemeen schoonmaakonderhoud 0 t/m 7 jaar</v>
      </c>
      <c r="C26" s="255" t="s">
        <v>259</v>
      </c>
      <c r="D26" s="252" t="s">
        <v>261</v>
      </c>
      <c r="E26" s="252" t="s">
        <v>256</v>
      </c>
      <c r="F26" s="245"/>
      <c r="G26" s="245"/>
      <c r="H26" s="245">
        <v>0</v>
      </c>
      <c r="I26" s="245">
        <v>0</v>
      </c>
      <c r="J26" s="501">
        <f t="shared" si="0"/>
        <v>0</v>
      </c>
      <c r="K26" s="245">
        <v>0</v>
      </c>
      <c r="L26" s="502">
        <f t="shared" si="1"/>
        <v>0</v>
      </c>
      <c r="N26" s="503">
        <f>L26*$N$12</f>
        <v>0</v>
      </c>
      <c r="O26" s="502">
        <f t="shared" si="3"/>
        <v>0</v>
      </c>
      <c r="Q26" s="504">
        <f t="shared" si="4"/>
        <v>0</v>
      </c>
      <c r="R26" s="501">
        <f t="shared" si="14"/>
        <v>0</v>
      </c>
      <c r="S26" s="502">
        <f t="shared" si="5"/>
        <v>0</v>
      </c>
      <c r="U26" s="501">
        <f>S26*'1.4-Premies en opslagen'!$D$73</f>
        <v>0</v>
      </c>
      <c r="V26" s="502">
        <f t="shared" si="6"/>
        <v>0</v>
      </c>
      <c r="X26" s="245"/>
      <c r="Y26" s="245"/>
      <c r="Z26" s="247"/>
      <c r="AA26" s="502">
        <f t="shared" si="7"/>
        <v>0</v>
      </c>
      <c r="AC26" s="562"/>
      <c r="AD26" s="562"/>
      <c r="AE26" s="562"/>
      <c r="AF26" s="562"/>
      <c r="AG26" s="562"/>
      <c r="AH26" s="562"/>
      <c r="AI26" s="245"/>
      <c r="AJ26" s="245">
        <v>0</v>
      </c>
      <c r="AK26" s="532">
        <f>SUM(AA26:AJ26)+SUM(AA26:AJ26)*'1.1-Jaarprijzen'!$C$58</f>
        <v>0</v>
      </c>
      <c r="AM26" s="245"/>
      <c r="AO26" s="248">
        <f t="shared" si="8"/>
        <v>0</v>
      </c>
      <c r="AQ26" s="248">
        <f t="shared" si="10"/>
        <v>0</v>
      </c>
      <c r="AS26" s="248">
        <f t="shared" si="11"/>
        <v>0</v>
      </c>
      <c r="AU26" s="248">
        <f t="shared" si="12"/>
        <v>0</v>
      </c>
      <c r="AW26" s="244"/>
      <c r="AX26" s="251"/>
    </row>
    <row r="27" spans="1:50" s="252" customFormat="1" ht="23" customHeight="1">
      <c r="A27" s="320" t="str">
        <f t="shared" si="9"/>
        <v>11.02 Werknemer meewerkend toezicht algemeen schoonmaakonderhoud 8 jaar en meer</v>
      </c>
      <c r="B27" s="320" t="str">
        <f t="shared" si="9"/>
        <v>11.02 Werknemer meewerkend toezicht algemeen schoonmaakonderhoud 8 jaar en meer</v>
      </c>
      <c r="C27" s="255" t="s">
        <v>325</v>
      </c>
      <c r="D27" s="252" t="s">
        <v>262</v>
      </c>
      <c r="E27" s="252" t="s">
        <v>256</v>
      </c>
      <c r="F27" s="245"/>
      <c r="G27" s="245"/>
      <c r="H27" s="245">
        <v>0</v>
      </c>
      <c r="I27" s="245">
        <v>0</v>
      </c>
      <c r="J27" s="501">
        <f t="shared" ref="J27" si="15">F27*$J$12</f>
        <v>0</v>
      </c>
      <c r="K27" s="245">
        <v>0</v>
      </c>
      <c r="L27" s="532">
        <f t="shared" ref="L27" si="16">SUM(F27:K27)</f>
        <v>0</v>
      </c>
      <c r="N27" s="503">
        <f t="shared" ref="N27" si="17">L27*$N$12</f>
        <v>0</v>
      </c>
      <c r="O27" s="532">
        <f t="shared" ref="O27" si="18">SUM(L27:N27)</f>
        <v>0</v>
      </c>
      <c r="Q27" s="504">
        <f t="shared" ref="Q27" si="19">O27*0.95</f>
        <v>0</v>
      </c>
      <c r="R27" s="501">
        <f t="shared" si="14"/>
        <v>0</v>
      </c>
      <c r="S27" s="532">
        <f t="shared" ref="S27" si="20">R27+O27</f>
        <v>0</v>
      </c>
      <c r="U27" s="501">
        <f>S27*'1.4-Premies en opslagen'!$D$73</f>
        <v>0</v>
      </c>
      <c r="V27" s="532">
        <f t="shared" ref="V27" si="21">SUM(S27:U27)</f>
        <v>0</v>
      </c>
      <c r="X27" s="245"/>
      <c r="Y27" s="245"/>
      <c r="Z27" s="247"/>
      <c r="AA27" s="532">
        <f t="shared" ref="AA27" si="22">SUM(V27:Z27)</f>
        <v>0</v>
      </c>
      <c r="AC27" s="245"/>
      <c r="AD27" s="245"/>
      <c r="AE27" s="245"/>
      <c r="AF27" s="245"/>
      <c r="AG27" s="245"/>
      <c r="AH27" s="245"/>
      <c r="AI27" s="245"/>
      <c r="AJ27" s="245"/>
      <c r="AK27" s="532">
        <f>SUM(AA27:AJ27)+SUM(AA27:AJ27)*'1.1-Jaarprijzen'!$C$58</f>
        <v>0</v>
      </c>
      <c r="AM27" s="245"/>
      <c r="AO27" s="248">
        <f t="shared" ref="AO27" si="23">SUM(AK27:AN27)</f>
        <v>0</v>
      </c>
      <c r="AQ27" s="248">
        <f t="shared" si="10"/>
        <v>0</v>
      </c>
      <c r="AS27" s="248">
        <f t="shared" si="11"/>
        <v>0</v>
      </c>
      <c r="AU27" s="248">
        <f t="shared" si="12"/>
        <v>0</v>
      </c>
      <c r="AW27" s="244"/>
      <c r="AX27" s="251"/>
    </row>
    <row r="28" spans="1:50" s="252" customFormat="1" ht="23" customHeight="1">
      <c r="A28" s="320" t="str">
        <f t="shared" si="9"/>
        <v>11.01 Werknemer niet meewerkend toezicht algemeen schoonmaakonderhoud 0 t/m 7 jaar</v>
      </c>
      <c r="B28" s="320" t="str">
        <f t="shared" si="9"/>
        <v>11.01 Werknemer niet meewerkend toezicht algemeen schoonmaakonderhoud 0 t/m 7 jaar</v>
      </c>
      <c r="C28" s="255" t="s">
        <v>278</v>
      </c>
      <c r="D28" s="252" t="s">
        <v>261</v>
      </c>
      <c r="E28" s="252" t="s">
        <v>256</v>
      </c>
      <c r="F28" s="245"/>
      <c r="G28" s="245"/>
      <c r="H28" s="245">
        <v>0</v>
      </c>
      <c r="I28" s="245">
        <v>0</v>
      </c>
      <c r="J28" s="501">
        <f t="shared" si="0"/>
        <v>0</v>
      </c>
      <c r="K28" s="245">
        <v>0</v>
      </c>
      <c r="L28" s="502">
        <f t="shared" si="1"/>
        <v>0</v>
      </c>
      <c r="N28" s="503">
        <f t="shared" si="2"/>
        <v>0</v>
      </c>
      <c r="O28" s="502">
        <f t="shared" si="3"/>
        <v>0</v>
      </c>
      <c r="Q28" s="504">
        <f t="shared" si="4"/>
        <v>0</v>
      </c>
      <c r="R28" s="501">
        <f t="shared" si="14"/>
        <v>0</v>
      </c>
      <c r="S28" s="502">
        <f t="shared" si="5"/>
        <v>0</v>
      </c>
      <c r="U28" s="501">
        <f>S28*'1.4-Premies en opslagen'!$D$73</f>
        <v>0</v>
      </c>
      <c r="V28" s="502">
        <f t="shared" si="6"/>
        <v>0</v>
      </c>
      <c r="X28" s="245"/>
      <c r="Y28" s="245"/>
      <c r="Z28" s="247"/>
      <c r="AA28" s="502">
        <f t="shared" si="7"/>
        <v>0</v>
      </c>
      <c r="AC28" s="562"/>
      <c r="AD28" s="562"/>
      <c r="AE28" s="562"/>
      <c r="AF28" s="562"/>
      <c r="AG28" s="562"/>
      <c r="AH28" s="562"/>
      <c r="AI28" s="245"/>
      <c r="AJ28" s="245"/>
      <c r="AK28" s="502">
        <f>SUM(AA28:AJ28)+SUM(AA28:AJ28)*'1.1-Jaarprijzen'!$C$58</f>
        <v>0</v>
      </c>
      <c r="AM28" s="245"/>
      <c r="AO28" s="248">
        <f t="shared" si="8"/>
        <v>0</v>
      </c>
      <c r="AQ28" s="248">
        <f t="shared" si="10"/>
        <v>0</v>
      </c>
      <c r="AS28" s="248">
        <f t="shared" si="11"/>
        <v>0</v>
      </c>
      <c r="AU28" s="248">
        <f t="shared" si="12"/>
        <v>0</v>
      </c>
      <c r="AW28" s="244"/>
      <c r="AX28" s="251"/>
    </row>
    <row r="29" spans="1:50" s="252" customFormat="1" ht="23" customHeight="1">
      <c r="A29" s="320" t="str">
        <f t="shared" si="9"/>
        <v>11.02 Werknemer niet meewerkend toezicht algemeen schoonmaakonderhoud 8 jaar en meer</v>
      </c>
      <c r="B29" s="320" t="str">
        <f t="shared" si="9"/>
        <v>11.02 Werknemer niet meewerkend toezicht algemeen schoonmaakonderhoud 8 jaar en meer</v>
      </c>
      <c r="C29" s="255" t="s">
        <v>326</v>
      </c>
      <c r="D29" s="252" t="s">
        <v>262</v>
      </c>
      <c r="E29" s="252" t="s">
        <v>256</v>
      </c>
      <c r="F29" s="245"/>
      <c r="G29" s="245"/>
      <c r="H29" s="245">
        <v>0</v>
      </c>
      <c r="I29" s="245">
        <f>F29*$I$12</f>
        <v>0</v>
      </c>
      <c r="J29" s="501">
        <f t="shared" si="0"/>
        <v>0</v>
      </c>
      <c r="K29" s="245">
        <v>0</v>
      </c>
      <c r="L29" s="502">
        <f>SUM(F29:K29)</f>
        <v>0</v>
      </c>
      <c r="N29" s="503">
        <f t="shared" si="2"/>
        <v>0</v>
      </c>
      <c r="O29" s="502">
        <f t="shared" si="3"/>
        <v>0</v>
      </c>
      <c r="Q29" s="504">
        <f t="shared" si="4"/>
        <v>0</v>
      </c>
      <c r="R29" s="501">
        <f t="shared" si="14"/>
        <v>0</v>
      </c>
      <c r="S29" s="502">
        <f t="shared" si="5"/>
        <v>0</v>
      </c>
      <c r="U29" s="501">
        <f>S29*'1.4-Premies en opslagen'!$D$73</f>
        <v>0</v>
      </c>
      <c r="V29" s="502">
        <f t="shared" si="6"/>
        <v>0</v>
      </c>
      <c r="X29" s="245"/>
      <c r="Y29" s="245"/>
      <c r="Z29" s="247"/>
      <c r="AA29" s="502">
        <f t="shared" si="7"/>
        <v>0</v>
      </c>
      <c r="AC29" s="562"/>
      <c r="AD29" s="562"/>
      <c r="AE29" s="562"/>
      <c r="AF29" s="562"/>
      <c r="AG29" s="562"/>
      <c r="AH29" s="562"/>
      <c r="AI29" s="245"/>
      <c r="AJ29" s="245">
        <v>0</v>
      </c>
      <c r="AK29" s="502">
        <f>SUM(AA29:AJ29)+SUM(AA29:AJ29)*'1.1-Jaarprijzen'!$C$58</f>
        <v>0</v>
      </c>
      <c r="AM29" s="245"/>
      <c r="AO29" s="248">
        <f t="shared" si="8"/>
        <v>0</v>
      </c>
      <c r="AQ29" s="248">
        <f t="shared" si="10"/>
        <v>0</v>
      </c>
      <c r="AS29" s="248">
        <f t="shared" si="11"/>
        <v>0</v>
      </c>
      <c r="AU29" s="248">
        <f t="shared" si="12"/>
        <v>0</v>
      </c>
      <c r="AW29" s="244"/>
      <c r="AX29" s="251"/>
    </row>
    <row r="30" spans="1:50" s="252" customFormat="1" ht="23" customHeight="1">
      <c r="A30" s="320" t="str">
        <f t="shared" si="9"/>
        <v xml:space="preserve">21.01 Objectleider (algemeen schoonmaakonderhoud) </v>
      </c>
      <c r="B30" s="320" t="str">
        <f t="shared" si="9"/>
        <v xml:space="preserve">21.01 Objectleider (algemeen schoonmaakonderhoud) </v>
      </c>
      <c r="C30" s="256" t="s">
        <v>254</v>
      </c>
      <c r="F30" s="245"/>
      <c r="G30" s="245"/>
      <c r="H30" s="245">
        <v>0</v>
      </c>
      <c r="I30" s="245">
        <v>0</v>
      </c>
      <c r="J30" s="501">
        <f t="shared" si="0"/>
        <v>0</v>
      </c>
      <c r="K30" s="245">
        <v>0</v>
      </c>
      <c r="L30" s="502">
        <f t="shared" si="1"/>
        <v>0</v>
      </c>
      <c r="N30" s="503">
        <f t="shared" si="2"/>
        <v>0</v>
      </c>
      <c r="O30" s="502">
        <f t="shared" si="3"/>
        <v>0</v>
      </c>
      <c r="Q30" s="504">
        <f t="shared" si="4"/>
        <v>0</v>
      </c>
      <c r="R30" s="501">
        <f t="shared" si="14"/>
        <v>0</v>
      </c>
      <c r="S30" s="502">
        <f t="shared" si="5"/>
        <v>0</v>
      </c>
      <c r="U30" s="501">
        <f>S30*'1.4-Premies en opslagen'!$D$73</f>
        <v>0</v>
      </c>
      <c r="V30" s="502">
        <f t="shared" si="6"/>
        <v>0</v>
      </c>
      <c r="X30" s="245"/>
      <c r="Y30" s="245"/>
      <c r="Z30" s="247"/>
      <c r="AA30" s="502">
        <f t="shared" si="7"/>
        <v>0</v>
      </c>
      <c r="AC30" s="562"/>
      <c r="AD30" s="562"/>
      <c r="AE30" s="562"/>
      <c r="AF30" s="562"/>
      <c r="AG30" s="562"/>
      <c r="AH30" s="562"/>
      <c r="AI30" s="245"/>
      <c r="AJ30" s="245"/>
      <c r="AK30" s="502">
        <f>SUM(AA30:AJ30)+SUM(AA30:AJ30)*'1.1-Jaarprijzen'!$C$58</f>
        <v>0</v>
      </c>
      <c r="AM30" s="245"/>
      <c r="AO30" s="248">
        <f t="shared" si="8"/>
        <v>0</v>
      </c>
      <c r="AQ30" s="248">
        <f t="shared" si="10"/>
        <v>0</v>
      </c>
      <c r="AS30" s="248">
        <f t="shared" si="11"/>
        <v>0</v>
      </c>
      <c r="AU30" s="248">
        <f t="shared" si="12"/>
        <v>0</v>
      </c>
      <c r="AW30" s="244"/>
      <c r="AX30" s="251"/>
    </row>
    <row r="31" spans="1:50" s="252" customFormat="1" ht="23" customHeight="1">
      <c r="A31" s="320" t="str">
        <f t="shared" si="9"/>
        <v xml:space="preserve">21.02 Ambulant objectleider (algemeen schoonmaakonderhoud) </v>
      </c>
      <c r="B31" s="320" t="str">
        <f t="shared" si="9"/>
        <v xml:space="preserve">21.02 Ambulant objectleider (algemeen schoonmaakonderhoud) </v>
      </c>
      <c r="C31" s="256" t="s">
        <v>255</v>
      </c>
      <c r="F31" s="245"/>
      <c r="G31" s="245"/>
      <c r="H31" s="245">
        <v>0</v>
      </c>
      <c r="I31" s="245">
        <f>F31*$I$12</f>
        <v>0</v>
      </c>
      <c r="J31" s="501">
        <f t="shared" si="0"/>
        <v>0</v>
      </c>
      <c r="K31" s="245">
        <v>0</v>
      </c>
      <c r="L31" s="502">
        <f t="shared" si="1"/>
        <v>0</v>
      </c>
      <c r="N31" s="503">
        <f t="shared" si="2"/>
        <v>0</v>
      </c>
      <c r="O31" s="502">
        <f t="shared" si="3"/>
        <v>0</v>
      </c>
      <c r="Q31" s="504">
        <f t="shared" si="4"/>
        <v>0</v>
      </c>
      <c r="R31" s="501">
        <f t="shared" si="14"/>
        <v>0</v>
      </c>
      <c r="S31" s="502">
        <f t="shared" si="5"/>
        <v>0</v>
      </c>
      <c r="U31" s="501">
        <f>S31*'1.4-Premies en opslagen'!$D$73</f>
        <v>0</v>
      </c>
      <c r="V31" s="502">
        <f t="shared" si="6"/>
        <v>0</v>
      </c>
      <c r="X31" s="245"/>
      <c r="Y31" s="245"/>
      <c r="Z31" s="247"/>
      <c r="AA31" s="532">
        <f>SUM(V31:Z31)</f>
        <v>0</v>
      </c>
      <c r="AC31" s="245"/>
      <c r="AD31" s="245"/>
      <c r="AE31" s="245"/>
      <c r="AF31" s="245"/>
      <c r="AG31" s="245"/>
      <c r="AH31" s="245"/>
      <c r="AI31" s="245"/>
      <c r="AJ31" s="245"/>
      <c r="AK31" s="532">
        <f>SUM(AA31:AJ31)+SUM(AA31:AJ31)*'1.1-Jaarprijzen'!$C$58</f>
        <v>0</v>
      </c>
      <c r="AM31" s="245"/>
      <c r="AO31" s="248">
        <f>SUM(AK31:AN31)</f>
        <v>0</v>
      </c>
      <c r="AQ31" s="248">
        <f t="shared" si="10"/>
        <v>0</v>
      </c>
      <c r="AS31" s="248">
        <f t="shared" si="11"/>
        <v>0</v>
      </c>
      <c r="AU31" s="248">
        <f t="shared" si="12"/>
        <v>0</v>
      </c>
      <c r="AW31" s="244"/>
      <c r="AX31" s="251"/>
    </row>
    <row r="32" spans="1:50" s="251" customFormat="1" ht="24.75" customHeight="1">
      <c r="A32" s="320" t="str">
        <f t="shared" si="9"/>
        <v xml:space="preserve">0 </v>
      </c>
      <c r="B32" s="320" t="str">
        <f t="shared" si="9"/>
        <v xml:space="preserve">0 </v>
      </c>
      <c r="C32" s="254">
        <v>0</v>
      </c>
      <c r="F32" s="527"/>
      <c r="G32" s="499"/>
      <c r="H32" s="519">
        <v>0</v>
      </c>
      <c r="I32" s="527"/>
      <c r="J32" s="246">
        <f>(0.014+0.002)</f>
        <v>1.6E-2</v>
      </c>
      <c r="K32" s="528"/>
      <c r="L32" s="529"/>
      <c r="M32" s="252"/>
      <c r="N32" s="246">
        <v>0.08</v>
      </c>
      <c r="O32" s="529"/>
      <c r="P32" s="252"/>
      <c r="Q32" s="530"/>
      <c r="R32" s="500">
        <f>'1.4-Premies en opslagen'!D29</f>
        <v>0</v>
      </c>
      <c r="S32" s="531"/>
      <c r="T32" s="252"/>
      <c r="U32" s="500">
        <f>'1.4-Premies en opslagen'!F73</f>
        <v>0</v>
      </c>
      <c r="V32" s="529"/>
      <c r="W32" s="252"/>
      <c r="X32" s="529"/>
      <c r="Y32" s="529"/>
      <c r="Z32" s="529"/>
      <c r="AA32" s="529"/>
      <c r="AB32" s="252"/>
      <c r="AC32" s="529"/>
      <c r="AD32" s="529"/>
      <c r="AE32" s="529"/>
      <c r="AF32" s="529"/>
      <c r="AG32" s="529"/>
      <c r="AH32" s="529"/>
      <c r="AI32" s="529"/>
      <c r="AJ32" s="529"/>
      <c r="AK32" s="529"/>
      <c r="AL32" s="252"/>
      <c r="AM32" s="529"/>
      <c r="AN32" s="252"/>
      <c r="AO32" s="529"/>
      <c r="AP32" s="252"/>
      <c r="AQ32" s="529"/>
      <c r="AR32" s="252"/>
      <c r="AS32" s="529"/>
      <c r="AT32" s="252"/>
      <c r="AU32" s="529"/>
      <c r="AV32" s="252"/>
    </row>
    <row r="33" spans="1:49" s="252" customFormat="1" ht="23" customHeight="1">
      <c r="A33" s="320" t="str">
        <f t="shared" si="9"/>
        <v>12.01A Glazenwasser A 0 t/m 7 jaar</v>
      </c>
      <c r="B33" s="320" t="str">
        <f t="shared" si="9"/>
        <v>12.01A Glazenwasser A 0 t/m 7 jaar</v>
      </c>
      <c r="C33" s="255" t="s">
        <v>346</v>
      </c>
      <c r="D33" s="252" t="s">
        <v>261</v>
      </c>
      <c r="E33" s="252">
        <v>1</v>
      </c>
      <c r="F33" s="245"/>
      <c r="G33" s="245"/>
      <c r="H33" s="245">
        <f>F33*$H$32</f>
        <v>0</v>
      </c>
      <c r="I33" s="245">
        <v>0</v>
      </c>
      <c r="J33" s="501">
        <f>F33*$J$32</f>
        <v>0</v>
      </c>
      <c r="K33" s="245">
        <v>0</v>
      </c>
      <c r="L33" s="502">
        <f t="shared" si="1"/>
        <v>0</v>
      </c>
      <c r="N33" s="503">
        <f>L33*$N$32</f>
        <v>0</v>
      </c>
      <c r="O33" s="502">
        <f t="shared" si="3"/>
        <v>0</v>
      </c>
      <c r="Q33" s="504">
        <f t="shared" si="4"/>
        <v>0</v>
      </c>
      <c r="R33" s="501">
        <f>IF(Q33=0,0,Q33*$R$32)</f>
        <v>0</v>
      </c>
      <c r="S33" s="502">
        <f t="shared" si="5"/>
        <v>0</v>
      </c>
      <c r="U33" s="501">
        <f>S33*$U$32</f>
        <v>0</v>
      </c>
      <c r="V33" s="502">
        <f t="shared" si="6"/>
        <v>0</v>
      </c>
      <c r="X33" s="245"/>
      <c r="Y33" s="245"/>
      <c r="Z33" s="247"/>
      <c r="AA33" s="532">
        <f>SUM(V33:Z33)</f>
        <v>0</v>
      </c>
      <c r="AC33" s="245"/>
      <c r="AD33" s="245"/>
      <c r="AE33" s="245"/>
      <c r="AF33" s="245"/>
      <c r="AG33" s="245"/>
      <c r="AH33" s="245"/>
      <c r="AI33" s="245"/>
      <c r="AJ33" s="245">
        <v>0</v>
      </c>
      <c r="AK33" s="502">
        <f>SUM(AA33:AJ33)+SUM(AA33:AJ33)*'1.1-Jaarprijzen'!$C$58</f>
        <v>0</v>
      </c>
      <c r="AM33" s="245"/>
      <c r="AO33" s="248">
        <f t="shared" si="8"/>
        <v>0</v>
      </c>
      <c r="AQ33" s="248">
        <f>($V33*1.3)+$AW33</f>
        <v>0</v>
      </c>
      <c r="AS33" s="248">
        <f>($V33*1.5)+$AW33</f>
        <v>0</v>
      </c>
      <c r="AU33" s="248">
        <f>($V33*2.5)+$AW33</f>
        <v>0</v>
      </c>
      <c r="AW33" s="244"/>
    </row>
    <row r="34" spans="1:49" s="252" customFormat="1" ht="23" customHeight="1">
      <c r="A34" s="320" t="str">
        <f t="shared" si="9"/>
        <v>12.02 Zelfstandige glazenwasser 8 jaar en meer</v>
      </c>
      <c r="B34" s="320" t="str">
        <f t="shared" si="9"/>
        <v>12.02 Zelfstandige glazenwasser 8 jaar en meer</v>
      </c>
      <c r="C34" s="255" t="s">
        <v>336</v>
      </c>
      <c r="D34" s="252" t="s">
        <v>262</v>
      </c>
      <c r="E34" s="252" t="s">
        <v>337</v>
      </c>
      <c r="F34" s="245"/>
      <c r="G34" s="245"/>
      <c r="H34" s="245">
        <f>F34*$H$32</f>
        <v>0</v>
      </c>
      <c r="I34" s="245">
        <v>0</v>
      </c>
      <c r="J34" s="501">
        <f>F34*$J$32</f>
        <v>0</v>
      </c>
      <c r="K34" s="245">
        <v>0</v>
      </c>
      <c r="L34" s="502">
        <f t="shared" si="1"/>
        <v>0</v>
      </c>
      <c r="N34" s="503">
        <f>L34*$N$32</f>
        <v>0</v>
      </c>
      <c r="O34" s="502">
        <f t="shared" si="3"/>
        <v>0</v>
      </c>
      <c r="Q34" s="504">
        <f t="shared" si="4"/>
        <v>0</v>
      </c>
      <c r="R34" s="501">
        <f>IF(Q34=0,0,Q34*$R$32)</f>
        <v>0</v>
      </c>
      <c r="S34" s="502">
        <f t="shared" si="5"/>
        <v>0</v>
      </c>
      <c r="U34" s="501">
        <f>S34*$U$32</f>
        <v>0</v>
      </c>
      <c r="V34" s="502">
        <f t="shared" si="6"/>
        <v>0</v>
      </c>
      <c r="X34" s="245"/>
      <c r="Y34" s="245"/>
      <c r="Z34" s="247"/>
      <c r="AA34" s="532">
        <f>SUM(V34:Z34)</f>
        <v>0</v>
      </c>
      <c r="AC34" s="245"/>
      <c r="AD34" s="245"/>
      <c r="AE34" s="245"/>
      <c r="AF34" s="245"/>
      <c r="AG34" s="245"/>
      <c r="AH34" s="245"/>
      <c r="AI34" s="245"/>
      <c r="AJ34" s="245"/>
      <c r="AK34" s="502">
        <f>SUM(AA34:AJ34)+SUM(AA34:AJ34)*'1.1-Jaarprijzen'!$C$58</f>
        <v>0</v>
      </c>
      <c r="AM34" s="245"/>
      <c r="AO34" s="248">
        <f t="shared" si="8"/>
        <v>0</v>
      </c>
      <c r="AQ34" s="248">
        <f>($V34*1.3)+$AW34</f>
        <v>0</v>
      </c>
      <c r="AS34" s="248">
        <f>($V34*1.5)+$AW34</f>
        <v>0</v>
      </c>
      <c r="AU34" s="248">
        <f>($V34*2.5)+$AW34</f>
        <v>0</v>
      </c>
      <c r="AW34" s="244"/>
    </row>
    <row r="35" spans="1:49" s="252" customFormat="1" ht="23" customHeight="1">
      <c r="A35" s="320" t="str">
        <f t="shared" si="9"/>
        <v xml:space="preserve">RL.1 Rayonleiding </v>
      </c>
      <c r="B35" s="320" t="str">
        <f t="shared" si="9"/>
        <v xml:space="preserve">RL.1 Rayonleiding </v>
      </c>
      <c r="C35" s="255" t="s">
        <v>345</v>
      </c>
      <c r="F35" s="245"/>
      <c r="G35" s="245"/>
      <c r="H35" s="245">
        <f>F35*$H$32</f>
        <v>0</v>
      </c>
      <c r="I35" s="245">
        <v>0</v>
      </c>
      <c r="J35" s="501">
        <f>F35*$J$32</f>
        <v>0</v>
      </c>
      <c r="K35" s="245">
        <v>0</v>
      </c>
      <c r="L35" s="502">
        <f t="shared" si="1"/>
        <v>0</v>
      </c>
      <c r="N35" s="503">
        <f>L35*$N$32</f>
        <v>0</v>
      </c>
      <c r="O35" s="502">
        <f t="shared" si="3"/>
        <v>0</v>
      </c>
      <c r="Q35" s="504">
        <f t="shared" si="4"/>
        <v>0</v>
      </c>
      <c r="R35" s="501">
        <f>IF(Q35=0,0,Q35*$R$32)</f>
        <v>0</v>
      </c>
      <c r="S35" s="502">
        <f t="shared" si="5"/>
        <v>0</v>
      </c>
      <c r="U35" s="501">
        <f>S35*$U$32</f>
        <v>0</v>
      </c>
      <c r="V35" s="502">
        <f t="shared" si="6"/>
        <v>0</v>
      </c>
      <c r="X35" s="245"/>
      <c r="Y35" s="245"/>
      <c r="Z35" s="247"/>
      <c r="AA35" s="532">
        <f>SUM(V35:Z35)</f>
        <v>0</v>
      </c>
      <c r="AC35" s="245"/>
      <c r="AD35" s="245"/>
      <c r="AE35" s="245"/>
      <c r="AF35" s="245"/>
      <c r="AG35" s="245"/>
      <c r="AH35" s="245"/>
      <c r="AI35" s="245"/>
      <c r="AJ35" s="245"/>
      <c r="AK35" s="502">
        <f>SUM(AA35:AJ35)+SUM(AA35:AJ35)*'1.1-Jaarprijzen'!$C$58</f>
        <v>0</v>
      </c>
      <c r="AM35" s="245"/>
      <c r="AO35" s="248">
        <f t="shared" si="8"/>
        <v>0</v>
      </c>
      <c r="AQ35" s="248">
        <f>($V35*1.3)+$AW35</f>
        <v>0</v>
      </c>
      <c r="AS35" s="248">
        <f>($V35*1.5)+$AW35</f>
        <v>0</v>
      </c>
      <c r="AU35" s="248">
        <f>($V35*2.5)+$AW35</f>
        <v>0</v>
      </c>
      <c r="AW35" s="244"/>
    </row>
    <row r="41" spans="1:49">
      <c r="I41" s="249"/>
    </row>
    <row r="42" spans="1:49">
      <c r="I42" s="249"/>
    </row>
    <row r="44" spans="1:49">
      <c r="I44" s="249"/>
    </row>
    <row r="45" spans="1:49">
      <c r="I45" s="249"/>
    </row>
    <row r="46" spans="1:49">
      <c r="I46" s="249"/>
    </row>
    <row r="47" spans="1:49">
      <c r="I47" s="249"/>
    </row>
    <row r="48" spans="1:49">
      <c r="I48" s="249"/>
    </row>
    <row r="49" spans="9:9">
      <c r="I49" s="249"/>
    </row>
    <row r="50" spans="9:9">
      <c r="I50" s="1"/>
    </row>
    <row r="51" spans="9:9">
      <c r="I51" s="249"/>
    </row>
    <row r="52" spans="9:9">
      <c r="I52" s="249"/>
    </row>
    <row r="53" spans="9:9">
      <c r="I53" s="249"/>
    </row>
    <row r="54" spans="9:9">
      <c r="I54" s="249"/>
    </row>
    <row r="55" spans="9:9">
      <c r="I55" s="1"/>
    </row>
    <row r="56" spans="9:9">
      <c r="I56" s="253"/>
    </row>
    <row r="57" spans="9:9">
      <c r="I57" s="253"/>
    </row>
  </sheetData>
  <phoneticPr fontId="10" type="noConversion"/>
  <conditionalFormatting sqref="F33">
    <cfRule type="cellIs" dxfId="257" priority="515" stopIfTrue="1" operator="lessThanOrEqual">
      <formula>0</formula>
    </cfRule>
  </conditionalFormatting>
  <conditionalFormatting sqref="G18 G20 G25 G28:G31 G33:G35">
    <cfRule type="cellIs" dxfId="256" priority="514" stopIfTrue="1" operator="lessThanOrEqual">
      <formula>0</formula>
    </cfRule>
  </conditionalFormatting>
  <conditionalFormatting sqref="N12">
    <cfRule type="cellIs" dxfId="255" priority="512" stopIfTrue="1" operator="lessThanOrEqual">
      <formula>0</formula>
    </cfRule>
  </conditionalFormatting>
  <conditionalFormatting sqref="G19">
    <cfRule type="cellIs" dxfId="254" priority="511" stopIfTrue="1" operator="lessThanOrEqual">
      <formula>0</formula>
    </cfRule>
  </conditionalFormatting>
  <conditionalFormatting sqref="G21">
    <cfRule type="cellIs" dxfId="253" priority="510" stopIfTrue="1" operator="lessThanOrEqual">
      <formula>0</formula>
    </cfRule>
  </conditionalFormatting>
  <conditionalFormatting sqref="G22">
    <cfRule type="cellIs" dxfId="252" priority="509" stopIfTrue="1" operator="lessThanOrEqual">
      <formula>0</formula>
    </cfRule>
  </conditionalFormatting>
  <conditionalFormatting sqref="G24">
    <cfRule type="cellIs" dxfId="251" priority="508" stopIfTrue="1" operator="lessThanOrEqual">
      <formula>0</formula>
    </cfRule>
  </conditionalFormatting>
  <conditionalFormatting sqref="G26">
    <cfRule type="cellIs" dxfId="250" priority="507" stopIfTrue="1" operator="lessThanOrEqual">
      <formula>0</formula>
    </cfRule>
  </conditionalFormatting>
  <conditionalFormatting sqref="H18 H20 H25 H28:H31">
    <cfRule type="cellIs" dxfId="249" priority="506" stopIfTrue="1" operator="lessThanOrEqual">
      <formula>0</formula>
    </cfRule>
  </conditionalFormatting>
  <conditionalFormatting sqref="H19">
    <cfRule type="cellIs" dxfId="248" priority="505" stopIfTrue="1" operator="lessThanOrEqual">
      <formula>0</formula>
    </cfRule>
  </conditionalFormatting>
  <conditionalFormatting sqref="H21">
    <cfRule type="cellIs" dxfId="247" priority="504" stopIfTrue="1" operator="lessThanOrEqual">
      <formula>0</formula>
    </cfRule>
  </conditionalFormatting>
  <conditionalFormatting sqref="H22">
    <cfRule type="cellIs" dxfId="246" priority="503" stopIfTrue="1" operator="lessThanOrEqual">
      <formula>0</formula>
    </cfRule>
  </conditionalFormatting>
  <conditionalFormatting sqref="H24">
    <cfRule type="cellIs" dxfId="245" priority="502" stopIfTrue="1" operator="lessThanOrEqual">
      <formula>0</formula>
    </cfRule>
  </conditionalFormatting>
  <conditionalFormatting sqref="H26">
    <cfRule type="cellIs" dxfId="244" priority="501" stopIfTrue="1" operator="lessThanOrEqual">
      <formula>0</formula>
    </cfRule>
  </conditionalFormatting>
  <conditionalFormatting sqref="I20 I25 I28 I33:I35 I30">
    <cfRule type="cellIs" dxfId="243" priority="500" stopIfTrue="1" operator="lessThanOrEqual">
      <formula>0</formula>
    </cfRule>
  </conditionalFormatting>
  <conditionalFormatting sqref="I19">
    <cfRule type="cellIs" dxfId="242" priority="499" stopIfTrue="1" operator="lessThanOrEqual">
      <formula>0</formula>
    </cfRule>
  </conditionalFormatting>
  <conditionalFormatting sqref="I21">
    <cfRule type="cellIs" dxfId="241" priority="498" stopIfTrue="1" operator="lessThanOrEqual">
      <formula>0</formula>
    </cfRule>
  </conditionalFormatting>
  <conditionalFormatting sqref="I22">
    <cfRule type="cellIs" dxfId="240" priority="497" stopIfTrue="1" operator="lessThanOrEqual">
      <formula>0</formula>
    </cfRule>
  </conditionalFormatting>
  <conditionalFormatting sqref="I24">
    <cfRule type="cellIs" dxfId="239" priority="496" stopIfTrue="1" operator="lessThanOrEqual">
      <formula>0</formula>
    </cfRule>
  </conditionalFormatting>
  <conditionalFormatting sqref="I26">
    <cfRule type="cellIs" dxfId="238" priority="495" stopIfTrue="1" operator="lessThanOrEqual">
      <formula>0</formula>
    </cfRule>
  </conditionalFormatting>
  <conditionalFormatting sqref="K18 K20 K25 K28:K31 K33:K35">
    <cfRule type="cellIs" dxfId="237" priority="494" stopIfTrue="1" operator="lessThanOrEqual">
      <formula>0</formula>
    </cfRule>
  </conditionalFormatting>
  <conditionalFormatting sqref="K19">
    <cfRule type="cellIs" dxfId="236" priority="493" stopIfTrue="1" operator="lessThanOrEqual">
      <formula>0</formula>
    </cfRule>
  </conditionalFormatting>
  <conditionalFormatting sqref="K21">
    <cfRule type="cellIs" dxfId="235" priority="492" stopIfTrue="1" operator="lessThanOrEqual">
      <formula>0</formula>
    </cfRule>
  </conditionalFormatting>
  <conditionalFormatting sqref="K22">
    <cfRule type="cellIs" dxfId="234" priority="491" stopIfTrue="1" operator="lessThanOrEqual">
      <formula>0</formula>
    </cfRule>
  </conditionalFormatting>
  <conditionalFormatting sqref="K24">
    <cfRule type="cellIs" dxfId="233" priority="490" stopIfTrue="1" operator="lessThanOrEqual">
      <formula>0</formula>
    </cfRule>
  </conditionalFormatting>
  <conditionalFormatting sqref="K26">
    <cfRule type="cellIs" dxfId="232" priority="489" stopIfTrue="1" operator="lessThanOrEqual">
      <formula>0</formula>
    </cfRule>
  </conditionalFormatting>
  <conditionalFormatting sqref="G13">
    <cfRule type="cellIs" dxfId="231" priority="467" stopIfTrue="1" operator="lessThanOrEqual">
      <formula>0</formula>
    </cfRule>
  </conditionalFormatting>
  <conditionalFormatting sqref="G17">
    <cfRule type="cellIs" dxfId="230" priority="466" stopIfTrue="1" operator="lessThanOrEqual">
      <formula>0</formula>
    </cfRule>
  </conditionalFormatting>
  <conditionalFormatting sqref="H13">
    <cfRule type="cellIs" dxfId="229" priority="465" stopIfTrue="1" operator="lessThanOrEqual">
      <formula>0</formula>
    </cfRule>
  </conditionalFormatting>
  <conditionalFormatting sqref="H17">
    <cfRule type="cellIs" dxfId="228" priority="464" stopIfTrue="1" operator="lessThanOrEqual">
      <formula>0</formula>
    </cfRule>
  </conditionalFormatting>
  <conditionalFormatting sqref="I13">
    <cfRule type="cellIs" dxfId="227" priority="463" stopIfTrue="1" operator="lessThanOrEqual">
      <formula>0</formula>
    </cfRule>
  </conditionalFormatting>
  <conditionalFormatting sqref="I17">
    <cfRule type="cellIs" dxfId="226" priority="462" stopIfTrue="1" operator="lessThanOrEqual">
      <formula>0</formula>
    </cfRule>
  </conditionalFormatting>
  <conditionalFormatting sqref="K13">
    <cfRule type="cellIs" dxfId="225" priority="461" stopIfTrue="1" operator="lessThanOrEqual">
      <formula>0</formula>
    </cfRule>
  </conditionalFormatting>
  <conditionalFormatting sqref="K17">
    <cfRule type="cellIs" dxfId="224" priority="460" stopIfTrue="1" operator="lessThanOrEqual">
      <formula>0</formula>
    </cfRule>
  </conditionalFormatting>
  <conditionalFormatting sqref="G16">
    <cfRule type="cellIs" dxfId="223" priority="448" stopIfTrue="1" operator="lessThanOrEqual">
      <formula>0</formula>
    </cfRule>
  </conditionalFormatting>
  <conditionalFormatting sqref="H16">
    <cfRule type="cellIs" dxfId="222" priority="447" stopIfTrue="1" operator="lessThanOrEqual">
      <formula>0</formula>
    </cfRule>
  </conditionalFormatting>
  <conditionalFormatting sqref="I16">
    <cfRule type="cellIs" dxfId="221" priority="446" stopIfTrue="1" operator="lessThanOrEqual">
      <formula>0</formula>
    </cfRule>
  </conditionalFormatting>
  <conditionalFormatting sqref="K16">
    <cfRule type="cellIs" dxfId="220" priority="445" stopIfTrue="1" operator="lessThanOrEqual">
      <formula>0</formula>
    </cfRule>
  </conditionalFormatting>
  <conditionalFormatting sqref="G15">
    <cfRule type="cellIs" dxfId="219" priority="443" stopIfTrue="1" operator="lessThanOrEqual">
      <formula>0</formula>
    </cfRule>
  </conditionalFormatting>
  <conditionalFormatting sqref="H15">
    <cfRule type="cellIs" dxfId="218" priority="442" stopIfTrue="1" operator="lessThanOrEqual">
      <formula>0</formula>
    </cfRule>
  </conditionalFormatting>
  <conditionalFormatting sqref="I15">
    <cfRule type="cellIs" dxfId="217" priority="441" stopIfTrue="1" operator="lessThanOrEqual">
      <formula>0</formula>
    </cfRule>
  </conditionalFormatting>
  <conditionalFormatting sqref="K15">
    <cfRule type="cellIs" dxfId="216" priority="440" stopIfTrue="1" operator="lessThanOrEqual">
      <formula>0</formula>
    </cfRule>
  </conditionalFormatting>
  <conditionalFormatting sqref="G14">
    <cfRule type="cellIs" dxfId="215" priority="437" stopIfTrue="1" operator="lessThanOrEqual">
      <formula>0</formula>
    </cfRule>
  </conditionalFormatting>
  <conditionalFormatting sqref="H14">
    <cfRule type="cellIs" dxfId="214" priority="436" stopIfTrue="1" operator="lessThanOrEqual">
      <formula>0</formula>
    </cfRule>
  </conditionalFormatting>
  <conditionalFormatting sqref="I14">
    <cfRule type="cellIs" dxfId="213" priority="435" stopIfTrue="1" operator="lessThanOrEqual">
      <formula>0</formula>
    </cfRule>
  </conditionalFormatting>
  <conditionalFormatting sqref="K14">
    <cfRule type="cellIs" dxfId="212" priority="434" stopIfTrue="1" operator="lessThanOrEqual">
      <formula>0</formula>
    </cfRule>
  </conditionalFormatting>
  <conditionalFormatting sqref="AH13:AH14 AH20:AH22 AH16:AH17">
    <cfRule type="cellIs" dxfId="211" priority="392" stopIfTrue="1" operator="lessThanOrEqual">
      <formula>0</formula>
    </cfRule>
  </conditionalFormatting>
  <conditionalFormatting sqref="AJ13:AJ17 AJ19:AJ22">
    <cfRule type="cellIs" dxfId="210" priority="391" stopIfTrue="1" operator="lessThanOrEqual">
      <formula>0</formula>
    </cfRule>
  </conditionalFormatting>
  <conditionalFormatting sqref="AC13:AC14 AC20:AC22 AC16:AC17">
    <cfRule type="cellIs" dxfId="209" priority="397" stopIfTrue="1" operator="lessThanOrEqual">
      <formula>0</formula>
    </cfRule>
  </conditionalFormatting>
  <conditionalFormatting sqref="J12">
    <cfRule type="cellIs" dxfId="208" priority="419" stopIfTrue="1" operator="lessThanOrEqual">
      <formula>0</formula>
    </cfRule>
  </conditionalFormatting>
  <conditionalFormatting sqref="F24">
    <cfRule type="cellIs" dxfId="207" priority="416" stopIfTrue="1" operator="lessThanOrEqual">
      <formula>0</formula>
    </cfRule>
  </conditionalFormatting>
  <conditionalFormatting sqref="F25">
    <cfRule type="cellIs" dxfId="206" priority="415" stopIfTrue="1" operator="lessThanOrEqual">
      <formula>0</formula>
    </cfRule>
  </conditionalFormatting>
  <conditionalFormatting sqref="F26">
    <cfRule type="cellIs" dxfId="205" priority="414" stopIfTrue="1" operator="lessThanOrEqual">
      <formula>0</formula>
    </cfRule>
  </conditionalFormatting>
  <conditionalFormatting sqref="F13">
    <cfRule type="cellIs" dxfId="204" priority="412" stopIfTrue="1" operator="lessThanOrEqual">
      <formula>0</formula>
    </cfRule>
  </conditionalFormatting>
  <conditionalFormatting sqref="F14">
    <cfRule type="cellIs" dxfId="203" priority="411" stopIfTrue="1" operator="lessThanOrEqual">
      <formula>0</formula>
    </cfRule>
  </conditionalFormatting>
  <conditionalFormatting sqref="F16">
    <cfRule type="cellIs" dxfId="202" priority="409" stopIfTrue="1" operator="lessThanOrEqual">
      <formula>0</formula>
    </cfRule>
  </conditionalFormatting>
  <conditionalFormatting sqref="F17">
    <cfRule type="cellIs" dxfId="201" priority="408" stopIfTrue="1" operator="lessThanOrEqual">
      <formula>0</formula>
    </cfRule>
  </conditionalFormatting>
  <conditionalFormatting sqref="F19">
    <cfRule type="cellIs" dxfId="200" priority="406" stopIfTrue="1" operator="lessThanOrEqual">
      <formula>0</formula>
    </cfRule>
  </conditionalFormatting>
  <conditionalFormatting sqref="F20">
    <cfRule type="cellIs" dxfId="199" priority="405" stopIfTrue="1" operator="lessThanOrEqual">
      <formula>0</formula>
    </cfRule>
  </conditionalFormatting>
  <conditionalFormatting sqref="F21">
    <cfRule type="cellIs" dxfId="198" priority="404" stopIfTrue="1" operator="lessThanOrEqual">
      <formula>0</formula>
    </cfRule>
  </conditionalFormatting>
  <conditionalFormatting sqref="F22">
    <cfRule type="cellIs" dxfId="197" priority="403" stopIfTrue="1" operator="lessThanOrEqual">
      <formula>0</formula>
    </cfRule>
  </conditionalFormatting>
  <conditionalFormatting sqref="F31">
    <cfRule type="cellIs" dxfId="196" priority="402" stopIfTrue="1" operator="lessThanOrEqual">
      <formula>0</formula>
    </cfRule>
  </conditionalFormatting>
  <conditionalFormatting sqref="Y13:Y14 Y20:Y22 Y24 Y16:Y17">
    <cfRule type="cellIs" dxfId="195" priority="401" stopIfTrue="1" operator="lessThanOrEqual">
      <formula>0</formula>
    </cfRule>
  </conditionalFormatting>
  <conditionalFormatting sqref="X13:X14 X20:X22 X24 X16:X17">
    <cfRule type="cellIs" dxfId="194" priority="400" stopIfTrue="1" operator="lessThanOrEqual">
      <formula>0</formula>
    </cfRule>
  </conditionalFormatting>
  <conditionalFormatting sqref="AD13:AD14 AD20:AD22 AD16:AD17">
    <cfRule type="cellIs" dxfId="193" priority="396" stopIfTrue="1" operator="lessThanOrEqual">
      <formula>0</formula>
    </cfRule>
  </conditionalFormatting>
  <conditionalFormatting sqref="AE13:AE14 AE20:AE22 AE16:AE17">
    <cfRule type="cellIs" dxfId="192" priority="395" stopIfTrue="1" operator="lessThanOrEqual">
      <formula>0</formula>
    </cfRule>
  </conditionalFormatting>
  <conditionalFormatting sqref="AF13:AF14 AF20:AF22 AF16:AF17">
    <cfRule type="cellIs" dxfId="191" priority="394" stopIfTrue="1" operator="lessThanOrEqual">
      <formula>0</formula>
    </cfRule>
  </conditionalFormatting>
  <conditionalFormatting sqref="AG13:AG14 AG20:AG22 AG16:AG17">
    <cfRule type="cellIs" dxfId="190" priority="393" stopIfTrue="1" operator="lessThanOrEqual">
      <formula>0</formula>
    </cfRule>
  </conditionalFormatting>
  <conditionalFormatting sqref="AJ28">
    <cfRule type="cellIs" dxfId="189" priority="346" stopIfTrue="1" operator="lessThanOrEqual">
      <formula>0</formula>
    </cfRule>
  </conditionalFormatting>
  <conditionalFormatting sqref="AM13:AM17 AM24 AM20:AM22">
    <cfRule type="cellIs" dxfId="188" priority="383" stopIfTrue="1" operator="lessThanOrEqual">
      <formula>0</formula>
    </cfRule>
  </conditionalFormatting>
  <conditionalFormatting sqref="H33">
    <cfRule type="cellIs" dxfId="187" priority="328" stopIfTrue="1" operator="lessThanOrEqual">
      <formula>0</formula>
    </cfRule>
  </conditionalFormatting>
  <conditionalFormatting sqref="AI13:AI17 AI19:AI22">
    <cfRule type="cellIs" dxfId="186" priority="337" stopIfTrue="1" operator="lessThanOrEqual">
      <formula>0</formula>
    </cfRule>
  </conditionalFormatting>
  <conditionalFormatting sqref="Y30:Y31">
    <cfRule type="cellIs" dxfId="185" priority="375" stopIfTrue="1" operator="lessThanOrEqual">
      <formula>0</formula>
    </cfRule>
  </conditionalFormatting>
  <conditionalFormatting sqref="AC24">
    <cfRule type="cellIs" dxfId="184" priority="373" stopIfTrue="1" operator="lessThanOrEqual">
      <formula>0</formula>
    </cfRule>
  </conditionalFormatting>
  <conditionalFormatting sqref="AD24">
    <cfRule type="cellIs" dxfId="183" priority="372" stopIfTrue="1" operator="lessThanOrEqual">
      <formula>0</formula>
    </cfRule>
  </conditionalFormatting>
  <conditionalFormatting sqref="AE24">
    <cfRule type="cellIs" dxfId="182" priority="371" stopIfTrue="1" operator="lessThanOrEqual">
      <formula>0</formula>
    </cfRule>
  </conditionalFormatting>
  <conditionalFormatting sqref="AF24">
    <cfRule type="cellIs" dxfId="181" priority="370" stopIfTrue="1" operator="lessThanOrEqual">
      <formula>0</formula>
    </cfRule>
  </conditionalFormatting>
  <conditionalFormatting sqref="AG24">
    <cfRule type="cellIs" dxfId="180" priority="369" stopIfTrue="1" operator="lessThanOrEqual">
      <formula>0</formula>
    </cfRule>
  </conditionalFormatting>
  <conditionalFormatting sqref="AH24">
    <cfRule type="cellIs" dxfId="179" priority="368" stopIfTrue="1" operator="lessThanOrEqual">
      <formula>0</formula>
    </cfRule>
  </conditionalFormatting>
  <conditionalFormatting sqref="AJ24">
    <cfRule type="cellIs" dxfId="178" priority="367" stopIfTrue="1" operator="lessThanOrEqual">
      <formula>0</formula>
    </cfRule>
  </conditionalFormatting>
  <conditionalFormatting sqref="AJ30">
    <cfRule type="cellIs" dxfId="177" priority="339" stopIfTrue="1" operator="lessThanOrEqual">
      <formula>0</formula>
    </cfRule>
  </conditionalFormatting>
  <conditionalFormatting sqref="AI28">
    <cfRule type="cellIs" dxfId="176" priority="333" stopIfTrue="1" operator="lessThanOrEqual">
      <formula>0</formula>
    </cfRule>
  </conditionalFormatting>
  <conditionalFormatting sqref="AI24">
    <cfRule type="cellIs" dxfId="175" priority="336" stopIfTrue="1" operator="lessThanOrEqual">
      <formula>0</formula>
    </cfRule>
  </conditionalFormatting>
  <conditionalFormatting sqref="AI30">
    <cfRule type="cellIs" dxfId="174" priority="332" stopIfTrue="1" operator="lessThanOrEqual">
      <formula>0</formula>
    </cfRule>
  </conditionalFormatting>
  <conditionalFormatting sqref="F34">
    <cfRule type="cellIs" dxfId="173" priority="331" stopIfTrue="1" operator="lessThanOrEqual">
      <formula>0</formula>
    </cfRule>
  </conditionalFormatting>
  <conditionalFormatting sqref="F35">
    <cfRule type="cellIs" dxfId="172" priority="330" stopIfTrue="1" operator="lessThanOrEqual">
      <formula>0</formula>
    </cfRule>
  </conditionalFormatting>
  <conditionalFormatting sqref="H33">
    <cfRule type="cellIs" dxfId="171" priority="329" stopIfTrue="1" operator="lessThanOrEqual">
      <formula>0</formula>
    </cfRule>
  </conditionalFormatting>
  <conditionalFormatting sqref="AJ34">
    <cfRule type="cellIs" dxfId="170" priority="292" stopIfTrue="1" operator="lessThanOrEqual">
      <formula>0</formula>
    </cfRule>
  </conditionalFormatting>
  <conditionalFormatting sqref="AJ35">
    <cfRule type="cellIs" dxfId="169" priority="291" stopIfTrue="1" operator="lessThanOrEqual">
      <formula>0</formula>
    </cfRule>
  </conditionalFormatting>
  <conditionalFormatting sqref="N32">
    <cfRule type="cellIs" dxfId="168" priority="323" stopIfTrue="1" operator="lessThanOrEqual">
      <formula>0</formula>
    </cfRule>
  </conditionalFormatting>
  <conditionalFormatting sqref="J32">
    <cfRule type="cellIs" dxfId="167" priority="322" stopIfTrue="1" operator="lessThanOrEqual">
      <formula>0</formula>
    </cfRule>
  </conditionalFormatting>
  <conditionalFormatting sqref="H34">
    <cfRule type="cellIs" dxfId="166" priority="321" stopIfTrue="1" operator="lessThanOrEqual">
      <formula>0</formula>
    </cfRule>
  </conditionalFormatting>
  <conditionalFormatting sqref="H34">
    <cfRule type="cellIs" dxfId="165" priority="320" stopIfTrue="1" operator="lessThanOrEqual">
      <formula>0</formula>
    </cfRule>
  </conditionalFormatting>
  <conditionalFormatting sqref="H35">
    <cfRule type="cellIs" dxfId="164" priority="319" stopIfTrue="1" operator="lessThanOrEqual">
      <formula>0</formula>
    </cfRule>
  </conditionalFormatting>
  <conditionalFormatting sqref="H35">
    <cfRule type="cellIs" dxfId="163" priority="318" stopIfTrue="1" operator="lessThanOrEqual">
      <formula>0</formula>
    </cfRule>
  </conditionalFormatting>
  <conditionalFormatting sqref="I12">
    <cfRule type="cellIs" dxfId="162" priority="286" stopIfTrue="1" operator="lessThanOrEqual">
      <formula>0</formula>
    </cfRule>
  </conditionalFormatting>
  <conditionalFormatting sqref="I18">
    <cfRule type="cellIs" dxfId="161" priority="285" stopIfTrue="1" operator="lessThanOrEqual">
      <formula>0</formula>
    </cfRule>
  </conditionalFormatting>
  <conditionalFormatting sqref="I31">
    <cfRule type="cellIs" dxfId="160" priority="281" stopIfTrue="1" operator="lessThanOrEqual">
      <formula>0</formula>
    </cfRule>
  </conditionalFormatting>
  <conditionalFormatting sqref="AJ33">
    <cfRule type="cellIs" dxfId="159" priority="293" stopIfTrue="1" operator="lessThanOrEqual">
      <formula>0</formula>
    </cfRule>
  </conditionalFormatting>
  <conditionalFormatting sqref="I29">
    <cfRule type="cellIs" dxfId="158" priority="282" stopIfTrue="1" operator="lessThanOrEqual">
      <formula>0</formula>
    </cfRule>
  </conditionalFormatting>
  <conditionalFormatting sqref="AJ18">
    <cfRule type="cellIs" dxfId="157" priority="176" stopIfTrue="1" operator="lessThanOrEqual">
      <formula>0</formula>
    </cfRule>
  </conditionalFormatting>
  <conditionalFormatting sqref="AJ29">
    <cfRule type="cellIs" dxfId="156" priority="152" stopIfTrue="1" operator="lessThanOrEqual">
      <formula>0</formula>
    </cfRule>
  </conditionalFormatting>
  <conditionalFormatting sqref="Y33">
    <cfRule type="cellIs" dxfId="155" priority="141" stopIfTrue="1" operator="lessThanOrEqual">
      <formula>0</formula>
    </cfRule>
  </conditionalFormatting>
  <conditionalFormatting sqref="X33">
    <cfRule type="cellIs" dxfId="154" priority="140" stopIfTrue="1" operator="lessThanOrEqual">
      <formula>0</formula>
    </cfRule>
  </conditionalFormatting>
  <conditionalFormatting sqref="Y34">
    <cfRule type="cellIs" dxfId="153" priority="139" stopIfTrue="1" operator="lessThanOrEqual">
      <formula>0</formula>
    </cfRule>
  </conditionalFormatting>
  <conditionalFormatting sqref="X34">
    <cfRule type="cellIs" dxfId="152" priority="138" stopIfTrue="1" operator="lessThanOrEqual">
      <formula>0</formula>
    </cfRule>
  </conditionalFormatting>
  <conditionalFormatting sqref="X35">
    <cfRule type="cellIs" dxfId="151" priority="137" stopIfTrue="1" operator="lessThanOrEqual">
      <formula>0</formula>
    </cfRule>
  </conditionalFormatting>
  <conditionalFormatting sqref="Y35">
    <cfRule type="cellIs" dxfId="150" priority="136" stopIfTrue="1" operator="lessThanOrEqual">
      <formula>0</formula>
    </cfRule>
  </conditionalFormatting>
  <conditionalFormatting sqref="AC33">
    <cfRule type="cellIs" dxfId="149" priority="135" stopIfTrue="1" operator="lessThanOrEqual">
      <formula>0</formula>
    </cfRule>
  </conditionalFormatting>
  <conditionalFormatting sqref="AD33">
    <cfRule type="cellIs" dxfId="148" priority="134" stopIfTrue="1" operator="lessThanOrEqual">
      <formula>0</formula>
    </cfRule>
  </conditionalFormatting>
  <conditionalFormatting sqref="AE33">
    <cfRule type="cellIs" dxfId="147" priority="133" stopIfTrue="1" operator="lessThanOrEqual">
      <formula>0</formula>
    </cfRule>
  </conditionalFormatting>
  <conditionalFormatting sqref="AF33">
    <cfRule type="cellIs" dxfId="146" priority="132" stopIfTrue="1" operator="lessThanOrEqual">
      <formula>0</formula>
    </cfRule>
  </conditionalFormatting>
  <conditionalFormatting sqref="AG33">
    <cfRule type="cellIs" dxfId="145" priority="131" stopIfTrue="1" operator="lessThanOrEqual">
      <formula>0</formula>
    </cfRule>
  </conditionalFormatting>
  <conditionalFormatting sqref="AH33">
    <cfRule type="cellIs" dxfId="144" priority="130" stopIfTrue="1" operator="lessThanOrEqual">
      <formula>0</formula>
    </cfRule>
  </conditionalFormatting>
  <conditionalFormatting sqref="AI33">
    <cfRule type="cellIs" dxfId="143" priority="129" stopIfTrue="1" operator="lessThanOrEqual">
      <formula>0</formula>
    </cfRule>
  </conditionalFormatting>
  <conditionalFormatting sqref="AC34">
    <cfRule type="cellIs" dxfId="142" priority="128" stopIfTrue="1" operator="lessThanOrEqual">
      <formula>0</formula>
    </cfRule>
  </conditionalFormatting>
  <conditionalFormatting sqref="AD34">
    <cfRule type="cellIs" dxfId="141" priority="127" stopIfTrue="1" operator="lessThanOrEqual">
      <formula>0</formula>
    </cfRule>
  </conditionalFormatting>
  <conditionalFormatting sqref="AE34">
    <cfRule type="cellIs" dxfId="140" priority="126" stopIfTrue="1" operator="lessThanOrEqual">
      <formula>0</formula>
    </cfRule>
  </conditionalFormatting>
  <conditionalFormatting sqref="AF34">
    <cfRule type="cellIs" dxfId="139" priority="125" stopIfTrue="1" operator="lessThanOrEqual">
      <formula>0</formula>
    </cfRule>
  </conditionalFormatting>
  <conditionalFormatting sqref="AG34">
    <cfRule type="cellIs" dxfId="138" priority="124" stopIfTrue="1" operator="lessThanOrEqual">
      <formula>0</formula>
    </cfRule>
  </conditionalFormatting>
  <conditionalFormatting sqref="AH34">
    <cfRule type="cellIs" dxfId="137" priority="123" stopIfTrue="1" operator="lessThanOrEqual">
      <formula>0</formula>
    </cfRule>
  </conditionalFormatting>
  <conditionalFormatting sqref="AI34">
    <cfRule type="cellIs" dxfId="136" priority="122" stopIfTrue="1" operator="lessThanOrEqual">
      <formula>0</formula>
    </cfRule>
  </conditionalFormatting>
  <conditionalFormatting sqref="AC35">
    <cfRule type="cellIs" dxfId="135" priority="121" stopIfTrue="1" operator="lessThanOrEqual">
      <formula>0</formula>
    </cfRule>
  </conditionalFormatting>
  <conditionalFormatting sqref="AD35">
    <cfRule type="cellIs" dxfId="134" priority="120" stopIfTrue="1" operator="lessThanOrEqual">
      <formula>0</formula>
    </cfRule>
  </conditionalFormatting>
  <conditionalFormatting sqref="AE35">
    <cfRule type="cellIs" dxfId="133" priority="119" stopIfTrue="1" operator="lessThanOrEqual">
      <formula>0</formula>
    </cfRule>
  </conditionalFormatting>
  <conditionalFormatting sqref="AF35">
    <cfRule type="cellIs" dxfId="132" priority="118" stopIfTrue="1" operator="lessThanOrEqual">
      <formula>0</formula>
    </cfRule>
  </conditionalFormatting>
  <conditionalFormatting sqref="AG35">
    <cfRule type="cellIs" dxfId="131" priority="117" stopIfTrue="1" operator="lessThanOrEqual">
      <formula>0</formula>
    </cfRule>
  </conditionalFormatting>
  <conditionalFormatting sqref="AH35">
    <cfRule type="cellIs" dxfId="130" priority="116" stopIfTrue="1" operator="lessThanOrEqual">
      <formula>0</formula>
    </cfRule>
  </conditionalFormatting>
  <conditionalFormatting sqref="AI35">
    <cfRule type="cellIs" dxfId="129" priority="115" stopIfTrue="1" operator="lessThanOrEqual">
      <formula>0</formula>
    </cfRule>
  </conditionalFormatting>
  <conditionalFormatting sqref="AM33">
    <cfRule type="cellIs" dxfId="128" priority="114" stopIfTrue="1" operator="lessThanOrEqual">
      <formula>0</formula>
    </cfRule>
  </conditionalFormatting>
  <conditionalFormatting sqref="AM34">
    <cfRule type="cellIs" dxfId="127" priority="113" stopIfTrue="1" operator="lessThanOrEqual">
      <formula>0</formula>
    </cfRule>
  </conditionalFormatting>
  <conditionalFormatting sqref="AM35">
    <cfRule type="cellIs" dxfId="126" priority="112" stopIfTrue="1" operator="lessThanOrEqual">
      <formula>0</formula>
    </cfRule>
  </conditionalFormatting>
  <conditionalFormatting sqref="AH31">
    <cfRule type="cellIs" dxfId="125" priority="81" stopIfTrue="1" operator="lessThanOrEqual">
      <formula>0</formula>
    </cfRule>
  </conditionalFormatting>
  <conditionalFormatting sqref="AJ31">
    <cfRule type="cellIs" dxfId="124" priority="80" stopIfTrue="1" operator="lessThanOrEqual">
      <formula>0</formula>
    </cfRule>
  </conditionalFormatting>
  <conditionalFormatting sqref="AC31">
    <cfRule type="cellIs" dxfId="123" priority="86" stopIfTrue="1" operator="lessThanOrEqual">
      <formula>0</formula>
    </cfRule>
  </conditionalFormatting>
  <conditionalFormatting sqref="X31">
    <cfRule type="cellIs" dxfId="122" priority="87" stopIfTrue="1" operator="lessThanOrEqual">
      <formula>0</formula>
    </cfRule>
  </conditionalFormatting>
  <conditionalFormatting sqref="AD31">
    <cfRule type="cellIs" dxfId="121" priority="85" stopIfTrue="1" operator="lessThanOrEqual">
      <formula>0</formula>
    </cfRule>
  </conditionalFormatting>
  <conditionalFormatting sqref="AE31">
    <cfRule type="cellIs" dxfId="120" priority="84" stopIfTrue="1" operator="lessThanOrEqual">
      <formula>0</formula>
    </cfRule>
  </conditionalFormatting>
  <conditionalFormatting sqref="AF31">
    <cfRule type="cellIs" dxfId="119" priority="83" stopIfTrue="1" operator="lessThanOrEqual">
      <formula>0</formula>
    </cfRule>
  </conditionalFormatting>
  <conditionalFormatting sqref="AG31">
    <cfRule type="cellIs" dxfId="118" priority="82" stopIfTrue="1" operator="lessThanOrEqual">
      <formula>0</formula>
    </cfRule>
  </conditionalFormatting>
  <conditionalFormatting sqref="AI31">
    <cfRule type="cellIs" dxfId="117" priority="78" stopIfTrue="1" operator="lessThanOrEqual">
      <formula>0</formula>
    </cfRule>
  </conditionalFormatting>
  <conditionalFormatting sqref="F18">
    <cfRule type="cellIs" dxfId="116" priority="77" stopIfTrue="1" operator="lessThanOrEqual">
      <formula>0</formula>
    </cfRule>
  </conditionalFormatting>
  <conditionalFormatting sqref="Y29">
    <cfRule type="cellIs" dxfId="115" priority="73" stopIfTrue="1" operator="lessThanOrEqual">
      <formula>0</formula>
    </cfRule>
  </conditionalFormatting>
  <conditionalFormatting sqref="X18:Y18">
    <cfRule type="cellIs" dxfId="114" priority="72" stopIfTrue="1" operator="lessThanOrEqual">
      <formula>0</formula>
    </cfRule>
  </conditionalFormatting>
  <conditionalFormatting sqref="AC18:AH18">
    <cfRule type="cellIs" dxfId="113" priority="71" stopIfTrue="1" operator="lessThanOrEqual">
      <formula>0</formula>
    </cfRule>
  </conditionalFormatting>
  <conditionalFormatting sqref="AI18">
    <cfRule type="cellIs" dxfId="112" priority="70" stopIfTrue="1" operator="lessThanOrEqual">
      <formula>0</formula>
    </cfRule>
  </conditionalFormatting>
  <conditionalFormatting sqref="AM18">
    <cfRule type="cellIs" dxfId="111" priority="67" stopIfTrue="1" operator="lessThanOrEqual">
      <formula>0</formula>
    </cfRule>
  </conditionalFormatting>
  <conditionalFormatting sqref="AM31">
    <cfRule type="cellIs" dxfId="110" priority="66" stopIfTrue="1" operator="lessThanOrEqual">
      <formula>0</formula>
    </cfRule>
  </conditionalFormatting>
  <conditionalFormatting sqref="AM28">
    <cfRule type="cellIs" dxfId="109" priority="63" stopIfTrue="1" operator="lessThanOrEqual">
      <formula>0</formula>
    </cfRule>
  </conditionalFormatting>
  <conditionalFormatting sqref="F29">
    <cfRule type="cellIs" dxfId="108" priority="62" stopIfTrue="1" operator="lessThanOrEqual">
      <formula>0</formula>
    </cfRule>
  </conditionalFormatting>
  <conditionalFormatting sqref="X29">
    <cfRule type="cellIs" dxfId="107" priority="61" stopIfTrue="1" operator="lessThanOrEqual">
      <formula>0</formula>
    </cfRule>
  </conditionalFormatting>
  <conditionalFormatting sqref="F28">
    <cfRule type="cellIs" dxfId="106" priority="59" stopIfTrue="1" operator="lessThanOrEqual">
      <formula>0</formula>
    </cfRule>
  </conditionalFormatting>
  <conditionalFormatting sqref="AM29">
    <cfRule type="cellIs" dxfId="105" priority="56" stopIfTrue="1" operator="lessThanOrEqual">
      <formula>0</formula>
    </cfRule>
  </conditionalFormatting>
  <conditionalFormatting sqref="AC29:AH29">
    <cfRule type="cellIs" dxfId="104" priority="55" stopIfTrue="1" operator="lessThanOrEqual">
      <formula>0</formula>
    </cfRule>
  </conditionalFormatting>
  <conditionalFormatting sqref="AI29">
    <cfRule type="cellIs" dxfId="103" priority="54" stopIfTrue="1" operator="lessThanOrEqual">
      <formula>0</formula>
    </cfRule>
  </conditionalFormatting>
  <conditionalFormatting sqref="F30">
    <cfRule type="cellIs" dxfId="102" priority="53" stopIfTrue="1" operator="lessThanOrEqual">
      <formula>0</formula>
    </cfRule>
  </conditionalFormatting>
  <conditionalFormatting sqref="F15">
    <cfRule type="cellIs" dxfId="101" priority="52" stopIfTrue="1" operator="lessThanOrEqual">
      <formula>0</formula>
    </cfRule>
  </conditionalFormatting>
  <conditionalFormatting sqref="X15:Y15">
    <cfRule type="cellIs" dxfId="100" priority="51" stopIfTrue="1" operator="lessThanOrEqual">
      <formula>0</formula>
    </cfRule>
  </conditionalFormatting>
  <conditionalFormatting sqref="X30">
    <cfRule type="cellIs" dxfId="99" priority="50" stopIfTrue="1" operator="lessThanOrEqual">
      <formula>0</formula>
    </cfRule>
  </conditionalFormatting>
  <conditionalFormatting sqref="AC15:AH15">
    <cfRule type="cellIs" dxfId="98" priority="49" stopIfTrue="1" operator="lessThanOrEqual">
      <formula>0</formula>
    </cfRule>
  </conditionalFormatting>
  <conditionalFormatting sqref="AC30:AH30">
    <cfRule type="cellIs" dxfId="97" priority="48" stopIfTrue="1" operator="lessThanOrEqual">
      <formula>0</formula>
    </cfRule>
  </conditionalFormatting>
  <conditionalFormatting sqref="AM30">
    <cfRule type="cellIs" dxfId="96" priority="47" stopIfTrue="1" operator="lessThanOrEqual">
      <formula>0</formula>
    </cfRule>
  </conditionalFormatting>
  <conditionalFormatting sqref="X19:Y19">
    <cfRule type="cellIs" dxfId="95" priority="46" stopIfTrue="1" operator="lessThanOrEqual">
      <formula>0</formula>
    </cfRule>
  </conditionalFormatting>
  <conditionalFormatting sqref="AC19:AH19">
    <cfRule type="cellIs" dxfId="94" priority="45" stopIfTrue="1" operator="lessThanOrEqual">
      <formula>0</formula>
    </cfRule>
  </conditionalFormatting>
  <conditionalFormatting sqref="AM19">
    <cfRule type="cellIs" dxfId="93" priority="44" stopIfTrue="1" operator="lessThanOrEqual">
      <formula>0</formula>
    </cfRule>
  </conditionalFormatting>
  <conditionalFormatting sqref="X25:Y25">
    <cfRule type="cellIs" dxfId="92" priority="43" stopIfTrue="1" operator="lessThanOrEqual">
      <formula>0</formula>
    </cfRule>
  </conditionalFormatting>
  <conditionalFormatting sqref="AJ25">
    <cfRule type="cellIs" dxfId="91" priority="42" stopIfTrue="1" operator="lessThanOrEqual">
      <formula>0</formula>
    </cfRule>
  </conditionalFormatting>
  <conditionalFormatting sqref="AI25">
    <cfRule type="cellIs" dxfId="90" priority="41" stopIfTrue="1" operator="lessThanOrEqual">
      <formula>0</formula>
    </cfRule>
  </conditionalFormatting>
  <conditionalFormatting sqref="AC25:AH25">
    <cfRule type="cellIs" dxfId="89" priority="40" stopIfTrue="1" operator="lessThanOrEqual">
      <formula>0</formula>
    </cfRule>
  </conditionalFormatting>
  <conditionalFormatting sqref="AM25">
    <cfRule type="cellIs" dxfId="88" priority="39" stopIfTrue="1" operator="lessThanOrEqual">
      <formula>0</formula>
    </cfRule>
  </conditionalFormatting>
  <conditionalFormatting sqref="G27">
    <cfRule type="cellIs" dxfId="87" priority="38" stopIfTrue="1" operator="lessThanOrEqual">
      <formula>0</formula>
    </cfRule>
  </conditionalFormatting>
  <conditionalFormatting sqref="H27">
    <cfRule type="cellIs" dxfId="86" priority="37" stopIfTrue="1" operator="lessThanOrEqual">
      <formula>0</formula>
    </cfRule>
  </conditionalFormatting>
  <conditionalFormatting sqref="I27">
    <cfRule type="cellIs" dxfId="85" priority="36" stopIfTrue="1" operator="lessThanOrEqual">
      <formula>0</formula>
    </cfRule>
  </conditionalFormatting>
  <conditionalFormatting sqref="K27">
    <cfRule type="cellIs" dxfId="84" priority="35" stopIfTrue="1" operator="lessThanOrEqual">
      <formula>0</formula>
    </cfRule>
  </conditionalFormatting>
  <conditionalFormatting sqref="F27">
    <cfRule type="cellIs" dxfId="83" priority="34" stopIfTrue="1" operator="lessThanOrEqual">
      <formula>0</formula>
    </cfRule>
  </conditionalFormatting>
  <conditionalFormatting sqref="G23">
    <cfRule type="cellIs" dxfId="82" priority="28" stopIfTrue="1" operator="lessThanOrEqual">
      <formula>0</formula>
    </cfRule>
  </conditionalFormatting>
  <conditionalFormatting sqref="H23">
    <cfRule type="cellIs" dxfId="81" priority="27" stopIfTrue="1" operator="lessThanOrEqual">
      <formula>0</formula>
    </cfRule>
  </conditionalFormatting>
  <conditionalFormatting sqref="I23">
    <cfRule type="cellIs" dxfId="80" priority="26" stopIfTrue="1" operator="lessThanOrEqual">
      <formula>0</formula>
    </cfRule>
  </conditionalFormatting>
  <conditionalFormatting sqref="K23">
    <cfRule type="cellIs" dxfId="79" priority="25" stopIfTrue="1" operator="lessThanOrEqual">
      <formula>0</formula>
    </cfRule>
  </conditionalFormatting>
  <conditionalFormatting sqref="F23">
    <cfRule type="cellIs" dxfId="78" priority="24" stopIfTrue="1" operator="lessThanOrEqual">
      <formula>0</formula>
    </cfRule>
  </conditionalFormatting>
  <conditionalFormatting sqref="X23:Y23">
    <cfRule type="cellIs" dxfId="77" priority="23" stopIfTrue="1" operator="lessThanOrEqual">
      <formula>0</formula>
    </cfRule>
  </conditionalFormatting>
  <conditionalFormatting sqref="AJ23">
    <cfRule type="cellIs" dxfId="76" priority="22" stopIfTrue="1" operator="lessThanOrEqual">
      <formula>0</formula>
    </cfRule>
  </conditionalFormatting>
  <conditionalFormatting sqref="AI23">
    <cfRule type="cellIs" dxfId="75" priority="21" stopIfTrue="1" operator="lessThanOrEqual">
      <formula>0</formula>
    </cfRule>
  </conditionalFormatting>
  <conditionalFormatting sqref="AC23:AH23">
    <cfRule type="cellIs" dxfId="74" priority="20" stopIfTrue="1" operator="lessThanOrEqual">
      <formula>0</formula>
    </cfRule>
  </conditionalFormatting>
  <conditionalFormatting sqref="AM23">
    <cfRule type="cellIs" dxfId="73" priority="19" stopIfTrue="1" operator="lessThanOrEqual">
      <formula>0</formula>
    </cfRule>
  </conditionalFormatting>
  <conditionalFormatting sqref="Y27">
    <cfRule type="cellIs" dxfId="72" priority="18" stopIfTrue="1" operator="lessThanOrEqual">
      <formula>0</formula>
    </cfRule>
  </conditionalFormatting>
  <conditionalFormatting sqref="X27">
    <cfRule type="cellIs" dxfId="71" priority="17" stopIfTrue="1" operator="lessThanOrEqual">
      <formula>0</formula>
    </cfRule>
  </conditionalFormatting>
  <conditionalFormatting sqref="AG27">
    <cfRule type="cellIs" dxfId="70" priority="11" stopIfTrue="1" operator="lessThanOrEqual">
      <formula>0</formula>
    </cfRule>
  </conditionalFormatting>
  <conditionalFormatting sqref="AH27">
    <cfRule type="cellIs" dxfId="69" priority="10" stopIfTrue="1" operator="lessThanOrEqual">
      <formula>0</formula>
    </cfRule>
  </conditionalFormatting>
  <conditionalFormatting sqref="AM27">
    <cfRule type="cellIs" dxfId="68" priority="16" stopIfTrue="1" operator="lessThanOrEqual">
      <formula>0</formula>
    </cfRule>
  </conditionalFormatting>
  <conditionalFormatting sqref="AC27">
    <cfRule type="cellIs" dxfId="67" priority="15" stopIfTrue="1" operator="lessThanOrEqual">
      <formula>0</formula>
    </cfRule>
  </conditionalFormatting>
  <conditionalFormatting sqref="AD27">
    <cfRule type="cellIs" dxfId="66" priority="14" stopIfTrue="1" operator="lessThanOrEqual">
      <formula>0</formula>
    </cfRule>
  </conditionalFormatting>
  <conditionalFormatting sqref="AE27">
    <cfRule type="cellIs" dxfId="65" priority="13" stopIfTrue="1" operator="lessThanOrEqual">
      <formula>0</formula>
    </cfRule>
  </conditionalFormatting>
  <conditionalFormatting sqref="AF27">
    <cfRule type="cellIs" dxfId="64" priority="12" stopIfTrue="1" operator="lessThanOrEqual">
      <formula>0</formula>
    </cfRule>
  </conditionalFormatting>
  <conditionalFormatting sqref="AJ27">
    <cfRule type="cellIs" dxfId="63" priority="9" stopIfTrue="1" operator="lessThanOrEqual">
      <formula>0</formula>
    </cfRule>
  </conditionalFormatting>
  <conditionalFormatting sqref="AI27">
    <cfRule type="cellIs" dxfId="62" priority="8" stopIfTrue="1" operator="lessThanOrEqual">
      <formula>0</formula>
    </cfRule>
  </conditionalFormatting>
  <conditionalFormatting sqref="X26:Y26">
    <cfRule type="cellIs" dxfId="61" priority="7" stopIfTrue="1" operator="lessThanOrEqual">
      <formula>0</formula>
    </cfRule>
  </conditionalFormatting>
  <conditionalFormatting sqref="X28:Y28">
    <cfRule type="cellIs" dxfId="60" priority="6" stopIfTrue="1" operator="lessThanOrEqual">
      <formula>0</formula>
    </cfRule>
  </conditionalFormatting>
  <conditionalFormatting sqref="AJ26">
    <cfRule type="cellIs" dxfId="59" priority="5" stopIfTrue="1" operator="lessThanOrEqual">
      <formula>0</formula>
    </cfRule>
  </conditionalFormatting>
  <conditionalFormatting sqref="AM26">
    <cfRule type="cellIs" dxfId="58" priority="4" stopIfTrue="1" operator="lessThanOrEqual">
      <formula>0</formula>
    </cfRule>
  </conditionalFormatting>
  <conditionalFormatting sqref="AC26:AH26">
    <cfRule type="cellIs" dxfId="57" priority="3" stopIfTrue="1" operator="lessThanOrEqual">
      <formula>0</formula>
    </cfRule>
  </conditionalFormatting>
  <conditionalFormatting sqref="AI26">
    <cfRule type="cellIs" dxfId="56" priority="2" stopIfTrue="1" operator="lessThanOrEqual">
      <formula>0</formula>
    </cfRule>
  </conditionalFormatting>
  <conditionalFormatting sqref="AC28:AH28">
    <cfRule type="cellIs" dxfId="55" priority="1" stopIfTrue="1" operator="lessThanOrEqual">
      <formula>0</formula>
    </cfRule>
  </conditionalFormatting>
  <pageMargins left="0.1631496062992126" right="0.1631496062992126" top="0.8" bottom="1" header="0.5" footer="0.5"/>
  <pageSetup paperSize="9" scale="46" orientation="landscape"/>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pageSetUpPr fitToPage="1"/>
  </sheetPr>
  <dimension ref="B1:I215"/>
  <sheetViews>
    <sheetView showGridLines="0" showZeros="0" showOutlineSymbols="0" zoomScaleSheetLayoutView="75" workbookViewId="0"/>
  </sheetViews>
  <sheetFormatPr baseColWidth="10" defaultRowHeight="13" zeroHeight="1" x14ac:dyDescent="0"/>
  <cols>
    <col min="1" max="1" width="6.140625" style="60" customWidth="1"/>
    <col min="2" max="2" width="40.85546875" style="60" customWidth="1"/>
    <col min="3" max="3" width="32.85546875" style="60" customWidth="1"/>
    <col min="4" max="4" width="15.7109375" style="60" customWidth="1"/>
    <col min="5" max="5" width="16.7109375" style="60" customWidth="1"/>
    <col min="6" max="7" width="15.7109375" style="60" customWidth="1"/>
    <col min="8" max="16384" width="10.7109375" style="60"/>
  </cols>
  <sheetData>
    <row r="1" spans="2:6" ht="18" customHeight="1">
      <c r="B1" s="431" t="s">
        <v>33</v>
      </c>
    </row>
    <row r="2" spans="2:6"/>
    <row r="3" spans="2:6" ht="16">
      <c r="B3" s="119" t="str">
        <f>'1.5 Opbouw uurtarieven'!C2</f>
        <v>Naam opdrachtgever</v>
      </c>
      <c r="C3" s="120" t="str">
        <f>'1.5 Opbouw uurtarieven'!D2</f>
        <v>Friesland College</v>
      </c>
      <c r="D3" s="121"/>
    </row>
    <row r="4" spans="2:6" ht="16">
      <c r="B4" s="119" t="str">
        <f>'1.5 Opbouw uurtarieven'!C3</f>
        <v>Omschrijving blad</v>
      </c>
      <c r="C4" s="119" t="s">
        <v>103</v>
      </c>
      <c r="D4" s="121"/>
    </row>
    <row r="5" spans="2:6" ht="16">
      <c r="B5" s="119" t="str">
        <f>'1.5 Opbouw uurtarieven'!C4</f>
        <v>Adres/plaats</v>
      </c>
      <c r="C5" s="120" t="str">
        <f>'1.5 Opbouw uurtarieven'!D4</f>
        <v>Diverse locaties Leeuwarden e.o.</v>
      </c>
      <c r="D5" s="76"/>
      <c r="E5" s="76"/>
    </row>
    <row r="6" spans="2:6" ht="16">
      <c r="B6" s="119" t="str">
        <f>'1.5 Opbouw uurtarieven'!C5</f>
        <v>Besteknummer</v>
      </c>
      <c r="C6" s="120" t="str">
        <f>'1.5 Opbouw uurtarieven'!D5</f>
        <v>0601-36-2013 Perceel 2</v>
      </c>
      <c r="D6" s="121"/>
    </row>
    <row r="7" spans="2:6" ht="16">
      <c r="B7" s="119" t="str">
        <f>'1.5 Opbouw uurtarieven'!C6</f>
        <v>Naam leverancier</v>
      </c>
      <c r="C7" s="120" t="str">
        <f>'1.5 Opbouw uurtarieven'!D6</f>
        <v>(Invoer naam Inschrijver)</v>
      </c>
      <c r="D7" s="121"/>
    </row>
    <row r="8" spans="2:6" ht="16">
      <c r="B8" s="119"/>
      <c r="C8" s="120"/>
      <c r="D8" s="121"/>
    </row>
    <row r="9" spans="2:6" ht="16">
      <c r="B9" s="72"/>
      <c r="C9" s="122"/>
      <c r="D9" s="121"/>
    </row>
    <row r="10" spans="2:6" ht="16">
      <c r="B10" s="428" t="s">
        <v>115</v>
      </c>
      <c r="C10" s="809"/>
      <c r="D10" s="809"/>
      <c r="E10" s="809"/>
      <c r="F10" s="429"/>
    </row>
    <row r="11" spans="2:6">
      <c r="B11" s="123"/>
      <c r="C11" s="123"/>
      <c r="D11" s="123"/>
      <c r="E11" s="123"/>
    </row>
    <row r="12" spans="2:6" ht="15.75" customHeight="1">
      <c r="B12" s="49" t="s">
        <v>116</v>
      </c>
      <c r="C12" s="810" t="s">
        <v>1045</v>
      </c>
      <c r="D12" s="811"/>
      <c r="E12" s="812"/>
    </row>
    <row r="13" spans="2:6">
      <c r="B13" s="414" t="s">
        <v>55</v>
      </c>
      <c r="C13" s="810"/>
      <c r="D13" s="811"/>
      <c r="E13" s="812"/>
    </row>
    <row r="14" spans="2:6">
      <c r="B14" s="124"/>
      <c r="C14" s="51"/>
      <c r="D14" s="126"/>
      <c r="E14" s="430"/>
    </row>
    <row r="15" spans="2:6" ht="16">
      <c r="B15" s="49" t="s">
        <v>155</v>
      </c>
      <c r="C15" s="51"/>
      <c r="D15" s="416"/>
      <c r="E15" s="417" t="s">
        <v>204</v>
      </c>
    </row>
    <row r="16" spans="2:6">
      <c r="B16" s="124" t="s">
        <v>121</v>
      </c>
      <c r="C16" s="51"/>
      <c r="D16" s="51"/>
      <c r="E16" s="418"/>
    </row>
    <row r="17" spans="2:5">
      <c r="B17" s="124" t="s">
        <v>60</v>
      </c>
      <c r="C17" s="51"/>
      <c r="D17" s="51"/>
      <c r="E17" s="418">
        <v>0</v>
      </c>
    </row>
    <row r="18" spans="2:5">
      <c r="B18" s="124" t="s">
        <v>190</v>
      </c>
      <c r="C18" s="51"/>
      <c r="D18" s="51"/>
      <c r="E18" s="505">
        <f>E16-E17</f>
        <v>0</v>
      </c>
    </row>
    <row r="19" spans="2:5">
      <c r="B19" s="124" t="s">
        <v>146</v>
      </c>
      <c r="C19" s="51"/>
      <c r="D19" s="51"/>
      <c r="E19" s="516"/>
    </row>
    <row r="20" spans="2:5">
      <c r="B20" s="124" t="s">
        <v>192</v>
      </c>
      <c r="C20" s="51"/>
      <c r="D20" s="51"/>
      <c r="E20" s="418">
        <v>0</v>
      </c>
    </row>
    <row r="21" spans="2:5">
      <c r="B21" s="124"/>
      <c r="C21" s="51"/>
      <c r="D21" s="126"/>
      <c r="E21" s="420"/>
    </row>
    <row r="22" spans="2:5">
      <c r="B22" s="49" t="s">
        <v>104</v>
      </c>
      <c r="C22" s="51"/>
      <c r="D22" s="51"/>
      <c r="E22" s="421"/>
    </row>
    <row r="23" spans="2:5">
      <c r="B23" s="124" t="s">
        <v>197</v>
      </c>
      <c r="C23" s="51"/>
      <c r="D23" s="51"/>
      <c r="E23" s="506">
        <f>IF(E19=0,0,(E18-E20)/E19)</f>
        <v>0</v>
      </c>
    </row>
    <row r="24" spans="2:5">
      <c r="B24" s="124" t="s">
        <v>214</v>
      </c>
      <c r="C24" s="51"/>
      <c r="D24" s="51"/>
      <c r="E24" s="418"/>
    </row>
    <row r="25" spans="2:5">
      <c r="B25" s="124" t="s">
        <v>52</v>
      </c>
      <c r="C25" s="415" t="s">
        <v>46</v>
      </c>
      <c r="D25" s="419"/>
      <c r="E25" s="507">
        <f>D25*E18</f>
        <v>0</v>
      </c>
    </row>
    <row r="26" spans="2:5">
      <c r="B26" s="124" t="s">
        <v>128</v>
      </c>
      <c r="C26" s="415" t="s">
        <v>46</v>
      </c>
      <c r="D26" s="419"/>
      <c r="E26" s="508">
        <f>D26*E18</f>
        <v>0</v>
      </c>
    </row>
    <row r="27" spans="2:5">
      <c r="B27" s="124"/>
      <c r="C27" s="51"/>
      <c r="D27" s="126"/>
      <c r="E27" s="415"/>
    </row>
    <row r="28" spans="2:5">
      <c r="B28" s="49" t="s">
        <v>95</v>
      </c>
      <c r="C28" s="51"/>
      <c r="D28" s="51"/>
      <c r="E28" s="509">
        <f>SUM(E23:E27)</f>
        <v>0</v>
      </c>
    </row>
    <row r="29" spans="2:5">
      <c r="B29" s="124"/>
      <c r="C29" s="51"/>
      <c r="D29" s="126"/>
      <c r="E29" s="415"/>
    </row>
    <row r="30" spans="2:5">
      <c r="B30" s="124" t="s">
        <v>194</v>
      </c>
      <c r="C30" s="51"/>
      <c r="D30" s="427">
        <v>2</v>
      </c>
      <c r="E30" s="509">
        <f>D30*E28</f>
        <v>0</v>
      </c>
    </row>
    <row r="31" spans="2:5" ht="16">
      <c r="B31" s="72"/>
      <c r="C31" s="122"/>
      <c r="D31" s="121"/>
      <c r="E31" s="121"/>
    </row>
    <row r="32" spans="2:5">
      <c r="B32" s="49" t="s">
        <v>116</v>
      </c>
      <c r="C32" s="810"/>
      <c r="D32" s="811"/>
      <c r="E32" s="812"/>
    </row>
    <row r="33" spans="2:9">
      <c r="B33" s="414" t="s">
        <v>55</v>
      </c>
      <c r="C33" s="810"/>
      <c r="D33" s="811"/>
      <c r="E33" s="812"/>
    </row>
    <row r="34" spans="2:9">
      <c r="B34" s="124"/>
      <c r="C34" s="51"/>
      <c r="D34" s="126"/>
      <c r="E34" s="430"/>
    </row>
    <row r="35" spans="2:9" ht="16">
      <c r="B35" s="49" t="s">
        <v>155</v>
      </c>
      <c r="C35" s="51"/>
      <c r="D35" s="416"/>
      <c r="E35" s="417" t="s">
        <v>204</v>
      </c>
    </row>
    <row r="36" spans="2:9">
      <c r="B36" s="124" t="s">
        <v>121</v>
      </c>
      <c r="C36" s="51"/>
      <c r="D36" s="51"/>
      <c r="E36" s="418">
        <v>0</v>
      </c>
      <c r="I36" s="94"/>
    </row>
    <row r="37" spans="2:9">
      <c r="B37" s="124" t="s">
        <v>60</v>
      </c>
      <c r="C37" s="51"/>
      <c r="D37" s="51"/>
      <c r="E37" s="418">
        <v>0</v>
      </c>
    </row>
    <row r="38" spans="2:9">
      <c r="B38" s="124" t="s">
        <v>190</v>
      </c>
      <c r="C38" s="51"/>
      <c r="D38" s="51"/>
      <c r="E38" s="505">
        <f>E36-E37</f>
        <v>0</v>
      </c>
    </row>
    <row r="39" spans="2:9">
      <c r="B39" s="124" t="s">
        <v>146</v>
      </c>
      <c r="C39" s="51"/>
      <c r="D39" s="51"/>
      <c r="E39" s="516"/>
    </row>
    <row r="40" spans="2:9">
      <c r="B40" s="124" t="s">
        <v>192</v>
      </c>
      <c r="C40" s="51"/>
      <c r="D40" s="51"/>
      <c r="E40" s="418">
        <v>0</v>
      </c>
    </row>
    <row r="41" spans="2:9">
      <c r="B41" s="124"/>
      <c r="C41" s="51"/>
      <c r="D41" s="126"/>
      <c r="E41" s="420"/>
    </row>
    <row r="42" spans="2:9">
      <c r="B42" s="49" t="s">
        <v>104</v>
      </c>
      <c r="C42" s="51"/>
      <c r="D42" s="51"/>
      <c r="E42" s="421"/>
    </row>
    <row r="43" spans="2:9">
      <c r="B43" s="124" t="s">
        <v>197</v>
      </c>
      <c r="C43" s="51"/>
      <c r="D43" s="51"/>
      <c r="E43" s="506">
        <f>IF(E39=0,0,(E38-E40)/E39)</f>
        <v>0</v>
      </c>
    </row>
    <row r="44" spans="2:9">
      <c r="B44" s="124" t="s">
        <v>214</v>
      </c>
      <c r="C44" s="51"/>
      <c r="D44" s="51"/>
      <c r="E44" s="418">
        <v>0</v>
      </c>
    </row>
    <row r="45" spans="2:9">
      <c r="B45" s="124" t="s">
        <v>52</v>
      </c>
      <c r="C45" s="415" t="s">
        <v>46</v>
      </c>
      <c r="D45" s="419"/>
      <c r="E45" s="507">
        <f>D45*E38</f>
        <v>0</v>
      </c>
    </row>
    <row r="46" spans="2:9">
      <c r="B46" s="124" t="s">
        <v>128</v>
      </c>
      <c r="C46" s="415" t="s">
        <v>46</v>
      </c>
      <c r="D46" s="419">
        <v>0</v>
      </c>
      <c r="E46" s="508">
        <f>D46*E38</f>
        <v>0</v>
      </c>
    </row>
    <row r="47" spans="2:9">
      <c r="B47" s="124"/>
      <c r="C47" s="51"/>
      <c r="D47" s="126"/>
      <c r="E47" s="415"/>
    </row>
    <row r="48" spans="2:9">
      <c r="B48" s="49" t="s">
        <v>95</v>
      </c>
      <c r="C48" s="51"/>
      <c r="D48" s="51"/>
      <c r="E48" s="509">
        <f>SUM(E43:E47)</f>
        <v>0</v>
      </c>
    </row>
    <row r="49" spans="2:5">
      <c r="B49" s="124"/>
      <c r="C49" s="51"/>
      <c r="D49" s="126"/>
      <c r="E49" s="415"/>
    </row>
    <row r="50" spans="2:5">
      <c r="B50" s="124" t="s">
        <v>194</v>
      </c>
      <c r="C50" s="51"/>
      <c r="D50" s="427"/>
      <c r="E50" s="509">
        <f>D50*E48</f>
        <v>0</v>
      </c>
    </row>
    <row r="51" spans="2:5" ht="16">
      <c r="B51" s="72"/>
      <c r="C51" s="122"/>
      <c r="D51" s="121"/>
      <c r="E51" s="121"/>
    </row>
    <row r="52" spans="2:5">
      <c r="B52" s="49" t="s">
        <v>116</v>
      </c>
      <c r="C52" s="810" t="s">
        <v>335</v>
      </c>
      <c r="D52" s="811"/>
      <c r="E52" s="812"/>
    </row>
    <row r="53" spans="2:5">
      <c r="B53" s="414" t="s">
        <v>55</v>
      </c>
      <c r="C53" s="810"/>
      <c r="D53" s="811"/>
      <c r="E53" s="812"/>
    </row>
    <row r="54" spans="2:5">
      <c r="B54" s="124"/>
      <c r="C54" s="51"/>
      <c r="D54" s="126"/>
      <c r="E54" s="430"/>
    </row>
    <row r="55" spans="2:5" ht="16">
      <c r="B55" s="49" t="s">
        <v>155</v>
      </c>
      <c r="C55" s="51"/>
      <c r="D55" s="416"/>
      <c r="E55" s="417" t="s">
        <v>204</v>
      </c>
    </row>
    <row r="56" spans="2:5">
      <c r="B56" s="124" t="s">
        <v>121</v>
      </c>
      <c r="C56" s="51"/>
      <c r="D56" s="51"/>
      <c r="E56" s="418"/>
    </row>
    <row r="57" spans="2:5">
      <c r="B57" s="124" t="s">
        <v>60</v>
      </c>
      <c r="C57" s="51"/>
      <c r="D57" s="51"/>
      <c r="E57" s="418">
        <v>0</v>
      </c>
    </row>
    <row r="58" spans="2:5">
      <c r="B58" s="124" t="s">
        <v>190</v>
      </c>
      <c r="C58" s="51"/>
      <c r="D58" s="51"/>
      <c r="E58" s="422">
        <f>E56-E57</f>
        <v>0</v>
      </c>
    </row>
    <row r="59" spans="2:5">
      <c r="B59" s="124" t="s">
        <v>146</v>
      </c>
      <c r="C59" s="51"/>
      <c r="D59" s="51"/>
      <c r="E59" s="516"/>
    </row>
    <row r="60" spans="2:5">
      <c r="B60" s="124" t="s">
        <v>192</v>
      </c>
      <c r="C60" s="51"/>
      <c r="D60" s="51"/>
      <c r="E60" s="418">
        <v>0</v>
      </c>
    </row>
    <row r="61" spans="2:5">
      <c r="B61" s="124"/>
      <c r="C61" s="51"/>
      <c r="D61" s="126"/>
      <c r="E61" s="420"/>
    </row>
    <row r="62" spans="2:5">
      <c r="B62" s="49" t="s">
        <v>104</v>
      </c>
      <c r="C62" s="51"/>
      <c r="D62" s="51"/>
      <c r="E62" s="421"/>
    </row>
    <row r="63" spans="2:5">
      <c r="B63" s="124" t="s">
        <v>197</v>
      </c>
      <c r="C63" s="51"/>
      <c r="D63" s="51"/>
      <c r="E63" s="423">
        <f>IF(E59=0,0,(E58-E60)/E59)</f>
        <v>0</v>
      </c>
    </row>
    <row r="64" spans="2:5">
      <c r="B64" s="124" t="s">
        <v>214</v>
      </c>
      <c r="C64" s="51"/>
      <c r="D64" s="51"/>
      <c r="E64" s="418"/>
    </row>
    <row r="65" spans="2:5">
      <c r="B65" s="124" t="s">
        <v>52</v>
      </c>
      <c r="C65" s="415" t="s">
        <v>46</v>
      </c>
      <c r="D65" s="419"/>
      <c r="E65" s="424">
        <f>D65*E58</f>
        <v>0</v>
      </c>
    </row>
    <row r="66" spans="2:5">
      <c r="B66" s="124" t="s">
        <v>128</v>
      </c>
      <c r="C66" s="415" t="s">
        <v>46</v>
      </c>
      <c r="D66" s="419"/>
      <c r="E66" s="425">
        <f>D66*E58</f>
        <v>0</v>
      </c>
    </row>
    <row r="67" spans="2:5">
      <c r="B67" s="124"/>
      <c r="C67" s="51"/>
      <c r="D67" s="126"/>
      <c r="E67" s="415"/>
    </row>
    <row r="68" spans="2:5">
      <c r="B68" s="49" t="s">
        <v>95</v>
      </c>
      <c r="C68" s="51"/>
      <c r="D68" s="51"/>
      <c r="E68" s="426">
        <f>SUM(E63:E67)</f>
        <v>0</v>
      </c>
    </row>
    <row r="69" spans="2:5">
      <c r="B69" s="124"/>
      <c r="C69" s="51"/>
      <c r="D69" s="126"/>
      <c r="E69" s="415"/>
    </row>
    <row r="70" spans="2:5">
      <c r="B70" s="124" t="s">
        <v>194</v>
      </c>
      <c r="C70" s="51"/>
      <c r="D70" s="427">
        <v>2</v>
      </c>
      <c r="E70" s="426">
        <f>D70*E68</f>
        <v>0</v>
      </c>
    </row>
    <row r="71" spans="2:5" ht="16">
      <c r="B71" s="72"/>
      <c r="C71" s="122"/>
      <c r="D71" s="121"/>
      <c r="E71" s="121"/>
    </row>
    <row r="72" spans="2:5">
      <c r="B72" s="49" t="s">
        <v>116</v>
      </c>
      <c r="C72" s="810"/>
      <c r="D72" s="811"/>
      <c r="E72" s="812"/>
    </row>
    <row r="73" spans="2:5">
      <c r="B73" s="414" t="s">
        <v>55</v>
      </c>
      <c r="C73" s="810"/>
      <c r="D73" s="811"/>
      <c r="E73" s="812"/>
    </row>
    <row r="74" spans="2:5">
      <c r="B74" s="124"/>
      <c r="C74" s="51"/>
      <c r="D74" s="126"/>
      <c r="E74" s="430"/>
    </row>
    <row r="75" spans="2:5" ht="16">
      <c r="B75" s="49" t="s">
        <v>155</v>
      </c>
      <c r="C75" s="51"/>
      <c r="D75" s="416"/>
      <c r="E75" s="417" t="s">
        <v>204</v>
      </c>
    </row>
    <row r="76" spans="2:5">
      <c r="B76" s="124" t="s">
        <v>121</v>
      </c>
      <c r="C76" s="51"/>
      <c r="D76" s="51"/>
      <c r="E76" s="418">
        <v>0</v>
      </c>
    </row>
    <row r="77" spans="2:5">
      <c r="B77" s="124" t="s">
        <v>60</v>
      </c>
      <c r="C77" s="51"/>
      <c r="D77" s="51"/>
      <c r="E77" s="418">
        <v>0</v>
      </c>
    </row>
    <row r="78" spans="2:5">
      <c r="B78" s="124" t="s">
        <v>190</v>
      </c>
      <c r="C78" s="51"/>
      <c r="D78" s="51"/>
      <c r="E78" s="422">
        <f>E76-E77</f>
        <v>0</v>
      </c>
    </row>
    <row r="79" spans="2:5">
      <c r="B79" s="124" t="s">
        <v>146</v>
      </c>
      <c r="C79" s="51"/>
      <c r="D79" s="51"/>
      <c r="E79" s="418">
        <v>0</v>
      </c>
    </row>
    <row r="80" spans="2:5">
      <c r="B80" s="124" t="s">
        <v>192</v>
      </c>
      <c r="C80" s="51"/>
      <c r="D80" s="51"/>
      <c r="E80" s="418">
        <v>0</v>
      </c>
    </row>
    <row r="81" spans="2:5">
      <c r="B81" s="124"/>
      <c r="C81" s="51"/>
      <c r="D81" s="126"/>
      <c r="E81" s="420"/>
    </row>
    <row r="82" spans="2:5">
      <c r="B82" s="49" t="s">
        <v>104</v>
      </c>
      <c r="C82" s="51"/>
      <c r="D82" s="51"/>
      <c r="E82" s="421"/>
    </row>
    <row r="83" spans="2:5">
      <c r="B83" s="124" t="s">
        <v>197</v>
      </c>
      <c r="C83" s="51"/>
      <c r="D83" s="51"/>
      <c r="E83" s="423">
        <f>IF(E79=0,0,(E78-E80)/E79)</f>
        <v>0</v>
      </c>
    </row>
    <row r="84" spans="2:5">
      <c r="B84" s="124" t="s">
        <v>214</v>
      </c>
      <c r="C84" s="51"/>
      <c r="D84" s="51"/>
      <c r="E84" s="418">
        <v>0</v>
      </c>
    </row>
    <row r="85" spans="2:5">
      <c r="B85" s="124" t="s">
        <v>52</v>
      </c>
      <c r="C85" s="415" t="s">
        <v>46</v>
      </c>
      <c r="D85" s="419">
        <v>0</v>
      </c>
      <c r="E85" s="424">
        <f>D85*E78</f>
        <v>0</v>
      </c>
    </row>
    <row r="86" spans="2:5">
      <c r="B86" s="124" t="s">
        <v>128</v>
      </c>
      <c r="C86" s="415" t="s">
        <v>46</v>
      </c>
      <c r="D86" s="419">
        <v>0</v>
      </c>
      <c r="E86" s="425">
        <f>D86*E78</f>
        <v>0</v>
      </c>
    </row>
    <row r="87" spans="2:5">
      <c r="B87" s="124"/>
      <c r="C87" s="51"/>
      <c r="D87" s="126"/>
      <c r="E87" s="415"/>
    </row>
    <row r="88" spans="2:5">
      <c r="B88" s="49" t="s">
        <v>95</v>
      </c>
      <c r="C88" s="51"/>
      <c r="D88" s="51"/>
      <c r="E88" s="426">
        <f>SUM(E83:E87)</f>
        <v>0</v>
      </c>
    </row>
    <row r="89" spans="2:5">
      <c r="B89" s="124"/>
      <c r="C89" s="51"/>
      <c r="D89" s="126"/>
      <c r="E89" s="415"/>
    </row>
    <row r="90" spans="2:5">
      <c r="B90" s="124" t="s">
        <v>194</v>
      </c>
      <c r="C90" s="51"/>
      <c r="D90" s="427">
        <v>0</v>
      </c>
      <c r="E90" s="426">
        <f>D90*E88</f>
        <v>0</v>
      </c>
    </row>
    <row r="91" spans="2:5" ht="16">
      <c r="B91" s="72"/>
      <c r="C91" s="122"/>
      <c r="D91" s="121"/>
      <c r="E91" s="121"/>
    </row>
    <row r="92" spans="2:5">
      <c r="B92" s="124"/>
      <c r="C92" s="51"/>
      <c r="D92" s="51"/>
      <c r="E92" s="127"/>
    </row>
    <row r="93" spans="2:5">
      <c r="B93" s="49" t="s">
        <v>169</v>
      </c>
      <c r="C93" s="435" t="s">
        <v>102</v>
      </c>
      <c r="D93" s="125"/>
      <c r="E93" s="434">
        <f>(E90+E70+E50+E30)+((E90+E70+E50+E30))</f>
        <v>0</v>
      </c>
    </row>
    <row r="94" spans="2:5"/>
    <row r="95" spans="2:5"/>
    <row r="96" spans="2:5">
      <c r="C96" s="94" t="s">
        <v>216</v>
      </c>
    </row>
    <row r="97" spans="2:5">
      <c r="B97" s="118" t="str">
        <f>'1.1-Jaarprijzen'!B11</f>
        <v>Abe Lenstra Boulevard 29, Heerenveen</v>
      </c>
      <c r="C97" s="432"/>
      <c r="E97" s="433">
        <f t="shared" ref="E97:E112" si="0">C97*E$93</f>
        <v>0</v>
      </c>
    </row>
    <row r="98" spans="2:5">
      <c r="B98" s="118" t="str">
        <f>'1.1-Jaarprijzen'!B12</f>
        <v>De Zwaai, Drachten</v>
      </c>
      <c r="C98" s="432"/>
      <c r="E98" s="433">
        <f t="shared" si="0"/>
        <v>0</v>
      </c>
    </row>
    <row r="99" spans="2:5">
      <c r="B99" s="118" t="str">
        <f>'1.1-Jaarprijzen'!B13</f>
        <v>Kerkstraat 51, Buitenpost</v>
      </c>
      <c r="C99" s="432"/>
      <c r="E99" s="433">
        <f t="shared" si="0"/>
        <v>0</v>
      </c>
    </row>
    <row r="100" spans="2:5">
      <c r="B100" s="118" t="str">
        <f>'1.1-Jaarprijzen'!B14</f>
        <v>Saturnus 7, Heerenveen</v>
      </c>
      <c r="C100" s="432"/>
      <c r="E100" s="433">
        <f>C100*E$93</f>
        <v>0</v>
      </c>
    </row>
    <row r="101" spans="2:5">
      <c r="B101" s="118" t="str">
        <f>'1.1-Jaarprijzen'!B15</f>
        <v>Jousterweg 28, Heerenveen</v>
      </c>
      <c r="C101" s="432"/>
      <c r="E101" s="433">
        <f>C101*E$93</f>
        <v>0</v>
      </c>
    </row>
    <row r="102" spans="2:5">
      <c r="B102" s="118" t="str">
        <f>'1.1-Jaarprijzen'!B16</f>
        <v>St Antoniusplein 5-2, Sneek</v>
      </c>
      <c r="C102" s="432"/>
      <c r="E102" s="433">
        <f>C102*E$93</f>
        <v>0</v>
      </c>
    </row>
    <row r="103" spans="2:5">
      <c r="B103" s="118"/>
      <c r="C103" s="432"/>
      <c r="E103" s="433">
        <f t="shared" si="0"/>
        <v>0</v>
      </c>
    </row>
    <row r="104" spans="2:5">
      <c r="B104" s="118"/>
      <c r="C104" s="432"/>
      <c r="E104" s="433">
        <f t="shared" si="0"/>
        <v>0</v>
      </c>
    </row>
    <row r="105" spans="2:5">
      <c r="B105" s="118"/>
      <c r="C105" s="432"/>
      <c r="E105" s="433">
        <f t="shared" si="0"/>
        <v>0</v>
      </c>
    </row>
    <row r="106" spans="2:5">
      <c r="B106" s="118"/>
      <c r="C106" s="432"/>
      <c r="E106" s="433">
        <f t="shared" si="0"/>
        <v>0</v>
      </c>
    </row>
    <row r="107" spans="2:5">
      <c r="B107" s="118"/>
      <c r="C107" s="432"/>
      <c r="E107" s="433">
        <f t="shared" si="0"/>
        <v>0</v>
      </c>
    </row>
    <row r="108" spans="2:5">
      <c r="B108" s="118"/>
      <c r="C108" s="432"/>
      <c r="E108" s="433">
        <f t="shared" si="0"/>
        <v>0</v>
      </c>
    </row>
    <row r="109" spans="2:5">
      <c r="B109" s="118"/>
      <c r="C109" s="432"/>
      <c r="E109" s="433">
        <f t="shared" si="0"/>
        <v>0</v>
      </c>
    </row>
    <row r="110" spans="2:5">
      <c r="B110" s="118"/>
      <c r="C110" s="432"/>
      <c r="E110" s="433">
        <f t="shared" si="0"/>
        <v>0</v>
      </c>
    </row>
    <row r="111" spans="2:5">
      <c r="B111" s="118">
        <f>'1.1-Jaarprijzen'!B17</f>
        <v>0</v>
      </c>
      <c r="C111" s="432"/>
      <c r="E111" s="433">
        <f t="shared" si="0"/>
        <v>0</v>
      </c>
    </row>
    <row r="112" spans="2:5">
      <c r="B112" s="118">
        <f>'1.1-Jaarprijzen'!B18</f>
        <v>0</v>
      </c>
      <c r="C112" s="432"/>
      <c r="E112" s="433">
        <f t="shared" si="0"/>
        <v>0</v>
      </c>
    </row>
    <row r="113" spans="2:5">
      <c r="B113" s="118"/>
      <c r="C113" s="467">
        <f>SUM(C97:C112)</f>
        <v>0</v>
      </c>
    </row>
    <row r="114" spans="2:5"/>
    <row r="115" spans="2:5">
      <c r="E115" s="434">
        <f>SUM(E97:E113)</f>
        <v>0</v>
      </c>
    </row>
    <row r="116" spans="2:5"/>
    <row r="117" spans="2:5"/>
    <row r="118" spans="2:5"/>
    <row r="119" spans="2:5"/>
    <row r="120" spans="2:5">
      <c r="B120" s="118"/>
    </row>
    <row r="121" spans="2:5">
      <c r="B121" s="118"/>
    </row>
    <row r="122" spans="2:5"/>
    <row r="123" spans="2:5"/>
    <row r="124" spans="2:5"/>
    <row r="125" spans="2:5"/>
    <row r="126" spans="2:5"/>
    <row r="127" spans="2:5"/>
    <row r="128" spans="2:5"/>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sheetData>
  <mergeCells count="9">
    <mergeCell ref="C10:E10"/>
    <mergeCell ref="C13:E13"/>
    <mergeCell ref="C33:E33"/>
    <mergeCell ref="C53:E53"/>
    <mergeCell ref="C73:E73"/>
    <mergeCell ref="C12:E12"/>
    <mergeCell ref="C32:E32"/>
    <mergeCell ref="C52:E52"/>
    <mergeCell ref="C72:E72"/>
  </mergeCells>
  <phoneticPr fontId="10"/>
  <conditionalFormatting sqref="C113">
    <cfRule type="cellIs" dxfId="54" priority="1" stopIfTrue="1" operator="greaterThan">
      <formula>1</formula>
    </cfRule>
  </conditionalFormatting>
  <printOptions horizontalCentered="1"/>
  <pageMargins left="0.2" right="0.2" top="0.39000000000000007" bottom="0.59314960629921254" header="0.39000000000000007" footer="0.2"/>
  <pageSetup paperSize="9" scale="46"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41"/>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pageSetUpPr fitToPage="1"/>
  </sheetPr>
  <dimension ref="B1:N215"/>
  <sheetViews>
    <sheetView showGridLines="0" showZeros="0" showOutlineSymbols="0" topLeftCell="A50" zoomScaleSheetLayoutView="75" workbookViewId="0">
      <selection activeCell="I96" sqref="I96"/>
    </sheetView>
  </sheetViews>
  <sheetFormatPr baseColWidth="10" defaultColWidth="10.7109375" defaultRowHeight="13" zeroHeight="1" x14ac:dyDescent="0"/>
  <cols>
    <col min="1" max="1" width="5" style="61" customWidth="1"/>
    <col min="2" max="2" width="41.42578125" style="147" customWidth="1"/>
    <col min="3" max="3" width="16.5703125" style="137" customWidth="1"/>
    <col min="4" max="4" width="17.28515625" style="137" customWidth="1"/>
    <col min="5" max="5" width="16.140625" style="138" customWidth="1"/>
    <col min="6" max="8" width="16.140625" style="139" customWidth="1"/>
    <col min="9" max="9" width="12.140625" style="61" bestFit="1" customWidth="1"/>
    <col min="10" max="10" width="13.5703125" style="61" bestFit="1" customWidth="1"/>
    <col min="11" max="11" width="2.28515625" style="61" customWidth="1"/>
    <col min="12" max="12" width="1.140625" style="61" customWidth="1"/>
    <col min="13" max="14" width="10.7109375" style="61" customWidth="1"/>
    <col min="15" max="16384" width="10.7109375" style="61"/>
  </cols>
  <sheetData>
    <row r="1" spans="2:14" ht="27" customHeight="1">
      <c r="B1" s="431" t="s">
        <v>33</v>
      </c>
    </row>
    <row r="2" spans="2:14" ht="27" customHeight="1">
      <c r="B2" s="445"/>
    </row>
    <row r="3" spans="2:14">
      <c r="B3" s="137"/>
    </row>
    <row r="4" spans="2:14" ht="16">
      <c r="B4" s="140" t="str">
        <f>'1.6-Machine-investeringskosten'!B3</f>
        <v>Naam opdrachtgever</v>
      </c>
      <c r="C4" s="141" t="str">
        <f>'1.6-Machine-investeringskosten'!C3</f>
        <v>Friesland College</v>
      </c>
      <c r="D4" s="142"/>
      <c r="E4" s="139"/>
    </row>
    <row r="5" spans="2:14" ht="16">
      <c r="B5" s="140" t="str">
        <f>'1.6-Machine-investeringskosten'!B4</f>
        <v>Omschrijving blad</v>
      </c>
      <c r="C5" s="140" t="s">
        <v>38</v>
      </c>
      <c r="D5" s="128"/>
      <c r="E5" s="139"/>
    </row>
    <row r="6" spans="2:14" ht="15.75" customHeight="1">
      <c r="B6" s="140" t="str">
        <f>'1.6-Machine-investeringskosten'!B5</f>
        <v>Adres/plaats</v>
      </c>
      <c r="C6" s="141" t="str">
        <f>'1.6-Machine-investeringskosten'!C5</f>
        <v>Diverse locaties Leeuwarden e.o.</v>
      </c>
      <c r="D6" s="143"/>
      <c r="E6" s="139"/>
    </row>
    <row r="7" spans="2:14" ht="16">
      <c r="B7" s="140" t="str">
        <f>'1.6-Machine-investeringskosten'!B6</f>
        <v>Besteknummer</v>
      </c>
      <c r="C7" s="141" t="str">
        <f>'1.6-Machine-investeringskosten'!C6</f>
        <v>0601-36-2013 Perceel 2</v>
      </c>
      <c r="D7" s="128"/>
      <c r="E7" s="139"/>
    </row>
    <row r="8" spans="2:14" ht="16">
      <c r="B8" s="140" t="str">
        <f>'1.6-Machine-investeringskosten'!B7</f>
        <v>Naam leverancier</v>
      </c>
      <c r="C8" s="141" t="str">
        <f>'1.6-Machine-investeringskosten'!C7</f>
        <v>(Invoer naam Inschrijver)</v>
      </c>
      <c r="D8" s="128"/>
      <c r="E8" s="139"/>
    </row>
    <row r="9" spans="2:14" ht="16">
      <c r="B9" s="140">
        <f>'1.6-Machine-investeringskosten'!B8</f>
        <v>0</v>
      </c>
      <c r="C9" s="141">
        <f>'1.6-Machine-investeringskosten'!C8</f>
        <v>0</v>
      </c>
      <c r="D9" s="128"/>
      <c r="E9" s="139"/>
    </row>
    <row r="10" spans="2:14" ht="16">
      <c r="B10" s="140" t="s">
        <v>24</v>
      </c>
      <c r="C10" s="129" t="s">
        <v>94</v>
      </c>
      <c r="D10" s="128"/>
      <c r="E10" s="139"/>
    </row>
    <row r="11" spans="2:14" ht="16">
      <c r="B11" s="140"/>
      <c r="C11" s="129"/>
      <c r="D11" s="128"/>
      <c r="E11" s="133"/>
    </row>
    <row r="12" spans="2:14">
      <c r="B12" s="144"/>
      <c r="C12" s="145"/>
      <c r="D12" s="145"/>
      <c r="E12" s="146"/>
    </row>
    <row r="13" spans="2:14" ht="18.75" customHeight="1">
      <c r="B13" s="813" t="s">
        <v>1209</v>
      </c>
      <c r="C13" s="813"/>
      <c r="D13" s="813"/>
      <c r="E13" s="813"/>
      <c r="F13" s="813"/>
      <c r="G13" s="813"/>
      <c r="H13" s="813"/>
      <c r="J13" s="577"/>
      <c r="K13" s="577"/>
      <c r="L13" s="577"/>
      <c r="M13" s="577"/>
      <c r="N13" s="577"/>
    </row>
    <row r="14" spans="2:14">
      <c r="J14" s="577"/>
      <c r="K14" s="577"/>
      <c r="L14" s="577"/>
      <c r="M14" s="577"/>
      <c r="N14" s="577"/>
    </row>
    <row r="15" spans="2:14">
      <c r="B15" s="437"/>
      <c r="C15" s="437"/>
      <c r="D15" s="437"/>
      <c r="E15" s="815" t="s">
        <v>152</v>
      </c>
      <c r="F15" s="815"/>
      <c r="G15" s="815"/>
      <c r="H15" s="815"/>
      <c r="J15" s="577"/>
      <c r="K15" s="577"/>
      <c r="L15" s="577"/>
      <c r="M15" s="577"/>
      <c r="N15" s="577"/>
    </row>
    <row r="16" spans="2:14">
      <c r="B16" s="438" t="s">
        <v>110</v>
      </c>
      <c r="C16" s="438" t="s">
        <v>117</v>
      </c>
      <c r="D16" s="439"/>
      <c r="E16" s="440" t="s">
        <v>118</v>
      </c>
      <c r="F16" s="440" t="s">
        <v>47</v>
      </c>
      <c r="G16" s="440" t="s">
        <v>237</v>
      </c>
      <c r="H16" s="440" t="s">
        <v>111</v>
      </c>
      <c r="J16" s="577"/>
      <c r="K16" s="577"/>
      <c r="L16" s="577"/>
      <c r="M16" s="577"/>
      <c r="N16" s="577"/>
    </row>
    <row r="17" spans="2:14">
      <c r="B17" s="442" t="s">
        <v>1212</v>
      </c>
      <c r="C17" s="442" t="s">
        <v>203</v>
      </c>
      <c r="D17" s="443"/>
      <c r="E17" s="436"/>
      <c r="F17" s="436"/>
      <c r="G17" s="436"/>
      <c r="H17" s="436"/>
      <c r="J17" s="577"/>
      <c r="K17" s="720"/>
      <c r="L17" s="720"/>
      <c r="M17" s="720"/>
      <c r="N17" s="720"/>
    </row>
    <row r="18" spans="2:14">
      <c r="B18" s="442" t="s">
        <v>1213</v>
      </c>
      <c r="C18" s="442" t="s">
        <v>202</v>
      </c>
      <c r="D18" s="443"/>
      <c r="E18" s="436"/>
      <c r="F18" s="436"/>
      <c r="G18" s="436"/>
      <c r="H18" s="436"/>
      <c r="J18" s="577"/>
      <c r="K18" s="720"/>
      <c r="L18" s="720"/>
      <c r="M18" s="720"/>
      <c r="N18" s="720"/>
    </row>
    <row r="19" spans="2:14">
      <c r="B19" s="442" t="s">
        <v>1214</v>
      </c>
      <c r="C19" s="442" t="s">
        <v>136</v>
      </c>
      <c r="D19" s="150"/>
      <c r="E19" s="436"/>
      <c r="F19" s="436"/>
      <c r="G19" s="436"/>
      <c r="H19" s="436"/>
      <c r="J19" s="577"/>
      <c r="K19" s="720"/>
      <c r="L19" s="720"/>
      <c r="M19" s="720"/>
      <c r="N19" s="720"/>
    </row>
    <row r="20" spans="2:14">
      <c r="B20" s="442" t="s">
        <v>1221</v>
      </c>
      <c r="C20" s="442" t="s">
        <v>1219</v>
      </c>
      <c r="D20" s="150"/>
      <c r="E20" s="436"/>
      <c r="F20" s="436"/>
      <c r="G20" s="436"/>
      <c r="H20" s="436"/>
      <c r="J20" s="577"/>
      <c r="K20" s="720"/>
      <c r="L20" s="720"/>
      <c r="M20" s="720"/>
      <c r="N20" s="720"/>
    </row>
    <row r="21" spans="2:14">
      <c r="B21" s="442" t="s">
        <v>78</v>
      </c>
      <c r="C21" s="442" t="s">
        <v>1217</v>
      </c>
      <c r="D21" s="147"/>
      <c r="E21" s="436"/>
      <c r="F21" s="436"/>
      <c r="G21" s="436"/>
      <c r="H21" s="436"/>
      <c r="J21" s="577"/>
      <c r="K21" s="720"/>
      <c r="L21" s="720"/>
      <c r="M21" s="720"/>
      <c r="N21" s="720"/>
    </row>
    <row r="22" spans="2:14">
      <c r="E22" s="148"/>
      <c r="F22" s="132"/>
      <c r="G22" s="132"/>
      <c r="H22" s="132"/>
      <c r="J22" s="577"/>
      <c r="K22" s="577"/>
      <c r="L22" s="577"/>
      <c r="M22" s="577"/>
      <c r="N22" s="577"/>
    </row>
    <row r="23" spans="2:14">
      <c r="B23" s="131"/>
      <c r="C23" s="131"/>
      <c r="D23" s="131"/>
      <c r="E23" s="131"/>
      <c r="F23" s="131"/>
      <c r="G23" s="131"/>
      <c r="H23" s="131"/>
      <c r="J23" s="577"/>
      <c r="K23" s="577"/>
      <c r="L23" s="577"/>
      <c r="M23" s="577"/>
      <c r="N23" s="577"/>
    </row>
    <row r="24" spans="2:14">
      <c r="B24" s="437"/>
      <c r="C24" s="437"/>
      <c r="D24" s="437"/>
      <c r="E24" s="441" t="s">
        <v>147</v>
      </c>
      <c r="F24" s="441" t="s">
        <v>147</v>
      </c>
      <c r="G24" s="131"/>
      <c r="H24" s="131"/>
      <c r="J24" s="577"/>
      <c r="K24" s="577"/>
      <c r="L24" s="577"/>
      <c r="M24" s="577"/>
      <c r="N24" s="577"/>
    </row>
    <row r="25" spans="2:14">
      <c r="B25" s="438" t="s">
        <v>148</v>
      </c>
      <c r="C25" s="438" t="s">
        <v>117</v>
      </c>
      <c r="D25" s="437"/>
      <c r="E25" s="441" t="s">
        <v>149</v>
      </c>
      <c r="F25" s="441" t="s">
        <v>150</v>
      </c>
      <c r="G25" s="131"/>
      <c r="H25" s="61"/>
      <c r="J25" s="577"/>
      <c r="K25" s="577"/>
      <c r="L25" s="577"/>
      <c r="M25" s="577"/>
      <c r="N25" s="577"/>
    </row>
    <row r="26" spans="2:14">
      <c r="B26" s="442" t="s">
        <v>151</v>
      </c>
      <c r="C26" s="442" t="s">
        <v>3</v>
      </c>
      <c r="D26" s="442"/>
      <c r="E26" s="436"/>
      <c r="F26" s="444"/>
      <c r="G26" s="131"/>
      <c r="H26" s="61"/>
      <c r="J26" s="577"/>
      <c r="K26" s="720"/>
      <c r="L26" s="720"/>
      <c r="M26" s="577"/>
      <c r="N26" s="577"/>
    </row>
    <row r="27" spans="2:14">
      <c r="B27" s="442" t="s">
        <v>139</v>
      </c>
      <c r="C27" s="442" t="s">
        <v>89</v>
      </c>
      <c r="D27" s="442"/>
      <c r="E27" s="436"/>
      <c r="F27" s="444"/>
      <c r="G27" s="131"/>
      <c r="H27" s="61"/>
      <c r="J27" s="577"/>
      <c r="K27" s="720"/>
      <c r="L27" s="720"/>
      <c r="M27" s="577"/>
      <c r="N27" s="577"/>
    </row>
    <row r="28" spans="2:14">
      <c r="B28" s="442" t="s">
        <v>90</v>
      </c>
      <c r="C28" s="442" t="s">
        <v>220</v>
      </c>
      <c r="D28" s="442"/>
      <c r="E28" s="444"/>
      <c r="F28" s="436"/>
      <c r="G28" s="131"/>
      <c r="H28" s="61"/>
      <c r="J28" s="577"/>
      <c r="K28" s="720"/>
      <c r="L28" s="720"/>
      <c r="M28" s="577"/>
      <c r="N28" s="577"/>
    </row>
    <row r="29" spans="2:14">
      <c r="B29" s="442" t="s">
        <v>125</v>
      </c>
      <c r="C29" s="442" t="s">
        <v>220</v>
      </c>
      <c r="D29" s="442"/>
      <c r="E29" s="444"/>
      <c r="F29" s="436"/>
      <c r="G29" s="131"/>
      <c r="H29" s="61"/>
      <c r="J29" s="577"/>
      <c r="K29" s="720"/>
      <c r="L29" s="720"/>
      <c r="M29" s="577"/>
      <c r="N29" s="577"/>
    </row>
    <row r="30" spans="2:14">
      <c r="B30" s="131"/>
      <c r="C30" s="131"/>
      <c r="D30" s="131"/>
      <c r="E30" s="131"/>
      <c r="F30" s="131"/>
      <c r="G30" s="131"/>
      <c r="H30" s="131"/>
      <c r="J30" s="577"/>
      <c r="K30" s="720"/>
      <c r="L30" s="720"/>
      <c r="M30" s="577"/>
      <c r="N30" s="577"/>
    </row>
    <row r="31" spans="2:14">
      <c r="B31" s="61"/>
      <c r="C31" s="131"/>
      <c r="D31" s="131"/>
      <c r="E31" s="131"/>
      <c r="F31" s="131"/>
      <c r="G31" s="131"/>
      <c r="H31" s="131"/>
      <c r="J31" s="577"/>
      <c r="K31" s="577"/>
      <c r="L31" s="577"/>
      <c r="M31" s="577"/>
      <c r="N31" s="577"/>
    </row>
    <row r="32" spans="2:14">
      <c r="B32" s="438" t="s">
        <v>201</v>
      </c>
      <c r="C32" s="437"/>
      <c r="D32" s="437"/>
      <c r="E32" s="815" t="s">
        <v>200</v>
      </c>
      <c r="F32" s="815"/>
      <c r="G32" s="815"/>
      <c r="H32" s="815"/>
      <c r="J32" s="577"/>
      <c r="K32" s="577"/>
      <c r="L32" s="577"/>
      <c r="M32" s="577"/>
      <c r="N32" s="577"/>
    </row>
    <row r="33" spans="2:14">
      <c r="B33" s="438" t="s">
        <v>231</v>
      </c>
      <c r="C33" s="438" t="s">
        <v>117</v>
      </c>
      <c r="D33" s="438"/>
      <c r="E33" s="440" t="s">
        <v>100</v>
      </c>
      <c r="F33" s="440" t="s">
        <v>101</v>
      </c>
      <c r="G33" s="440" t="s">
        <v>188</v>
      </c>
      <c r="H33" s="440" t="s">
        <v>189</v>
      </c>
      <c r="J33" s="577"/>
      <c r="K33" s="577"/>
      <c r="L33" s="577"/>
      <c r="M33" s="577"/>
      <c r="N33" s="577"/>
    </row>
    <row r="34" spans="2:14">
      <c r="B34" s="442" t="s">
        <v>238</v>
      </c>
      <c r="C34" s="442" t="s">
        <v>239</v>
      </c>
      <c r="D34" s="442"/>
      <c r="E34" s="436"/>
      <c r="F34" s="436"/>
      <c r="G34" s="436"/>
      <c r="H34" s="436"/>
      <c r="J34" s="577"/>
      <c r="K34" s="720"/>
      <c r="L34" s="720"/>
      <c r="M34" s="720"/>
      <c r="N34" s="720"/>
    </row>
    <row r="35" spans="2:14">
      <c r="B35" s="131"/>
      <c r="C35" s="131"/>
      <c r="D35" s="131"/>
      <c r="E35" s="131"/>
      <c r="F35" s="131"/>
      <c r="G35" s="131"/>
      <c r="H35" s="131"/>
      <c r="J35" s="577"/>
      <c r="K35" s="577"/>
      <c r="L35" s="577"/>
      <c r="M35" s="577"/>
      <c r="N35" s="577"/>
    </row>
    <row r="36" spans="2:14">
      <c r="B36" s="131"/>
      <c r="C36" s="131"/>
      <c r="D36" s="131"/>
      <c r="E36" s="131"/>
      <c r="F36" s="131"/>
      <c r="G36" s="131"/>
      <c r="H36" s="131"/>
      <c r="J36" s="577"/>
      <c r="K36" s="577"/>
      <c r="L36" s="577"/>
      <c r="M36" s="577"/>
      <c r="N36" s="577"/>
    </row>
    <row r="37" spans="2:14">
      <c r="B37" s="518" t="s">
        <v>1046</v>
      </c>
      <c r="C37" s="517"/>
      <c r="D37" s="517"/>
      <c r="E37" s="815" t="s">
        <v>200</v>
      </c>
      <c r="F37" s="815"/>
      <c r="G37" s="815"/>
      <c r="H37" s="815"/>
      <c r="J37" s="577"/>
      <c r="K37" s="577"/>
      <c r="L37" s="577"/>
      <c r="M37" s="577"/>
      <c r="N37" s="577"/>
    </row>
    <row r="38" spans="2:14">
      <c r="B38" s="518"/>
      <c r="C38" s="518" t="s">
        <v>117</v>
      </c>
      <c r="D38" s="518"/>
      <c r="E38" s="576" t="s">
        <v>100</v>
      </c>
      <c r="F38" s="576" t="s">
        <v>101</v>
      </c>
      <c r="G38" s="576" t="s">
        <v>188</v>
      </c>
      <c r="H38" s="576" t="s">
        <v>189</v>
      </c>
      <c r="J38" s="577"/>
      <c r="K38" s="577"/>
      <c r="L38" s="577"/>
      <c r="M38" s="577"/>
      <c r="N38" s="577"/>
    </row>
    <row r="39" spans="2:14">
      <c r="B39" s="442" t="s">
        <v>1047</v>
      </c>
      <c r="C39" s="442" t="s">
        <v>1217</v>
      </c>
      <c r="D39" s="442"/>
      <c r="E39" s="436"/>
      <c r="F39" s="436"/>
      <c r="G39" s="436"/>
      <c r="H39" s="436"/>
      <c r="J39" s="577"/>
      <c r="K39" s="720"/>
      <c r="L39" s="720"/>
      <c r="M39" s="720"/>
      <c r="N39" s="720"/>
    </row>
    <row r="40" spans="2:14">
      <c r="B40" s="131"/>
      <c r="C40" s="131"/>
      <c r="D40" s="131"/>
      <c r="E40" s="131"/>
      <c r="F40" s="131"/>
      <c r="G40" s="131"/>
      <c r="H40" s="131"/>
      <c r="J40" s="577"/>
      <c r="K40" s="577"/>
      <c r="L40" s="577"/>
      <c r="M40" s="577"/>
      <c r="N40" s="577"/>
    </row>
    <row r="41" spans="2:14">
      <c r="B41" s="131"/>
      <c r="C41" s="131"/>
      <c r="D41" s="131"/>
      <c r="E41" s="131"/>
      <c r="F41" s="131"/>
      <c r="G41" s="131"/>
      <c r="H41" s="131"/>
      <c r="J41" s="577"/>
      <c r="K41" s="577"/>
      <c r="L41" s="577"/>
      <c r="M41" s="577"/>
      <c r="N41" s="577"/>
    </row>
    <row r="42" spans="2:14">
      <c r="B42" s="131"/>
      <c r="C42" s="131"/>
      <c r="D42" s="131"/>
      <c r="E42" s="131"/>
      <c r="F42" s="131"/>
      <c r="G42" s="131"/>
      <c r="H42" s="131"/>
      <c r="J42" s="577"/>
      <c r="K42" s="577"/>
      <c r="L42" s="577"/>
      <c r="M42" s="577"/>
      <c r="N42" s="577"/>
    </row>
    <row r="43" spans="2:14">
      <c r="B43" s="131"/>
      <c r="C43" s="131"/>
      <c r="D43" s="131"/>
      <c r="E43" s="131"/>
      <c r="F43" s="131"/>
      <c r="G43" s="131"/>
      <c r="H43" s="131"/>
      <c r="J43" s="577"/>
      <c r="K43" s="577"/>
      <c r="L43" s="577"/>
      <c r="M43" s="577"/>
      <c r="N43" s="577"/>
    </row>
    <row r="44" spans="2:14">
      <c r="B44" s="518" t="s">
        <v>1254</v>
      </c>
      <c r="C44" s="517"/>
      <c r="D44" s="517"/>
      <c r="E44" s="131"/>
      <c r="F44" s="131"/>
      <c r="G44" s="131"/>
      <c r="H44" s="131"/>
      <c r="J44" s="577"/>
      <c r="K44" s="577"/>
      <c r="L44" s="577"/>
      <c r="M44" s="577"/>
      <c r="N44" s="577"/>
    </row>
    <row r="45" spans="2:14">
      <c r="B45" s="518"/>
      <c r="C45" s="518"/>
      <c r="D45" s="517"/>
      <c r="E45" s="131"/>
      <c r="F45" s="131"/>
      <c r="G45" s="131"/>
      <c r="H45" s="131"/>
      <c r="J45" s="577"/>
      <c r="K45" s="577"/>
      <c r="L45" s="577"/>
      <c r="M45" s="577"/>
      <c r="N45" s="577"/>
    </row>
    <row r="46" spans="2:14" s="773" customFormat="1" ht="39">
      <c r="B46" s="772"/>
      <c r="E46" s="774" t="s">
        <v>1257</v>
      </c>
      <c r="F46" s="774" t="s">
        <v>1258</v>
      </c>
      <c r="G46" s="774" t="s">
        <v>1259</v>
      </c>
      <c r="H46" s="775" t="s">
        <v>1256</v>
      </c>
      <c r="I46" s="775"/>
      <c r="J46" s="775"/>
      <c r="K46" s="776"/>
      <c r="L46" s="776"/>
    </row>
    <row r="47" spans="2:14" ht="30" customHeight="1">
      <c r="B47" s="777" t="s">
        <v>370</v>
      </c>
      <c r="C47" s="782" t="s">
        <v>1168</v>
      </c>
      <c r="D47" s="783"/>
      <c r="E47" s="781">
        <v>0</v>
      </c>
      <c r="F47" s="768">
        <v>0</v>
      </c>
      <c r="G47" s="768">
        <v>0</v>
      </c>
      <c r="H47" s="817"/>
      <c r="I47" s="818"/>
      <c r="J47" s="818"/>
      <c r="K47" s="818"/>
      <c r="L47" s="819"/>
    </row>
    <row r="48" spans="2:14" ht="30" customHeight="1">
      <c r="B48" s="820"/>
      <c r="C48" s="782" t="s">
        <v>1260</v>
      </c>
      <c r="D48" s="783"/>
      <c r="E48" s="781">
        <v>0</v>
      </c>
      <c r="F48" s="768">
        <v>0</v>
      </c>
      <c r="G48" s="768">
        <v>0</v>
      </c>
      <c r="H48" s="817"/>
      <c r="I48" s="818"/>
      <c r="J48" s="818"/>
      <c r="K48" s="818"/>
      <c r="L48" s="819"/>
    </row>
    <row r="49" spans="2:12" ht="30" customHeight="1">
      <c r="B49" s="821"/>
      <c r="C49" s="782" t="s">
        <v>1171</v>
      </c>
      <c r="D49" s="783"/>
      <c r="E49" s="781">
        <v>0</v>
      </c>
      <c r="F49" s="768">
        <v>0</v>
      </c>
      <c r="G49" s="768">
        <v>0</v>
      </c>
      <c r="H49" s="817"/>
      <c r="I49" s="818"/>
      <c r="J49" s="818"/>
      <c r="K49" s="818"/>
      <c r="L49" s="819"/>
    </row>
    <row r="50" spans="2:12" ht="30" customHeight="1">
      <c r="B50" s="821"/>
      <c r="C50" s="782" t="s">
        <v>1172</v>
      </c>
      <c r="D50" s="783"/>
      <c r="E50" s="781">
        <v>0</v>
      </c>
      <c r="F50" s="768">
        <v>0</v>
      </c>
      <c r="G50" s="768">
        <v>0</v>
      </c>
      <c r="H50" s="780"/>
      <c r="I50" s="778"/>
      <c r="J50" s="778"/>
      <c r="K50" s="778"/>
      <c r="L50" s="779"/>
    </row>
    <row r="51" spans="2:12" ht="30" customHeight="1">
      <c r="B51" s="821"/>
      <c r="C51" s="784" t="s">
        <v>1150</v>
      </c>
      <c r="D51" s="783"/>
      <c r="E51" s="781">
        <v>0</v>
      </c>
      <c r="F51" s="768">
        <v>0</v>
      </c>
      <c r="G51" s="768">
        <v>0</v>
      </c>
      <c r="H51" s="780"/>
      <c r="I51" s="778"/>
      <c r="J51" s="778"/>
      <c r="K51" s="778"/>
      <c r="L51" s="779"/>
    </row>
    <row r="52" spans="2:12" ht="30" customHeight="1">
      <c r="B52" s="822"/>
      <c r="C52" s="784" t="s">
        <v>1181</v>
      </c>
      <c r="D52" s="783"/>
      <c r="E52" s="781">
        <v>0</v>
      </c>
      <c r="F52" s="768">
        <v>0</v>
      </c>
      <c r="G52" s="768">
        <v>0</v>
      </c>
      <c r="H52" s="780"/>
      <c r="I52" s="778"/>
      <c r="J52" s="778"/>
      <c r="K52" s="778"/>
      <c r="L52" s="779"/>
    </row>
    <row r="53" spans="2:12" ht="30" customHeight="1">
      <c r="B53" s="777" t="s">
        <v>371</v>
      </c>
      <c r="C53" s="784" t="s">
        <v>1150</v>
      </c>
      <c r="D53" s="783"/>
      <c r="E53" s="781">
        <v>0</v>
      </c>
      <c r="F53" s="768">
        <v>0</v>
      </c>
      <c r="G53" s="768">
        <v>0</v>
      </c>
      <c r="H53" s="780"/>
      <c r="I53" s="778"/>
      <c r="J53" s="778"/>
      <c r="K53" s="778"/>
      <c r="L53" s="779"/>
    </row>
    <row r="54" spans="2:12" ht="30" customHeight="1">
      <c r="B54" s="820"/>
      <c r="C54" s="784" t="s">
        <v>1185</v>
      </c>
      <c r="D54" s="783"/>
      <c r="E54" s="781">
        <v>0</v>
      </c>
      <c r="F54" s="768">
        <v>0</v>
      </c>
      <c r="G54" s="768">
        <v>0</v>
      </c>
      <c r="H54" s="780"/>
      <c r="I54" s="778"/>
      <c r="J54" s="778"/>
      <c r="K54" s="778"/>
      <c r="L54" s="779"/>
    </row>
    <row r="55" spans="2:12" ht="30" customHeight="1">
      <c r="B55" s="822"/>
      <c r="C55" s="784" t="s">
        <v>1172</v>
      </c>
      <c r="D55" s="783"/>
      <c r="E55" s="781">
        <v>0</v>
      </c>
      <c r="F55" s="768">
        <v>0</v>
      </c>
      <c r="G55" s="768">
        <v>0</v>
      </c>
      <c r="H55" s="780"/>
      <c r="I55" s="778"/>
      <c r="J55" s="778"/>
      <c r="K55" s="778"/>
      <c r="L55" s="779"/>
    </row>
    <row r="56" spans="2:12" ht="30" customHeight="1">
      <c r="B56" s="777" t="s">
        <v>372</v>
      </c>
      <c r="C56" s="784" t="s">
        <v>1184</v>
      </c>
      <c r="D56" s="783"/>
      <c r="E56" s="781">
        <v>0</v>
      </c>
      <c r="F56" s="768">
        <v>0</v>
      </c>
      <c r="G56" s="768">
        <v>0</v>
      </c>
      <c r="H56" s="780"/>
      <c r="I56" s="778"/>
      <c r="J56" s="778"/>
      <c r="K56" s="778"/>
      <c r="L56" s="779"/>
    </row>
    <row r="57" spans="2:12" ht="30" customHeight="1">
      <c r="B57" s="785"/>
      <c r="C57" s="784" t="s">
        <v>1186</v>
      </c>
      <c r="D57" s="783"/>
      <c r="E57" s="781">
        <v>0</v>
      </c>
      <c r="F57" s="768">
        <v>0</v>
      </c>
      <c r="G57" s="768">
        <v>0</v>
      </c>
      <c r="H57" s="817"/>
      <c r="I57" s="818"/>
      <c r="J57" s="818"/>
      <c r="K57" s="818"/>
      <c r="L57" s="819"/>
    </row>
    <row r="58" spans="2:12" ht="30" customHeight="1">
      <c r="B58" s="777" t="s">
        <v>366</v>
      </c>
      <c r="C58" s="784" t="s">
        <v>1144</v>
      </c>
      <c r="D58" s="783"/>
      <c r="E58" s="781">
        <v>0</v>
      </c>
      <c r="F58" s="768">
        <v>0</v>
      </c>
      <c r="G58" s="768">
        <v>0</v>
      </c>
      <c r="H58" s="817"/>
      <c r="I58" s="818"/>
      <c r="J58" s="818"/>
      <c r="K58" s="818"/>
      <c r="L58" s="819"/>
    </row>
    <row r="59" spans="2:12" ht="30" customHeight="1">
      <c r="B59" s="820"/>
      <c r="C59" s="784" t="s">
        <v>1145</v>
      </c>
      <c r="D59" s="783"/>
      <c r="E59" s="781">
        <v>0</v>
      </c>
      <c r="F59" s="768">
        <v>0</v>
      </c>
      <c r="G59" s="768">
        <v>0</v>
      </c>
      <c r="H59" s="817"/>
      <c r="I59" s="818"/>
      <c r="J59" s="818"/>
      <c r="K59" s="818"/>
      <c r="L59" s="819"/>
    </row>
    <row r="60" spans="2:12" ht="30" customHeight="1">
      <c r="B60" s="821"/>
      <c r="C60" s="784" t="s">
        <v>1147</v>
      </c>
      <c r="D60" s="783"/>
      <c r="E60" s="781">
        <v>0</v>
      </c>
      <c r="F60" s="768">
        <v>0</v>
      </c>
      <c r="G60" s="768">
        <v>0</v>
      </c>
      <c r="H60" s="817"/>
      <c r="I60" s="818"/>
      <c r="J60" s="818"/>
      <c r="K60" s="818"/>
      <c r="L60" s="819"/>
    </row>
    <row r="61" spans="2:12" ht="30" customHeight="1">
      <c r="B61" s="821"/>
      <c r="C61" s="784" t="s">
        <v>1150</v>
      </c>
      <c r="D61" s="783"/>
      <c r="E61" s="781">
        <v>0</v>
      </c>
      <c r="F61" s="768">
        <v>0</v>
      </c>
      <c r="G61" s="768">
        <v>0</v>
      </c>
      <c r="H61" s="780"/>
      <c r="I61" s="778"/>
      <c r="J61" s="778"/>
      <c r="K61" s="778"/>
      <c r="L61" s="779"/>
    </row>
    <row r="62" spans="2:12" ht="30" customHeight="1">
      <c r="B62" s="821"/>
      <c r="C62" s="784" t="s">
        <v>1151</v>
      </c>
      <c r="D62" s="783"/>
      <c r="E62" s="781">
        <v>0</v>
      </c>
      <c r="F62" s="768">
        <v>0</v>
      </c>
      <c r="G62" s="768">
        <v>0</v>
      </c>
      <c r="H62" s="780"/>
      <c r="I62" s="778"/>
      <c r="J62" s="778"/>
      <c r="K62" s="778"/>
      <c r="L62" s="779"/>
    </row>
    <row r="63" spans="2:12" ht="30" customHeight="1">
      <c r="B63" s="821"/>
      <c r="C63" s="784" t="s">
        <v>1166</v>
      </c>
      <c r="D63" s="783"/>
      <c r="E63" s="781">
        <v>0</v>
      </c>
      <c r="F63" s="768">
        <v>0</v>
      </c>
      <c r="G63" s="768">
        <v>0</v>
      </c>
      <c r="H63" s="780"/>
      <c r="I63" s="778"/>
      <c r="J63" s="778"/>
      <c r="K63" s="778"/>
      <c r="L63" s="779"/>
    </row>
    <row r="64" spans="2:12" ht="30" customHeight="1">
      <c r="B64" s="822"/>
      <c r="C64" s="784" t="s">
        <v>1167</v>
      </c>
      <c r="D64" s="783"/>
      <c r="E64" s="781">
        <v>0</v>
      </c>
      <c r="F64" s="768">
        <v>0</v>
      </c>
      <c r="G64" s="768">
        <v>0</v>
      </c>
      <c r="H64" s="780"/>
      <c r="I64" s="778"/>
      <c r="J64" s="778"/>
      <c r="K64" s="778"/>
      <c r="L64" s="779"/>
    </row>
    <row r="65" spans="2:14" ht="30" customHeight="1">
      <c r="B65" s="777" t="s">
        <v>374</v>
      </c>
      <c r="C65" s="784" t="s">
        <v>1150</v>
      </c>
      <c r="D65" s="783"/>
      <c r="E65" s="781">
        <v>0</v>
      </c>
      <c r="F65" s="768">
        <v>0</v>
      </c>
      <c r="G65" s="768">
        <v>0</v>
      </c>
      <c r="H65" s="780"/>
      <c r="I65" s="778"/>
      <c r="J65" s="778"/>
      <c r="K65" s="778"/>
      <c r="L65" s="779"/>
    </row>
    <row r="66" spans="2:14" ht="30" customHeight="1">
      <c r="B66" s="820"/>
      <c r="C66" s="784" t="s">
        <v>1204</v>
      </c>
      <c r="D66" s="783"/>
      <c r="E66" s="781">
        <v>0</v>
      </c>
      <c r="F66" s="768">
        <v>0</v>
      </c>
      <c r="G66" s="768">
        <v>0</v>
      </c>
      <c r="H66" s="817"/>
      <c r="I66" s="818"/>
      <c r="J66" s="818"/>
      <c r="K66" s="818"/>
      <c r="L66" s="819"/>
    </row>
    <row r="67" spans="2:14" ht="30" customHeight="1">
      <c r="B67" s="821"/>
      <c r="C67" s="784" t="s">
        <v>1172</v>
      </c>
      <c r="D67" s="783"/>
      <c r="E67" s="781">
        <v>0</v>
      </c>
      <c r="F67" s="768">
        <v>0</v>
      </c>
      <c r="G67" s="768">
        <v>0</v>
      </c>
      <c r="H67" s="817"/>
      <c r="I67" s="818"/>
      <c r="J67" s="818"/>
      <c r="K67" s="818"/>
      <c r="L67" s="819"/>
    </row>
    <row r="68" spans="2:14" ht="30" customHeight="1">
      <c r="B68" s="821"/>
      <c r="C68" s="784" t="s">
        <v>1207</v>
      </c>
      <c r="D68" s="783"/>
      <c r="E68" s="781">
        <v>0</v>
      </c>
      <c r="F68" s="768">
        <v>0</v>
      </c>
      <c r="G68" s="768">
        <v>0</v>
      </c>
      <c r="H68" s="817"/>
      <c r="I68" s="818"/>
      <c r="J68" s="818"/>
      <c r="K68" s="818"/>
      <c r="L68" s="819"/>
    </row>
    <row r="69" spans="2:14" ht="30" customHeight="1">
      <c r="B69" s="822"/>
      <c r="C69" s="784" t="s">
        <v>1167</v>
      </c>
      <c r="D69" s="783"/>
      <c r="E69" s="781">
        <v>0</v>
      </c>
      <c r="F69" s="768">
        <v>0</v>
      </c>
      <c r="G69" s="768">
        <v>0</v>
      </c>
      <c r="H69" s="817"/>
      <c r="I69" s="818"/>
      <c r="J69" s="818"/>
      <c r="K69" s="818"/>
      <c r="L69" s="819"/>
    </row>
    <row r="70" spans="2:14">
      <c r="B70" s="219"/>
      <c r="C70" s="147"/>
      <c r="D70" s="769"/>
      <c r="E70" s="770"/>
      <c r="F70" s="771"/>
      <c r="G70" s="771"/>
      <c r="H70" s="771"/>
      <c r="I70" s="771"/>
      <c r="J70" s="771"/>
      <c r="K70" s="577"/>
      <c r="L70" s="577"/>
      <c r="M70" s="577"/>
      <c r="N70" s="577"/>
    </row>
    <row r="71" spans="2:14" ht="16">
      <c r="B71" s="130" t="s">
        <v>70</v>
      </c>
      <c r="D71" s="138"/>
      <c r="F71" s="138"/>
      <c r="I71" s="139"/>
      <c r="J71" s="139"/>
      <c r="K71" s="577"/>
      <c r="L71" s="577"/>
      <c r="M71" s="577"/>
      <c r="N71" s="577"/>
    </row>
    <row r="72" spans="2:14">
      <c r="B72" s="152" t="s">
        <v>75</v>
      </c>
      <c r="D72" s="138"/>
      <c r="F72" s="138"/>
      <c r="I72" s="139"/>
      <c r="J72" s="139"/>
      <c r="K72" s="577"/>
      <c r="L72" s="577"/>
      <c r="M72" s="577"/>
      <c r="N72" s="577"/>
    </row>
    <row r="73" spans="2:14">
      <c r="B73" s="152" t="s">
        <v>124</v>
      </c>
      <c r="D73" s="138"/>
      <c r="F73" s="138"/>
      <c r="I73" s="139"/>
      <c r="J73" s="139"/>
      <c r="K73" s="577"/>
      <c r="L73" s="577"/>
      <c r="M73" s="577"/>
      <c r="N73" s="577"/>
    </row>
    <row r="74" spans="2:14">
      <c r="B74" s="131"/>
      <c r="C74" s="131"/>
      <c r="D74" s="131"/>
      <c r="E74" s="131"/>
      <c r="F74" s="131"/>
      <c r="G74" s="131"/>
      <c r="H74" s="131"/>
      <c r="J74" s="577"/>
      <c r="K74" s="577"/>
      <c r="L74" s="577"/>
      <c r="M74" s="577"/>
      <c r="N74" s="577"/>
    </row>
    <row r="75" spans="2:14">
      <c r="B75" s="131"/>
      <c r="C75" s="131"/>
      <c r="D75" s="131"/>
      <c r="E75" s="131"/>
      <c r="F75" s="131"/>
      <c r="G75" s="131"/>
      <c r="H75" s="131"/>
      <c r="J75" s="577"/>
      <c r="K75" s="577"/>
      <c r="L75" s="577"/>
      <c r="M75" s="577"/>
      <c r="N75" s="577"/>
    </row>
    <row r="76" spans="2:14">
      <c r="B76" s="131"/>
      <c r="C76" s="131"/>
      <c r="D76" s="131"/>
      <c r="E76" s="131"/>
      <c r="F76" s="131"/>
      <c r="G76" s="131"/>
      <c r="H76" s="131"/>
      <c r="J76" s="577"/>
      <c r="K76" s="577"/>
      <c r="L76" s="577"/>
      <c r="M76" s="577"/>
      <c r="N76" s="577"/>
    </row>
    <row r="77" spans="2:14">
      <c r="B77" s="131"/>
      <c r="C77" s="131"/>
      <c r="D77" s="131"/>
      <c r="E77" s="131"/>
      <c r="F77" s="131"/>
      <c r="G77" s="131"/>
      <c r="H77" s="578"/>
      <c r="J77" s="577"/>
      <c r="K77" s="577"/>
      <c r="L77" s="577"/>
      <c r="M77" s="577"/>
      <c r="N77" s="577"/>
    </row>
    <row r="78" spans="2:14">
      <c r="B78" s="131"/>
      <c r="C78" s="131"/>
      <c r="D78" s="131"/>
      <c r="E78" s="131"/>
      <c r="F78" s="131"/>
      <c r="G78" s="131"/>
      <c r="H78" s="131"/>
      <c r="J78" s="577"/>
      <c r="K78" s="577"/>
      <c r="L78" s="577"/>
      <c r="M78" s="577"/>
      <c r="N78" s="577"/>
    </row>
    <row r="79" spans="2:14">
      <c r="B79" s="131"/>
      <c r="C79" s="131"/>
      <c r="D79" s="131"/>
      <c r="E79" s="131"/>
      <c r="F79" s="131"/>
      <c r="G79" s="131"/>
      <c r="H79" s="131"/>
      <c r="J79" s="577"/>
      <c r="K79" s="577"/>
      <c r="L79" s="577"/>
      <c r="M79" s="577"/>
      <c r="N79" s="577"/>
    </row>
    <row r="80" spans="2:14" ht="32" customHeight="1">
      <c r="B80" s="816" t="s">
        <v>87</v>
      </c>
      <c r="C80" s="816"/>
      <c r="D80" s="816"/>
      <c r="E80" s="816"/>
      <c r="F80" s="816"/>
      <c r="G80" s="816"/>
      <c r="H80" s="816"/>
      <c r="J80" s="577"/>
      <c r="K80" s="577"/>
      <c r="L80" s="577"/>
      <c r="M80" s="577"/>
      <c r="N80" s="577"/>
    </row>
    <row r="81" spans="2:14" ht="12.75" customHeight="1">
      <c r="B81" s="814" t="s">
        <v>45</v>
      </c>
      <c r="C81" s="814"/>
      <c r="D81" s="814"/>
      <c r="E81" s="814"/>
      <c r="F81" s="814"/>
      <c r="G81" s="814"/>
      <c r="H81" s="814"/>
      <c r="J81" s="577"/>
      <c r="K81" s="577"/>
      <c r="L81" s="577"/>
      <c r="M81" s="577"/>
      <c r="N81" s="577"/>
    </row>
    <row r="82" spans="2:14">
      <c r="B82" s="814"/>
      <c r="C82" s="814"/>
      <c r="D82" s="814"/>
      <c r="E82" s="814"/>
      <c r="F82" s="814"/>
      <c r="G82" s="814"/>
      <c r="H82" s="814"/>
      <c r="J82" s="577"/>
      <c r="K82" s="577"/>
      <c r="L82" s="577"/>
      <c r="M82" s="577"/>
      <c r="N82" s="577"/>
    </row>
    <row r="83" spans="2:14">
      <c r="B83" s="814"/>
      <c r="C83" s="814"/>
      <c r="D83" s="814"/>
      <c r="E83" s="814"/>
      <c r="F83" s="814"/>
      <c r="G83" s="814"/>
      <c r="H83" s="814"/>
      <c r="J83" s="577"/>
      <c r="K83" s="577"/>
      <c r="L83" s="577"/>
      <c r="M83" s="577"/>
      <c r="N83" s="577"/>
    </row>
    <row r="84" spans="2:14">
      <c r="B84" s="149"/>
      <c r="C84" s="149"/>
      <c r="D84" s="149"/>
      <c r="E84" s="149"/>
      <c r="F84" s="149"/>
      <c r="G84" s="149"/>
      <c r="H84" s="149"/>
      <c r="J84" s="577"/>
      <c r="K84" s="577"/>
      <c r="L84" s="577"/>
      <c r="M84" s="577"/>
      <c r="N84" s="577"/>
    </row>
    <row r="85" spans="2:14">
      <c r="B85" s="149" t="s">
        <v>22</v>
      </c>
      <c r="C85" s="149" t="s">
        <v>58</v>
      </c>
      <c r="D85" s="149"/>
      <c r="E85" s="149"/>
      <c r="F85" s="149"/>
      <c r="G85" s="149"/>
      <c r="H85" s="149"/>
      <c r="J85" s="577"/>
      <c r="K85" s="577"/>
      <c r="L85" s="577"/>
      <c r="M85" s="577"/>
      <c r="N85" s="577"/>
    </row>
    <row r="86" spans="2:14" ht="15.75" customHeight="1">
      <c r="B86" s="136" t="s">
        <v>230</v>
      </c>
      <c r="C86" s="131" t="s">
        <v>178</v>
      </c>
      <c r="D86" s="135"/>
      <c r="E86" s="436">
        <f>(J86*'1.1-Jaarprijzen'!$C$64)+'1.8-Afroepprijs'!J86</f>
        <v>0</v>
      </c>
      <c r="F86" s="135"/>
      <c r="G86" s="135"/>
      <c r="H86" s="135"/>
      <c r="J86" s="577"/>
      <c r="K86" s="577"/>
      <c r="L86" s="577"/>
      <c r="M86" s="577"/>
      <c r="N86" s="577"/>
    </row>
    <row r="87" spans="2:14">
      <c r="B87" s="131" t="s">
        <v>36</v>
      </c>
      <c r="C87" s="131" t="s">
        <v>181</v>
      </c>
      <c r="D87" s="135"/>
      <c r="E87" s="436">
        <f>(J87*'1.1-Jaarprijzen'!$C$64)+'1.8-Afroepprijs'!J87</f>
        <v>0</v>
      </c>
      <c r="F87" s="135"/>
      <c r="G87" s="135"/>
      <c r="H87" s="135"/>
      <c r="J87" s="577"/>
      <c r="K87" s="577"/>
      <c r="L87" s="577"/>
      <c r="M87" s="577"/>
      <c r="N87" s="577"/>
    </row>
    <row r="88" spans="2:14" ht="12.75" customHeight="1">
      <c r="B88" s="136" t="s">
        <v>215</v>
      </c>
      <c r="C88" s="131" t="s">
        <v>178</v>
      </c>
      <c r="D88" s="135"/>
      <c r="E88" s="436">
        <f>(J88*'1.1-Jaarprijzen'!$C$64)+'1.8-Afroepprijs'!J88</f>
        <v>0</v>
      </c>
      <c r="F88" s="135"/>
      <c r="G88" s="135"/>
      <c r="H88" s="135"/>
      <c r="J88" s="577"/>
      <c r="K88" s="577"/>
      <c r="L88" s="577"/>
      <c r="M88" s="577"/>
      <c r="N88" s="577"/>
    </row>
    <row r="89" spans="2:14">
      <c r="B89" s="131" t="s">
        <v>230</v>
      </c>
      <c r="C89" s="131" t="s">
        <v>112</v>
      </c>
      <c r="D89" s="135"/>
      <c r="E89" s="436">
        <f>(J89*'1.1-Jaarprijzen'!$C$64)+'1.8-Afroepprijs'!J89</f>
        <v>0</v>
      </c>
      <c r="F89" s="135"/>
      <c r="G89" s="135"/>
      <c r="H89" s="135"/>
      <c r="J89" s="577"/>
      <c r="K89" s="577"/>
      <c r="L89" s="577"/>
      <c r="M89" s="577"/>
      <c r="N89" s="577"/>
    </row>
    <row r="90" spans="2:14">
      <c r="B90" s="136" t="s">
        <v>36</v>
      </c>
      <c r="C90" s="136" t="s">
        <v>112</v>
      </c>
      <c r="D90" s="134"/>
      <c r="E90" s="436">
        <f>(J90*'1.1-Jaarprijzen'!$C$64)+'1.8-Afroepprijs'!J90</f>
        <v>0</v>
      </c>
      <c r="F90" s="134"/>
      <c r="G90" s="134"/>
      <c r="H90" s="134"/>
      <c r="J90" s="577"/>
      <c r="K90" s="577"/>
      <c r="L90" s="577"/>
      <c r="M90" s="577"/>
      <c r="N90" s="577"/>
    </row>
    <row r="91" spans="2:14">
      <c r="B91" s="131" t="s">
        <v>230</v>
      </c>
      <c r="C91" s="131" t="s">
        <v>63</v>
      </c>
      <c r="D91" s="135"/>
      <c r="E91" s="436">
        <f>(J91*'1.1-Jaarprijzen'!$C$64)+'1.8-Afroepprijs'!J91</f>
        <v>0</v>
      </c>
      <c r="F91" s="135"/>
      <c r="G91" s="135"/>
      <c r="H91" s="135"/>
      <c r="J91" s="577"/>
      <c r="K91" s="577"/>
      <c r="L91" s="577"/>
      <c r="M91" s="577"/>
      <c r="N91" s="577"/>
    </row>
    <row r="92" spans="2:14">
      <c r="B92" s="136" t="s">
        <v>36</v>
      </c>
      <c r="C92" s="136" t="s">
        <v>63</v>
      </c>
      <c r="D92" s="134"/>
      <c r="E92" s="436">
        <f>(J92*'1.1-Jaarprijzen'!$C$64)+'1.8-Afroepprijs'!J92</f>
        <v>0</v>
      </c>
      <c r="F92" s="134"/>
      <c r="G92" s="134"/>
      <c r="H92" s="134"/>
      <c r="J92" s="577"/>
      <c r="K92" s="577"/>
      <c r="L92" s="577"/>
      <c r="M92" s="577"/>
      <c r="N92" s="577"/>
    </row>
    <row r="93" spans="2:14" ht="12.75" customHeight="1">
      <c r="B93" s="131"/>
      <c r="C93" s="131"/>
      <c r="D93" s="131"/>
      <c r="E93" s="131"/>
      <c r="F93" s="131"/>
      <c r="G93" s="131"/>
      <c r="H93" s="131"/>
      <c r="J93" s="577"/>
      <c r="K93" s="577"/>
      <c r="L93" s="577"/>
      <c r="M93" s="577"/>
      <c r="N93" s="577"/>
    </row>
    <row r="94" spans="2:14" ht="12.75" customHeight="1">
      <c r="B94" s="130" t="s">
        <v>70</v>
      </c>
      <c r="C94" s="150"/>
      <c r="D94" s="150"/>
      <c r="E94" s="151"/>
      <c r="J94" s="577"/>
      <c r="K94" s="577"/>
      <c r="L94" s="577"/>
      <c r="M94" s="577"/>
      <c r="N94" s="577"/>
    </row>
    <row r="95" spans="2:14" ht="12.75" customHeight="1">
      <c r="B95" s="152" t="s">
        <v>75</v>
      </c>
      <c r="C95" s="150"/>
      <c r="D95" s="150"/>
      <c r="E95" s="151"/>
    </row>
    <row r="96" spans="2:14" ht="12.75" customHeight="1">
      <c r="B96" s="152" t="s">
        <v>124</v>
      </c>
      <c r="C96" s="150"/>
      <c r="D96" s="150"/>
      <c r="E96" s="151"/>
    </row>
    <row r="97" ht="12.75" customHeight="1"/>
    <row r="98" ht="12.75" customHeight="1"/>
    <row r="99" ht="12.75" customHeight="1"/>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sheetData>
  <sortState ref="C17:C18">
    <sortCondition descending="1" ref="C18"/>
  </sortState>
  <mergeCells count="21">
    <mergeCell ref="H48:L48"/>
    <mergeCell ref="H49:L49"/>
    <mergeCell ref="H57:L57"/>
    <mergeCell ref="H58:L58"/>
    <mergeCell ref="H59:L59"/>
    <mergeCell ref="B13:H13"/>
    <mergeCell ref="B81:H83"/>
    <mergeCell ref="E15:H15"/>
    <mergeCell ref="E32:H32"/>
    <mergeCell ref="B80:H80"/>
    <mergeCell ref="E37:H37"/>
    <mergeCell ref="H47:L47"/>
    <mergeCell ref="H60:L60"/>
    <mergeCell ref="H66:L66"/>
    <mergeCell ref="H67:L67"/>
    <mergeCell ref="H68:L68"/>
    <mergeCell ref="H69:L69"/>
    <mergeCell ref="B48:B52"/>
    <mergeCell ref="B54:B55"/>
    <mergeCell ref="B59:B64"/>
    <mergeCell ref="B66:B69"/>
  </mergeCells>
  <phoneticPr fontId="13"/>
  <printOptions horizontalCentered="1"/>
  <pageMargins left="0.79000000000000015" right="0.59" top="1.3800000000000001" bottom="0.79000000000000015" header="0.39000000000000007" footer="0.2"/>
  <pageSetup paperSize="9" scale="49"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2"/>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8"/>
  <sheetViews>
    <sheetView showGridLines="0" topLeftCell="A2" zoomScale="125" zoomScaleNormal="125" zoomScalePageLayoutView="125" workbookViewId="0">
      <selection activeCell="E6" sqref="E6"/>
    </sheetView>
  </sheetViews>
  <sheetFormatPr baseColWidth="10" defaultColWidth="0" defaultRowHeight="13" x14ac:dyDescent="0"/>
  <cols>
    <col min="1" max="1" width="10.7109375" style="673" customWidth="1"/>
    <col min="2" max="2" width="46.7109375" style="673" customWidth="1"/>
    <col min="3" max="3" width="10.42578125" style="717" customWidth="1"/>
    <col min="4" max="4" width="11.42578125" style="717" customWidth="1"/>
    <col min="5" max="5" width="10" style="673" customWidth="1"/>
    <col min="6" max="6" width="4.5703125" style="726" hidden="1" customWidth="1"/>
    <col min="7" max="7" width="20.28515625" style="673" customWidth="1"/>
    <col min="8" max="8" width="10.7109375" style="673" customWidth="1"/>
    <col min="9" max="9" width="15" style="673" customWidth="1"/>
    <col min="10" max="10" width="13.85546875" style="673" customWidth="1"/>
    <col min="11" max="11" width="12" style="673" customWidth="1"/>
    <col min="12" max="12" width="12" style="673" hidden="1" customWidth="1"/>
    <col min="13" max="19" width="0" style="673" hidden="1" customWidth="1"/>
    <col min="20" max="16384" width="10.7109375" style="673" hidden="1"/>
  </cols>
  <sheetData>
    <row r="1" spans="2:10" s="61" customFormat="1" ht="27" customHeight="1">
      <c r="B1" s="431" t="s">
        <v>33</v>
      </c>
      <c r="C1" s="664"/>
      <c r="D1" s="664"/>
      <c r="E1" s="137"/>
      <c r="F1" s="138"/>
      <c r="G1" s="137"/>
      <c r="H1" s="138"/>
      <c r="I1" s="139"/>
      <c r="J1" s="139"/>
    </row>
    <row r="2" spans="2:10" s="61" customFormat="1" ht="27" customHeight="1">
      <c r="B2" s="445"/>
      <c r="C2" s="664"/>
      <c r="D2" s="664"/>
      <c r="E2" s="137"/>
      <c r="F2" s="138"/>
      <c r="G2" s="137"/>
      <c r="H2" s="138"/>
      <c r="I2" s="139"/>
      <c r="J2" s="139"/>
    </row>
    <row r="3" spans="2:10" s="61" customFormat="1">
      <c r="B3" s="137"/>
      <c r="C3" s="665"/>
      <c r="D3" s="665"/>
      <c r="E3" s="137"/>
      <c r="F3" s="138"/>
      <c r="G3" s="137"/>
      <c r="H3" s="138"/>
      <c r="I3" s="139"/>
      <c r="J3" s="139"/>
    </row>
    <row r="4" spans="2:10" s="61" customFormat="1" ht="16">
      <c r="B4" s="140" t="str">
        <f>'1.6-Machine-investeringskosten'!B3</f>
        <v>Naam opdrachtgever</v>
      </c>
      <c r="C4" s="666"/>
      <c r="D4" s="666"/>
      <c r="E4" s="141" t="str">
        <f>'1.6-Machine-investeringskosten'!C3</f>
        <v>Friesland College</v>
      </c>
      <c r="F4" s="469"/>
      <c r="G4" s="142"/>
      <c r="H4" s="139"/>
      <c r="I4" s="139"/>
      <c r="J4" s="139"/>
    </row>
    <row r="5" spans="2:10" s="61" customFormat="1" ht="16">
      <c r="B5" s="140" t="str">
        <f>'1.6-Machine-investeringskosten'!B4</f>
        <v>Omschrijving blad</v>
      </c>
      <c r="C5" s="666"/>
      <c r="D5" s="666"/>
      <c r="E5" s="140" t="s">
        <v>1226</v>
      </c>
      <c r="F5" s="722"/>
      <c r="G5" s="128"/>
      <c r="H5" s="139"/>
      <c r="I5" s="139"/>
      <c r="J5" s="139"/>
    </row>
    <row r="6" spans="2:10" s="61" customFormat="1" ht="15.75" customHeight="1">
      <c r="B6" s="140" t="str">
        <f>'1.6-Machine-investeringskosten'!B5</f>
        <v>Adres/plaats</v>
      </c>
      <c r="C6" s="666"/>
      <c r="D6" s="666"/>
      <c r="E6" s="141" t="str">
        <f>'1.6-Machine-investeringskosten'!C5</f>
        <v>Diverse locaties Leeuwarden e.o.</v>
      </c>
      <c r="F6" s="469"/>
      <c r="G6" s="143"/>
      <c r="H6" s="139"/>
      <c r="I6" s="139"/>
      <c r="J6" s="139"/>
    </row>
    <row r="7" spans="2:10" s="61" customFormat="1" ht="16">
      <c r="B7" s="140" t="str">
        <f>'1.6-Machine-investeringskosten'!B6</f>
        <v>Besteknummer</v>
      </c>
      <c r="C7" s="666"/>
      <c r="D7" s="666"/>
      <c r="E7" s="141" t="str">
        <f>'1.6-Machine-investeringskosten'!C6</f>
        <v>0601-36-2013 Perceel 2</v>
      </c>
      <c r="F7" s="469"/>
      <c r="G7" s="128"/>
      <c r="H7" s="139"/>
      <c r="I7" s="139"/>
      <c r="J7" s="139"/>
    </row>
    <row r="8" spans="2:10" s="61" customFormat="1" ht="16">
      <c r="B8" s="140" t="str">
        <f>'1.6-Machine-investeringskosten'!B7</f>
        <v>Naam leverancier</v>
      </c>
      <c r="C8" s="666"/>
      <c r="D8" s="666"/>
      <c r="E8" s="141" t="str">
        <f>'1.6-Machine-investeringskosten'!C7</f>
        <v>(Invoer naam Inschrijver)</v>
      </c>
      <c r="F8" s="469"/>
      <c r="G8" s="128"/>
      <c r="H8" s="139"/>
      <c r="I8" s="139"/>
      <c r="J8" s="139"/>
    </row>
    <row r="9" spans="2:10" s="61" customFormat="1" ht="16">
      <c r="B9" s="140"/>
      <c r="C9" s="666"/>
      <c r="D9" s="666"/>
      <c r="E9" s="141"/>
      <c r="F9" s="469"/>
      <c r="G9" s="128"/>
      <c r="H9" s="139"/>
      <c r="I9" s="139"/>
      <c r="J9" s="139"/>
    </row>
    <row r="10" spans="2:10" s="61" customFormat="1" ht="16">
      <c r="B10" s="140" t="s">
        <v>24</v>
      </c>
      <c r="C10" s="666"/>
      <c r="D10" s="666"/>
      <c r="E10" s="129" t="s">
        <v>94</v>
      </c>
      <c r="F10" s="723"/>
      <c r="G10" s="128"/>
      <c r="H10" s="139"/>
      <c r="I10" s="139"/>
      <c r="J10" s="139"/>
    </row>
    <row r="11" spans="2:10" s="61" customFormat="1" ht="16">
      <c r="B11" s="140"/>
      <c r="C11" s="666"/>
      <c r="D11" s="666"/>
      <c r="E11" s="129"/>
      <c r="F11" s="723"/>
      <c r="G11" s="128"/>
      <c r="H11" s="133"/>
      <c r="I11" s="139"/>
      <c r="J11" s="139"/>
    </row>
    <row r="13" spans="2:10">
      <c r="B13" s="669"/>
      <c r="C13" s="670"/>
      <c r="D13" s="670"/>
      <c r="E13" s="671"/>
      <c r="F13" s="724"/>
      <c r="G13" s="671"/>
      <c r="H13" s="672"/>
      <c r="I13" s="671"/>
      <c r="J13" s="671"/>
    </row>
    <row r="14" spans="2:10">
      <c r="B14" s="674" t="s">
        <v>1130</v>
      </c>
      <c r="C14" s="675"/>
      <c r="D14" s="675"/>
      <c r="E14" s="676"/>
      <c r="F14" s="725"/>
      <c r="G14" s="676"/>
      <c r="H14" s="676"/>
      <c r="I14" s="676"/>
      <c r="J14" s="676"/>
    </row>
    <row r="15" spans="2:10">
      <c r="B15" s="669" t="s">
        <v>1246</v>
      </c>
      <c r="C15" s="670"/>
      <c r="D15" s="670"/>
      <c r="E15" s="671"/>
      <c r="F15" s="724"/>
      <c r="G15" s="671"/>
      <c r="H15" s="671"/>
      <c r="I15" s="671"/>
      <c r="J15" s="671"/>
    </row>
    <row r="16" spans="2:10">
      <c r="B16" s="669" t="s">
        <v>1131</v>
      </c>
      <c r="C16" s="670"/>
      <c r="D16" s="670"/>
      <c r="E16" s="671"/>
      <c r="F16" s="724"/>
      <c r="G16" s="671"/>
      <c r="H16" s="671"/>
      <c r="I16" s="671"/>
      <c r="J16" s="671"/>
    </row>
    <row r="17" spans="2:19">
      <c r="B17" s="823" t="s">
        <v>1132</v>
      </c>
      <c r="C17" s="823"/>
      <c r="D17" s="823"/>
      <c r="E17" s="823"/>
      <c r="F17" s="823"/>
      <c r="G17" s="823"/>
      <c r="H17" s="823"/>
      <c r="I17" s="823"/>
      <c r="J17" s="823"/>
    </row>
    <row r="18" spans="2:19">
      <c r="B18" s="823"/>
      <c r="C18" s="823"/>
      <c r="D18" s="823"/>
      <c r="E18" s="823"/>
      <c r="F18" s="823"/>
      <c r="G18" s="823"/>
      <c r="H18" s="823"/>
      <c r="I18" s="823"/>
      <c r="J18" s="823"/>
    </row>
    <row r="19" spans="2:19">
      <c r="B19" s="669" t="s">
        <v>1133</v>
      </c>
      <c r="C19" s="670"/>
      <c r="D19" s="670"/>
      <c r="H19" s="677"/>
      <c r="M19" s="815" t="s">
        <v>152</v>
      </c>
      <c r="N19" s="815"/>
      <c r="O19" s="815"/>
      <c r="P19" s="815"/>
      <c r="Q19" s="815"/>
      <c r="R19" s="815"/>
      <c r="S19" s="815"/>
    </row>
    <row r="20" spans="2:19">
      <c r="B20" s="669"/>
      <c r="C20" s="670"/>
      <c r="D20" s="670"/>
      <c r="H20" s="677"/>
      <c r="M20" s="650" t="s">
        <v>118</v>
      </c>
      <c r="N20" s="650" t="s">
        <v>47</v>
      </c>
      <c r="O20" s="650"/>
      <c r="P20" s="650"/>
      <c r="Q20" s="650" t="s">
        <v>237</v>
      </c>
      <c r="R20" s="650"/>
      <c r="S20" s="650" t="s">
        <v>111</v>
      </c>
    </row>
    <row r="21" spans="2:19">
      <c r="B21" s="669"/>
      <c r="C21" s="670"/>
      <c r="D21" s="670"/>
      <c r="H21" s="677"/>
      <c r="M21" s="673">
        <v>4</v>
      </c>
      <c r="N21" s="673">
        <v>5</v>
      </c>
      <c r="Q21" s="673">
        <v>6</v>
      </c>
      <c r="S21" s="673">
        <v>7</v>
      </c>
    </row>
    <row r="22" spans="2:19">
      <c r="B22" s="669"/>
      <c r="C22" s="670"/>
      <c r="D22" s="670"/>
      <c r="H22" s="677"/>
    </row>
    <row r="23" spans="2:19" ht="16">
      <c r="B23" s="678" t="s">
        <v>1134</v>
      </c>
      <c r="C23" s="679"/>
      <c r="D23" s="679"/>
      <c r="E23" s="680"/>
      <c r="F23" s="727"/>
      <c r="G23" s="680"/>
      <c r="H23" s="681"/>
      <c r="I23" s="680"/>
      <c r="J23" s="680"/>
    </row>
    <row r="24" spans="2:19">
      <c r="B24" s="669"/>
      <c r="C24" s="670"/>
      <c r="D24" s="670"/>
      <c r="E24" s="671"/>
      <c r="F24" s="724"/>
      <c r="G24" s="671"/>
      <c r="H24" s="672"/>
      <c r="I24" s="671"/>
      <c r="J24" s="671"/>
    </row>
    <row r="25" spans="2:19" ht="39">
      <c r="B25" s="651" t="s">
        <v>1135</v>
      </c>
      <c r="C25" s="667" t="s">
        <v>1210</v>
      </c>
      <c r="D25" s="667" t="s">
        <v>1216</v>
      </c>
      <c r="E25" s="652" t="s">
        <v>1125</v>
      </c>
      <c r="F25" s="756" t="s">
        <v>1215</v>
      </c>
      <c r="G25" s="652" t="s">
        <v>1218</v>
      </c>
      <c r="H25" s="653" t="s">
        <v>1136</v>
      </c>
      <c r="I25" s="654" t="s">
        <v>1137</v>
      </c>
      <c r="J25" s="655" t="s">
        <v>1138</v>
      </c>
      <c r="M25" s="650">
        <v>1</v>
      </c>
      <c r="N25" s="650">
        <v>100</v>
      </c>
      <c r="O25" s="650">
        <v>250</v>
      </c>
      <c r="P25" s="650">
        <v>251</v>
      </c>
      <c r="Q25" s="650">
        <v>500</v>
      </c>
      <c r="R25" s="650">
        <v>501</v>
      </c>
      <c r="S25" s="650">
        <v>1000</v>
      </c>
    </row>
    <row r="26" spans="2:19">
      <c r="B26" s="656" t="s">
        <v>1123</v>
      </c>
      <c r="C26" s="668"/>
      <c r="D26" s="668"/>
      <c r="H26" s="677"/>
      <c r="M26" s="726">
        <v>4</v>
      </c>
      <c r="N26" s="726">
        <v>4</v>
      </c>
      <c r="O26" s="726">
        <v>5</v>
      </c>
      <c r="P26" s="726">
        <v>6</v>
      </c>
      <c r="Q26" s="726">
        <v>6</v>
      </c>
      <c r="R26" s="726">
        <v>7</v>
      </c>
      <c r="S26" s="726">
        <v>7</v>
      </c>
    </row>
    <row r="27" spans="2:19">
      <c r="B27" s="682" t="s">
        <v>1214</v>
      </c>
      <c r="C27" s="757">
        <v>488</v>
      </c>
      <c r="D27" s="684" t="s">
        <v>1124</v>
      </c>
      <c r="E27" s="683">
        <v>1</v>
      </c>
      <c r="F27" s="728">
        <v>7</v>
      </c>
      <c r="G27" s="685">
        <f>C27</f>
        <v>488</v>
      </c>
      <c r="H27" s="729">
        <f>VLOOKUP(B27,tabelvloer,F27,FALSE)</f>
        <v>0</v>
      </c>
      <c r="I27" s="733">
        <f>H27*G27</f>
        <v>0</v>
      </c>
      <c r="J27" s="733">
        <f t="shared" ref="J27" si="0">I27*E27</f>
        <v>0</v>
      </c>
    </row>
    <row r="28" spans="2:19">
      <c r="B28" s="657" t="s">
        <v>1139</v>
      </c>
      <c r="C28" s="668"/>
      <c r="D28" s="668"/>
      <c r="E28" s="658"/>
      <c r="F28" s="658"/>
      <c r="G28" s="658"/>
      <c r="H28" s="734"/>
      <c r="I28" s="734"/>
      <c r="J28" s="734"/>
    </row>
    <row r="29" spans="2:19">
      <c r="B29" s="688" t="s">
        <v>1140</v>
      </c>
      <c r="C29" s="757">
        <v>2338</v>
      </c>
      <c r="D29" s="684" t="s">
        <v>1124</v>
      </c>
      <c r="E29" s="683">
        <v>1</v>
      </c>
      <c r="F29" s="683"/>
      <c r="G29" s="685">
        <f>C29</f>
        <v>2338</v>
      </c>
      <c r="H29" s="732"/>
      <c r="I29" s="733">
        <f>H29*G29</f>
        <v>0</v>
      </c>
      <c r="J29" s="733">
        <f t="shared" ref="J29:J38" si="1">I29*E29</f>
        <v>0</v>
      </c>
    </row>
    <row r="30" spans="2:19">
      <c r="B30" s="688" t="s">
        <v>1141</v>
      </c>
      <c r="C30" s="689">
        <v>2508</v>
      </c>
      <c r="D30" s="689" t="s">
        <v>1220</v>
      </c>
      <c r="E30" s="683">
        <v>2</v>
      </c>
      <c r="F30" s="683"/>
      <c r="G30" s="685">
        <f>C30</f>
        <v>2508</v>
      </c>
      <c r="H30" s="732"/>
      <c r="I30" s="733">
        <f>H30*G30</f>
        <v>0</v>
      </c>
      <c r="J30" s="733">
        <f t="shared" si="1"/>
        <v>0</v>
      </c>
      <c r="M30" s="650" t="s">
        <v>100</v>
      </c>
      <c r="N30" s="650" t="s">
        <v>101</v>
      </c>
      <c r="O30" s="650" t="s">
        <v>188</v>
      </c>
      <c r="P30" s="650" t="s">
        <v>189</v>
      </c>
    </row>
    <row r="31" spans="2:19">
      <c r="B31" s="688" t="s">
        <v>1142</v>
      </c>
      <c r="C31" s="689">
        <v>166</v>
      </c>
      <c r="D31" s="689" t="s">
        <v>1220</v>
      </c>
      <c r="E31" s="683">
        <v>2</v>
      </c>
      <c r="F31" s="683"/>
      <c r="G31" s="685">
        <f>C31</f>
        <v>166</v>
      </c>
      <c r="H31" s="732"/>
      <c r="I31" s="733">
        <f>H31*G31</f>
        <v>0</v>
      </c>
      <c r="J31" s="733">
        <f>I31*E31</f>
        <v>0</v>
      </c>
      <c r="M31" s="673">
        <v>4</v>
      </c>
      <c r="N31" s="673">
        <v>5</v>
      </c>
      <c r="O31" s="673">
        <v>6</v>
      </c>
      <c r="P31" s="673">
        <v>7</v>
      </c>
    </row>
    <row r="32" spans="2:19">
      <c r="B32" s="688" t="s">
        <v>1143</v>
      </c>
      <c r="C32" s="689">
        <v>34</v>
      </c>
      <c r="D32" s="689" t="s">
        <v>1220</v>
      </c>
      <c r="E32" s="683">
        <v>2</v>
      </c>
      <c r="F32" s="683"/>
      <c r="G32" s="685">
        <f>C32</f>
        <v>34</v>
      </c>
      <c r="H32" s="732"/>
      <c r="I32" s="733">
        <f>H32*G32</f>
        <v>0</v>
      </c>
      <c r="J32" s="733">
        <f t="shared" si="1"/>
        <v>0</v>
      </c>
      <c r="M32" s="650">
        <v>1</v>
      </c>
      <c r="N32" s="650">
        <v>50</v>
      </c>
      <c r="O32" s="650">
        <v>100</v>
      </c>
      <c r="P32" s="650">
        <v>101</v>
      </c>
      <c r="Q32" s="650">
        <v>250</v>
      </c>
      <c r="R32" s="650">
        <v>251</v>
      </c>
      <c r="S32" s="650">
        <v>500</v>
      </c>
    </row>
    <row r="33" spans="2:19">
      <c r="B33" s="738" t="s">
        <v>1144</v>
      </c>
      <c r="C33" s="762"/>
      <c r="D33" s="689" t="s">
        <v>1220</v>
      </c>
      <c r="E33" s="683">
        <v>2</v>
      </c>
      <c r="F33" s="721"/>
      <c r="G33" s="730"/>
      <c r="H33" s="735"/>
      <c r="I33" s="767" t="s">
        <v>1255</v>
      </c>
      <c r="J33" s="735"/>
      <c r="M33" s="726">
        <v>4</v>
      </c>
      <c r="N33" s="726">
        <v>4</v>
      </c>
      <c r="O33" s="726">
        <v>5</v>
      </c>
      <c r="P33" s="726">
        <v>6</v>
      </c>
      <c r="Q33" s="726">
        <v>6</v>
      </c>
      <c r="R33" s="726">
        <v>7</v>
      </c>
      <c r="S33" s="726">
        <v>7</v>
      </c>
    </row>
    <row r="34" spans="2:19">
      <c r="B34" s="738" t="s">
        <v>1145</v>
      </c>
      <c r="C34" s="762"/>
      <c r="D34" s="689" t="s">
        <v>1220</v>
      </c>
      <c r="E34" s="683">
        <v>2</v>
      </c>
      <c r="F34" s="721"/>
      <c r="G34" s="730"/>
      <c r="H34" s="735"/>
      <c r="I34" s="767" t="s">
        <v>1255</v>
      </c>
      <c r="J34" s="735"/>
    </row>
    <row r="35" spans="2:19" ht="26">
      <c r="B35" s="682" t="s">
        <v>78</v>
      </c>
      <c r="C35" s="758">
        <v>5602</v>
      </c>
      <c r="D35" s="684" t="s">
        <v>1252</v>
      </c>
      <c r="E35" s="683">
        <v>1</v>
      </c>
      <c r="F35" s="728">
        <v>7</v>
      </c>
      <c r="G35" s="685">
        <f>C35/5</f>
        <v>1120.4000000000001</v>
      </c>
      <c r="H35" s="729">
        <f>VLOOKUP(B35,tabelvloer,F35,FALSE)</f>
        <v>0</v>
      </c>
      <c r="I35" s="733">
        <f>H35*G35</f>
        <v>0</v>
      </c>
      <c r="J35" s="733">
        <f t="shared" si="1"/>
        <v>0</v>
      </c>
    </row>
    <row r="36" spans="2:19" ht="26">
      <c r="B36" s="682" t="s">
        <v>1047</v>
      </c>
      <c r="C36" s="758">
        <v>143</v>
      </c>
      <c r="D36" s="684" t="s">
        <v>1252</v>
      </c>
      <c r="E36" s="683">
        <v>1</v>
      </c>
      <c r="F36" s="728">
        <v>7</v>
      </c>
      <c r="G36" s="685">
        <f>C36/5</f>
        <v>28.6</v>
      </c>
      <c r="H36" s="729">
        <f>VLOOKUP(B36,tabelstoel,F36,FALSE)</f>
        <v>0</v>
      </c>
      <c r="I36" s="733">
        <f>H36*G36</f>
        <v>0</v>
      </c>
      <c r="J36" s="733">
        <f t="shared" si="1"/>
        <v>0</v>
      </c>
      <c r="M36" s="650" t="s">
        <v>100</v>
      </c>
      <c r="N36" s="650" t="s">
        <v>101</v>
      </c>
      <c r="O36" s="650" t="s">
        <v>188</v>
      </c>
      <c r="P36" s="650" t="s">
        <v>189</v>
      </c>
    </row>
    <row r="37" spans="2:19" ht="26">
      <c r="B37" s="690" t="s">
        <v>238</v>
      </c>
      <c r="C37" s="759">
        <v>239</v>
      </c>
      <c r="D37" s="684" t="s">
        <v>1252</v>
      </c>
      <c r="E37" s="683">
        <v>1</v>
      </c>
      <c r="F37" s="728">
        <v>7</v>
      </c>
      <c r="G37" s="685">
        <f>C37/5</f>
        <v>47.8</v>
      </c>
      <c r="H37" s="729">
        <f>VLOOKUP(B37,tabeltoets,F37,FALSE)</f>
        <v>0</v>
      </c>
      <c r="I37" s="733">
        <f>H37*G37</f>
        <v>0</v>
      </c>
      <c r="J37" s="733">
        <f t="shared" si="1"/>
        <v>0</v>
      </c>
      <c r="M37" s="673">
        <v>4</v>
      </c>
      <c r="N37" s="673">
        <v>5</v>
      </c>
      <c r="O37" s="673">
        <v>6</v>
      </c>
      <c r="P37" s="673">
        <v>7</v>
      </c>
    </row>
    <row r="38" spans="2:19" ht="26">
      <c r="B38" s="692" t="s">
        <v>1146</v>
      </c>
      <c r="C38" s="759">
        <v>723.8</v>
      </c>
      <c r="D38" s="684" t="s">
        <v>1124</v>
      </c>
      <c r="E38" s="683">
        <v>1</v>
      </c>
      <c r="F38" s="683"/>
      <c r="G38" s="685">
        <f>C38</f>
        <v>723.8</v>
      </c>
      <c r="H38" s="732"/>
      <c r="I38" s="733">
        <f>H38*G38</f>
        <v>0</v>
      </c>
      <c r="J38" s="733">
        <f t="shared" si="1"/>
        <v>0</v>
      </c>
      <c r="M38" s="650">
        <v>1</v>
      </c>
      <c r="N38" s="650">
        <v>50</v>
      </c>
      <c r="O38" s="650">
        <v>100</v>
      </c>
      <c r="P38" s="650">
        <v>101</v>
      </c>
      <c r="Q38" s="650">
        <v>250</v>
      </c>
      <c r="R38" s="650">
        <v>251</v>
      </c>
      <c r="S38" s="650">
        <v>500</v>
      </c>
    </row>
    <row r="39" spans="2:19">
      <c r="B39" s="692" t="s">
        <v>1147</v>
      </c>
      <c r="C39" s="760"/>
      <c r="D39" s="684" t="s">
        <v>1124</v>
      </c>
      <c r="E39" s="683">
        <v>1</v>
      </c>
      <c r="F39" s="721"/>
      <c r="G39" s="730"/>
      <c r="H39" s="735"/>
      <c r="I39" s="767" t="s">
        <v>1255</v>
      </c>
      <c r="J39" s="735"/>
      <c r="M39" s="726">
        <v>4</v>
      </c>
      <c r="N39" s="726">
        <v>4</v>
      </c>
      <c r="O39" s="726">
        <v>5</v>
      </c>
      <c r="P39" s="726">
        <v>6</v>
      </c>
      <c r="Q39" s="726">
        <v>6</v>
      </c>
      <c r="R39" s="726">
        <v>7</v>
      </c>
      <c r="S39" s="726">
        <v>7</v>
      </c>
    </row>
    <row r="40" spans="2:19">
      <c r="B40" s="657" t="s">
        <v>1148</v>
      </c>
      <c r="C40" s="668"/>
      <c r="D40" s="668"/>
      <c r="E40" s="658"/>
      <c r="F40" s="658"/>
      <c r="G40" s="658"/>
      <c r="H40" s="734"/>
      <c r="I40" s="734"/>
      <c r="J40" s="734"/>
    </row>
    <row r="41" spans="2:19">
      <c r="B41" s="693" t="s">
        <v>1149</v>
      </c>
      <c r="C41" s="691">
        <v>2338</v>
      </c>
      <c r="D41" s="689" t="s">
        <v>1220</v>
      </c>
      <c r="E41" s="683">
        <v>2</v>
      </c>
      <c r="F41" s="683"/>
      <c r="G41" s="685">
        <f>C41</f>
        <v>2338</v>
      </c>
      <c r="H41" s="732"/>
      <c r="I41" s="733">
        <f>H41*G41</f>
        <v>0</v>
      </c>
      <c r="J41" s="733">
        <f t="shared" ref="J41:J60" si="2">I41*E41</f>
        <v>0</v>
      </c>
    </row>
    <row r="42" spans="2:19" ht="26">
      <c r="B42" s="692" t="s">
        <v>1247</v>
      </c>
      <c r="C42" s="762"/>
      <c r="D42" s="689" t="s">
        <v>1220</v>
      </c>
      <c r="E42" s="683">
        <v>2</v>
      </c>
      <c r="F42" s="683"/>
      <c r="G42" s="736">
        <v>22</v>
      </c>
      <c r="H42" s="732"/>
      <c r="I42" s="733">
        <f>H42*G42</f>
        <v>0</v>
      </c>
      <c r="J42" s="733">
        <f t="shared" si="2"/>
        <v>0</v>
      </c>
    </row>
    <row r="43" spans="2:19">
      <c r="B43" s="692" t="s">
        <v>1150</v>
      </c>
      <c r="C43" s="762"/>
      <c r="D43" s="689" t="s">
        <v>1220</v>
      </c>
      <c r="E43" s="683">
        <v>2</v>
      </c>
      <c r="F43" s="721"/>
      <c r="G43" s="730"/>
      <c r="H43" s="735"/>
      <c r="I43" s="767" t="s">
        <v>1255</v>
      </c>
      <c r="J43" s="735"/>
    </row>
    <row r="44" spans="2:19">
      <c r="B44" s="692" t="s">
        <v>1151</v>
      </c>
      <c r="C44" s="762"/>
      <c r="D44" s="689" t="s">
        <v>1220</v>
      </c>
      <c r="E44" s="683">
        <v>2</v>
      </c>
      <c r="F44" s="721"/>
      <c r="G44" s="730"/>
      <c r="H44" s="735"/>
      <c r="I44" s="767" t="s">
        <v>1255</v>
      </c>
      <c r="J44" s="735"/>
    </row>
    <row r="45" spans="2:19" ht="26">
      <c r="B45" s="692" t="s">
        <v>1152</v>
      </c>
      <c r="C45" s="759">
        <v>26.8</v>
      </c>
      <c r="D45" s="684" t="s">
        <v>1124</v>
      </c>
      <c r="E45" s="683">
        <v>1</v>
      </c>
      <c r="F45" s="683"/>
      <c r="G45" s="685">
        <f t="shared" ref="G45:G46" si="3">C45</f>
        <v>26.8</v>
      </c>
      <c r="H45" s="731"/>
      <c r="I45" s="733">
        <f t="shared" ref="I45:I46" si="4">H45*G45</f>
        <v>0</v>
      </c>
      <c r="J45" s="733">
        <f t="shared" si="2"/>
        <v>0</v>
      </c>
    </row>
    <row r="46" spans="2:19">
      <c r="B46" s="692" t="s">
        <v>1248</v>
      </c>
      <c r="C46" s="759">
        <v>80.400000000000006</v>
      </c>
      <c r="D46" s="684" t="s">
        <v>1124</v>
      </c>
      <c r="E46" s="683">
        <v>1</v>
      </c>
      <c r="F46" s="683"/>
      <c r="G46" s="685">
        <f t="shared" si="3"/>
        <v>80.400000000000006</v>
      </c>
      <c r="H46" s="731"/>
      <c r="I46" s="733">
        <f t="shared" si="4"/>
        <v>0</v>
      </c>
      <c r="J46" s="733">
        <f t="shared" si="2"/>
        <v>0</v>
      </c>
    </row>
    <row r="47" spans="2:19">
      <c r="B47" s="692" t="s">
        <v>1153</v>
      </c>
      <c r="C47" s="759">
        <v>126</v>
      </c>
      <c r="D47" s="684" t="s">
        <v>1124</v>
      </c>
      <c r="E47" s="683">
        <v>1</v>
      </c>
      <c r="F47" s="683"/>
      <c r="G47" s="685">
        <f t="shared" ref="G47:G57" si="5">C47</f>
        <v>126</v>
      </c>
      <c r="H47" s="731"/>
      <c r="I47" s="733">
        <f t="shared" ref="I47:I57" si="6">H47*G47</f>
        <v>0</v>
      </c>
      <c r="J47" s="733">
        <f t="shared" si="2"/>
        <v>0</v>
      </c>
    </row>
    <row r="48" spans="2:19" ht="26">
      <c r="B48" s="692" t="s">
        <v>1154</v>
      </c>
      <c r="C48" s="759">
        <v>972</v>
      </c>
      <c r="D48" s="684" t="s">
        <v>1124</v>
      </c>
      <c r="E48" s="683">
        <v>1</v>
      </c>
      <c r="F48" s="683"/>
      <c r="G48" s="685">
        <f t="shared" si="5"/>
        <v>972</v>
      </c>
      <c r="H48" s="731"/>
      <c r="I48" s="733">
        <f t="shared" si="6"/>
        <v>0</v>
      </c>
      <c r="J48" s="733">
        <f t="shared" si="2"/>
        <v>0</v>
      </c>
    </row>
    <row r="49" spans="2:10">
      <c r="B49" s="692" t="s">
        <v>1203</v>
      </c>
      <c r="C49" s="757">
        <v>43</v>
      </c>
      <c r="D49" s="684" t="s">
        <v>1124</v>
      </c>
      <c r="E49" s="683">
        <v>1</v>
      </c>
      <c r="F49" s="683"/>
      <c r="G49" s="685">
        <f t="shared" si="5"/>
        <v>43</v>
      </c>
      <c r="H49" s="731"/>
      <c r="I49" s="733">
        <f t="shared" si="6"/>
        <v>0</v>
      </c>
      <c r="J49" s="733">
        <f t="shared" si="2"/>
        <v>0</v>
      </c>
    </row>
    <row r="50" spans="2:10">
      <c r="B50" s="692" t="s">
        <v>1155</v>
      </c>
      <c r="C50" s="759">
        <v>26.8</v>
      </c>
      <c r="D50" s="684" t="s">
        <v>1124</v>
      </c>
      <c r="E50" s="683">
        <v>1</v>
      </c>
      <c r="F50" s="683"/>
      <c r="G50" s="685">
        <f t="shared" ref="G50" si="7">C50</f>
        <v>26.8</v>
      </c>
      <c r="H50" s="731"/>
      <c r="I50" s="733">
        <f t="shared" ref="I50" si="8">H50*G50</f>
        <v>0</v>
      </c>
      <c r="J50" s="733">
        <f t="shared" si="2"/>
        <v>0</v>
      </c>
    </row>
    <row r="51" spans="2:10">
      <c r="B51" s="692" t="s">
        <v>1156</v>
      </c>
      <c r="C51" s="757">
        <v>21</v>
      </c>
      <c r="D51" s="684" t="s">
        <v>1124</v>
      </c>
      <c r="E51" s="683">
        <v>1</v>
      </c>
      <c r="F51" s="683"/>
      <c r="G51" s="685">
        <f t="shared" ref="G51:G52" si="9">C51</f>
        <v>21</v>
      </c>
      <c r="H51" s="731"/>
      <c r="I51" s="733">
        <f t="shared" ref="I51:I52" si="10">H51*G51</f>
        <v>0</v>
      </c>
      <c r="J51" s="733">
        <f t="shared" ref="J51" si="11">I51*E51</f>
        <v>0</v>
      </c>
    </row>
    <row r="52" spans="2:10">
      <c r="B52" s="692" t="s">
        <v>1157</v>
      </c>
      <c r="C52" s="759">
        <v>26.8</v>
      </c>
      <c r="D52" s="684" t="s">
        <v>1124</v>
      </c>
      <c r="E52" s="683">
        <v>1</v>
      </c>
      <c r="F52" s="683"/>
      <c r="G52" s="685">
        <f t="shared" si="9"/>
        <v>26.8</v>
      </c>
      <c r="H52" s="731"/>
      <c r="I52" s="733">
        <f t="shared" si="10"/>
        <v>0</v>
      </c>
      <c r="J52" s="733">
        <f t="shared" si="2"/>
        <v>0</v>
      </c>
    </row>
    <row r="53" spans="2:10">
      <c r="B53" s="692" t="s">
        <v>1158</v>
      </c>
      <c r="C53" s="759">
        <v>305</v>
      </c>
      <c r="D53" s="684" t="s">
        <v>1124</v>
      </c>
      <c r="E53" s="683">
        <v>1</v>
      </c>
      <c r="F53" s="683"/>
      <c r="G53" s="685">
        <f t="shared" si="5"/>
        <v>305</v>
      </c>
      <c r="H53" s="731"/>
      <c r="I53" s="733">
        <f t="shared" si="6"/>
        <v>0</v>
      </c>
      <c r="J53" s="733">
        <f t="shared" si="2"/>
        <v>0</v>
      </c>
    </row>
    <row r="54" spans="2:10">
      <c r="B54" s="692" t="s">
        <v>1159</v>
      </c>
      <c r="C54" s="759">
        <v>380</v>
      </c>
      <c r="D54" s="684" t="s">
        <v>1124</v>
      </c>
      <c r="E54" s="683">
        <v>1</v>
      </c>
      <c r="F54" s="683"/>
      <c r="G54" s="685">
        <f t="shared" si="5"/>
        <v>380</v>
      </c>
      <c r="H54" s="731"/>
      <c r="I54" s="733">
        <f t="shared" si="6"/>
        <v>0</v>
      </c>
      <c r="J54" s="733">
        <f t="shared" si="2"/>
        <v>0</v>
      </c>
    </row>
    <row r="55" spans="2:10" ht="26">
      <c r="B55" s="692" t="s">
        <v>1160</v>
      </c>
      <c r="C55" s="759">
        <v>8</v>
      </c>
      <c r="D55" s="684" t="s">
        <v>1124</v>
      </c>
      <c r="E55" s="683">
        <v>1</v>
      </c>
      <c r="F55" s="683"/>
      <c r="G55" s="685">
        <f t="shared" si="5"/>
        <v>8</v>
      </c>
      <c r="H55" s="731"/>
      <c r="I55" s="733">
        <f t="shared" si="6"/>
        <v>0</v>
      </c>
      <c r="J55" s="733">
        <f t="shared" si="2"/>
        <v>0</v>
      </c>
    </row>
    <row r="56" spans="2:10">
      <c r="B56" s="692" t="s">
        <v>1161</v>
      </c>
      <c r="C56" s="759">
        <v>4</v>
      </c>
      <c r="D56" s="684" t="s">
        <v>1124</v>
      </c>
      <c r="E56" s="683">
        <v>1</v>
      </c>
      <c r="F56" s="683"/>
      <c r="G56" s="685">
        <f t="shared" si="5"/>
        <v>4</v>
      </c>
      <c r="H56" s="731"/>
      <c r="I56" s="733">
        <f t="shared" si="6"/>
        <v>0</v>
      </c>
      <c r="J56" s="733">
        <f t="shared" si="2"/>
        <v>0</v>
      </c>
    </row>
    <row r="57" spans="2:10">
      <c r="B57" s="692" t="s">
        <v>1162</v>
      </c>
      <c r="C57" s="759">
        <v>15</v>
      </c>
      <c r="D57" s="684" t="s">
        <v>1124</v>
      </c>
      <c r="E57" s="683">
        <v>1</v>
      </c>
      <c r="F57" s="683"/>
      <c r="G57" s="685">
        <f t="shared" si="5"/>
        <v>15</v>
      </c>
      <c r="H57" s="686"/>
      <c r="I57" s="687">
        <f t="shared" si="6"/>
        <v>0</v>
      </c>
      <c r="J57" s="733">
        <f t="shared" si="2"/>
        <v>0</v>
      </c>
    </row>
    <row r="58" spans="2:10">
      <c r="B58" s="737" t="s">
        <v>1164</v>
      </c>
      <c r="C58" s="759">
        <v>15</v>
      </c>
      <c r="D58" s="684" t="s">
        <v>1124</v>
      </c>
      <c r="E58" s="683">
        <v>1</v>
      </c>
      <c r="F58" s="683"/>
      <c r="G58" s="685">
        <f>C58</f>
        <v>15</v>
      </c>
      <c r="H58" s="731"/>
      <c r="I58" s="733">
        <f>H58*G58</f>
        <v>0</v>
      </c>
      <c r="J58" s="733">
        <f t="shared" si="2"/>
        <v>0</v>
      </c>
    </row>
    <row r="59" spans="2:10">
      <c r="B59" s="690" t="s">
        <v>1176</v>
      </c>
      <c r="C59" s="759">
        <v>10</v>
      </c>
      <c r="D59" s="684" t="s">
        <v>1124</v>
      </c>
      <c r="E59" s="683">
        <v>1</v>
      </c>
      <c r="F59" s="683"/>
      <c r="G59" s="685">
        <f>C59</f>
        <v>10</v>
      </c>
      <c r="H59" s="731"/>
      <c r="I59" s="733">
        <f>H59*G59</f>
        <v>0</v>
      </c>
      <c r="J59" s="733">
        <f t="shared" si="2"/>
        <v>0</v>
      </c>
    </row>
    <row r="60" spans="2:10">
      <c r="B60" s="690" t="s">
        <v>1165</v>
      </c>
      <c r="C60" s="759">
        <v>15</v>
      </c>
      <c r="D60" s="684" t="s">
        <v>1124</v>
      </c>
      <c r="E60" s="683">
        <v>1</v>
      </c>
      <c r="F60" s="683"/>
      <c r="G60" s="685">
        <f>C60</f>
        <v>15</v>
      </c>
      <c r="H60" s="731"/>
      <c r="I60" s="733">
        <f>H60*G60</f>
        <v>0</v>
      </c>
      <c r="J60" s="733">
        <f t="shared" si="2"/>
        <v>0</v>
      </c>
    </row>
    <row r="61" spans="2:10">
      <c r="B61" s="692" t="s">
        <v>1166</v>
      </c>
      <c r="C61" s="760"/>
      <c r="D61" s="684" t="s">
        <v>1124</v>
      </c>
      <c r="E61" s="683">
        <v>1</v>
      </c>
      <c r="F61" s="683"/>
      <c r="G61" s="730"/>
      <c r="H61" s="735"/>
      <c r="I61" s="767" t="s">
        <v>1255</v>
      </c>
      <c r="J61" s="735"/>
    </row>
    <row r="62" spans="2:10">
      <c r="B62" s="692" t="s">
        <v>1167</v>
      </c>
      <c r="C62" s="760"/>
      <c r="D62" s="684" t="s">
        <v>1124</v>
      </c>
      <c r="E62" s="683">
        <v>1</v>
      </c>
      <c r="F62" s="683"/>
      <c r="G62" s="730"/>
      <c r="H62" s="735"/>
      <c r="I62" s="767" t="s">
        <v>1255</v>
      </c>
      <c r="J62" s="735"/>
    </row>
    <row r="63" spans="2:10">
      <c r="B63" s="737" t="s">
        <v>1179</v>
      </c>
      <c r="C63" s="758">
        <v>280</v>
      </c>
      <c r="D63" s="684" t="s">
        <v>1124</v>
      </c>
      <c r="E63" s="683">
        <v>1</v>
      </c>
      <c r="F63" s="683"/>
      <c r="G63" s="685">
        <f>C63</f>
        <v>280</v>
      </c>
      <c r="H63" s="731"/>
      <c r="I63" s="733">
        <f>H63*G63</f>
        <v>0</v>
      </c>
      <c r="J63" s="733">
        <f>I63*E63</f>
        <v>0</v>
      </c>
    </row>
    <row r="64" spans="2:10">
      <c r="B64" s="694" t="s">
        <v>1222</v>
      </c>
      <c r="C64" s="695"/>
      <c r="D64" s="695"/>
      <c r="E64" s="658"/>
      <c r="F64" s="658"/>
      <c r="G64" s="658"/>
      <c r="H64" s="658"/>
      <c r="I64" s="658"/>
      <c r="J64" s="658"/>
    </row>
    <row r="65" spans="2:10">
      <c r="B65" s="741" t="s">
        <v>1228</v>
      </c>
      <c r="C65" s="742"/>
      <c r="D65" s="742"/>
      <c r="E65" s="743"/>
      <c r="F65" s="743"/>
      <c r="G65" s="658"/>
      <c r="H65" s="658"/>
      <c r="I65" s="658"/>
      <c r="J65" s="744">
        <f ca="1">VLOOKUP(H67,'1.1-Jaarprijzen'!$B$26:$G$31,5,FALSE)*2%</f>
        <v>0</v>
      </c>
    </row>
    <row r="66" spans="2:10">
      <c r="B66" s="696" t="s">
        <v>1222</v>
      </c>
      <c r="C66" s="697"/>
      <c r="D66" s="697"/>
      <c r="E66" s="694"/>
      <c r="F66" s="658"/>
      <c r="G66" s="694"/>
      <c r="H66" s="694"/>
      <c r="I66" s="694"/>
      <c r="J66" s="694"/>
    </row>
    <row r="67" spans="2:10">
      <c r="B67" s="669" t="s">
        <v>1222</v>
      </c>
      <c r="C67" s="670"/>
      <c r="D67" s="670"/>
      <c r="E67" s="671"/>
      <c r="F67" s="724"/>
      <c r="G67" s="698" t="s">
        <v>1129</v>
      </c>
      <c r="H67" s="699" t="s">
        <v>366</v>
      </c>
      <c r="I67" s="700"/>
      <c r="J67" s="701">
        <f ca="1">SUM(J27:J65)</f>
        <v>0</v>
      </c>
    </row>
    <row r="68" spans="2:10">
      <c r="B68" s="669" t="s">
        <v>1222</v>
      </c>
      <c r="C68" s="670"/>
      <c r="D68" s="670"/>
      <c r="E68" s="671"/>
      <c r="F68" s="724"/>
      <c r="G68" s="702"/>
      <c r="H68" s="703"/>
      <c r="I68" s="703"/>
      <c r="J68" s="704"/>
    </row>
    <row r="69" spans="2:10">
      <c r="B69" s="669" t="s">
        <v>1222</v>
      </c>
      <c r="C69" s="670"/>
      <c r="D69" s="670"/>
      <c r="E69" s="671"/>
      <c r="F69" s="724"/>
      <c r="G69" s="702"/>
      <c r="H69" s="703"/>
      <c r="I69" s="703"/>
      <c r="J69" s="704"/>
    </row>
    <row r="70" spans="2:10">
      <c r="B70" s="669" t="s">
        <v>1222</v>
      </c>
      <c r="C70" s="670"/>
      <c r="D70" s="670"/>
      <c r="E70" s="671"/>
      <c r="F70" s="724"/>
      <c r="G70" s="702"/>
      <c r="H70" s="703"/>
      <c r="I70" s="703"/>
      <c r="J70" s="704"/>
    </row>
    <row r="71" spans="2:10">
      <c r="B71" s="669" t="s">
        <v>1222</v>
      </c>
      <c r="C71" s="670"/>
      <c r="D71" s="670"/>
      <c r="E71" s="671"/>
      <c r="F71" s="724"/>
      <c r="G71" s="671"/>
      <c r="H71" s="671"/>
      <c r="I71" s="671"/>
      <c r="J71" s="671"/>
    </row>
    <row r="72" spans="2:10" ht="16">
      <c r="B72" s="678" t="s">
        <v>1187</v>
      </c>
      <c r="C72" s="679"/>
      <c r="D72" s="679"/>
      <c r="E72" s="680"/>
      <c r="F72" s="727"/>
      <c r="G72" s="680"/>
      <c r="H72" s="680"/>
      <c r="I72" s="680"/>
      <c r="J72" s="680"/>
    </row>
    <row r="73" spans="2:10">
      <c r="B73" s="669" t="s">
        <v>1222</v>
      </c>
      <c r="C73" s="670"/>
      <c r="D73" s="670"/>
      <c r="E73" s="671"/>
      <c r="F73" s="724"/>
      <c r="G73" s="671"/>
      <c r="H73" s="671"/>
      <c r="I73" s="671"/>
      <c r="J73" s="671"/>
    </row>
    <row r="74" spans="2:10" ht="39">
      <c r="B74" s="651" t="s">
        <v>1135</v>
      </c>
      <c r="C74" s="667" t="s">
        <v>1210</v>
      </c>
      <c r="D74" s="667" t="s">
        <v>1216</v>
      </c>
      <c r="E74" s="652" t="s">
        <v>1125</v>
      </c>
      <c r="F74" s="756" t="s">
        <v>1215</v>
      </c>
      <c r="G74" s="652" t="s">
        <v>1218</v>
      </c>
      <c r="H74" s="653" t="s">
        <v>1136</v>
      </c>
      <c r="I74" s="654" t="s">
        <v>1137</v>
      </c>
      <c r="J74" s="655" t="s">
        <v>1138</v>
      </c>
    </row>
    <row r="75" spans="2:10">
      <c r="B75" s="656" t="s">
        <v>1123</v>
      </c>
      <c r="C75" s="668"/>
      <c r="D75" s="668"/>
      <c r="E75" s="661"/>
      <c r="F75" s="661"/>
      <c r="G75" s="661"/>
      <c r="H75" s="662"/>
      <c r="I75" s="662"/>
      <c r="J75" s="663"/>
    </row>
    <row r="76" spans="2:10">
      <c r="B76" s="657" t="s">
        <v>1139</v>
      </c>
      <c r="C76" s="668"/>
      <c r="D76" s="668"/>
      <c r="E76" s="658"/>
      <c r="F76" s="658"/>
      <c r="G76" s="658"/>
      <c r="H76" s="660"/>
      <c r="I76" s="660"/>
      <c r="J76" s="660"/>
    </row>
    <row r="77" spans="2:10" ht="26">
      <c r="B77" s="682" t="s">
        <v>78</v>
      </c>
      <c r="C77" s="758">
        <v>654</v>
      </c>
      <c r="D77" s="684" t="s">
        <v>1252</v>
      </c>
      <c r="E77" s="683">
        <v>1</v>
      </c>
      <c r="F77" s="728">
        <v>7</v>
      </c>
      <c r="G77" s="685">
        <f>C77/5</f>
        <v>130.80000000000001</v>
      </c>
      <c r="H77" s="729">
        <f>VLOOKUP(B77,tabelvloer,F77,FALSE)</f>
        <v>0</v>
      </c>
      <c r="I77" s="687">
        <f>H77*G77</f>
        <v>0</v>
      </c>
      <c r="J77" s="687">
        <f>I77*E77</f>
        <v>0</v>
      </c>
    </row>
    <row r="78" spans="2:10" ht="26">
      <c r="B78" s="682" t="s">
        <v>1047</v>
      </c>
      <c r="C78" s="758">
        <v>6</v>
      </c>
      <c r="D78" s="684" t="s">
        <v>1252</v>
      </c>
      <c r="E78" s="683">
        <v>1</v>
      </c>
      <c r="F78" s="728">
        <v>7</v>
      </c>
      <c r="G78" s="685">
        <f>C78/5</f>
        <v>1.2</v>
      </c>
      <c r="H78" s="729">
        <f>VLOOKUP(B78,tabelstoel,F78,FALSE)</f>
        <v>0</v>
      </c>
      <c r="I78" s="687">
        <f>H78*G78</f>
        <v>0</v>
      </c>
      <c r="J78" s="687">
        <f>I78*E78</f>
        <v>0</v>
      </c>
    </row>
    <row r="79" spans="2:10">
      <c r="B79" s="657" t="s">
        <v>1148</v>
      </c>
      <c r="C79" s="668"/>
      <c r="D79" s="668"/>
      <c r="E79" s="658"/>
      <c r="F79" s="658"/>
      <c r="G79" s="658"/>
      <c r="H79" s="660"/>
      <c r="I79" s="660"/>
      <c r="J79" s="660"/>
    </row>
    <row r="80" spans="2:10">
      <c r="B80" s="694" t="s">
        <v>1222</v>
      </c>
      <c r="C80" s="695"/>
      <c r="D80" s="695"/>
      <c r="E80" s="658"/>
      <c r="F80" s="658"/>
      <c r="G80" s="658"/>
      <c r="H80" s="658"/>
      <c r="I80" s="658"/>
      <c r="J80" s="658"/>
    </row>
    <row r="81" spans="2:10">
      <c r="B81" s="741" t="s">
        <v>1228</v>
      </c>
      <c r="C81" s="742"/>
      <c r="D81" s="742"/>
      <c r="E81" s="743"/>
      <c r="F81" s="743"/>
      <c r="G81" s="658"/>
      <c r="H81" s="658"/>
      <c r="I81" s="658"/>
      <c r="J81" s="744">
        <f ca="1">VLOOKUP(H83,'1.1-Jaarprijzen'!$B$26:$G$31,5,FALSE)*2%</f>
        <v>0</v>
      </c>
    </row>
    <row r="82" spans="2:10">
      <c r="B82" s="696" t="s">
        <v>1222</v>
      </c>
      <c r="C82" s="697"/>
      <c r="D82" s="697"/>
      <c r="E82" s="694"/>
      <c r="F82" s="658"/>
      <c r="G82" s="694"/>
      <c r="H82" s="694"/>
      <c r="I82" s="694"/>
      <c r="J82" s="694"/>
    </row>
    <row r="83" spans="2:10">
      <c r="B83" s="669" t="s">
        <v>1222</v>
      </c>
      <c r="C83" s="670"/>
      <c r="D83" s="670"/>
      <c r="E83" s="671"/>
      <c r="F83" s="724"/>
      <c r="G83" s="698" t="s">
        <v>1129</v>
      </c>
      <c r="H83" s="699" t="s">
        <v>373</v>
      </c>
      <c r="I83" s="700"/>
      <c r="J83" s="701">
        <f ca="1">SUM(J76:J81)</f>
        <v>0</v>
      </c>
    </row>
    <row r="84" spans="2:10">
      <c r="B84" s="669" t="s">
        <v>1222</v>
      </c>
      <c r="C84" s="670"/>
      <c r="D84" s="670"/>
      <c r="E84" s="671"/>
      <c r="F84" s="724"/>
      <c r="G84" s="707"/>
      <c r="H84" s="709"/>
      <c r="I84" s="709"/>
      <c r="J84" s="710"/>
    </row>
    <row r="85" spans="2:10">
      <c r="B85" s="669" t="s">
        <v>1222</v>
      </c>
      <c r="C85" s="670"/>
      <c r="D85" s="670"/>
      <c r="E85" s="671"/>
      <c r="F85" s="724"/>
      <c r="G85" s="707"/>
      <c r="H85" s="709"/>
      <c r="I85" s="709"/>
      <c r="J85" s="710"/>
    </row>
    <row r="86" spans="2:10">
      <c r="B86" s="673" t="s">
        <v>1222</v>
      </c>
    </row>
    <row r="87" spans="2:10">
      <c r="B87" s="673" t="s">
        <v>1222</v>
      </c>
    </row>
    <row r="88" spans="2:10" ht="16">
      <c r="B88" s="678" t="s">
        <v>1188</v>
      </c>
      <c r="C88" s="679"/>
      <c r="D88" s="679"/>
      <c r="E88" s="680"/>
      <c r="F88" s="727"/>
      <c r="G88" s="680"/>
      <c r="H88" s="680"/>
      <c r="I88" s="680"/>
      <c r="J88" s="680"/>
    </row>
    <row r="89" spans="2:10">
      <c r="B89" s="669" t="s">
        <v>1222</v>
      </c>
      <c r="C89" s="670"/>
      <c r="D89" s="670"/>
      <c r="E89" s="671"/>
      <c r="F89" s="724"/>
      <c r="G89" s="671"/>
      <c r="H89" s="671"/>
      <c r="I89" s="671"/>
      <c r="J89" s="671"/>
    </row>
    <row r="90" spans="2:10" ht="39">
      <c r="B90" s="651" t="s">
        <v>1135</v>
      </c>
      <c r="C90" s="667" t="s">
        <v>1210</v>
      </c>
      <c r="D90" s="667" t="s">
        <v>1216</v>
      </c>
      <c r="E90" s="652" t="s">
        <v>1125</v>
      </c>
      <c r="F90" s="756" t="s">
        <v>1215</v>
      </c>
      <c r="G90" s="652" t="s">
        <v>1218</v>
      </c>
      <c r="H90" s="653" t="s">
        <v>1136</v>
      </c>
      <c r="I90" s="654" t="s">
        <v>1137</v>
      </c>
      <c r="J90" s="655" t="s">
        <v>1138</v>
      </c>
    </row>
    <row r="91" spans="2:10">
      <c r="B91" s="656" t="s">
        <v>1123</v>
      </c>
      <c r="C91" s="668"/>
      <c r="D91" s="668"/>
      <c r="E91" s="661"/>
      <c r="F91" s="661"/>
      <c r="G91" s="661"/>
      <c r="H91" s="662"/>
      <c r="I91" s="662"/>
      <c r="J91" s="663"/>
    </row>
    <row r="92" spans="2:10">
      <c r="B92" s="682" t="s">
        <v>1212</v>
      </c>
      <c r="C92" s="757">
        <v>506</v>
      </c>
      <c r="D92" s="684" t="s">
        <v>1124</v>
      </c>
      <c r="E92" s="683">
        <v>1</v>
      </c>
      <c r="F92" s="728">
        <v>7</v>
      </c>
      <c r="G92" s="685">
        <f>C92</f>
        <v>506</v>
      </c>
      <c r="H92" s="729">
        <f>VLOOKUP(B92,tabelvloer,F92,FALSE)</f>
        <v>0</v>
      </c>
      <c r="I92" s="687">
        <f>H92*G92</f>
        <v>0</v>
      </c>
      <c r="J92" s="687">
        <f>I92*E92</f>
        <v>0</v>
      </c>
    </row>
    <row r="93" spans="2:10">
      <c r="B93" s="682" t="s">
        <v>1213</v>
      </c>
      <c r="C93" s="757">
        <v>506</v>
      </c>
      <c r="D93" s="684" t="s">
        <v>1124</v>
      </c>
      <c r="E93" s="683">
        <v>1</v>
      </c>
      <c r="F93" s="728">
        <v>7</v>
      </c>
      <c r="G93" s="685">
        <f>C93</f>
        <v>506</v>
      </c>
      <c r="H93" s="729">
        <f>VLOOKUP(B93,tabelvloer,F93,FALSE)</f>
        <v>0</v>
      </c>
      <c r="I93" s="687">
        <f>H93*G93</f>
        <v>0</v>
      </c>
      <c r="J93" s="687">
        <f>I93*E93</f>
        <v>0</v>
      </c>
    </row>
    <row r="94" spans="2:10">
      <c r="B94" s="657" t="s">
        <v>1139</v>
      </c>
      <c r="C94" s="668"/>
      <c r="D94" s="668"/>
      <c r="E94" s="658"/>
      <c r="F94" s="658"/>
      <c r="G94" s="658"/>
      <c r="H94" s="660"/>
      <c r="I94" s="660"/>
      <c r="J94" s="660"/>
    </row>
    <row r="95" spans="2:10">
      <c r="B95" s="682" t="s">
        <v>1140</v>
      </c>
      <c r="C95" s="757">
        <v>476.8</v>
      </c>
      <c r="D95" s="684" t="s">
        <v>1124</v>
      </c>
      <c r="E95" s="683">
        <v>1</v>
      </c>
      <c r="F95" s="683"/>
      <c r="G95" s="685">
        <f>C95</f>
        <v>476.8</v>
      </c>
      <c r="H95" s="732"/>
      <c r="I95" s="687">
        <f>H95*G95</f>
        <v>0</v>
      </c>
      <c r="J95" s="687">
        <f t="shared" ref="J95:J103" si="12">I95*E95</f>
        <v>0</v>
      </c>
    </row>
    <row r="96" spans="2:10">
      <c r="B96" s="682" t="s">
        <v>1189</v>
      </c>
      <c r="C96" s="689">
        <v>447</v>
      </c>
      <c r="D96" s="689" t="s">
        <v>1220</v>
      </c>
      <c r="E96" s="683">
        <v>2</v>
      </c>
      <c r="F96" s="683"/>
      <c r="G96" s="685">
        <f>C96</f>
        <v>447</v>
      </c>
      <c r="H96" s="732"/>
      <c r="I96" s="687">
        <f>H96*G96</f>
        <v>0</v>
      </c>
      <c r="J96" s="687">
        <f t="shared" si="12"/>
        <v>0</v>
      </c>
    </row>
    <row r="97" spans="2:10">
      <c r="B97" s="682" t="s">
        <v>1182</v>
      </c>
      <c r="C97" s="689">
        <v>7</v>
      </c>
      <c r="D97" s="689" t="s">
        <v>1220</v>
      </c>
      <c r="E97" s="683">
        <v>2</v>
      </c>
      <c r="F97" s="683"/>
      <c r="G97" s="685">
        <f>C97</f>
        <v>7</v>
      </c>
      <c r="H97" s="732"/>
      <c r="I97" s="687">
        <f>H97*G97</f>
        <v>0</v>
      </c>
      <c r="J97" s="687">
        <f t="shared" si="12"/>
        <v>0</v>
      </c>
    </row>
    <row r="98" spans="2:10">
      <c r="B98" s="682" t="s">
        <v>1141</v>
      </c>
      <c r="C98" s="689">
        <v>506</v>
      </c>
      <c r="D98" s="689" t="s">
        <v>1220</v>
      </c>
      <c r="E98" s="683">
        <v>2</v>
      </c>
      <c r="F98" s="683"/>
      <c r="G98" s="685">
        <f>C98</f>
        <v>506</v>
      </c>
      <c r="H98" s="732"/>
      <c r="I98" s="687">
        <f>H98*G98</f>
        <v>0</v>
      </c>
      <c r="J98" s="687">
        <f t="shared" si="12"/>
        <v>0</v>
      </c>
    </row>
    <row r="99" spans="2:10">
      <c r="B99" s="692" t="s">
        <v>1150</v>
      </c>
      <c r="C99" s="762"/>
      <c r="D99" s="689" t="s">
        <v>1220</v>
      </c>
      <c r="E99" s="683">
        <v>2</v>
      </c>
      <c r="F99" s="721"/>
      <c r="G99" s="730"/>
      <c r="H99" s="735"/>
      <c r="I99" s="767" t="s">
        <v>1255</v>
      </c>
      <c r="J99" s="735"/>
    </row>
    <row r="100" spans="2:10">
      <c r="B100" s="682" t="s">
        <v>1190</v>
      </c>
      <c r="C100" s="757">
        <v>506</v>
      </c>
      <c r="D100" s="684" t="s">
        <v>1124</v>
      </c>
      <c r="E100" s="683">
        <v>1</v>
      </c>
      <c r="F100" s="683"/>
      <c r="G100" s="685">
        <f>C100</f>
        <v>506</v>
      </c>
      <c r="H100" s="732"/>
      <c r="I100" s="687">
        <f>H100*G100</f>
        <v>0</v>
      </c>
      <c r="J100" s="687">
        <f t="shared" si="12"/>
        <v>0</v>
      </c>
    </row>
    <row r="101" spans="2:10" ht="26">
      <c r="B101" s="682" t="s">
        <v>78</v>
      </c>
      <c r="C101" s="757">
        <v>1428</v>
      </c>
      <c r="D101" s="684" t="s">
        <v>1252</v>
      </c>
      <c r="E101" s="683">
        <v>1</v>
      </c>
      <c r="F101" s="728">
        <v>7</v>
      </c>
      <c r="G101" s="685">
        <f>C101/5</f>
        <v>285.60000000000002</v>
      </c>
      <c r="H101" s="729">
        <f>VLOOKUP(B101,tabelvloer,F101,FALSE)</f>
        <v>0</v>
      </c>
      <c r="I101" s="687">
        <f>H101*G101</f>
        <v>0</v>
      </c>
      <c r="J101" s="687">
        <f t="shared" si="12"/>
        <v>0</v>
      </c>
    </row>
    <row r="102" spans="2:10" ht="26">
      <c r="B102" s="682" t="s">
        <v>1047</v>
      </c>
      <c r="C102" s="757">
        <v>150</v>
      </c>
      <c r="D102" s="684" t="s">
        <v>1252</v>
      </c>
      <c r="E102" s="683">
        <v>1</v>
      </c>
      <c r="F102" s="728">
        <v>7</v>
      </c>
      <c r="G102" s="685">
        <f>C102/5</f>
        <v>30</v>
      </c>
      <c r="H102" s="729">
        <f>VLOOKUP(B102,tabelstoel,F102,FALSE)</f>
        <v>0</v>
      </c>
      <c r="I102" s="687">
        <f>H102*G102</f>
        <v>0</v>
      </c>
      <c r="J102" s="687">
        <f t="shared" si="12"/>
        <v>0</v>
      </c>
    </row>
    <row r="103" spans="2:10" ht="26">
      <c r="B103" s="690" t="s">
        <v>238</v>
      </c>
      <c r="C103" s="757">
        <v>95</v>
      </c>
      <c r="D103" s="684" t="s">
        <v>1252</v>
      </c>
      <c r="E103" s="683">
        <v>1</v>
      </c>
      <c r="F103" s="728">
        <v>7</v>
      </c>
      <c r="G103" s="685">
        <f>C103/5</f>
        <v>19</v>
      </c>
      <c r="H103" s="729">
        <f>VLOOKUP(B103,tabeltoets,F103,FALSE)</f>
        <v>0</v>
      </c>
      <c r="I103" s="687">
        <f>H103*G103</f>
        <v>0</v>
      </c>
      <c r="J103" s="687">
        <f t="shared" si="12"/>
        <v>0</v>
      </c>
    </row>
    <row r="104" spans="2:10">
      <c r="B104" s="711" t="s">
        <v>1223</v>
      </c>
      <c r="C104" s="712"/>
      <c r="D104" s="712"/>
      <c r="E104" s="713"/>
      <c r="F104" s="713"/>
      <c r="G104" s="714"/>
      <c r="H104" s="714"/>
      <c r="I104" s="714"/>
      <c r="J104" s="714"/>
    </row>
    <row r="105" spans="2:10">
      <c r="B105" s="682" t="s">
        <v>1191</v>
      </c>
      <c r="C105" s="757">
        <v>241.2</v>
      </c>
      <c r="D105" s="684" t="s">
        <v>1124</v>
      </c>
      <c r="E105" s="683">
        <v>1</v>
      </c>
      <c r="F105" s="721"/>
      <c r="G105" s="685">
        <f>C105</f>
        <v>241.2</v>
      </c>
      <c r="H105" s="731"/>
      <c r="I105" s="687">
        <f>H105*G105</f>
        <v>0</v>
      </c>
      <c r="J105" s="687">
        <f t="shared" ref="J105" si="13">I105*E105</f>
        <v>0</v>
      </c>
    </row>
    <row r="106" spans="2:10">
      <c r="B106" s="682" t="s">
        <v>1192</v>
      </c>
      <c r="C106" s="757">
        <v>14</v>
      </c>
      <c r="D106" s="684" t="s">
        <v>1124</v>
      </c>
      <c r="E106" s="683">
        <v>1</v>
      </c>
      <c r="F106" s="683"/>
      <c r="G106" s="685">
        <f>C106</f>
        <v>14</v>
      </c>
      <c r="H106" s="732"/>
      <c r="I106" s="687">
        <f t="shared" ref="I106:I107" si="14">H106*G106</f>
        <v>0</v>
      </c>
      <c r="J106" s="687">
        <f t="shared" ref="J106:J107" si="15">I106*E106</f>
        <v>0</v>
      </c>
    </row>
    <row r="107" spans="2:10">
      <c r="B107" s="708" t="s">
        <v>1193</v>
      </c>
      <c r="C107" s="787">
        <v>160.80000000000001</v>
      </c>
      <c r="D107" s="684" t="s">
        <v>1124</v>
      </c>
      <c r="E107" s="683">
        <v>1</v>
      </c>
      <c r="F107" s="721"/>
      <c r="G107" s="685">
        <f>C107</f>
        <v>160.80000000000001</v>
      </c>
      <c r="H107" s="731"/>
      <c r="I107" s="687">
        <f t="shared" si="14"/>
        <v>0</v>
      </c>
      <c r="J107" s="687">
        <f t="shared" si="15"/>
        <v>0</v>
      </c>
    </row>
    <row r="108" spans="2:10">
      <c r="B108" s="682" t="s">
        <v>1194</v>
      </c>
      <c r="C108" s="760"/>
      <c r="D108" s="684" t="s">
        <v>1124</v>
      </c>
      <c r="E108" s="683">
        <v>1</v>
      </c>
      <c r="F108" s="721"/>
      <c r="G108" s="730"/>
      <c r="H108" s="730"/>
      <c r="I108" s="767" t="s">
        <v>1255</v>
      </c>
      <c r="J108" s="735"/>
    </row>
    <row r="109" spans="2:10">
      <c r="B109" s="682" t="s">
        <v>1169</v>
      </c>
      <c r="C109" s="760"/>
      <c r="D109" s="684" t="s">
        <v>1124</v>
      </c>
      <c r="E109" s="683">
        <v>1</v>
      </c>
      <c r="F109" s="721"/>
      <c r="G109" s="730"/>
      <c r="H109" s="730"/>
      <c r="I109" s="767" t="s">
        <v>1255</v>
      </c>
      <c r="J109" s="735"/>
    </row>
    <row r="110" spans="2:10">
      <c r="B110" s="739" t="s">
        <v>1225</v>
      </c>
      <c r="C110" s="706"/>
      <c r="D110" s="706"/>
      <c r="E110" s="713"/>
      <c r="F110" s="713"/>
      <c r="G110" s="714"/>
      <c r="H110" s="714"/>
      <c r="I110" s="714"/>
      <c r="J110" s="714"/>
    </row>
    <row r="111" spans="2:10">
      <c r="B111" s="682" t="s">
        <v>1195</v>
      </c>
      <c r="C111" s="757">
        <v>428.8</v>
      </c>
      <c r="D111" s="684" t="s">
        <v>1124</v>
      </c>
      <c r="E111" s="683">
        <v>1</v>
      </c>
      <c r="F111" s="721"/>
      <c r="G111" s="685">
        <f>C111</f>
        <v>428.8</v>
      </c>
      <c r="H111" s="731"/>
      <c r="I111" s="687">
        <f>H111*G111</f>
        <v>0</v>
      </c>
      <c r="J111" s="687">
        <f t="shared" ref="J111" si="16">I111*E111</f>
        <v>0</v>
      </c>
    </row>
    <row r="112" spans="2:10">
      <c r="B112" s="708" t="s">
        <v>1192</v>
      </c>
      <c r="C112" s="757">
        <v>515</v>
      </c>
      <c r="D112" s="684" t="s">
        <v>1124</v>
      </c>
      <c r="E112" s="683">
        <v>1</v>
      </c>
      <c r="F112" s="683"/>
      <c r="G112" s="685">
        <f>C112</f>
        <v>515</v>
      </c>
      <c r="H112" s="732"/>
      <c r="I112" s="687">
        <f>H112*G112</f>
        <v>0</v>
      </c>
      <c r="J112" s="687">
        <f>I112*E112</f>
        <v>0</v>
      </c>
    </row>
    <row r="113" spans="2:10">
      <c r="B113" s="682" t="s">
        <v>1196</v>
      </c>
      <c r="C113" s="757">
        <v>26.8</v>
      </c>
      <c r="D113" s="684" t="s">
        <v>1124</v>
      </c>
      <c r="E113" s="683">
        <v>1</v>
      </c>
      <c r="F113" s="721"/>
      <c r="G113" s="685">
        <f>C113</f>
        <v>26.8</v>
      </c>
      <c r="H113" s="732"/>
      <c r="I113" s="687">
        <f>H113*G113</f>
        <v>0</v>
      </c>
      <c r="J113" s="687">
        <f t="shared" ref="J113:J114" si="17">I113*E113</f>
        <v>0</v>
      </c>
    </row>
    <row r="114" spans="2:10">
      <c r="B114" s="682" t="s">
        <v>1197</v>
      </c>
      <c r="C114" s="757">
        <v>70</v>
      </c>
      <c r="D114" s="684" t="s">
        <v>1124</v>
      </c>
      <c r="E114" s="683">
        <v>1</v>
      </c>
      <c r="F114" s="721"/>
      <c r="G114" s="685">
        <f>C114</f>
        <v>70</v>
      </c>
      <c r="H114" s="732"/>
      <c r="I114" s="687">
        <f>H114*G114</f>
        <v>0</v>
      </c>
      <c r="J114" s="687">
        <f t="shared" si="17"/>
        <v>0</v>
      </c>
    </row>
    <row r="115" spans="2:10">
      <c r="B115" s="682" t="s">
        <v>1198</v>
      </c>
      <c r="C115" s="760"/>
      <c r="D115" s="684" t="s">
        <v>1124</v>
      </c>
      <c r="E115" s="683">
        <v>1</v>
      </c>
      <c r="F115" s="721"/>
      <c r="G115" s="730"/>
      <c r="H115" s="735"/>
      <c r="I115" s="767" t="s">
        <v>1255</v>
      </c>
      <c r="J115" s="735"/>
    </row>
    <row r="116" spans="2:10">
      <c r="B116" s="705" t="s">
        <v>1224</v>
      </c>
      <c r="C116" s="706"/>
      <c r="D116" s="706"/>
      <c r="E116" s="713"/>
      <c r="F116" s="713"/>
      <c r="G116" s="714"/>
      <c r="H116" s="714"/>
      <c r="I116" s="714"/>
      <c r="J116" s="714"/>
    </row>
    <row r="117" spans="2:10">
      <c r="B117" s="708" t="s">
        <v>1195</v>
      </c>
      <c r="C117" s="757">
        <v>428.8</v>
      </c>
      <c r="D117" s="684" t="s">
        <v>1124</v>
      </c>
      <c r="E117" s="683">
        <v>1</v>
      </c>
      <c r="F117" s="721"/>
      <c r="G117" s="685">
        <f>C117</f>
        <v>428.8</v>
      </c>
      <c r="H117" s="732"/>
      <c r="I117" s="687">
        <f>H117*G117</f>
        <v>0</v>
      </c>
      <c r="J117" s="687">
        <f t="shared" ref="J117" si="18">I117*E117</f>
        <v>0</v>
      </c>
    </row>
    <row r="118" spans="2:10">
      <c r="B118" s="682" t="s">
        <v>1192</v>
      </c>
      <c r="C118" s="757">
        <v>244</v>
      </c>
      <c r="D118" s="684" t="s">
        <v>1124</v>
      </c>
      <c r="E118" s="683">
        <v>1</v>
      </c>
      <c r="F118" s="683"/>
      <c r="G118" s="685">
        <f>C118</f>
        <v>244</v>
      </c>
      <c r="H118" s="732"/>
      <c r="I118" s="687">
        <f>H118*G118</f>
        <v>0</v>
      </c>
      <c r="J118" s="687">
        <f t="shared" ref="J118:J121" si="19">I118*E118</f>
        <v>0</v>
      </c>
    </row>
    <row r="119" spans="2:10">
      <c r="B119" s="682" t="s">
        <v>1196</v>
      </c>
      <c r="C119" s="757">
        <v>26.8</v>
      </c>
      <c r="D119" s="684" t="s">
        <v>1124</v>
      </c>
      <c r="E119" s="683">
        <v>1</v>
      </c>
      <c r="F119" s="721"/>
      <c r="G119" s="685">
        <f>C119</f>
        <v>26.8</v>
      </c>
      <c r="H119" s="732"/>
      <c r="I119" s="687">
        <f>H119*G119</f>
        <v>0</v>
      </c>
      <c r="J119" s="687">
        <f t="shared" si="19"/>
        <v>0</v>
      </c>
    </row>
    <row r="120" spans="2:10">
      <c r="B120" s="682" t="s">
        <v>1199</v>
      </c>
      <c r="C120" s="757">
        <v>120.6</v>
      </c>
      <c r="D120" s="684" t="s">
        <v>1124</v>
      </c>
      <c r="E120" s="683">
        <v>1</v>
      </c>
      <c r="F120" s="721"/>
      <c r="G120" s="685">
        <f>C120</f>
        <v>120.6</v>
      </c>
      <c r="H120" s="732"/>
      <c r="I120" s="687">
        <f>H120*G120</f>
        <v>0</v>
      </c>
      <c r="J120" s="687">
        <f t="shared" si="19"/>
        <v>0</v>
      </c>
    </row>
    <row r="121" spans="2:10">
      <c r="B121" s="682" t="s">
        <v>1200</v>
      </c>
      <c r="C121" s="787">
        <v>294.8</v>
      </c>
      <c r="D121" s="684" t="s">
        <v>1124</v>
      </c>
      <c r="E121" s="683">
        <v>1</v>
      </c>
      <c r="F121" s="721"/>
      <c r="G121" s="685">
        <f>C121</f>
        <v>294.8</v>
      </c>
      <c r="H121" s="732"/>
      <c r="I121" s="687">
        <f>H121*G121</f>
        <v>0</v>
      </c>
      <c r="J121" s="687">
        <f t="shared" si="19"/>
        <v>0</v>
      </c>
    </row>
    <row r="122" spans="2:10">
      <c r="B122" s="708" t="s">
        <v>1198</v>
      </c>
      <c r="C122" s="760"/>
      <c r="D122" s="684" t="s">
        <v>1124</v>
      </c>
      <c r="E122" s="683">
        <v>1</v>
      </c>
      <c r="F122" s="721"/>
      <c r="G122" s="730"/>
      <c r="H122" s="735"/>
      <c r="I122" s="767" t="s">
        <v>1255</v>
      </c>
      <c r="J122" s="735"/>
    </row>
    <row r="123" spans="2:10">
      <c r="B123" s="705" t="s">
        <v>1148</v>
      </c>
      <c r="C123" s="706"/>
      <c r="D123" s="706"/>
      <c r="E123" s="713"/>
      <c r="F123" s="713"/>
      <c r="G123" s="714"/>
      <c r="H123" s="714"/>
      <c r="I123" s="714"/>
      <c r="J123" s="714"/>
    </row>
    <row r="124" spans="2:10">
      <c r="B124" s="692" t="s">
        <v>1149</v>
      </c>
      <c r="C124" s="689">
        <v>244</v>
      </c>
      <c r="D124" s="689" t="s">
        <v>1220</v>
      </c>
      <c r="E124" s="683">
        <v>2</v>
      </c>
      <c r="F124" s="683"/>
      <c r="G124" s="685">
        <f>C124</f>
        <v>244</v>
      </c>
      <c r="H124" s="732"/>
      <c r="I124" s="687">
        <f>H124*G124</f>
        <v>0</v>
      </c>
      <c r="J124" s="687">
        <f t="shared" ref="J124:J143" si="20">I124*E124</f>
        <v>0</v>
      </c>
    </row>
    <row r="125" spans="2:10">
      <c r="B125" s="692" t="s">
        <v>1150</v>
      </c>
      <c r="C125" s="762"/>
      <c r="D125" s="689" t="s">
        <v>1220</v>
      </c>
      <c r="E125" s="683">
        <v>2</v>
      </c>
      <c r="F125" s="721"/>
      <c r="G125" s="730"/>
      <c r="H125" s="735"/>
      <c r="I125" s="767" t="s">
        <v>1255</v>
      </c>
      <c r="J125" s="735"/>
    </row>
    <row r="126" spans="2:10" ht="26">
      <c r="B126" s="692" t="s">
        <v>1152</v>
      </c>
      <c r="C126" s="689">
        <v>53.6</v>
      </c>
      <c r="D126" s="684" t="s">
        <v>1124</v>
      </c>
      <c r="E126" s="683">
        <v>1</v>
      </c>
      <c r="F126" s="721"/>
      <c r="G126" s="685">
        <f t="shared" ref="G126" si="21">C126</f>
        <v>53.6</v>
      </c>
      <c r="H126" s="731"/>
      <c r="I126" s="687">
        <f t="shared" ref="I126" si="22">H126*G126</f>
        <v>0</v>
      </c>
      <c r="J126" s="687">
        <f t="shared" ref="J126" si="23">I126*E126</f>
        <v>0</v>
      </c>
    </row>
    <row r="127" spans="2:10">
      <c r="B127" s="693" t="s">
        <v>1173</v>
      </c>
      <c r="C127" s="757">
        <v>170</v>
      </c>
      <c r="D127" s="684" t="s">
        <v>1124</v>
      </c>
      <c r="E127" s="683">
        <v>1</v>
      </c>
      <c r="F127" s="683"/>
      <c r="G127" s="685">
        <f t="shared" ref="G127:G133" si="24">C127</f>
        <v>170</v>
      </c>
      <c r="H127" s="731"/>
      <c r="I127" s="687">
        <f t="shared" ref="I127:I133" si="25">H127*G127</f>
        <v>0</v>
      </c>
      <c r="J127" s="687">
        <f t="shared" si="20"/>
        <v>0</v>
      </c>
    </row>
    <row r="128" spans="2:10">
      <c r="B128" s="692" t="s">
        <v>1201</v>
      </c>
      <c r="C128" s="757">
        <v>1786</v>
      </c>
      <c r="D128" s="684" t="s">
        <v>1124</v>
      </c>
      <c r="E128" s="683">
        <v>1</v>
      </c>
      <c r="F128" s="683"/>
      <c r="G128" s="685">
        <f t="shared" si="24"/>
        <v>1786</v>
      </c>
      <c r="H128" s="731"/>
      <c r="I128" s="687">
        <f t="shared" si="25"/>
        <v>0</v>
      </c>
      <c r="J128" s="687">
        <f t="shared" si="20"/>
        <v>0</v>
      </c>
    </row>
    <row r="129" spans="2:10" ht="26">
      <c r="B129" s="692" t="s">
        <v>1174</v>
      </c>
      <c r="C129" s="757">
        <v>20</v>
      </c>
      <c r="D129" s="684" t="s">
        <v>1124</v>
      </c>
      <c r="E129" s="683">
        <v>1</v>
      </c>
      <c r="F129" s="683"/>
      <c r="G129" s="685">
        <f t="shared" si="24"/>
        <v>20</v>
      </c>
      <c r="H129" s="731"/>
      <c r="I129" s="687">
        <f t="shared" si="25"/>
        <v>0</v>
      </c>
      <c r="J129" s="687">
        <f t="shared" si="20"/>
        <v>0</v>
      </c>
    </row>
    <row r="130" spans="2:10">
      <c r="B130" s="692" t="s">
        <v>1202</v>
      </c>
      <c r="C130" s="757">
        <v>72</v>
      </c>
      <c r="D130" s="684" t="s">
        <v>1124</v>
      </c>
      <c r="E130" s="683">
        <v>1</v>
      </c>
      <c r="F130" s="683"/>
      <c r="G130" s="685">
        <f t="shared" si="24"/>
        <v>72</v>
      </c>
      <c r="H130" s="731"/>
      <c r="I130" s="687">
        <f t="shared" si="25"/>
        <v>0</v>
      </c>
      <c r="J130" s="687">
        <f t="shared" si="20"/>
        <v>0</v>
      </c>
    </row>
    <row r="131" spans="2:10">
      <c r="B131" s="692" t="s">
        <v>1203</v>
      </c>
      <c r="C131" s="757">
        <v>43</v>
      </c>
      <c r="D131" s="684" t="s">
        <v>1124</v>
      </c>
      <c r="E131" s="683">
        <v>1</v>
      </c>
      <c r="F131" s="683"/>
      <c r="G131" s="685">
        <f t="shared" si="24"/>
        <v>43</v>
      </c>
      <c r="H131" s="731"/>
      <c r="I131" s="687">
        <f>H131*G131</f>
        <v>0</v>
      </c>
      <c r="J131" s="687">
        <f>I131*E131</f>
        <v>0</v>
      </c>
    </row>
    <row r="132" spans="2:10" ht="26">
      <c r="B132" s="693" t="s">
        <v>1170</v>
      </c>
      <c r="C132" s="757">
        <v>160</v>
      </c>
      <c r="D132" s="684" t="s">
        <v>1124</v>
      </c>
      <c r="E132" s="683">
        <v>1</v>
      </c>
      <c r="F132" s="683"/>
      <c r="G132" s="685">
        <f t="shared" si="24"/>
        <v>160</v>
      </c>
      <c r="H132" s="731"/>
      <c r="I132" s="687">
        <f>H132*G132</f>
        <v>0</v>
      </c>
      <c r="J132" s="687">
        <f>I132*E132</f>
        <v>0</v>
      </c>
    </row>
    <row r="133" spans="2:10">
      <c r="B133" s="692" t="s">
        <v>1175</v>
      </c>
      <c r="C133" s="757">
        <v>15</v>
      </c>
      <c r="D133" s="684" t="s">
        <v>1124</v>
      </c>
      <c r="E133" s="683">
        <v>1</v>
      </c>
      <c r="F133" s="683"/>
      <c r="G133" s="685">
        <f t="shared" si="24"/>
        <v>15</v>
      </c>
      <c r="H133" s="731"/>
      <c r="I133" s="687">
        <f t="shared" si="25"/>
        <v>0</v>
      </c>
      <c r="J133" s="687">
        <f t="shared" si="20"/>
        <v>0</v>
      </c>
    </row>
    <row r="134" spans="2:10">
      <c r="B134" s="692" t="s">
        <v>1204</v>
      </c>
      <c r="C134" s="760"/>
      <c r="D134" s="684" t="s">
        <v>1124</v>
      </c>
      <c r="E134" s="683">
        <v>1</v>
      </c>
      <c r="F134" s="721"/>
      <c r="G134" s="730"/>
      <c r="H134" s="735"/>
      <c r="I134" s="767" t="s">
        <v>1255</v>
      </c>
      <c r="J134" s="735"/>
    </row>
    <row r="135" spans="2:10">
      <c r="B135" s="692" t="s">
        <v>1172</v>
      </c>
      <c r="C135" s="760"/>
      <c r="D135" s="684" t="s">
        <v>1124</v>
      </c>
      <c r="E135" s="683">
        <v>1</v>
      </c>
      <c r="F135" s="721"/>
      <c r="G135" s="730"/>
      <c r="H135" s="735"/>
      <c r="I135" s="767" t="s">
        <v>1255</v>
      </c>
      <c r="J135" s="735"/>
    </row>
    <row r="136" spans="2:10">
      <c r="B136" s="737" t="s">
        <v>1164</v>
      </c>
      <c r="C136" s="757">
        <v>6</v>
      </c>
      <c r="D136" s="684" t="s">
        <v>1124</v>
      </c>
      <c r="E136" s="683">
        <v>1</v>
      </c>
      <c r="F136" s="683"/>
      <c r="G136" s="685">
        <f t="shared" ref="G136:G144" si="26">C136</f>
        <v>6</v>
      </c>
      <c r="H136" s="731"/>
      <c r="I136" s="687">
        <f t="shared" ref="I136:I142" si="27">H136*G136</f>
        <v>0</v>
      </c>
      <c r="J136" s="687">
        <f t="shared" ref="J136:J142" si="28">I136*E136</f>
        <v>0</v>
      </c>
    </row>
    <row r="137" spans="2:10">
      <c r="B137" s="692" t="s">
        <v>1205</v>
      </c>
      <c r="C137" s="757">
        <v>5</v>
      </c>
      <c r="D137" s="684" t="s">
        <v>1124</v>
      </c>
      <c r="E137" s="683">
        <v>1</v>
      </c>
      <c r="F137" s="683"/>
      <c r="G137" s="685">
        <f t="shared" si="26"/>
        <v>5</v>
      </c>
      <c r="H137" s="731"/>
      <c r="I137" s="687">
        <f t="shared" si="27"/>
        <v>0</v>
      </c>
      <c r="J137" s="687">
        <f t="shared" si="28"/>
        <v>0</v>
      </c>
    </row>
    <row r="138" spans="2:10">
      <c r="B138" s="692" t="s">
        <v>1162</v>
      </c>
      <c r="C138" s="757">
        <v>1</v>
      </c>
      <c r="D138" s="684" t="s">
        <v>1124</v>
      </c>
      <c r="E138" s="683">
        <v>1</v>
      </c>
      <c r="F138" s="683"/>
      <c r="G138" s="685">
        <f t="shared" si="26"/>
        <v>1</v>
      </c>
      <c r="H138" s="686"/>
      <c r="I138" s="687">
        <f t="shared" si="27"/>
        <v>0</v>
      </c>
      <c r="J138" s="687">
        <f t="shared" si="28"/>
        <v>0</v>
      </c>
    </row>
    <row r="139" spans="2:10">
      <c r="B139" s="692" t="s">
        <v>1206</v>
      </c>
      <c r="C139" s="757">
        <v>22</v>
      </c>
      <c r="D139" s="684" t="s">
        <v>1124</v>
      </c>
      <c r="E139" s="683">
        <v>1</v>
      </c>
      <c r="F139" s="683"/>
      <c r="G139" s="685">
        <f t="shared" si="26"/>
        <v>22</v>
      </c>
      <c r="H139" s="731"/>
      <c r="I139" s="687">
        <f t="shared" si="27"/>
        <v>0</v>
      </c>
      <c r="J139" s="687">
        <f t="shared" si="28"/>
        <v>0</v>
      </c>
    </row>
    <row r="140" spans="2:10">
      <c r="B140" s="692" t="s">
        <v>1163</v>
      </c>
      <c r="C140" s="757">
        <v>2</v>
      </c>
      <c r="D140" s="684" t="s">
        <v>1124</v>
      </c>
      <c r="E140" s="683">
        <v>1</v>
      </c>
      <c r="F140" s="683"/>
      <c r="G140" s="685">
        <f t="shared" si="26"/>
        <v>2</v>
      </c>
      <c r="H140" s="731"/>
      <c r="I140" s="687">
        <f t="shared" si="27"/>
        <v>0</v>
      </c>
      <c r="J140" s="687">
        <f t="shared" si="28"/>
        <v>0</v>
      </c>
    </row>
    <row r="141" spans="2:10">
      <c r="B141" s="693" t="s">
        <v>1177</v>
      </c>
      <c r="C141" s="757">
        <v>6</v>
      </c>
      <c r="D141" s="684" t="s">
        <v>1124</v>
      </c>
      <c r="E141" s="683">
        <v>1</v>
      </c>
      <c r="F141" s="683"/>
      <c r="G141" s="685">
        <f t="shared" si="26"/>
        <v>6</v>
      </c>
      <c r="H141" s="731"/>
      <c r="I141" s="687">
        <f t="shared" si="27"/>
        <v>0</v>
      </c>
      <c r="J141" s="687">
        <f t="shared" si="28"/>
        <v>0</v>
      </c>
    </row>
    <row r="142" spans="2:10">
      <c r="B142" s="692" t="s">
        <v>1180</v>
      </c>
      <c r="C142" s="757">
        <v>26</v>
      </c>
      <c r="D142" s="684" t="s">
        <v>1124</v>
      </c>
      <c r="E142" s="683">
        <v>1</v>
      </c>
      <c r="F142" s="683"/>
      <c r="G142" s="685">
        <f t="shared" si="26"/>
        <v>26</v>
      </c>
      <c r="H142" s="731"/>
      <c r="I142" s="687">
        <f t="shared" si="27"/>
        <v>0</v>
      </c>
      <c r="J142" s="687">
        <f t="shared" si="28"/>
        <v>0</v>
      </c>
    </row>
    <row r="143" spans="2:10">
      <c r="B143" s="692" t="s">
        <v>1178</v>
      </c>
      <c r="C143" s="757">
        <v>2</v>
      </c>
      <c r="D143" s="684" t="s">
        <v>1124</v>
      </c>
      <c r="E143" s="683">
        <v>1</v>
      </c>
      <c r="F143" s="683"/>
      <c r="G143" s="685">
        <f t="shared" ref="G143" si="29">C143</f>
        <v>2</v>
      </c>
      <c r="H143" s="731"/>
      <c r="I143" s="687">
        <f t="shared" ref="I143" si="30">H143*G143</f>
        <v>0</v>
      </c>
      <c r="J143" s="687">
        <f t="shared" si="20"/>
        <v>0</v>
      </c>
    </row>
    <row r="144" spans="2:10">
      <c r="B144" s="737" t="s">
        <v>1179</v>
      </c>
      <c r="C144" s="757">
        <v>100</v>
      </c>
      <c r="D144" s="684" t="s">
        <v>1124</v>
      </c>
      <c r="E144" s="683">
        <v>1</v>
      </c>
      <c r="F144" s="683"/>
      <c r="G144" s="685">
        <f t="shared" si="26"/>
        <v>100</v>
      </c>
      <c r="H144" s="731"/>
      <c r="I144" s="687">
        <f t="shared" ref="I144" si="31">H144*G144</f>
        <v>0</v>
      </c>
      <c r="J144" s="687">
        <f t="shared" ref="J144" si="32">I144*E144</f>
        <v>0</v>
      </c>
    </row>
    <row r="145" spans="2:10">
      <c r="B145" s="692" t="s">
        <v>1207</v>
      </c>
      <c r="C145" s="760"/>
      <c r="D145" s="684" t="s">
        <v>1124</v>
      </c>
      <c r="E145" s="683">
        <v>1</v>
      </c>
      <c r="F145" s="721"/>
      <c r="G145" s="730"/>
      <c r="H145" s="735"/>
      <c r="I145" s="767" t="s">
        <v>1255</v>
      </c>
      <c r="J145" s="735"/>
    </row>
    <row r="146" spans="2:10">
      <c r="B146" s="693" t="s">
        <v>1167</v>
      </c>
      <c r="C146" s="760"/>
      <c r="D146" s="684" t="s">
        <v>1124</v>
      </c>
      <c r="E146" s="683">
        <v>1</v>
      </c>
      <c r="F146" s="721"/>
      <c r="G146" s="730"/>
      <c r="H146" s="735"/>
      <c r="I146" s="767" t="s">
        <v>1255</v>
      </c>
      <c r="J146" s="735"/>
    </row>
    <row r="147" spans="2:10">
      <c r="B147" s="694" t="s">
        <v>1222</v>
      </c>
      <c r="C147" s="695"/>
      <c r="D147" s="695"/>
      <c r="E147" s="658"/>
      <c r="F147" s="658"/>
      <c r="G147" s="658"/>
      <c r="H147" s="658"/>
      <c r="I147" s="658"/>
      <c r="J147" s="658"/>
    </row>
    <row r="148" spans="2:10">
      <c r="B148" s="741" t="s">
        <v>1228</v>
      </c>
      <c r="C148" s="742"/>
      <c r="D148" s="742"/>
      <c r="E148" s="743"/>
      <c r="F148" s="743"/>
      <c r="G148" s="658"/>
      <c r="H148" s="658"/>
      <c r="I148" s="658"/>
      <c r="J148" s="744">
        <f ca="1">VLOOKUP(H150,'1.1-Jaarprijzen'!$B$26:$G$31,5,FALSE)*2%</f>
        <v>0</v>
      </c>
    </row>
    <row r="149" spans="2:10">
      <c r="B149" s="696" t="s">
        <v>1222</v>
      </c>
      <c r="C149" s="697"/>
      <c r="D149" s="697"/>
      <c r="E149" s="694"/>
      <c r="F149" s="658"/>
      <c r="G149" s="694"/>
      <c r="H149" s="694"/>
      <c r="I149" s="694"/>
      <c r="J149" s="694"/>
    </row>
    <row r="150" spans="2:10">
      <c r="B150" s="669" t="s">
        <v>1222</v>
      </c>
      <c r="C150" s="670"/>
      <c r="D150" s="670"/>
      <c r="E150" s="671"/>
      <c r="F150" s="724"/>
      <c r="G150" s="698" t="s">
        <v>1129</v>
      </c>
      <c r="H150" s="699" t="s">
        <v>374</v>
      </c>
      <c r="I150" s="700"/>
      <c r="J150" s="701">
        <f ca="1">SUM(J92:J148)</f>
        <v>0</v>
      </c>
    </row>
    <row r="151" spans="2:10">
      <c r="B151" s="673" t="s">
        <v>1222</v>
      </c>
    </row>
    <row r="152" spans="2:10">
      <c r="B152" s="673" t="s">
        <v>1222</v>
      </c>
    </row>
    <row r="153" spans="2:10">
      <c r="B153" s="673" t="s">
        <v>1222</v>
      </c>
    </row>
    <row r="154" spans="2:10">
      <c r="B154" s="673" t="s">
        <v>1222</v>
      </c>
    </row>
    <row r="155" spans="2:10" ht="16">
      <c r="B155" s="678" t="s">
        <v>1208</v>
      </c>
      <c r="C155" s="679"/>
      <c r="D155" s="679"/>
      <c r="E155" s="680"/>
      <c r="F155" s="727"/>
      <c r="G155" s="680"/>
      <c r="H155" s="680"/>
      <c r="I155" s="680"/>
      <c r="J155" s="680"/>
    </row>
    <row r="156" spans="2:10">
      <c r="B156" s="669" t="s">
        <v>1222</v>
      </c>
      <c r="C156" s="670"/>
      <c r="D156" s="670"/>
      <c r="E156" s="671"/>
      <c r="F156" s="724"/>
      <c r="G156" s="671"/>
      <c r="H156" s="671"/>
      <c r="I156" s="671"/>
      <c r="J156" s="671"/>
    </row>
    <row r="157" spans="2:10" ht="39">
      <c r="B157" s="651" t="s">
        <v>1135</v>
      </c>
      <c r="C157" s="667" t="s">
        <v>1210</v>
      </c>
      <c r="D157" s="667" t="s">
        <v>1216</v>
      </c>
      <c r="E157" s="652" t="s">
        <v>1125</v>
      </c>
      <c r="F157" s="756" t="s">
        <v>1215</v>
      </c>
      <c r="G157" s="652" t="s">
        <v>1218</v>
      </c>
      <c r="H157" s="653" t="s">
        <v>1136</v>
      </c>
      <c r="I157" s="654" t="s">
        <v>1137</v>
      </c>
      <c r="J157" s="655" t="s">
        <v>1138</v>
      </c>
    </row>
    <row r="158" spans="2:10">
      <c r="B158" s="656" t="s">
        <v>1123</v>
      </c>
      <c r="C158" s="668"/>
      <c r="D158" s="668"/>
      <c r="E158" s="661"/>
      <c r="F158" s="661"/>
      <c r="G158" s="661"/>
      <c r="H158" s="662"/>
      <c r="I158" s="662"/>
      <c r="J158" s="663"/>
    </row>
    <row r="159" spans="2:10">
      <c r="B159" s="682" t="s">
        <v>1212</v>
      </c>
      <c r="C159" s="757">
        <v>1449</v>
      </c>
      <c r="D159" s="684" t="s">
        <v>1124</v>
      </c>
      <c r="E159" s="683">
        <v>1</v>
      </c>
      <c r="F159" s="728">
        <v>7</v>
      </c>
      <c r="G159" s="685">
        <f>C159</f>
        <v>1449</v>
      </c>
      <c r="H159" s="729">
        <f>VLOOKUP(B159,tabelvloer,F159,FALSE)</f>
        <v>0</v>
      </c>
      <c r="I159" s="687">
        <f>H159*G159</f>
        <v>0</v>
      </c>
      <c r="J159" s="687">
        <f>I159*E159</f>
        <v>0</v>
      </c>
    </row>
    <row r="160" spans="2:10">
      <c r="B160" s="682" t="s">
        <v>1213</v>
      </c>
      <c r="C160" s="757">
        <v>1449</v>
      </c>
      <c r="D160" s="684" t="s">
        <v>1124</v>
      </c>
      <c r="E160" s="683">
        <v>1</v>
      </c>
      <c r="F160" s="728">
        <v>7</v>
      </c>
      <c r="G160" s="685">
        <f>C160</f>
        <v>1449</v>
      </c>
      <c r="H160" s="729">
        <f>VLOOKUP(B160,tabelvloer,F160,FALSE)</f>
        <v>0</v>
      </c>
      <c r="I160" s="687">
        <f>H160*G160</f>
        <v>0</v>
      </c>
      <c r="J160" s="687">
        <f>I160*E160</f>
        <v>0</v>
      </c>
    </row>
    <row r="161" spans="2:10">
      <c r="B161" s="657" t="s">
        <v>1139</v>
      </c>
      <c r="C161" s="668"/>
      <c r="D161" s="668"/>
      <c r="E161" s="658"/>
      <c r="F161" s="658"/>
      <c r="G161" s="658"/>
      <c r="H161" s="659"/>
      <c r="I161" s="660"/>
      <c r="J161" s="660"/>
    </row>
    <row r="162" spans="2:10">
      <c r="B162" s="682" t="s">
        <v>1140</v>
      </c>
      <c r="C162" s="757">
        <v>269.8</v>
      </c>
      <c r="D162" s="684" t="s">
        <v>1124</v>
      </c>
      <c r="E162" s="683">
        <v>1</v>
      </c>
      <c r="F162" s="683"/>
      <c r="G162" s="685">
        <f t="shared" ref="G162:G163" si="33">C162</f>
        <v>269.8</v>
      </c>
      <c r="H162" s="731"/>
      <c r="I162" s="687">
        <f t="shared" ref="I162:I166" si="34">H162*G162</f>
        <v>0</v>
      </c>
      <c r="J162" s="687">
        <f t="shared" ref="J162:J166" si="35">I162*E162</f>
        <v>0</v>
      </c>
    </row>
    <row r="163" spans="2:10">
      <c r="B163" s="682" t="s">
        <v>1141</v>
      </c>
      <c r="C163" s="689">
        <v>138.80000000000001</v>
      </c>
      <c r="D163" s="689" t="s">
        <v>1220</v>
      </c>
      <c r="E163" s="683">
        <v>2</v>
      </c>
      <c r="F163" s="683"/>
      <c r="G163" s="685">
        <f t="shared" si="33"/>
        <v>138.80000000000001</v>
      </c>
      <c r="H163" s="731"/>
      <c r="I163" s="687">
        <f t="shared" si="34"/>
        <v>0</v>
      </c>
      <c r="J163" s="687">
        <f t="shared" si="35"/>
        <v>0</v>
      </c>
    </row>
    <row r="164" spans="2:10" ht="26">
      <c r="B164" s="682" t="s">
        <v>78</v>
      </c>
      <c r="C164" s="757">
        <v>323</v>
      </c>
      <c r="D164" s="684" t="s">
        <v>1252</v>
      </c>
      <c r="E164" s="683">
        <v>1</v>
      </c>
      <c r="F164" s="728">
        <v>7</v>
      </c>
      <c r="G164" s="685">
        <f>C164/5</f>
        <v>64.599999999999994</v>
      </c>
      <c r="H164" s="729">
        <f>VLOOKUP(B164,tabelvloer,F164,FALSE)</f>
        <v>0</v>
      </c>
      <c r="I164" s="687">
        <f t="shared" si="34"/>
        <v>0</v>
      </c>
      <c r="J164" s="687">
        <f t="shared" si="35"/>
        <v>0</v>
      </c>
    </row>
    <row r="165" spans="2:10" ht="26">
      <c r="B165" s="682" t="s">
        <v>1047</v>
      </c>
      <c r="C165" s="757">
        <v>165</v>
      </c>
      <c r="D165" s="684" t="s">
        <v>1252</v>
      </c>
      <c r="E165" s="683">
        <v>1</v>
      </c>
      <c r="F165" s="728">
        <v>7</v>
      </c>
      <c r="G165" s="685">
        <f>C165/5</f>
        <v>33</v>
      </c>
      <c r="H165" s="729">
        <f>VLOOKUP(B165,tabelstoel,F165,FALSE)</f>
        <v>0</v>
      </c>
      <c r="I165" s="687">
        <f t="shared" si="34"/>
        <v>0</v>
      </c>
      <c r="J165" s="687">
        <f t="shared" si="35"/>
        <v>0</v>
      </c>
    </row>
    <row r="166" spans="2:10" ht="26">
      <c r="B166" s="690" t="s">
        <v>238</v>
      </c>
      <c r="C166" s="757">
        <v>68</v>
      </c>
      <c r="D166" s="684" t="s">
        <v>1252</v>
      </c>
      <c r="E166" s="683">
        <v>1</v>
      </c>
      <c r="F166" s="728">
        <v>7</v>
      </c>
      <c r="G166" s="685">
        <f>C166/5</f>
        <v>13.6</v>
      </c>
      <c r="H166" s="729">
        <f>VLOOKUP(B166,tabeltoets,F166,FALSE)</f>
        <v>0</v>
      </c>
      <c r="I166" s="687">
        <f t="shared" si="34"/>
        <v>0</v>
      </c>
      <c r="J166" s="687">
        <f t="shared" si="35"/>
        <v>0</v>
      </c>
    </row>
    <row r="167" spans="2:10">
      <c r="B167" s="657" t="s">
        <v>1148</v>
      </c>
      <c r="C167" s="684"/>
      <c r="D167" s="668"/>
      <c r="E167" s="658"/>
      <c r="F167" s="658"/>
      <c r="G167" s="658"/>
      <c r="H167" s="659"/>
      <c r="I167" s="660"/>
      <c r="J167" s="660"/>
    </row>
    <row r="168" spans="2:10">
      <c r="B168" s="682" t="s">
        <v>1183</v>
      </c>
      <c r="C168" s="757">
        <v>288.8</v>
      </c>
      <c r="D168" s="684" t="s">
        <v>1124</v>
      </c>
      <c r="E168" s="683">
        <v>1</v>
      </c>
      <c r="F168" s="683"/>
      <c r="G168" s="685">
        <f t="shared" ref="G168:G169" si="36">C168</f>
        <v>288.8</v>
      </c>
      <c r="H168" s="731"/>
      <c r="I168" s="687">
        <f>H168*G168</f>
        <v>0</v>
      </c>
      <c r="J168" s="687">
        <f>I168*E168</f>
        <v>0</v>
      </c>
    </row>
    <row r="169" spans="2:10">
      <c r="B169" s="682" t="s">
        <v>1162</v>
      </c>
      <c r="C169" s="757">
        <v>3</v>
      </c>
      <c r="D169" s="684" t="s">
        <v>1124</v>
      </c>
      <c r="E169" s="683">
        <v>1</v>
      </c>
      <c r="F169" s="683"/>
      <c r="G169" s="685">
        <f t="shared" si="36"/>
        <v>3</v>
      </c>
      <c r="H169" s="686"/>
      <c r="I169" s="687">
        <f>H169*G169</f>
        <v>0</v>
      </c>
      <c r="J169" s="687">
        <f>I169*E169</f>
        <v>0</v>
      </c>
    </row>
    <row r="170" spans="2:10">
      <c r="B170" s="694" t="s">
        <v>1222</v>
      </c>
      <c r="C170" s="695"/>
      <c r="D170" s="695"/>
      <c r="E170" s="658"/>
      <c r="F170" s="658"/>
      <c r="G170" s="658"/>
      <c r="H170" s="658"/>
      <c r="I170" s="658"/>
      <c r="J170" s="658"/>
    </row>
    <row r="171" spans="2:10">
      <c r="B171" s="741" t="s">
        <v>1228</v>
      </c>
      <c r="C171" s="742"/>
      <c r="D171" s="742"/>
      <c r="E171" s="743"/>
      <c r="F171" s="743"/>
      <c r="G171" s="658"/>
      <c r="H171" s="658"/>
      <c r="I171" s="658"/>
      <c r="J171" s="744">
        <f ca="1">VLOOKUP(H173,'1.1-Jaarprijzen'!$B$26:$G$31,5,FALSE)*2%</f>
        <v>0</v>
      </c>
    </row>
    <row r="172" spans="2:10">
      <c r="B172" s="694" t="s">
        <v>1222</v>
      </c>
      <c r="C172" s="695"/>
      <c r="D172" s="695"/>
      <c r="E172" s="658"/>
      <c r="F172" s="658"/>
      <c r="G172" s="658"/>
      <c r="H172" s="715"/>
      <c r="I172" s="658"/>
      <c r="J172" s="658"/>
    </row>
    <row r="173" spans="2:10">
      <c r="B173" s="669" t="s">
        <v>1222</v>
      </c>
      <c r="C173" s="670"/>
      <c r="D173" s="670"/>
      <c r="E173" s="671"/>
      <c r="F173" s="724"/>
      <c r="G173" s="698" t="s">
        <v>1129</v>
      </c>
      <c r="H173" s="716" t="s">
        <v>1052</v>
      </c>
      <c r="I173" s="700"/>
      <c r="J173" s="701">
        <f ca="1">SUM(J159:J172)</f>
        <v>0</v>
      </c>
    </row>
    <row r="174" spans="2:10">
      <c r="B174" s="673" t="s">
        <v>1222</v>
      </c>
    </row>
    <row r="175" spans="2:10">
      <c r="B175" s="673" t="s">
        <v>1222</v>
      </c>
    </row>
    <row r="176" spans="2:10">
      <c r="B176" s="673" t="s">
        <v>1222</v>
      </c>
    </row>
    <row r="177" spans="2:10">
      <c r="B177" s="673" t="s">
        <v>1222</v>
      </c>
    </row>
    <row r="178" spans="2:10" ht="16">
      <c r="B178" s="678" t="s">
        <v>1249</v>
      </c>
      <c r="C178" s="679"/>
      <c r="D178" s="679"/>
      <c r="E178" s="680"/>
      <c r="F178" s="727"/>
      <c r="G178" s="680"/>
      <c r="H178" s="680"/>
      <c r="I178" s="680"/>
      <c r="J178" s="680"/>
    </row>
    <row r="179" spans="2:10">
      <c r="B179" s="669" t="s">
        <v>1222</v>
      </c>
      <c r="C179" s="670"/>
      <c r="D179" s="670"/>
      <c r="E179" s="671"/>
      <c r="F179" s="724"/>
      <c r="G179" s="671"/>
      <c r="H179" s="671"/>
      <c r="I179" s="671"/>
      <c r="J179" s="671"/>
    </row>
    <row r="180" spans="2:10" ht="39">
      <c r="B180" s="651" t="s">
        <v>1135</v>
      </c>
      <c r="C180" s="667" t="s">
        <v>1210</v>
      </c>
      <c r="D180" s="667" t="s">
        <v>1216</v>
      </c>
      <c r="E180" s="652" t="s">
        <v>1125</v>
      </c>
      <c r="F180" s="756" t="s">
        <v>1215</v>
      </c>
      <c r="G180" s="652" t="s">
        <v>1218</v>
      </c>
      <c r="H180" s="653" t="s">
        <v>1136</v>
      </c>
      <c r="I180" s="654" t="s">
        <v>1137</v>
      </c>
      <c r="J180" s="655" t="s">
        <v>1138</v>
      </c>
    </row>
    <row r="181" spans="2:10">
      <c r="B181" s="656" t="s">
        <v>1123</v>
      </c>
      <c r="C181" s="668"/>
      <c r="D181" s="668"/>
      <c r="E181" s="661"/>
      <c r="F181" s="661"/>
      <c r="G181" s="661"/>
      <c r="H181" s="662"/>
      <c r="I181" s="662"/>
      <c r="J181" s="663"/>
    </row>
    <row r="182" spans="2:10">
      <c r="B182" s="682" t="s">
        <v>1212</v>
      </c>
      <c r="C182" s="757">
        <v>20</v>
      </c>
      <c r="D182" s="684" t="s">
        <v>1124</v>
      </c>
      <c r="E182" s="683">
        <v>1</v>
      </c>
      <c r="F182" s="728">
        <v>7</v>
      </c>
      <c r="G182" s="685">
        <f>C182</f>
        <v>20</v>
      </c>
      <c r="H182" s="729">
        <f>VLOOKUP(B182,tabelvloer,F182,FALSE)</f>
        <v>0</v>
      </c>
      <c r="I182" s="687">
        <f>H182*G182</f>
        <v>0</v>
      </c>
      <c r="J182" s="687">
        <f>I182*E182</f>
        <v>0</v>
      </c>
    </row>
    <row r="183" spans="2:10">
      <c r="B183" s="682" t="s">
        <v>1213</v>
      </c>
      <c r="C183" s="757">
        <v>20</v>
      </c>
      <c r="D183" s="684" t="s">
        <v>1124</v>
      </c>
      <c r="E183" s="683">
        <v>1</v>
      </c>
      <c r="F183" s="728">
        <v>7</v>
      </c>
      <c r="G183" s="685">
        <f>C183</f>
        <v>20</v>
      </c>
      <c r="H183" s="729">
        <f>VLOOKUP(B183,tabelvloer,F183,FALSE)</f>
        <v>0</v>
      </c>
      <c r="I183" s="687">
        <f>H183*G183</f>
        <v>0</v>
      </c>
      <c r="J183" s="687">
        <f>I183*E183</f>
        <v>0</v>
      </c>
    </row>
    <row r="184" spans="2:10">
      <c r="B184" s="657" t="s">
        <v>1139</v>
      </c>
      <c r="C184" s="668"/>
      <c r="D184" s="668"/>
      <c r="E184" s="658"/>
      <c r="F184" s="658"/>
      <c r="G184" s="658"/>
      <c r="H184" s="659"/>
      <c r="I184" s="660"/>
      <c r="J184" s="660"/>
    </row>
    <row r="185" spans="2:10">
      <c r="B185" s="682" t="s">
        <v>1140</v>
      </c>
      <c r="C185" s="757">
        <v>125</v>
      </c>
      <c r="D185" s="684" t="s">
        <v>1124</v>
      </c>
      <c r="E185" s="683">
        <v>1</v>
      </c>
      <c r="F185" s="683"/>
      <c r="G185" s="685">
        <f t="shared" ref="G185:G186" si="37">C185</f>
        <v>125</v>
      </c>
      <c r="H185" s="731"/>
      <c r="I185" s="687">
        <f t="shared" ref="I185:I187" si="38">H185*G185</f>
        <v>0</v>
      </c>
      <c r="J185" s="687">
        <f t="shared" ref="J185:J187" si="39">I185*E185</f>
        <v>0</v>
      </c>
    </row>
    <row r="186" spans="2:10">
      <c r="B186" s="682" t="s">
        <v>1141</v>
      </c>
      <c r="C186" s="689">
        <v>63</v>
      </c>
      <c r="D186" s="689" t="s">
        <v>1220</v>
      </c>
      <c r="E186" s="683">
        <v>2</v>
      </c>
      <c r="F186" s="683"/>
      <c r="G186" s="685">
        <f t="shared" si="37"/>
        <v>63</v>
      </c>
      <c r="H186" s="731"/>
      <c r="I186" s="687">
        <f t="shared" si="38"/>
        <v>0</v>
      </c>
      <c r="J186" s="687">
        <f t="shared" si="39"/>
        <v>0</v>
      </c>
    </row>
    <row r="187" spans="2:10" ht="26">
      <c r="B187" s="682" t="s">
        <v>78</v>
      </c>
      <c r="C187" s="757">
        <v>522</v>
      </c>
      <c r="D187" s="684" t="s">
        <v>1252</v>
      </c>
      <c r="E187" s="683">
        <v>1</v>
      </c>
      <c r="F187" s="728">
        <v>7</v>
      </c>
      <c r="G187" s="685">
        <f>C187/5</f>
        <v>104.4</v>
      </c>
      <c r="H187" s="729">
        <f>VLOOKUP(B187,tabelvloer,F187,FALSE)</f>
        <v>0</v>
      </c>
      <c r="I187" s="687">
        <f t="shared" si="38"/>
        <v>0</v>
      </c>
      <c r="J187" s="687">
        <f t="shared" si="39"/>
        <v>0</v>
      </c>
    </row>
    <row r="188" spans="2:10">
      <c r="B188" s="657" t="s">
        <v>1148</v>
      </c>
      <c r="C188" s="684"/>
      <c r="D188" s="668"/>
      <c r="E188" s="658"/>
      <c r="F188" s="658"/>
      <c r="G188" s="658"/>
      <c r="H188" s="659"/>
      <c r="I188" s="660"/>
      <c r="J188" s="660"/>
    </row>
    <row r="189" spans="2:10">
      <c r="B189" s="682" t="s">
        <v>1183</v>
      </c>
      <c r="C189" s="763" t="s">
        <v>1250</v>
      </c>
      <c r="D189" s="760"/>
      <c r="E189" s="760"/>
      <c r="F189" s="760"/>
      <c r="G189" s="760"/>
      <c r="H189" s="760"/>
      <c r="I189" s="760"/>
      <c r="J189" s="760"/>
    </row>
    <row r="190" spans="2:10">
      <c r="B190" s="694" t="s">
        <v>1222</v>
      </c>
      <c r="C190" s="695"/>
      <c r="D190" s="695"/>
      <c r="E190" s="658"/>
      <c r="F190" s="658"/>
      <c r="G190" s="658"/>
      <c r="H190" s="658"/>
      <c r="I190" s="658"/>
      <c r="J190" s="658"/>
    </row>
    <row r="191" spans="2:10">
      <c r="B191" s="741" t="s">
        <v>1228</v>
      </c>
      <c r="C191" s="742"/>
      <c r="D191" s="742"/>
      <c r="E191" s="743"/>
      <c r="F191" s="743"/>
      <c r="G191" s="658"/>
      <c r="H191" s="658"/>
      <c r="I191" s="658"/>
      <c r="J191" s="744">
        <f ca="1">VLOOKUP(H193,'1.1-Jaarprijzen'!$B$26:$G$31,5,FALSE)*2%</f>
        <v>0</v>
      </c>
    </row>
    <row r="192" spans="2:10">
      <c r="B192" s="694" t="s">
        <v>1222</v>
      </c>
      <c r="C192" s="695"/>
      <c r="D192" s="695"/>
      <c r="E192" s="658"/>
      <c r="F192" s="658"/>
      <c r="G192" s="658"/>
      <c r="H192" s="715"/>
      <c r="I192" s="658"/>
      <c r="J192" s="658"/>
    </row>
    <row r="193" spans="2:10">
      <c r="B193" s="669" t="s">
        <v>1222</v>
      </c>
      <c r="C193" s="670"/>
      <c r="D193" s="670"/>
      <c r="E193" s="671"/>
      <c r="F193" s="724"/>
      <c r="G193" s="698" t="s">
        <v>1129</v>
      </c>
      <c r="H193" s="764" t="s">
        <v>1099</v>
      </c>
      <c r="I193" s="700"/>
      <c r="J193" s="701">
        <f ca="1">SUM(J182:J192)</f>
        <v>0</v>
      </c>
    </row>
    <row r="194" spans="2:10">
      <c r="C194" s="761"/>
    </row>
    <row r="195" spans="2:10">
      <c r="C195" s="761"/>
    </row>
    <row r="196" spans="2:10">
      <c r="C196" s="761"/>
    </row>
    <row r="197" spans="2:10">
      <c r="C197" s="761"/>
    </row>
    <row r="198" spans="2:10">
      <c r="C198" s="761"/>
    </row>
  </sheetData>
  <autoFilter ref="B25:J193"/>
  <mergeCells count="2">
    <mergeCell ref="B17:J18"/>
    <mergeCell ref="M19:S19"/>
  </mergeCells>
  <conditionalFormatting sqref="H95:H98 H162:H163 H168:H169">
    <cfRule type="cellIs" dxfId="53" priority="335" stopIfTrue="1" operator="lessThanOrEqual">
      <formula>0</formula>
    </cfRule>
  </conditionalFormatting>
  <conditionalFormatting sqref="H38">
    <cfRule type="cellIs" dxfId="52" priority="205" stopIfTrue="1" operator="lessThanOrEqual">
      <formula>0</formula>
    </cfRule>
  </conditionalFormatting>
  <conditionalFormatting sqref="H47:H48 H53:H56">
    <cfRule type="cellIs" dxfId="51" priority="203" stopIfTrue="1" operator="lessThanOrEqual">
      <formula>0</formula>
    </cfRule>
  </conditionalFormatting>
  <conditionalFormatting sqref="H27">
    <cfRule type="cellIs" dxfId="50" priority="210" stopIfTrue="1" operator="lessThanOrEqual">
      <formula>0</formula>
    </cfRule>
  </conditionalFormatting>
  <conditionalFormatting sqref="H36">
    <cfRule type="cellIs" dxfId="49" priority="208" stopIfTrue="1" operator="lessThanOrEqual">
      <formula>0</formula>
    </cfRule>
  </conditionalFormatting>
  <conditionalFormatting sqref="H37">
    <cfRule type="cellIs" dxfId="48" priority="207" stopIfTrue="1" operator="lessThanOrEqual">
      <formula>0</formula>
    </cfRule>
  </conditionalFormatting>
  <conditionalFormatting sqref="H29:H32">
    <cfRule type="cellIs" dxfId="47" priority="206" stopIfTrue="1" operator="lessThanOrEqual">
      <formula>0</formula>
    </cfRule>
  </conditionalFormatting>
  <conditionalFormatting sqref="H35">
    <cfRule type="cellIs" dxfId="46" priority="209" stopIfTrue="1" operator="lessThanOrEqual">
      <formula>0</formula>
    </cfRule>
  </conditionalFormatting>
  <conditionalFormatting sqref="H60">
    <cfRule type="cellIs" dxfId="45" priority="202" stopIfTrue="1" operator="lessThanOrEqual">
      <formula>0</formula>
    </cfRule>
  </conditionalFormatting>
  <conditionalFormatting sqref="H42 H105 H107 H111">
    <cfRule type="cellIs" dxfId="44" priority="204" stopIfTrue="1" operator="lessThanOrEqual">
      <formula>0</formula>
    </cfRule>
  </conditionalFormatting>
  <conditionalFormatting sqref="H78">
    <cfRule type="cellIs" dxfId="43" priority="119" stopIfTrue="1" operator="lessThanOrEqual">
      <formula>0</formula>
    </cfRule>
  </conditionalFormatting>
  <conditionalFormatting sqref="H77">
    <cfRule type="cellIs" dxfId="42" priority="120" stopIfTrue="1" operator="lessThanOrEqual">
      <formula>0</formula>
    </cfRule>
  </conditionalFormatting>
  <conditionalFormatting sqref="H92">
    <cfRule type="cellIs" dxfId="41" priority="118" stopIfTrue="1" operator="lessThanOrEqual">
      <formula>0</formula>
    </cfRule>
  </conditionalFormatting>
  <conditionalFormatting sqref="H93">
    <cfRule type="cellIs" dxfId="40" priority="117" stopIfTrue="1" operator="lessThanOrEqual">
      <formula>0</formula>
    </cfRule>
  </conditionalFormatting>
  <conditionalFormatting sqref="H101">
    <cfRule type="cellIs" dxfId="39" priority="116" stopIfTrue="1" operator="lessThanOrEqual">
      <formula>0</formula>
    </cfRule>
  </conditionalFormatting>
  <conditionalFormatting sqref="H102">
    <cfRule type="cellIs" dxfId="38" priority="115" stopIfTrue="1" operator="lessThanOrEqual">
      <formula>0</formula>
    </cfRule>
  </conditionalFormatting>
  <conditionalFormatting sqref="H103">
    <cfRule type="cellIs" dxfId="37" priority="114" stopIfTrue="1" operator="lessThanOrEqual">
      <formula>0</formula>
    </cfRule>
  </conditionalFormatting>
  <conditionalFormatting sqref="H100">
    <cfRule type="cellIs" dxfId="36" priority="112" stopIfTrue="1" operator="lessThanOrEqual">
      <formula>0</formula>
    </cfRule>
  </conditionalFormatting>
  <conditionalFormatting sqref="H160">
    <cfRule type="cellIs" dxfId="35" priority="77" stopIfTrue="1" operator="lessThanOrEqual">
      <formula>0</formula>
    </cfRule>
  </conditionalFormatting>
  <conditionalFormatting sqref="H106">
    <cfRule type="cellIs" dxfId="34" priority="93" stopIfTrue="1" operator="lessThanOrEqual">
      <formula>0</formula>
    </cfRule>
  </conditionalFormatting>
  <conditionalFormatting sqref="H118">
    <cfRule type="cellIs" dxfId="33" priority="91" stopIfTrue="1" operator="lessThanOrEqual">
      <formula>0</formula>
    </cfRule>
  </conditionalFormatting>
  <conditionalFormatting sqref="H127:H133">
    <cfRule type="cellIs" dxfId="32" priority="89" stopIfTrue="1" operator="lessThanOrEqual">
      <formula>0</formula>
    </cfRule>
  </conditionalFormatting>
  <conditionalFormatting sqref="H144">
    <cfRule type="cellIs" dxfId="31" priority="87" stopIfTrue="1" operator="lessThanOrEqual">
      <formula>0</formula>
    </cfRule>
  </conditionalFormatting>
  <conditionalFormatting sqref="H166">
    <cfRule type="cellIs" dxfId="30" priority="72" stopIfTrue="1" operator="lessThanOrEqual">
      <formula>0</formula>
    </cfRule>
  </conditionalFormatting>
  <conditionalFormatting sqref="H112">
    <cfRule type="cellIs" dxfId="29" priority="92" stopIfTrue="1" operator="lessThanOrEqual">
      <formula>0</formula>
    </cfRule>
  </conditionalFormatting>
  <conditionalFormatting sqref="H136:H137 H139:H142">
    <cfRule type="cellIs" dxfId="28" priority="88" stopIfTrue="1" operator="lessThanOrEqual">
      <formula>0</formula>
    </cfRule>
  </conditionalFormatting>
  <conditionalFormatting sqref="H159">
    <cfRule type="cellIs" dxfId="27" priority="78" stopIfTrue="1" operator="lessThanOrEqual">
      <formula>0</formula>
    </cfRule>
  </conditionalFormatting>
  <conditionalFormatting sqref="H165">
    <cfRule type="cellIs" dxfId="26" priority="73" stopIfTrue="1" operator="lessThanOrEqual">
      <formula>0</formula>
    </cfRule>
  </conditionalFormatting>
  <conditionalFormatting sqref="H164">
    <cfRule type="cellIs" dxfId="25" priority="74" stopIfTrue="1" operator="lessThanOrEqual">
      <formula>0</formula>
    </cfRule>
  </conditionalFormatting>
  <conditionalFormatting sqref="H58">
    <cfRule type="cellIs" dxfId="24" priority="58" stopIfTrue="1" operator="lessThanOrEqual">
      <formula>0</formula>
    </cfRule>
  </conditionalFormatting>
  <conditionalFormatting sqref="H49">
    <cfRule type="cellIs" dxfId="23" priority="53" stopIfTrue="1" operator="lessThanOrEqual">
      <formula>0</formula>
    </cfRule>
  </conditionalFormatting>
  <conditionalFormatting sqref="H41">
    <cfRule type="cellIs" dxfId="22" priority="48" stopIfTrue="1" operator="lessThanOrEqual">
      <formula>0</formula>
    </cfRule>
  </conditionalFormatting>
  <conditionalFormatting sqref="H124">
    <cfRule type="cellIs" dxfId="21" priority="46" stopIfTrue="1" operator="lessThanOrEqual">
      <formula>0</formula>
    </cfRule>
  </conditionalFormatting>
  <conditionalFormatting sqref="H63">
    <cfRule type="cellIs" dxfId="20" priority="44" stopIfTrue="1" operator="lessThanOrEqual">
      <formula>0</formula>
    </cfRule>
  </conditionalFormatting>
  <conditionalFormatting sqref="H59">
    <cfRule type="cellIs" dxfId="19" priority="39" stopIfTrue="1" operator="lessThanOrEqual">
      <formula>0</formula>
    </cfRule>
  </conditionalFormatting>
  <conditionalFormatting sqref="H57">
    <cfRule type="cellIs" dxfId="18" priority="38" stopIfTrue="1" operator="lessThanOrEqual">
      <formula>0</formula>
    </cfRule>
  </conditionalFormatting>
  <conditionalFormatting sqref="H138">
    <cfRule type="cellIs" dxfId="17" priority="37" stopIfTrue="1" operator="lessThanOrEqual">
      <formula>0</formula>
    </cfRule>
  </conditionalFormatting>
  <conditionalFormatting sqref="H185:H186">
    <cfRule type="cellIs" dxfId="16" priority="19" stopIfTrue="1" operator="lessThanOrEqual">
      <formula>0</formula>
    </cfRule>
  </conditionalFormatting>
  <conditionalFormatting sqref="H183">
    <cfRule type="cellIs" dxfId="15" priority="17" stopIfTrue="1" operator="lessThanOrEqual">
      <formula>0</formula>
    </cfRule>
  </conditionalFormatting>
  <conditionalFormatting sqref="H182">
    <cfRule type="cellIs" dxfId="14" priority="18" stopIfTrue="1" operator="lessThanOrEqual">
      <formula>0</formula>
    </cfRule>
  </conditionalFormatting>
  <conditionalFormatting sqref="H187">
    <cfRule type="cellIs" dxfId="13" priority="16" stopIfTrue="1" operator="lessThanOrEqual">
      <formula>0</formula>
    </cfRule>
  </conditionalFormatting>
  <conditionalFormatting sqref="H51">
    <cfRule type="cellIs" dxfId="12" priority="13" stopIfTrue="1" operator="lessThanOrEqual">
      <formula>0</formula>
    </cfRule>
  </conditionalFormatting>
  <conditionalFormatting sqref="H113">
    <cfRule type="cellIs" dxfId="11" priority="12" stopIfTrue="1" operator="lessThanOrEqual">
      <formula>0</formula>
    </cfRule>
  </conditionalFormatting>
  <conditionalFormatting sqref="H114">
    <cfRule type="cellIs" dxfId="10" priority="11" stopIfTrue="1" operator="lessThanOrEqual">
      <formula>0</formula>
    </cfRule>
  </conditionalFormatting>
  <conditionalFormatting sqref="H117">
    <cfRule type="cellIs" dxfId="9" priority="10" stopIfTrue="1" operator="lessThanOrEqual">
      <formula>0</formula>
    </cfRule>
  </conditionalFormatting>
  <conditionalFormatting sqref="H119">
    <cfRule type="cellIs" dxfId="8" priority="9" stopIfTrue="1" operator="lessThanOrEqual">
      <formula>0</formula>
    </cfRule>
  </conditionalFormatting>
  <conditionalFormatting sqref="H120">
    <cfRule type="cellIs" dxfId="7" priority="8" stopIfTrue="1" operator="lessThanOrEqual">
      <formula>0</formula>
    </cfRule>
  </conditionalFormatting>
  <conditionalFormatting sqref="H121">
    <cfRule type="cellIs" dxfId="6" priority="7" stopIfTrue="1" operator="lessThanOrEqual">
      <formula>0</formula>
    </cfRule>
  </conditionalFormatting>
  <conditionalFormatting sqref="H126">
    <cfRule type="cellIs" dxfId="5" priority="6" stopIfTrue="1" operator="lessThanOrEqual">
      <formula>0</formula>
    </cfRule>
  </conditionalFormatting>
  <conditionalFormatting sqref="H143">
    <cfRule type="cellIs" dxfId="4" priority="5" stopIfTrue="1" operator="lessThanOrEqual">
      <formula>0</formula>
    </cfRule>
  </conditionalFormatting>
  <conditionalFormatting sqref="H45">
    <cfRule type="cellIs" dxfId="3" priority="4" stopIfTrue="1" operator="lessThanOrEqual">
      <formula>0</formula>
    </cfRule>
  </conditionalFormatting>
  <conditionalFormatting sqref="H50">
    <cfRule type="cellIs" dxfId="2" priority="3" stopIfTrue="1" operator="lessThanOrEqual">
      <formula>0</formula>
    </cfRule>
  </conditionalFormatting>
  <conditionalFormatting sqref="H46">
    <cfRule type="cellIs" dxfId="1" priority="2" stopIfTrue="1" operator="lessThanOrEqual">
      <formula>0</formula>
    </cfRule>
  </conditionalFormatting>
  <conditionalFormatting sqref="H52">
    <cfRule type="cellIs" dxfId="0" priority="1" stopIfTrue="1" operator="lessThanOrEqual">
      <formula>0</formula>
    </cfRule>
  </conditionalFormatting>
  <pageMargins left="0.36000000000000004" right="0.36000000000000004" top="1" bottom="1" header="0.5" footer="0.5"/>
  <pageSetup paperSize="9" scale="55" orientation="portrait" horizontalDpi="4294967292" verticalDpi="4294967292"/>
  <rowBreaks count="3" manualBreakCount="3">
    <brk id="69" min="1" max="9" man="1"/>
    <brk id="85" min="1" max="9" man="1"/>
    <brk id="152" min="1" max="9"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I56"/>
  <sheetViews>
    <sheetView showGridLines="0" showRowColHeaders="0" workbookViewId="0"/>
  </sheetViews>
  <sheetFormatPr baseColWidth="10" defaultColWidth="0" defaultRowHeight="0" customHeight="1" zeroHeight="1" x14ac:dyDescent="0"/>
  <cols>
    <col min="1" max="9" width="10.7109375" customWidth="1"/>
    <col min="10" max="16384" width="10.7109375" hidden="1"/>
  </cols>
  <sheetData>
    <row r="1" spans="4:6" ht="13"/>
    <row r="2" spans="4:6" ht="20">
      <c r="E2" s="453"/>
    </row>
    <row r="3" spans="4:6" ht="20">
      <c r="E3" s="453" t="s">
        <v>287</v>
      </c>
    </row>
    <row r="4" spans="4:6" ht="20">
      <c r="E4" s="453"/>
    </row>
    <row r="5" spans="4:6" ht="20">
      <c r="E5" s="453" t="s">
        <v>288</v>
      </c>
    </row>
    <row r="6" spans="4:6" ht="20">
      <c r="E6" s="453" t="s">
        <v>327</v>
      </c>
    </row>
    <row r="7" spans="4:6" ht="20">
      <c r="E7" s="453" t="s">
        <v>68</v>
      </c>
    </row>
    <row r="8" spans="4:6" ht="13"/>
    <row r="9" spans="4:6" ht="20">
      <c r="E9" s="453"/>
    </row>
    <row r="10" spans="4:6" ht="13"/>
    <row r="11" spans="4:6" ht="13"/>
    <row r="12" spans="4:6" ht="18">
      <c r="D12" s="544"/>
      <c r="E12" s="544" t="str">
        <f>'1.0-Contractblad'!E6</f>
        <v>(Invoer naam Inschrijver)</v>
      </c>
      <c r="F12" s="545"/>
    </row>
    <row r="13" spans="4:6" ht="13"/>
    <row r="14" spans="4:6" ht="13"/>
    <row r="15" spans="4:6" ht="13"/>
    <row r="16" spans="4:6" ht="13"/>
    <row r="17" ht="13"/>
    <row r="18" ht="13"/>
    <row r="19" ht="13"/>
    <row r="20" ht="13"/>
    <row r="21" ht="13"/>
    <row r="22" ht="13"/>
    <row r="23" ht="13"/>
    <row r="24" ht="13"/>
    <row r="25" ht="13"/>
    <row r="26" ht="13"/>
    <row r="27" ht="13"/>
    <row r="28" ht="13"/>
    <row r="29" ht="13"/>
    <row r="30" ht="13"/>
    <row r="31" ht="13"/>
    <row r="32" ht="13"/>
    <row r="33" spans="5:5" ht="13"/>
    <row r="34" spans="5:5" ht="13"/>
    <row r="35" spans="5:5" ht="13"/>
    <row r="36" spans="5:5" ht="13"/>
    <row r="37" spans="5:5" ht="13"/>
    <row r="38" spans="5:5" ht="13"/>
    <row r="39" spans="5:5" ht="13"/>
    <row r="40" spans="5:5" ht="13"/>
    <row r="41" spans="5:5" ht="13"/>
    <row r="42" spans="5:5" ht="13"/>
    <row r="43" spans="5:5" ht="13"/>
    <row r="44" spans="5:5" ht="13"/>
    <row r="45" spans="5:5" ht="13"/>
    <row r="46" spans="5:5" ht="16">
      <c r="E46" s="533" t="s">
        <v>1263</v>
      </c>
    </row>
    <row r="47" spans="5:5" ht="13"/>
    <row r="48" spans="5:5" ht="13"/>
    <row r="49" ht="13"/>
    <row r="50" ht="13"/>
    <row r="51" ht="13"/>
    <row r="52" ht="13"/>
    <row r="53" ht="13"/>
    <row r="54" ht="13"/>
    <row r="55" ht="13"/>
    <row r="56" ht="13"/>
  </sheetData>
  <pageMargins left="0.75000000000000011" right="0.75000000000000011" top="1" bottom="1" header="0.5" footer="0.5"/>
  <pageSetup paperSize="9" scale="96" orientation="portrait"/>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C1:Z96"/>
  <sheetViews>
    <sheetView showGridLines="0" showZeros="0" tabSelected="1" topLeftCell="C1" workbookViewId="0">
      <selection activeCell="E66" sqref="E66"/>
    </sheetView>
  </sheetViews>
  <sheetFormatPr baseColWidth="10" defaultColWidth="0" defaultRowHeight="0" customHeight="1" zeroHeight="1" x14ac:dyDescent="0"/>
  <cols>
    <col min="1" max="2" width="10.7109375" style="1" hidden="1" customWidth="1"/>
    <col min="3" max="3" width="2.42578125" style="1" customWidth="1"/>
    <col min="4" max="11" width="10.7109375" style="1" customWidth="1"/>
    <col min="12" max="12" width="33.5703125" style="1" customWidth="1"/>
    <col min="13" max="13" width="10.7109375" style="1" customWidth="1"/>
    <col min="14" max="14" width="2.42578125" style="1" customWidth="1"/>
    <col min="15" max="26" width="0" style="1" hidden="1" customWidth="1"/>
    <col min="27" max="16384" width="10.7109375" style="1" hidden="1"/>
  </cols>
  <sheetData>
    <row r="1" spans="4:13" ht="13"/>
    <row r="2" spans="4:13" ht="16">
      <c r="D2" s="454" t="str">
        <f>'1.0-Contractblad'!D2</f>
        <v>Naam opdrachtgever</v>
      </c>
      <c r="E2" s="158"/>
      <c r="F2" s="454" t="str">
        <f>'1.0-Contractblad'!E2</f>
        <v>Friesland College</v>
      </c>
      <c r="G2" s="158"/>
    </row>
    <row r="3" spans="4:13" ht="16">
      <c r="D3" s="454" t="str">
        <f>'1.0-Contractblad'!D4</f>
        <v>Adres/plaats</v>
      </c>
      <c r="E3" s="158"/>
      <c r="F3" s="454" t="str">
        <f>'1.0-Contractblad'!E4</f>
        <v>Diverse locaties Leeuwarden e.o.</v>
      </c>
      <c r="G3" s="158"/>
    </row>
    <row r="4" spans="4:13" ht="16">
      <c r="D4" s="454" t="str">
        <f>'1.0-Contractblad'!D5</f>
        <v>Besteknummer</v>
      </c>
      <c r="E4" s="158"/>
      <c r="F4" s="454" t="str">
        <f>'1.0-Contractblad'!E5</f>
        <v>0601-36-2013 Perceel 2</v>
      </c>
      <c r="G4" s="158"/>
    </row>
    <row r="5" spans="4:13" ht="13"/>
    <row r="6" spans="4:13" ht="13">
      <c r="D6" s="455"/>
      <c r="E6" s="455"/>
    </row>
    <row r="7" spans="4:13" ht="18">
      <c r="D7" s="202" t="s">
        <v>34</v>
      </c>
      <c r="E7" s="177"/>
      <c r="F7" s="15"/>
      <c r="G7" s="15"/>
      <c r="H7" s="15"/>
      <c r="I7" s="5"/>
      <c r="J7" s="5"/>
      <c r="K7" s="5"/>
    </row>
    <row r="8" spans="4:13" ht="18">
      <c r="D8" s="202" t="s">
        <v>229</v>
      </c>
      <c r="E8" s="15"/>
      <c r="F8" s="15"/>
      <c r="G8" s="15"/>
      <c r="H8" s="15"/>
      <c r="I8" s="13"/>
      <c r="J8" s="12"/>
      <c r="K8" s="5"/>
    </row>
    <row r="9" spans="4:13" ht="13"/>
    <row r="10" spans="4:13" ht="13"/>
    <row r="11" spans="4:13" ht="13"/>
    <row r="12" spans="4:13" ht="16">
      <c r="D12" s="156" t="s">
        <v>289</v>
      </c>
      <c r="E12" s="456"/>
      <c r="F12" s="456"/>
      <c r="G12" s="456"/>
      <c r="H12" s="456"/>
      <c r="I12" s="456"/>
      <c r="J12" s="456"/>
      <c r="K12" s="456"/>
    </row>
    <row r="13" spans="4:13" ht="13">
      <c r="D13" s="456"/>
      <c r="E13" s="456"/>
      <c r="F13" s="456"/>
      <c r="G13" s="456"/>
      <c r="H13" s="456"/>
      <c r="I13" s="456"/>
      <c r="J13" s="456"/>
      <c r="K13" s="456"/>
    </row>
    <row r="14" spans="4:13" ht="15.75" customHeight="1">
      <c r="D14" s="457">
        <v>1</v>
      </c>
      <c r="E14" s="156" t="s">
        <v>290</v>
      </c>
      <c r="F14" s="3"/>
      <c r="G14" s="456"/>
      <c r="H14" s="456"/>
      <c r="I14" s="456"/>
      <c r="J14" s="456"/>
      <c r="K14" s="456"/>
    </row>
    <row r="15" spans="4:13" ht="13">
      <c r="D15" s="456"/>
      <c r="E15" s="155" t="s">
        <v>138</v>
      </c>
      <c r="F15" s="286"/>
      <c r="G15" s="456"/>
      <c r="H15" s="456"/>
      <c r="I15" s="456"/>
      <c r="J15" s="456"/>
      <c r="K15" s="456"/>
      <c r="M15" s="413" t="s">
        <v>33</v>
      </c>
    </row>
    <row r="16" spans="4:13" ht="13">
      <c r="D16" s="456"/>
      <c r="E16" s="456"/>
      <c r="F16" s="456"/>
      <c r="G16" s="456"/>
      <c r="H16" s="456"/>
      <c r="I16" s="456"/>
      <c r="J16" s="456"/>
      <c r="K16" s="456"/>
    </row>
    <row r="17" spans="4:13" ht="13">
      <c r="D17" s="456"/>
      <c r="E17" s="456"/>
      <c r="F17" s="456"/>
      <c r="G17" s="456"/>
      <c r="H17" s="456"/>
      <c r="I17" s="456"/>
      <c r="J17" s="456"/>
      <c r="K17" s="456"/>
    </row>
    <row r="18" spans="4:13" ht="15.75" customHeight="1">
      <c r="D18" s="457">
        <v>2</v>
      </c>
      <c r="E18" s="156" t="s">
        <v>291</v>
      </c>
      <c r="F18" s="4"/>
      <c r="G18" s="4"/>
      <c r="H18" s="4"/>
      <c r="I18" s="13"/>
      <c r="J18" s="12"/>
      <c r="K18" s="5"/>
    </row>
    <row r="19" spans="4:13" ht="15.75" customHeight="1">
      <c r="D19" s="19"/>
      <c r="E19" s="802" t="s">
        <v>292</v>
      </c>
      <c r="F19" s="802"/>
      <c r="G19" s="802"/>
      <c r="H19" s="802"/>
      <c r="I19" s="802"/>
      <c r="J19" s="802"/>
      <c r="K19" s="802"/>
      <c r="L19" s="802"/>
      <c r="M19" s="413" t="s">
        <v>33</v>
      </c>
    </row>
    <row r="20" spans="4:13" ht="16">
      <c r="D20" s="19"/>
      <c r="E20" s="802"/>
      <c r="F20" s="802"/>
      <c r="G20" s="802"/>
      <c r="H20" s="802"/>
      <c r="I20" s="802"/>
      <c r="J20" s="802"/>
      <c r="K20" s="802"/>
      <c r="L20" s="802"/>
      <c r="M20" s="458" t="s">
        <v>293</v>
      </c>
    </row>
    <row r="21" spans="4:13" ht="15.75" customHeight="1">
      <c r="D21" s="19"/>
      <c r="E21" s="802"/>
      <c r="F21" s="802"/>
      <c r="G21" s="802"/>
      <c r="H21" s="802"/>
      <c r="I21" s="802"/>
      <c r="J21" s="802"/>
      <c r="K21" s="802"/>
      <c r="L21" s="802"/>
    </row>
    <row r="22" spans="4:13" ht="16">
      <c r="D22" s="19"/>
      <c r="E22" s="459"/>
      <c r="F22" s="459"/>
      <c r="G22" s="459"/>
      <c r="H22" s="459"/>
      <c r="I22" s="459"/>
      <c r="J22" s="459"/>
      <c r="K22" s="459"/>
    </row>
    <row r="23" spans="4:13" ht="16">
      <c r="D23" s="457">
        <v>3</v>
      </c>
      <c r="E23" s="156" t="s">
        <v>1229</v>
      </c>
      <c r="F23" s="4"/>
      <c r="G23" s="4"/>
      <c r="H23" s="4"/>
      <c r="I23" s="13"/>
      <c r="J23" s="12"/>
      <c r="K23" s="5"/>
    </row>
    <row r="24" spans="4:13" ht="26" customHeight="1">
      <c r="D24" s="19"/>
      <c r="E24" s="802" t="s">
        <v>294</v>
      </c>
      <c r="F24" s="802"/>
      <c r="G24" s="802"/>
      <c r="H24" s="802"/>
      <c r="I24" s="802"/>
      <c r="J24" s="802"/>
      <c r="K24" s="802"/>
      <c r="L24" s="802"/>
      <c r="M24" s="413" t="s">
        <v>33</v>
      </c>
    </row>
    <row r="25" spans="4:13" ht="16">
      <c r="D25" s="19"/>
      <c r="E25" s="802"/>
      <c r="F25" s="802"/>
      <c r="G25" s="802"/>
      <c r="H25" s="802"/>
      <c r="I25" s="802"/>
      <c r="J25" s="802"/>
      <c r="K25" s="802"/>
      <c r="L25" s="802"/>
      <c r="M25" s="460" t="s">
        <v>33</v>
      </c>
    </row>
    <row r="26" spans="4:13" ht="15.75" customHeight="1">
      <c r="D26" s="19"/>
      <c r="E26" s="802"/>
      <c r="F26" s="802"/>
      <c r="G26" s="802"/>
      <c r="H26" s="802"/>
      <c r="I26" s="802"/>
      <c r="J26" s="802"/>
      <c r="K26" s="802"/>
      <c r="L26" s="802"/>
      <c r="M26" s="458" t="s">
        <v>293</v>
      </c>
    </row>
    <row r="27" spans="4:13" ht="16">
      <c r="D27" s="19"/>
      <c r="E27" s="459"/>
      <c r="F27" s="459"/>
      <c r="G27" s="459"/>
      <c r="H27" s="459"/>
      <c r="I27" s="459"/>
      <c r="J27" s="459"/>
      <c r="K27" s="459"/>
    </row>
    <row r="28" spans="4:13" ht="15.75" customHeight="1">
      <c r="D28" s="457">
        <v>4</v>
      </c>
      <c r="E28" s="803" t="s">
        <v>295</v>
      </c>
      <c r="F28" s="803"/>
      <c r="G28" s="803"/>
      <c r="H28" s="803"/>
      <c r="I28" s="803"/>
      <c r="J28" s="803"/>
      <c r="K28" s="803"/>
      <c r="L28" s="803"/>
    </row>
    <row r="29" spans="4:13" ht="15.75" customHeight="1">
      <c r="E29" s="803"/>
      <c r="F29" s="803"/>
      <c r="G29" s="803"/>
      <c r="H29" s="803"/>
      <c r="I29" s="803"/>
      <c r="J29" s="803"/>
      <c r="K29" s="803"/>
      <c r="L29" s="803"/>
      <c r="M29" s="413" t="s">
        <v>33</v>
      </c>
    </row>
    <row r="30" spans="4:13" ht="15.75" customHeight="1">
      <c r="E30" s="802" t="s">
        <v>1233</v>
      </c>
      <c r="F30" s="802"/>
      <c r="G30" s="802"/>
      <c r="H30" s="802"/>
      <c r="I30" s="802"/>
      <c r="J30" s="802"/>
      <c r="K30" s="802"/>
      <c r="L30" s="802"/>
    </row>
    <row r="31" spans="4:13" ht="15.75" customHeight="1">
      <c r="E31" s="802"/>
      <c r="F31" s="802"/>
      <c r="G31" s="802"/>
      <c r="H31" s="802"/>
      <c r="I31" s="802"/>
      <c r="J31" s="802"/>
      <c r="K31" s="802"/>
      <c r="L31" s="802"/>
    </row>
    <row r="32" spans="4:13" ht="12.75" customHeight="1">
      <c r="E32" s="802"/>
      <c r="F32" s="802"/>
      <c r="G32" s="802"/>
      <c r="H32" s="802"/>
      <c r="I32" s="802"/>
      <c r="J32" s="802"/>
      <c r="K32" s="802"/>
      <c r="L32" s="802"/>
    </row>
    <row r="33" spans="4:13" ht="16">
      <c r="E33" s="156" t="s">
        <v>296</v>
      </c>
      <c r="F33" s="461"/>
      <c r="G33" s="461"/>
      <c r="H33" s="461"/>
      <c r="I33" s="461"/>
      <c r="J33" s="461"/>
      <c r="K33" s="461"/>
    </row>
    <row r="34" spans="4:13" ht="16">
      <c r="E34" s="156"/>
      <c r="F34" s="461"/>
      <c r="G34" s="461"/>
      <c r="H34" s="461"/>
      <c r="I34" s="461"/>
      <c r="J34" s="461"/>
      <c r="K34" s="461"/>
    </row>
    <row r="35" spans="4:13" ht="27" customHeight="1">
      <c r="E35" s="745">
        <v>0</v>
      </c>
      <c r="F35" s="804">
        <f>E35</f>
        <v>0</v>
      </c>
      <c r="G35" s="805"/>
      <c r="H35" s="805"/>
      <c r="I35" s="805"/>
      <c r="J35" s="805"/>
      <c r="K35" s="746">
        <f>(VLOOKUP(E35,'1.5 Opbouw uurtarieven'!$A$12:$AU$45,41,FALSE))</f>
        <v>0</v>
      </c>
    </row>
    <row r="36" spans="4:13" ht="16">
      <c r="E36" s="156"/>
      <c r="F36" s="461"/>
      <c r="G36" s="461"/>
      <c r="H36" s="461"/>
      <c r="I36" s="461"/>
      <c r="J36" s="461"/>
      <c r="K36" s="461"/>
    </row>
    <row r="37" spans="4:13" ht="13">
      <c r="E37" s="802" t="s">
        <v>297</v>
      </c>
      <c r="F37" s="802"/>
      <c r="G37" s="802"/>
      <c r="H37" s="802"/>
      <c r="I37" s="802"/>
      <c r="J37" s="802"/>
      <c r="K37" s="802"/>
      <c r="L37" s="802"/>
    </row>
    <row r="38" spans="4:13" ht="13">
      <c r="E38" s="802"/>
      <c r="F38" s="802"/>
      <c r="G38" s="802"/>
      <c r="H38" s="802"/>
      <c r="I38" s="802"/>
      <c r="J38" s="802"/>
      <c r="K38" s="802"/>
      <c r="L38" s="802"/>
    </row>
    <row r="39" spans="4:13" ht="12.75" customHeight="1">
      <c r="E39" s="802"/>
      <c r="F39" s="802"/>
      <c r="G39" s="802"/>
      <c r="H39" s="802"/>
      <c r="I39" s="802"/>
      <c r="J39" s="802"/>
      <c r="K39" s="802"/>
      <c r="L39" s="802"/>
    </row>
    <row r="40" spans="4:13" ht="16">
      <c r="D40" s="19"/>
      <c r="E40" s="462" t="s">
        <v>298</v>
      </c>
      <c r="F40" s="463"/>
      <c r="G40" s="463"/>
      <c r="H40" s="463"/>
      <c r="I40" s="463"/>
      <c r="J40" s="463"/>
      <c r="K40" s="463"/>
    </row>
    <row r="41" spans="4:13" ht="9" customHeight="1">
      <c r="D41" s="19"/>
      <c r="E41" s="461"/>
      <c r="F41" s="461"/>
      <c r="G41" s="461"/>
      <c r="H41" s="461"/>
      <c r="I41" s="461"/>
      <c r="J41" s="461"/>
      <c r="K41" s="461"/>
    </row>
    <row r="42" spans="4:13" ht="16">
      <c r="D42" s="457">
        <v>5</v>
      </c>
      <c r="E42" s="156" t="s">
        <v>1230</v>
      </c>
    </row>
    <row r="43" spans="4:13" ht="38" customHeight="1">
      <c r="D43" s="19"/>
      <c r="E43" s="800" t="s">
        <v>299</v>
      </c>
      <c r="F43" s="800"/>
      <c r="G43" s="800"/>
      <c r="H43" s="800"/>
      <c r="I43" s="800"/>
      <c r="J43" s="800"/>
      <c r="K43" s="800"/>
      <c r="L43" s="801"/>
      <c r="M43" s="413" t="s">
        <v>33</v>
      </c>
    </row>
    <row r="44" spans="4:13" ht="16">
      <c r="D44" s="19"/>
      <c r="E44" s="800" t="s">
        <v>300</v>
      </c>
      <c r="F44" s="800"/>
      <c r="G44" s="800"/>
      <c r="H44" s="800"/>
      <c r="I44" s="800"/>
      <c r="J44" s="800"/>
      <c r="K44" s="800"/>
      <c r="L44" s="800"/>
      <c r="M44" s="464"/>
    </row>
    <row r="45" spans="4:13" ht="16">
      <c r="D45" s="19"/>
      <c r="E45" s="459"/>
      <c r="F45" s="459"/>
      <c r="G45" s="459"/>
      <c r="H45" s="459"/>
      <c r="I45" s="459"/>
      <c r="J45" s="459"/>
      <c r="K45" s="459"/>
    </row>
    <row r="46" spans="4:13" ht="16">
      <c r="D46" s="457">
        <v>6</v>
      </c>
      <c r="E46" s="156" t="s">
        <v>1231</v>
      </c>
    </row>
    <row r="47" spans="4:13" ht="16">
      <c r="D47" s="156"/>
      <c r="E47" s="155" t="s">
        <v>1264</v>
      </c>
      <c r="F47" s="4"/>
      <c r="G47" s="4"/>
      <c r="H47" s="4"/>
      <c r="I47" s="13"/>
      <c r="J47" s="12"/>
      <c r="K47" s="5"/>
      <c r="M47" s="413" t="s">
        <v>33</v>
      </c>
    </row>
    <row r="48" spans="4:13" ht="16">
      <c r="D48" s="156"/>
      <c r="E48" s="155"/>
      <c r="F48" s="4"/>
      <c r="G48" s="4"/>
      <c r="H48" s="4"/>
      <c r="I48" s="13"/>
      <c r="J48" s="12"/>
      <c r="K48" s="5"/>
    </row>
    <row r="49" spans="4:14" ht="16">
      <c r="D49" s="156"/>
      <c r="E49" s="155"/>
      <c r="F49" s="4"/>
      <c r="G49" s="4"/>
      <c r="H49" s="4"/>
      <c r="I49" s="13"/>
      <c r="J49" s="12"/>
      <c r="K49" s="5"/>
    </row>
    <row r="50" spans="4:14" ht="15.75" customHeight="1">
      <c r="D50" s="457">
        <v>7</v>
      </c>
      <c r="E50" s="156" t="s">
        <v>1232</v>
      </c>
    </row>
    <row r="51" spans="4:14" ht="16" customHeight="1">
      <c r="D51" s="19"/>
      <c r="E51" s="802" t="s">
        <v>1234</v>
      </c>
      <c r="F51" s="802"/>
      <c r="G51" s="802"/>
      <c r="H51" s="802"/>
      <c r="I51" s="802"/>
      <c r="J51" s="802"/>
      <c r="K51" s="802"/>
      <c r="L51" s="802"/>
      <c r="M51" s="413" t="s">
        <v>33</v>
      </c>
    </row>
    <row r="52" spans="4:14" ht="13">
      <c r="E52" s="802"/>
      <c r="F52" s="802"/>
      <c r="G52" s="802"/>
      <c r="H52" s="802"/>
      <c r="I52" s="802"/>
      <c r="J52" s="802"/>
      <c r="K52" s="802"/>
      <c r="L52" s="802"/>
      <c r="M52" s="460" t="s">
        <v>33</v>
      </c>
      <c r="N52" s="740"/>
    </row>
    <row r="53" spans="4:14" ht="13">
      <c r="D53" s="61"/>
      <c r="E53" s="802"/>
      <c r="F53" s="802"/>
      <c r="G53" s="802"/>
      <c r="H53" s="802"/>
      <c r="I53" s="802"/>
      <c r="J53" s="802"/>
      <c r="K53" s="802"/>
      <c r="L53" s="802"/>
      <c r="M53" s="458" t="s">
        <v>293</v>
      </c>
      <c r="N53" s="740"/>
    </row>
    <row r="54" spans="4:14" ht="16">
      <c r="D54" s="457">
        <v>8</v>
      </c>
      <c r="E54" s="156" t="s">
        <v>222</v>
      </c>
      <c r="F54" s="156"/>
      <c r="G54" s="156"/>
      <c r="H54" s="156"/>
      <c r="I54" s="156"/>
      <c r="J54" s="156"/>
      <c r="K54" s="156"/>
      <c r="L54" s="156"/>
      <c r="M54" s="156"/>
    </row>
    <row r="55" spans="4:14" ht="16">
      <c r="D55" s="156"/>
      <c r="F55" s="4"/>
      <c r="G55" s="4"/>
      <c r="H55" s="4"/>
      <c r="I55" s="13"/>
      <c r="J55" s="12"/>
      <c r="K55" s="5"/>
    </row>
    <row r="56" spans="4:14" ht="16">
      <c r="D56" s="457">
        <v>9</v>
      </c>
      <c r="E56" s="156" t="s">
        <v>61</v>
      </c>
    </row>
    <row r="57" spans="4:14" ht="12.75" customHeight="1">
      <c r="D57" s="156"/>
    </row>
    <row r="58" spans="4:14" ht="14" thickBot="1"/>
    <row r="59" spans="4:14" ht="14" thickTop="1">
      <c r="E59" s="791" t="s">
        <v>1265</v>
      </c>
      <c r="F59" s="792"/>
      <c r="G59" s="792"/>
      <c r="H59" s="792"/>
      <c r="I59" s="792"/>
      <c r="J59" s="792"/>
      <c r="K59" s="792"/>
      <c r="L59" s="793"/>
    </row>
    <row r="60" spans="4:14" ht="13">
      <c r="E60" s="794"/>
      <c r="F60" s="795"/>
      <c r="G60" s="795"/>
      <c r="H60" s="795"/>
      <c r="I60" s="795"/>
      <c r="J60" s="795"/>
      <c r="K60" s="795"/>
      <c r="L60" s="796"/>
    </row>
    <row r="61" spans="4:14" ht="16">
      <c r="D61" s="19"/>
      <c r="E61" s="794"/>
      <c r="F61" s="795"/>
      <c r="G61" s="795"/>
      <c r="H61" s="795"/>
      <c r="I61" s="795"/>
      <c r="J61" s="795"/>
      <c r="K61" s="795"/>
      <c r="L61" s="796"/>
    </row>
    <row r="62" spans="4:14" ht="13">
      <c r="E62" s="794"/>
      <c r="F62" s="795"/>
      <c r="G62" s="795"/>
      <c r="H62" s="795"/>
      <c r="I62" s="795"/>
      <c r="J62" s="795"/>
      <c r="K62" s="795"/>
      <c r="L62" s="796"/>
    </row>
    <row r="63" spans="4:14" ht="16">
      <c r="D63" s="19"/>
      <c r="E63" s="794"/>
      <c r="F63" s="795"/>
      <c r="G63" s="795"/>
      <c r="H63" s="795"/>
      <c r="I63" s="795"/>
      <c r="J63" s="795"/>
      <c r="K63" s="795"/>
      <c r="L63" s="796"/>
    </row>
    <row r="64" spans="4:14" ht="15.75" customHeight="1">
      <c r="D64" s="156"/>
      <c r="E64" s="794"/>
      <c r="F64" s="795"/>
      <c r="G64" s="795"/>
      <c r="H64" s="795"/>
      <c r="I64" s="795"/>
      <c r="J64" s="795"/>
      <c r="K64" s="795"/>
      <c r="L64" s="796"/>
    </row>
    <row r="65" spans="4:12" ht="14" thickBot="1">
      <c r="E65" s="797"/>
      <c r="F65" s="798"/>
      <c r="G65" s="798"/>
      <c r="H65" s="798"/>
      <c r="I65" s="798"/>
      <c r="J65" s="798"/>
      <c r="K65" s="798"/>
      <c r="L65" s="799"/>
    </row>
    <row r="66" spans="4:12" ht="15" customHeight="1" thickTop="1"/>
    <row r="67" spans="4:12" ht="16">
      <c r="D67" s="22"/>
    </row>
    <row r="68" spans="4:12" ht="13"/>
    <row r="69" spans="4:12" ht="13">
      <c r="D69" s="24"/>
    </row>
    <row r="70" spans="4:12" ht="13"/>
    <row r="71" spans="4:12" ht="12.75" customHeight="1"/>
    <row r="72" spans="4:12" ht="13"/>
    <row r="73" spans="4:12" ht="13"/>
    <row r="74" spans="4:12" ht="12.75" hidden="1" customHeight="1"/>
    <row r="75" spans="4:12" ht="16" hidden="1">
      <c r="D75" s="158"/>
    </row>
    <row r="76" spans="4:12" ht="13" hidden="1">
      <c r="D76" s="61"/>
    </row>
    <row r="77" spans="4:12" ht="13" hidden="1">
      <c r="D77" s="61"/>
    </row>
    <row r="78" spans="4:12" ht="15" hidden="1" customHeight="1">
      <c r="D78" s="61"/>
    </row>
    <row r="79" spans="4:12" ht="13" hidden="1">
      <c r="D79" s="61"/>
    </row>
    <row r="80" spans="4:12" ht="13" hidden="1">
      <c r="D80" s="61"/>
    </row>
    <row r="81" spans="4:13" ht="13" hidden="1">
      <c r="D81" s="286"/>
      <c r="M81" s="286"/>
    </row>
    <row r="82" spans="4:13" ht="13" hidden="1">
      <c r="D82" s="61"/>
    </row>
    <row r="83" spans="4:13" ht="13" hidden="1">
      <c r="D83" s="61"/>
    </row>
    <row r="84" spans="4:13" ht="12.75" hidden="1" customHeight="1">
      <c r="D84" s="61"/>
    </row>
    <row r="85" spans="4:13" ht="12.75" hidden="1" customHeight="1">
      <c r="D85" s="61"/>
    </row>
    <row r="86" spans="4:13" ht="12.75" hidden="1" customHeight="1"/>
    <row r="87" spans="4:13" ht="13" hidden="1"/>
    <row r="88" spans="4:13" ht="13" hidden="1">
      <c r="D88" s="61"/>
    </row>
    <row r="89" spans="4:13" ht="13" hidden="1">
      <c r="D89" s="61"/>
    </row>
    <row r="90" spans="4:13" ht="13" hidden="1"/>
    <row r="91" spans="4:13" ht="13" hidden="1">
      <c r="D91" s="61"/>
    </row>
    <row r="92" spans="4:13" ht="13" hidden="1"/>
    <row r="93" spans="4:13" ht="13" hidden="1"/>
    <row r="94" spans="4:13" ht="13" hidden="1"/>
    <row r="95" spans="4:13" ht="13" hidden="1"/>
    <row r="96" spans="4:13" ht="13" hidden="1"/>
  </sheetData>
  <mergeCells count="10">
    <mergeCell ref="E59:L65"/>
    <mergeCell ref="E43:L43"/>
    <mergeCell ref="E44:L44"/>
    <mergeCell ref="E19:L21"/>
    <mergeCell ref="E24:L26"/>
    <mergeCell ref="E28:L29"/>
    <mergeCell ref="E30:L32"/>
    <mergeCell ref="E37:L39"/>
    <mergeCell ref="F35:J35"/>
    <mergeCell ref="E51:L53"/>
  </mergeCells>
  <phoneticPr fontId="10" type="noConversion"/>
  <conditionalFormatting sqref="M25">
    <cfRule type="cellIs" dxfId="310" priority="2" stopIfTrue="1" operator="lessThanOrEqual">
      <formula>0</formula>
    </cfRule>
  </conditionalFormatting>
  <conditionalFormatting sqref="M52">
    <cfRule type="cellIs" dxfId="309" priority="1" stopIfTrue="1" operator="lessThanOrEqual">
      <formula>0</formula>
    </cfRule>
  </conditionalFormatting>
  <dataValidations count="1">
    <dataValidation type="list" allowBlank="1" showInputMessage="1" showErrorMessage="1" sqref="E35">
      <formula1>Loongroepen</formula1>
    </dataValidation>
  </dataValidations>
  <pageMargins left="0.2" right="0.2" top="1" bottom="1" header="0.5" footer="0.5"/>
  <pageSetup paperSize="9" scale="70" orientation="portrait"/>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IV65552"/>
  <sheetViews>
    <sheetView showGridLines="0" showZeros="0" showOutlineSymbols="0" zoomScaleSheetLayoutView="75" workbookViewId="0"/>
  </sheetViews>
  <sheetFormatPr baseColWidth="10" defaultColWidth="0" defaultRowHeight="13" zeroHeight="1" x14ac:dyDescent="0.05"/>
  <cols>
    <col min="1" max="1" width="17.85546875" style="266" customWidth="1"/>
    <col min="2" max="2" width="0.7109375" style="266" customWidth="1"/>
    <col min="3" max="3" width="1.42578125" style="226" customWidth="1"/>
    <col min="4" max="4" width="32.85546875" style="35" customWidth="1"/>
    <col min="5" max="5" width="12.7109375" style="27" customWidth="1"/>
    <col min="6" max="6" width="16" style="27" bestFit="1" customWidth="1"/>
    <col min="7" max="9" width="12.7109375" style="27" customWidth="1"/>
    <col min="10" max="10" width="17.140625" style="27" bestFit="1" customWidth="1"/>
    <col min="11" max="11" width="6" style="275" customWidth="1"/>
    <col min="12" max="12" width="12" style="27" hidden="1" customWidth="1"/>
    <col min="13" max="13" width="14.42578125" style="27" hidden="1" customWidth="1"/>
    <col min="14" max="14" width="9.28515625" style="27" hidden="1" customWidth="1"/>
    <col min="15" max="15" width="11.85546875" style="27" hidden="1" customWidth="1"/>
    <col min="16" max="256" width="0" style="27" hidden="1" customWidth="1"/>
    <col min="257" max="16384" width="10.7109375" style="27" hidden="1"/>
  </cols>
  <sheetData>
    <row r="1" spans="1:11" ht="6" customHeight="1">
      <c r="D1" s="28"/>
      <c r="E1" s="26"/>
    </row>
    <row r="2" spans="1:11" s="33" customFormat="1" ht="16">
      <c r="A2" s="267"/>
      <c r="B2" s="266"/>
      <c r="C2" s="270"/>
      <c r="D2" s="231" t="s">
        <v>161</v>
      </c>
      <c r="E2" s="232" t="s">
        <v>364</v>
      </c>
      <c r="F2" s="31"/>
      <c r="G2" s="31"/>
      <c r="H2" s="32"/>
      <c r="I2" s="31"/>
      <c r="J2" s="31"/>
      <c r="K2" s="276"/>
    </row>
    <row r="3" spans="1:11" s="33" customFormat="1" ht="16">
      <c r="A3" s="267"/>
      <c r="B3" s="266"/>
      <c r="C3" s="270"/>
      <c r="D3" s="231" t="s">
        <v>43</v>
      </c>
      <c r="E3" s="538" t="s">
        <v>184</v>
      </c>
      <c r="F3" s="31"/>
      <c r="G3" s="31"/>
      <c r="H3" s="31"/>
      <c r="I3" s="31"/>
      <c r="J3" s="31"/>
      <c r="K3" s="276"/>
    </row>
    <row r="4" spans="1:11" s="33" customFormat="1" ht="16">
      <c r="A4" s="267"/>
      <c r="B4" s="266"/>
      <c r="C4" s="270"/>
      <c r="D4" s="231" t="s">
        <v>53</v>
      </c>
      <c r="E4" s="232" t="s">
        <v>365</v>
      </c>
      <c r="F4" s="31"/>
      <c r="G4" s="31"/>
      <c r="H4" s="31"/>
      <c r="I4" s="31"/>
      <c r="J4" s="31"/>
      <c r="K4" s="276"/>
    </row>
    <row r="5" spans="1:11" s="33" customFormat="1" ht="16">
      <c r="A5" s="267"/>
      <c r="B5" s="266"/>
      <c r="C5" s="270"/>
      <c r="D5" s="231" t="s">
        <v>221</v>
      </c>
      <c r="E5" s="232" t="s">
        <v>1262</v>
      </c>
      <c r="F5" s="31"/>
      <c r="G5" s="31"/>
      <c r="H5" s="31"/>
      <c r="I5" s="31"/>
      <c r="J5" s="31"/>
      <c r="K5" s="276"/>
    </row>
    <row r="6" spans="1:11" s="33" customFormat="1" ht="16">
      <c r="A6" s="267"/>
      <c r="B6" s="266"/>
      <c r="C6" s="270"/>
      <c r="D6" s="231" t="s">
        <v>159</v>
      </c>
      <c r="E6" s="232" t="s">
        <v>363</v>
      </c>
      <c r="F6" s="31"/>
      <c r="G6" s="31"/>
      <c r="H6" s="31"/>
      <c r="I6" s="31"/>
      <c r="J6" s="31"/>
      <c r="K6" s="276"/>
    </row>
    <row r="7" spans="1:11" s="33" customFormat="1" ht="16">
      <c r="A7" s="267"/>
      <c r="B7" s="266"/>
      <c r="C7" s="270"/>
      <c r="D7" s="231" t="s">
        <v>8</v>
      </c>
      <c r="E7" s="233">
        <v>41275</v>
      </c>
      <c r="F7" s="31"/>
      <c r="G7" s="31"/>
      <c r="H7" s="31"/>
      <c r="I7" s="31"/>
      <c r="J7" s="31"/>
      <c r="K7" s="276"/>
    </row>
    <row r="8" spans="1:11" s="33" customFormat="1" ht="16">
      <c r="A8" s="267"/>
      <c r="B8" s="266"/>
      <c r="C8" s="270"/>
      <c r="D8" s="231" t="s">
        <v>42</v>
      </c>
      <c r="E8" s="232" t="s">
        <v>970</v>
      </c>
      <c r="F8" s="31"/>
      <c r="G8" s="31"/>
      <c r="H8" s="31"/>
      <c r="I8" s="31"/>
      <c r="J8" s="31"/>
      <c r="K8" s="276"/>
    </row>
    <row r="9" spans="1:11" s="33" customFormat="1" ht="24" customHeight="1">
      <c r="A9" s="267"/>
      <c r="B9" s="266"/>
      <c r="C9" s="270"/>
      <c r="D9" s="29"/>
      <c r="K9" s="276"/>
    </row>
    <row r="10" spans="1:11" s="33" customFormat="1" ht="16">
      <c r="A10" s="267"/>
      <c r="B10" s="266"/>
      <c r="C10" s="270"/>
      <c r="D10" s="28"/>
      <c r="F10" s="34"/>
      <c r="K10" s="276"/>
    </row>
    <row r="11" spans="1:11" s="33" customFormat="1" ht="16">
      <c r="A11" s="267"/>
      <c r="B11" s="266"/>
      <c r="C11" s="270"/>
      <c r="D11" s="224" t="s">
        <v>205</v>
      </c>
      <c r="E11" s="224"/>
      <c r="F11" s="224"/>
      <c r="G11" s="224"/>
      <c r="H11" s="224"/>
      <c r="I11" s="224"/>
      <c r="J11" s="225"/>
      <c r="K11" s="276"/>
    </row>
    <row r="12" spans="1:11">
      <c r="E12" s="226"/>
      <c r="F12" s="226"/>
      <c r="G12" s="226"/>
      <c r="H12" s="226"/>
      <c r="I12" s="226"/>
      <c r="J12" s="226"/>
    </row>
    <row r="13" spans="1:11" s="227" customFormat="1" ht="26">
      <c r="A13" s="268"/>
      <c r="B13" s="266"/>
      <c r="C13" s="271"/>
      <c r="D13" s="228" t="s">
        <v>213</v>
      </c>
      <c r="E13" s="229" t="s">
        <v>130</v>
      </c>
      <c r="F13" s="230" t="s">
        <v>114</v>
      </c>
      <c r="G13" s="230" t="s">
        <v>248</v>
      </c>
      <c r="H13" s="230" t="s">
        <v>210</v>
      </c>
      <c r="I13" s="230" t="s">
        <v>65</v>
      </c>
      <c r="J13" s="230" t="s">
        <v>91</v>
      </c>
      <c r="K13" s="277"/>
    </row>
    <row r="14" spans="1:11" s="62" customFormat="1" ht="21" customHeight="1">
      <c r="A14" s="269"/>
      <c r="B14" s="266"/>
      <c r="C14" s="272"/>
      <c r="D14" s="236" t="s">
        <v>27</v>
      </c>
      <c r="E14" s="237"/>
      <c r="F14" s="237"/>
      <c r="G14" s="238"/>
      <c r="H14" s="238"/>
      <c r="I14" s="238"/>
      <c r="J14" s="238"/>
      <c r="K14" s="278"/>
    </row>
    <row r="15" spans="1:11" s="62" customFormat="1" ht="39.75" customHeight="1">
      <c r="A15" s="274">
        <v>0</v>
      </c>
      <c r="B15" s="273"/>
      <c r="C15" s="272"/>
      <c r="D15" s="261">
        <f>VLOOKUP(A15,'1.5 Opbouw uurtarieven'!$A$12:$C$33,2,FALSE)</f>
        <v>0</v>
      </c>
      <c r="J15" s="262"/>
      <c r="K15" s="278"/>
    </row>
    <row r="16" spans="1:11">
      <c r="D16" s="38" t="s">
        <v>223</v>
      </c>
      <c r="E16" s="154"/>
      <c r="F16" s="39">
        <f>H16/G16</f>
        <v>0</v>
      </c>
      <c r="G16" s="40">
        <v>200</v>
      </c>
      <c r="H16" s="39">
        <f>$H$29*E16</f>
        <v>0</v>
      </c>
      <c r="I16" s="41">
        <f>(VLOOKUP(A15,'1.5 Opbouw uurtarieven'!$A$12:$AU$45,41,FALSE))</f>
        <v>0</v>
      </c>
      <c r="J16" s="42">
        <f>I16*H16</f>
        <v>0</v>
      </c>
    </row>
    <row r="17" spans="1:256">
      <c r="D17" s="38"/>
      <c r="E17" s="38"/>
      <c r="F17" s="38"/>
      <c r="G17" s="38"/>
      <c r="H17" s="38"/>
      <c r="I17" s="38"/>
      <c r="J17" s="38"/>
      <c r="K17" s="279"/>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s="62" customFormat="1" ht="39.75" customHeight="1">
      <c r="A18" s="274" t="s">
        <v>1251</v>
      </c>
      <c r="B18" s="273"/>
      <c r="C18" s="272"/>
      <c r="D18" s="261" t="str">
        <f>VLOOKUP(A18,'1.5 Opbouw uurtarieven'!$A$12:$C$33,2,FALSE)</f>
        <v>11.01 Werknemer algemeen schoonmaakonderhoud 19 jaar 0 t/m 7 jaar</v>
      </c>
      <c r="J18" s="262"/>
      <c r="K18" s="278"/>
    </row>
    <row r="19" spans="1:256">
      <c r="D19" s="38" t="s">
        <v>223</v>
      </c>
      <c r="E19" s="154"/>
      <c r="F19" s="39">
        <f>H19/G19</f>
        <v>0</v>
      </c>
      <c r="G19" s="40">
        <v>200</v>
      </c>
      <c r="H19" s="39">
        <f>$H$29*E19</f>
        <v>0</v>
      </c>
      <c r="I19" s="41">
        <f>(VLOOKUP(A18,'1.5 Opbouw uurtarieven'!$A$12:$AU$45,41,FALSE))</f>
        <v>0</v>
      </c>
      <c r="J19" s="42">
        <f>I19*H19</f>
        <v>0</v>
      </c>
    </row>
    <row r="20" spans="1:256">
      <c r="D20" s="38"/>
      <c r="E20" s="38"/>
      <c r="F20" s="38"/>
      <c r="G20" s="38"/>
      <c r="H20" s="38"/>
      <c r="I20" s="38"/>
      <c r="J20" s="38"/>
      <c r="K20" s="279"/>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pans="1:256" s="62" customFormat="1" ht="39.75" customHeight="1">
      <c r="A21" s="274" t="s">
        <v>276</v>
      </c>
      <c r="B21" s="273"/>
      <c r="C21" s="272"/>
      <c r="D21" s="261" t="str">
        <f>VLOOKUP(A21,'1.5 Opbouw uurtarieven'!$A$12:$C$33,2,FALSE)</f>
        <v>11.01 Werknemer algemeen schoonmaakonderhoud 0 t/m 7 jaar</v>
      </c>
      <c r="J21" s="262"/>
      <c r="K21" s="278"/>
    </row>
    <row r="22" spans="1:256">
      <c r="D22" s="38" t="s">
        <v>223</v>
      </c>
      <c r="E22" s="154"/>
      <c r="F22" s="39">
        <f>H22/G22</f>
        <v>0</v>
      </c>
      <c r="G22" s="40">
        <v>200</v>
      </c>
      <c r="H22" s="39">
        <f>$H$29*E22</f>
        <v>0</v>
      </c>
      <c r="I22" s="41">
        <f>(VLOOKUP(A21,'1.5 Opbouw uurtarieven'!$A$12:$AU$45,41,FALSE))</f>
        <v>0</v>
      </c>
      <c r="J22" s="42">
        <f>I22*H22</f>
        <v>0</v>
      </c>
    </row>
    <row r="23" spans="1:256">
      <c r="D23" s="38"/>
      <c r="E23" s="38"/>
      <c r="F23" s="38"/>
      <c r="G23" s="38"/>
      <c r="H23" s="38"/>
      <c r="I23" s="38"/>
      <c r="J23" s="38"/>
      <c r="K23" s="279"/>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s="62" customFormat="1" ht="39.75" customHeight="1">
      <c r="A24" s="274" t="s">
        <v>1239</v>
      </c>
      <c r="B24" s="266"/>
      <c r="C24" s="272"/>
      <c r="D24" s="261" t="str">
        <f>VLOOKUP(A24,'1.5 Opbouw uurtarieven'!$A$12:$C$33,2,FALSE)</f>
        <v>11.02 All-round werknemer algemeen schoonmaakonderhoud 8 jaar en meer</v>
      </c>
      <c r="J24" s="262"/>
      <c r="K24" s="278"/>
    </row>
    <row r="25" spans="1:256">
      <c r="D25" s="38" t="s">
        <v>223</v>
      </c>
      <c r="E25" s="154"/>
      <c r="F25" s="39">
        <f>H25/G25</f>
        <v>0</v>
      </c>
      <c r="G25" s="40">
        <v>200</v>
      </c>
      <c r="H25" s="39">
        <f>$H$29*E25</f>
        <v>0</v>
      </c>
      <c r="I25" s="41">
        <f>(VLOOKUP(A24,'1.5 Opbouw uurtarieven'!$A$12:$AU$45,41,FALSE))</f>
        <v>0</v>
      </c>
      <c r="J25" s="42">
        <f>I25*H25</f>
        <v>0</v>
      </c>
    </row>
    <row r="26" spans="1:256">
      <c r="D26" s="38"/>
      <c r="E26" s="38"/>
      <c r="F26" s="38"/>
      <c r="G26" s="38"/>
      <c r="H26" s="38"/>
      <c r="I26" s="38"/>
      <c r="J26" s="38"/>
      <c r="K26" s="279"/>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62" customFormat="1" ht="39.75" customHeight="1">
      <c r="A27" s="274" t="s">
        <v>1240</v>
      </c>
      <c r="B27" s="266"/>
      <c r="C27" s="272"/>
      <c r="D27" s="261" t="str">
        <f>VLOOKUP(A27,'1.5 Opbouw uurtarieven'!$A$12:$C$33,2,FALSE)</f>
        <v>11.01 Werknemer meewerkend toezicht algemeen schoonmaakonderhoud 0 t/m 7 jaar</v>
      </c>
      <c r="J27" s="262"/>
      <c r="K27" s="278"/>
    </row>
    <row r="28" spans="1:256">
      <c r="D28" s="38" t="s">
        <v>223</v>
      </c>
      <c r="E28" s="198"/>
      <c r="F28" s="44">
        <f>H28/G28</f>
        <v>0</v>
      </c>
      <c r="G28" s="40">
        <v>200</v>
      </c>
      <c r="H28" s="44">
        <f>$H$29*E28</f>
        <v>0</v>
      </c>
      <c r="I28" s="41">
        <f>(VLOOKUP(A27,'1.5 Opbouw uurtarieven'!$A$12:$AU$45,41,FALSE))</f>
        <v>0</v>
      </c>
      <c r="J28" s="45">
        <f>I28*H28</f>
        <v>0</v>
      </c>
    </row>
    <row r="29" spans="1:256" s="62" customFormat="1" ht="18" customHeight="1">
      <c r="A29" s="806">
        <f>IF(E29&gt;=100%,"Totaal productie-uren, maximaal 100%",0)</f>
        <v>0</v>
      </c>
      <c r="B29" s="266"/>
      <c r="C29" s="272"/>
      <c r="D29" s="236"/>
      <c r="E29" s="241">
        <f>E28+E25+E22+E19+E16</f>
        <v>0</v>
      </c>
      <c r="F29" s="242">
        <f>SUM(F16:F28)</f>
        <v>0</v>
      </c>
      <c r="G29" s="238"/>
      <c r="H29" s="242">
        <f>SUM('1.3-Basis ruimtestaat'!W:Y)</f>
        <v>200</v>
      </c>
      <c r="I29" s="237"/>
      <c r="J29" s="243">
        <f>SUM(J16:J28)</f>
        <v>0</v>
      </c>
      <c r="K29" s="278"/>
      <c r="L29" s="218">
        <f>IF(H29=0,0,J29/H29)</f>
        <v>0</v>
      </c>
    </row>
    <row r="30" spans="1:256" s="62" customFormat="1" ht="21" customHeight="1">
      <c r="A30" s="807"/>
      <c r="B30" s="266"/>
      <c r="C30" s="272"/>
      <c r="D30" s="236" t="s">
        <v>96</v>
      </c>
      <c r="G30" s="238"/>
      <c r="H30" s="238"/>
      <c r="I30" s="238"/>
      <c r="J30" s="238"/>
      <c r="K30" s="278"/>
      <c r="L30" s="239"/>
    </row>
    <row r="31" spans="1:256" s="62" customFormat="1" ht="39.75" customHeight="1">
      <c r="A31" s="274" t="s">
        <v>1241</v>
      </c>
      <c r="B31" s="266"/>
      <c r="C31" s="272"/>
      <c r="D31" s="261" t="str">
        <f>VLOOKUP(A31,'1.5 Opbouw uurtarieven'!$A$12:$C$33,2,FALSE)</f>
        <v>11.01 Werknemer niet meewerkend toezicht algemeen schoonmaakonderhoud 0 t/m 7 jaar</v>
      </c>
      <c r="J31" s="262"/>
      <c r="K31" s="278"/>
      <c r="L31" s="263"/>
    </row>
    <row r="32" spans="1:256">
      <c r="D32" s="235" t="s">
        <v>223</v>
      </c>
      <c r="E32" s="154"/>
      <c r="F32" s="39">
        <f>H32/G32</f>
        <v>0</v>
      </c>
      <c r="G32" s="40">
        <v>200</v>
      </c>
      <c r="H32" s="39">
        <f>E32*$H$29</f>
        <v>0</v>
      </c>
      <c r="I32" s="41">
        <f>(VLOOKUP(A31,'1.5 Opbouw uurtarieven'!$A$12:$AU$45,41,FALSE))</f>
        <v>0</v>
      </c>
      <c r="J32" s="42">
        <f>I32*H32</f>
        <v>0</v>
      </c>
    </row>
    <row r="33" spans="1:256">
      <c r="D33" s="235"/>
      <c r="E33" s="62"/>
      <c r="F33" s="39"/>
      <c r="G33" s="40"/>
      <c r="H33" s="39"/>
      <c r="I33" s="41"/>
      <c r="J33" s="42"/>
    </row>
    <row r="34" spans="1:256" s="62" customFormat="1" ht="39.75" customHeight="1">
      <c r="A34" s="274">
        <v>0</v>
      </c>
      <c r="B34" s="266"/>
      <c r="C34" s="272"/>
      <c r="D34" s="261">
        <f>VLOOKUP(A34,'1.5 Opbouw uurtarieven'!$A$12:$C$33,2,FALSE)</f>
        <v>0</v>
      </c>
      <c r="J34" s="262"/>
      <c r="K34" s="278"/>
      <c r="L34" s="263"/>
    </row>
    <row r="35" spans="1:256">
      <c r="D35" s="235" t="s">
        <v>223</v>
      </c>
      <c r="E35" s="154">
        <v>0</v>
      </c>
      <c r="F35" s="39">
        <f>H35/G35</f>
        <v>0</v>
      </c>
      <c r="G35" s="40">
        <v>200</v>
      </c>
      <c r="H35" s="39">
        <f>E35*$H$29</f>
        <v>0</v>
      </c>
      <c r="I35" s="41">
        <f>(VLOOKUP(A34,'1.5 Opbouw uurtarieven'!$A$12:$AU$45,41,FALSE))</f>
        <v>0</v>
      </c>
      <c r="J35" s="42">
        <f>I35*H35</f>
        <v>0</v>
      </c>
    </row>
    <row r="36" spans="1:256">
      <c r="D36" s="235"/>
      <c r="E36" s="38"/>
      <c r="F36" s="38"/>
      <c r="G36" s="38"/>
      <c r="H36" s="38"/>
      <c r="I36" s="38"/>
      <c r="J36" s="38"/>
      <c r="K36" s="279"/>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62" customFormat="1" ht="39.75" customHeight="1">
      <c r="A37" s="274" t="s">
        <v>269</v>
      </c>
      <c r="B37" s="266"/>
      <c r="C37" s="272"/>
      <c r="D37" s="261" t="str">
        <f>VLOOKUP(A37,'1.5 Opbouw uurtarieven'!$A$12:$C$33,2,FALSE)</f>
        <v xml:space="preserve">21.01 Objectleider (algemeen schoonmaakonderhoud) </v>
      </c>
      <c r="J37" s="262"/>
      <c r="K37" s="278"/>
    </row>
    <row r="38" spans="1:256">
      <c r="D38" s="235" t="s">
        <v>223</v>
      </c>
      <c r="E38" s="198"/>
      <c r="F38" s="44">
        <f>H38/G38</f>
        <v>0</v>
      </c>
      <c r="G38" s="40">
        <v>200</v>
      </c>
      <c r="H38" s="44">
        <f>E38*H29</f>
        <v>0</v>
      </c>
      <c r="I38" s="41">
        <f>(VLOOKUP(A37,'1.5 Opbouw uurtarieven'!$A$12:$AU$45,41,FALSE))</f>
        <v>0</v>
      </c>
      <c r="J38" s="45">
        <f>I38*H38</f>
        <v>0</v>
      </c>
    </row>
    <row r="39" spans="1:256">
      <c r="D39" s="235"/>
      <c r="E39" s="47">
        <f>E38+E35+E32</f>
        <v>0</v>
      </c>
      <c r="F39" s="48">
        <f>SUM(F32:F38)</f>
        <v>0</v>
      </c>
      <c r="G39" s="37"/>
      <c r="H39" s="48">
        <f>SUM(H32:H38)</f>
        <v>0</v>
      </c>
      <c r="I39" s="38"/>
      <c r="J39" s="50">
        <f>SUM(J32:J38)</f>
        <v>0</v>
      </c>
      <c r="K39" s="38"/>
      <c r="L39" s="218">
        <f>IF(H39=0,0,J39/H39)</f>
        <v>0</v>
      </c>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row>
    <row r="40" spans="1:256" s="62" customFormat="1" hidden="1">
      <c r="A40" s="269"/>
      <c r="B40" s="266"/>
      <c r="C40" s="272"/>
      <c r="D40" s="236" t="s">
        <v>71</v>
      </c>
      <c r="E40" s="237"/>
      <c r="F40" s="237"/>
      <c r="G40" s="238"/>
      <c r="H40" s="238"/>
      <c r="I40" s="238"/>
      <c r="J40" s="238"/>
      <c r="K40" s="278"/>
      <c r="L40" s="240"/>
    </row>
    <row r="41" spans="1:256" s="62" customFormat="1" ht="52" hidden="1">
      <c r="A41" s="274" t="s">
        <v>276</v>
      </c>
      <c r="B41" s="266"/>
      <c r="C41" s="272"/>
      <c r="D41" s="261" t="str">
        <f>VLOOKUP(A41,'1.5 Opbouw uurtarieven'!$A$12:$C$33,2,FALSE)</f>
        <v>11.01 Werknemer algemeen schoonmaakonderhoud 0 t/m 7 jaar</v>
      </c>
      <c r="J41" s="262"/>
      <c r="K41" s="278"/>
    </row>
    <row r="42" spans="1:256" hidden="1">
      <c r="D42" s="235" t="s">
        <v>48</v>
      </c>
      <c r="E42" s="154">
        <v>0</v>
      </c>
      <c r="F42" s="39">
        <f>IF(H42=0,0,H42/G42)</f>
        <v>0</v>
      </c>
      <c r="G42" s="40">
        <f>364-G38-G68</f>
        <v>164</v>
      </c>
      <c r="H42" s="39">
        <f>$H$49*E42</f>
        <v>0</v>
      </c>
      <c r="I42" s="41">
        <f>(VLOOKUP(A41,'1.5 Opbouw uurtarieven'!$A$12:$AU$35,42,FALSE)*'1.1-Jaarprijzen'!H89)+(VLOOKUP(A41,'1.5 Opbouw uurtarieven'!$A$12:$AU$35,42,FALSE))</f>
        <v>0</v>
      </c>
      <c r="J42" s="42">
        <f>I42*H42</f>
        <v>0</v>
      </c>
      <c r="K42" s="280"/>
    </row>
    <row r="43" spans="1:256" hidden="1">
      <c r="D43" s="235"/>
      <c r="E43" s="38"/>
      <c r="F43" s="38"/>
      <c r="G43" s="38"/>
      <c r="H43" s="38"/>
      <c r="I43" s="38"/>
      <c r="J43" s="38"/>
      <c r="K43" s="279"/>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row>
    <row r="44" spans="1:256" s="62" customFormat="1" ht="52" hidden="1">
      <c r="A44" s="274" t="s">
        <v>277</v>
      </c>
      <c r="B44" s="266"/>
      <c r="C44" s="272"/>
      <c r="D44" s="261" t="str">
        <f>VLOOKUP(A44,'1.5 Opbouw uurtarieven'!$A$12:$C$33,2,FALSE)</f>
        <v>11.01 Werknemer algemeen schoonmaakonderhoud 8 jaar en meer</v>
      </c>
      <c r="E44" s="62">
        <v>0</v>
      </c>
      <c r="J44" s="262"/>
      <c r="K44" s="278"/>
    </row>
    <row r="45" spans="1:256" hidden="1">
      <c r="D45" s="235" t="s">
        <v>48</v>
      </c>
      <c r="E45" s="154">
        <v>0</v>
      </c>
      <c r="F45" s="39">
        <f>IF(H45=0,0,H45/G45)</f>
        <v>0</v>
      </c>
      <c r="G45" s="40">
        <f>$G$42</f>
        <v>164</v>
      </c>
      <c r="H45" s="39">
        <f>$H$49*E45</f>
        <v>0</v>
      </c>
      <c r="I45" s="41">
        <f>(VLOOKUP(A44,'1.5 Opbouw uurtarieven'!$A$12:$AU$35,42,FALSE)*'1.1-Jaarprijzen'!H92)+(VLOOKUP(A44,'1.5 Opbouw uurtarieven'!$A$12:$AU$35,42,FALSE))</f>
        <v>0</v>
      </c>
      <c r="J45" s="42">
        <f>I45*H45</f>
        <v>0</v>
      </c>
      <c r="K45" s="280"/>
    </row>
    <row r="46" spans="1:256" hidden="1">
      <c r="D46" s="235"/>
      <c r="E46" s="38"/>
      <c r="F46" s="38"/>
      <c r="G46" s="38"/>
      <c r="H46" s="38"/>
      <c r="I46" s="38"/>
      <c r="J46" s="38"/>
      <c r="K46" s="279"/>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62" customFormat="1" hidden="1">
      <c r="A47" s="274"/>
      <c r="B47" s="266"/>
      <c r="C47" s="272"/>
      <c r="D47" s="261">
        <f>VLOOKUP(A47,'1.5 Opbouw uurtarieven'!$A$12:$C$33,2,FALSE)</f>
        <v>0</v>
      </c>
      <c r="G47" s="264"/>
      <c r="H47" s="264"/>
      <c r="J47" s="265"/>
      <c r="K47" s="278"/>
    </row>
    <row r="48" spans="1:256" hidden="1">
      <c r="D48" s="235" t="s">
        <v>48</v>
      </c>
      <c r="E48" s="198">
        <v>0</v>
      </c>
      <c r="F48" s="44">
        <f>IF(H48=0,0,H48/G48)</f>
        <v>0</v>
      </c>
      <c r="G48" s="40">
        <f>$G$42</f>
        <v>164</v>
      </c>
      <c r="H48" s="44">
        <f>$H$49*E48</f>
        <v>0</v>
      </c>
      <c r="I48" s="41">
        <f>(VLOOKUP(A47,'1.5 Opbouw uurtarieven'!$A$12:$AU$35,42,FALSE)*'1.1-Jaarprijzen'!H95)+(VLOOKUP(A47,'1.5 Opbouw uurtarieven'!$A$12:$AU$35,42,FALSE))</f>
        <v>0</v>
      </c>
      <c r="J48" s="45">
        <f>I48*H48</f>
        <v>0</v>
      </c>
      <c r="K48" s="280"/>
    </row>
    <row r="49" spans="1:12" hidden="1">
      <c r="A49" s="806">
        <f>IF(E49&gt;=100%,"Totaal productie-uren, maximaal 100%",0)</f>
        <v>0</v>
      </c>
      <c r="D49" s="234"/>
      <c r="E49" s="47">
        <f>E48+E45+E42</f>
        <v>0</v>
      </c>
      <c r="F49" s="48">
        <f>SUM(F42:F48)</f>
        <v>0</v>
      </c>
      <c r="G49" s="37"/>
      <c r="H49" s="48">
        <f>SUM('1.3-Basis ruimtestaat'!Z:Z)/(G42+G68)*G42</f>
        <v>0</v>
      </c>
      <c r="I49" s="49"/>
      <c r="J49" s="50">
        <f>SUM(J42:J48)</f>
        <v>0</v>
      </c>
      <c r="L49" s="218">
        <f>IF(H49=0,0,J49/H49)</f>
        <v>0</v>
      </c>
    </row>
    <row r="50" spans="1:12" s="62" customFormat="1" hidden="1">
      <c r="A50" s="807"/>
      <c r="B50" s="266"/>
      <c r="C50" s="272"/>
      <c r="D50" s="236" t="s">
        <v>109</v>
      </c>
      <c r="E50" s="237"/>
      <c r="F50" s="237"/>
      <c r="G50" s="238"/>
      <c r="H50" s="238"/>
      <c r="I50" s="238"/>
      <c r="J50" s="238"/>
      <c r="K50" s="278"/>
    </row>
    <row r="51" spans="1:12" s="62" customFormat="1" hidden="1">
      <c r="A51" s="274"/>
      <c r="B51" s="266"/>
      <c r="C51" s="272"/>
      <c r="D51" s="261">
        <f>VLOOKUP(A51,'1.5 Opbouw uurtarieven'!$A$12:$C$33,2,FALSE)</f>
        <v>0</v>
      </c>
      <c r="J51" s="262"/>
      <c r="K51" s="278"/>
    </row>
    <row r="52" spans="1:12" hidden="1">
      <c r="D52" s="235" t="s">
        <v>48</v>
      </c>
      <c r="E52" s="154">
        <v>0</v>
      </c>
      <c r="F52" s="39">
        <f>IF(H52=0,0,H52/G52)</f>
        <v>0</v>
      </c>
      <c r="G52" s="40">
        <f>$G$42</f>
        <v>164</v>
      </c>
      <c r="H52" s="39">
        <f>E52*$H$49</f>
        <v>0</v>
      </c>
      <c r="I52" s="41">
        <f>(VLOOKUP(A51,'1.5 Opbouw uurtarieven'!$A$12:$AU$35,42,FALSE)*'1.1-Jaarprijzen'!H99)+(VLOOKUP(A51,'1.5 Opbouw uurtarieven'!$A$12:$AU$35,42,FALSE))</f>
        <v>0</v>
      </c>
      <c r="J52" s="42">
        <f>I52*H52</f>
        <v>0</v>
      </c>
      <c r="K52" s="280"/>
    </row>
    <row r="53" spans="1:12" hidden="1">
      <c r="D53" s="235"/>
      <c r="E53" s="62"/>
      <c r="F53" s="39"/>
      <c r="G53" s="40"/>
      <c r="H53" s="153"/>
      <c r="I53" s="38"/>
      <c r="J53" s="42"/>
      <c r="K53" s="280"/>
    </row>
    <row r="54" spans="1:12" s="62" customFormat="1" hidden="1">
      <c r="A54" s="274"/>
      <c r="B54" s="266"/>
      <c r="C54" s="272"/>
      <c r="D54" s="261">
        <f>VLOOKUP(A54,'1.5 Opbouw uurtarieven'!$A$12:$C$33,2,FALSE)</f>
        <v>0</v>
      </c>
      <c r="J54" s="265"/>
      <c r="K54" s="278"/>
    </row>
    <row r="55" spans="1:12" hidden="1">
      <c r="D55" s="235" t="s">
        <v>48</v>
      </c>
      <c r="E55" s="154">
        <v>0</v>
      </c>
      <c r="F55" s="39">
        <f>IF(H55=0,0,H55/G55)</f>
        <v>0</v>
      </c>
      <c r="G55" s="40">
        <f>$G$42</f>
        <v>164</v>
      </c>
      <c r="H55" s="39">
        <f>E55*$H$49</f>
        <v>0</v>
      </c>
      <c r="I55" s="41">
        <f>(VLOOKUP(A54,'1.5 Opbouw uurtarieven'!$A$12:$AU$35,42,FALSE)*'1.1-Jaarprijzen'!H102)+(VLOOKUP(A54,'1.5 Opbouw uurtarieven'!$A$12:$AU$35,42,FALSE))</f>
        <v>0</v>
      </c>
      <c r="J55" s="42">
        <f>I55*H55</f>
        <v>0</v>
      </c>
      <c r="K55" s="280"/>
    </row>
    <row r="56" spans="1:12" hidden="1">
      <c r="D56" s="235"/>
      <c r="E56" s="38"/>
      <c r="F56" s="39"/>
      <c r="G56" s="40"/>
      <c r="H56" s="153"/>
      <c r="I56" s="41"/>
      <c r="J56" s="42"/>
      <c r="K56" s="280"/>
    </row>
    <row r="57" spans="1:12" s="62" customFormat="1" ht="52" hidden="1">
      <c r="A57" s="274" t="s">
        <v>269</v>
      </c>
      <c r="B57" s="266"/>
      <c r="C57" s="272"/>
      <c r="D57" s="261" t="str">
        <f>VLOOKUP(A57,'1.5 Opbouw uurtarieven'!$A$12:$C$33,2,FALSE)</f>
        <v xml:space="preserve">21.01 Objectleider (algemeen schoonmaakonderhoud) </v>
      </c>
      <c r="J57" s="265"/>
      <c r="K57" s="278"/>
    </row>
    <row r="58" spans="1:12" hidden="1">
      <c r="D58" s="235" t="s">
        <v>48</v>
      </c>
      <c r="E58" s="198">
        <v>0</v>
      </c>
      <c r="F58" s="44">
        <f>IF(H58=0,0,H58/G58)</f>
        <v>0</v>
      </c>
      <c r="G58" s="40">
        <f>$G$42</f>
        <v>164</v>
      </c>
      <c r="H58" s="39">
        <f>E58*$H$49</f>
        <v>0</v>
      </c>
      <c r="I58" s="41">
        <f>(VLOOKUP(A57,'1.5 Opbouw uurtarieven'!$A$12:$AU$35,42,FALSE)*'1.1-Jaarprijzen'!H105)+(VLOOKUP(A57,'1.5 Opbouw uurtarieven'!$A$12:$AU$35,42,FALSE))</f>
        <v>0</v>
      </c>
      <c r="J58" s="45">
        <f>I58*H58</f>
        <v>0</v>
      </c>
      <c r="K58" s="280"/>
    </row>
    <row r="59" spans="1:12" hidden="1">
      <c r="D59" s="234"/>
      <c r="E59" s="47">
        <f>E58+E55+E52</f>
        <v>0</v>
      </c>
      <c r="F59" s="48">
        <f>SUM(F52:F58)</f>
        <v>0</v>
      </c>
      <c r="G59" s="37"/>
      <c r="H59" s="48">
        <f>SUM(H52:H58)</f>
        <v>0</v>
      </c>
      <c r="I59" s="49"/>
      <c r="L59" s="218">
        <f>IF(H59=0,0,J60/H59)</f>
        <v>0</v>
      </c>
    </row>
    <row r="60" spans="1:12" hidden="1">
      <c r="D60" s="234"/>
      <c r="E60" s="47"/>
      <c r="F60" s="48"/>
      <c r="G60" s="37"/>
      <c r="H60" s="48"/>
      <c r="J60" s="50">
        <f>SUM(J52:J58)</f>
        <v>0</v>
      </c>
      <c r="L60" s="218"/>
    </row>
    <row r="61" spans="1:12">
      <c r="D61" s="234"/>
      <c r="E61" s="47"/>
      <c r="F61" s="48"/>
      <c r="G61" s="37"/>
      <c r="H61" s="48"/>
      <c r="I61" s="49"/>
      <c r="J61" s="50"/>
      <c r="L61" s="218"/>
    </row>
    <row r="62" spans="1:12">
      <c r="D62" s="234"/>
      <c r="E62" s="47"/>
      <c r="F62" s="48"/>
      <c r="G62" s="37"/>
      <c r="H62" s="48"/>
      <c r="I62" s="48" t="s">
        <v>97</v>
      </c>
      <c r="J62" s="50">
        <f>J60+J49+J39+J29</f>
        <v>0</v>
      </c>
      <c r="L62" s="218"/>
    </row>
    <row r="63" spans="1:12">
      <c r="D63" s="234"/>
      <c r="E63" s="47"/>
      <c r="F63" s="48"/>
      <c r="G63" s="37"/>
      <c r="H63" s="48"/>
      <c r="I63" s="49"/>
      <c r="J63" s="50"/>
      <c r="L63" s="218"/>
    </row>
    <row r="64" spans="1:12" hidden="1">
      <c r="D64" s="234"/>
      <c r="E64" s="47"/>
      <c r="F64" s="48"/>
      <c r="G64" s="37"/>
      <c r="H64" s="48"/>
      <c r="I64" s="49"/>
      <c r="J64" s="50"/>
      <c r="L64" s="218"/>
    </row>
    <row r="65" spans="1:12" hidden="1">
      <c r="D65" s="234"/>
      <c r="E65" s="47"/>
      <c r="F65" s="48"/>
      <c r="G65" s="37"/>
      <c r="H65" s="48"/>
      <c r="I65" s="49" t="s">
        <v>270</v>
      </c>
      <c r="J65" s="50">
        <f>J62</f>
        <v>0</v>
      </c>
      <c r="L65" s="218"/>
    </row>
    <row r="66" spans="1:12" s="62" customFormat="1" ht="21" hidden="1" customHeight="1">
      <c r="A66" s="269"/>
      <c r="B66" s="266"/>
      <c r="C66" s="272"/>
      <c r="D66" s="236" t="s">
        <v>72</v>
      </c>
      <c r="E66" s="237"/>
      <c r="F66" s="237"/>
      <c r="G66" s="238"/>
      <c r="H66" s="238"/>
      <c r="I66" s="238"/>
      <c r="J66" s="238"/>
      <c r="K66" s="278"/>
    </row>
    <row r="67" spans="1:12" s="62" customFormat="1" ht="39.75" hidden="1" customHeight="1">
      <c r="A67" s="274" t="s">
        <v>276</v>
      </c>
      <c r="B67" s="266"/>
      <c r="C67" s="272"/>
      <c r="D67" s="261" t="str">
        <f>VLOOKUP(A67,'1.5 Opbouw uurtarieven'!$A$12:$C$33,2,FALSE)</f>
        <v>11.01 Werknemer algemeen schoonmaakonderhoud 0 t/m 7 jaar</v>
      </c>
      <c r="J67" s="262"/>
      <c r="K67" s="278"/>
    </row>
    <row r="68" spans="1:12" hidden="1">
      <c r="D68" s="235" t="s">
        <v>171</v>
      </c>
      <c r="E68" s="154">
        <v>0</v>
      </c>
      <c r="F68" s="39">
        <f>IF(H68=0,0,H68/G68)</f>
        <v>0</v>
      </c>
      <c r="G68" s="40">
        <f>'1.4-Premies en opslagen'!$C$63</f>
        <v>0</v>
      </c>
      <c r="H68" s="39">
        <f>$H$75*E68</f>
        <v>0</v>
      </c>
      <c r="I68" s="41">
        <f>(VLOOKUP(A67,'1.5 Opbouw uurtarieven'!$A$12:$AU$35,44,FALSE)*'1.1-Jaarprijzen'!H115)+(VLOOKUP(A67,'1.5 Opbouw uurtarieven'!$A$12:$AU$35,44,FALSE))</f>
        <v>0</v>
      </c>
      <c r="J68" s="42">
        <f>I68*H68</f>
        <v>0</v>
      </c>
      <c r="K68" s="280"/>
      <c r="L68" s="53"/>
    </row>
    <row r="69" spans="1:12" hidden="1">
      <c r="D69" s="235"/>
      <c r="E69" s="38"/>
      <c r="F69" s="39"/>
      <c r="G69" s="40"/>
      <c r="H69" s="153"/>
      <c r="I69" s="41"/>
      <c r="J69" s="42"/>
      <c r="K69" s="280"/>
      <c r="L69" s="53"/>
    </row>
    <row r="70" spans="1:12" s="62" customFormat="1" ht="39.75" hidden="1" customHeight="1">
      <c r="A70" s="274" t="s">
        <v>277</v>
      </c>
      <c r="B70" s="266"/>
      <c r="C70" s="272"/>
      <c r="D70" s="261" t="str">
        <f>VLOOKUP(A70,'1.5 Opbouw uurtarieven'!$A$12:$C$33,2,FALSE)</f>
        <v>11.01 Werknemer algemeen schoonmaakonderhoud 8 jaar en meer</v>
      </c>
      <c r="J70" s="262"/>
      <c r="K70" s="278"/>
      <c r="L70" s="263"/>
    </row>
    <row r="71" spans="1:12" hidden="1">
      <c r="D71" s="235" t="s">
        <v>171</v>
      </c>
      <c r="E71" s="154">
        <v>0</v>
      </c>
      <c r="F71" s="39">
        <f>IF(H71=0,0,H71/G71)</f>
        <v>0</v>
      </c>
      <c r="G71" s="40">
        <f>'1.4-Premies en opslagen'!$C$63</f>
        <v>0</v>
      </c>
      <c r="H71" s="39">
        <f>$H$75*E71</f>
        <v>0</v>
      </c>
      <c r="I71" s="41">
        <f>(VLOOKUP(A70,'1.5 Opbouw uurtarieven'!$A$12:$AU$35,44,FALSE)*'1.1-Jaarprijzen'!H118)+(VLOOKUP(A70,'1.5 Opbouw uurtarieven'!$A$12:$AU$35,44,FALSE))</f>
        <v>0</v>
      </c>
      <c r="J71" s="42">
        <f>I71*H71</f>
        <v>0</v>
      </c>
      <c r="K71" s="280"/>
    </row>
    <row r="72" spans="1:12" hidden="1">
      <c r="D72" s="235"/>
      <c r="E72" s="38"/>
      <c r="F72" s="39"/>
      <c r="G72" s="40"/>
      <c r="H72" s="153"/>
      <c r="I72" s="41"/>
      <c r="J72" s="42"/>
      <c r="K72" s="280"/>
    </row>
    <row r="73" spans="1:12" s="62" customFormat="1" ht="39.75" hidden="1" customHeight="1">
      <c r="A73" s="274" t="s">
        <v>268</v>
      </c>
      <c r="B73" s="266"/>
      <c r="C73" s="272"/>
      <c r="D73" s="261" t="e">
        <f>VLOOKUP(A73,'1.5 Opbouw uurtarieven'!$A$12:$C$33,2,FALSE)</f>
        <v>#N/A</v>
      </c>
      <c r="J73" s="262"/>
      <c r="K73" s="278"/>
      <c r="L73" s="263"/>
    </row>
    <row r="74" spans="1:12" hidden="1">
      <c r="D74" s="235" t="s">
        <v>171</v>
      </c>
      <c r="E74" s="198">
        <v>0</v>
      </c>
      <c r="F74" s="44">
        <f>IF(H74=0,0,H74/G74)</f>
        <v>0</v>
      </c>
      <c r="G74" s="40">
        <f>'1.4-Premies en opslagen'!$C$63</f>
        <v>0</v>
      </c>
      <c r="H74" s="44">
        <f>$H$75*E74</f>
        <v>0</v>
      </c>
      <c r="I74" s="41" t="e">
        <f>(VLOOKUP(A73,'1.5 Opbouw uurtarieven'!$A$12:$AU$35,44,FALSE)*'1.1-Jaarprijzen'!H121)+(VLOOKUP(A73,'1.5 Opbouw uurtarieven'!$A$12:$AU$35,44,FALSE))</f>
        <v>#N/A</v>
      </c>
      <c r="J74" s="45" t="e">
        <f>I74*H74</f>
        <v>#N/A</v>
      </c>
      <c r="K74" s="280"/>
    </row>
    <row r="75" spans="1:12" ht="12.75" hidden="1" customHeight="1">
      <c r="A75" s="806">
        <f>IF(E75&gt;=100%,"Totaal productie-uren, maximaal 100%",0)</f>
        <v>0</v>
      </c>
      <c r="D75" s="234"/>
      <c r="E75" s="47">
        <f>E74+E71+E68</f>
        <v>0</v>
      </c>
      <c r="F75" s="48">
        <f>SUM(F68:F74)</f>
        <v>0</v>
      </c>
      <c r="G75" s="37"/>
      <c r="H75" s="48">
        <f>SUM('1.3-Basis ruimtestaat'!Z:Z)/(G42+G68)*G68</f>
        <v>0</v>
      </c>
      <c r="I75" s="49"/>
      <c r="J75" s="50" t="e">
        <f>SUM(J68:J74)</f>
        <v>#N/A</v>
      </c>
      <c r="L75" s="218">
        <f>IF(H75=0,0,J75/H75)</f>
        <v>0</v>
      </c>
    </row>
    <row r="76" spans="1:12" s="62" customFormat="1" ht="21" hidden="1" customHeight="1">
      <c r="A76" s="807"/>
      <c r="B76" s="266"/>
      <c r="C76" s="272"/>
      <c r="D76" s="236" t="s">
        <v>170</v>
      </c>
      <c r="E76" s="237"/>
      <c r="F76" s="237"/>
      <c r="G76" s="238"/>
      <c r="H76" s="238"/>
      <c r="I76" s="238"/>
      <c r="J76" s="238"/>
      <c r="K76" s="278"/>
    </row>
    <row r="77" spans="1:12" s="62" customFormat="1" ht="39.75" hidden="1" customHeight="1">
      <c r="A77" s="274" t="s">
        <v>279</v>
      </c>
      <c r="B77" s="266"/>
      <c r="C77" s="272"/>
      <c r="D77" s="261" t="e">
        <f>VLOOKUP(A77,'1.5 Opbouw uurtarieven'!$A$12:$C$33,2,FALSE)</f>
        <v>#N/A</v>
      </c>
      <c r="J77" s="262"/>
      <c r="K77" s="278"/>
      <c r="L77" s="263"/>
    </row>
    <row r="78" spans="1:12" hidden="1">
      <c r="D78" s="235" t="s">
        <v>171</v>
      </c>
      <c r="E78" s="154">
        <v>0</v>
      </c>
      <c r="F78" s="39">
        <f>IF(H78=0,0,H78/G78)</f>
        <v>0</v>
      </c>
      <c r="G78" s="40">
        <f>'1.4-Premies en opslagen'!$C$63</f>
        <v>0</v>
      </c>
      <c r="H78" s="39">
        <f>E78*$H$75</f>
        <v>0</v>
      </c>
      <c r="I78" s="41" t="e">
        <f>(VLOOKUP(A77,'1.5 Opbouw uurtarieven'!$A$12:$AU$35,44,FALSE)*'1.1-Jaarprijzen'!H125)+(VLOOKUP(A77,'1.5 Opbouw uurtarieven'!$A$12:$AU$35,44,FALSE))</f>
        <v>#N/A</v>
      </c>
      <c r="J78" s="42" t="e">
        <f>I78*H78</f>
        <v>#N/A</v>
      </c>
      <c r="K78" s="278"/>
    </row>
    <row r="79" spans="1:12" hidden="1">
      <c r="D79" s="235"/>
      <c r="E79" s="62"/>
      <c r="F79" s="39"/>
      <c r="G79" s="40"/>
      <c r="H79" s="153"/>
      <c r="I79" s="41"/>
      <c r="J79" s="42"/>
      <c r="K79" s="278"/>
    </row>
    <row r="80" spans="1:12" s="62" customFormat="1" ht="39.75" hidden="1" customHeight="1">
      <c r="A80" s="274"/>
      <c r="B80" s="266"/>
      <c r="C80" s="272"/>
      <c r="D80" s="261">
        <f>VLOOKUP(A80,'1.5 Opbouw uurtarieven'!$A$12:$C$33,2,FALSE)</f>
        <v>0</v>
      </c>
      <c r="J80" s="262"/>
      <c r="K80" s="278"/>
      <c r="L80" s="263"/>
    </row>
    <row r="81" spans="1:12" hidden="1">
      <c r="D81" s="235" t="s">
        <v>171</v>
      </c>
      <c r="E81" s="154">
        <v>0</v>
      </c>
      <c r="F81" s="39">
        <f>IF(H81=0,0,H81/G81)</f>
        <v>0</v>
      </c>
      <c r="G81" s="40">
        <f>'1.4-Premies en opslagen'!$C$63</f>
        <v>0</v>
      </c>
      <c r="H81" s="39">
        <f>E81*$H$75</f>
        <v>0</v>
      </c>
      <c r="I81" s="41">
        <f>(VLOOKUP(A80,'1.5 Opbouw uurtarieven'!$A$12:$AU$35,44,FALSE)*'1.1-Jaarprijzen'!H128)+(VLOOKUP(A80,'1.5 Opbouw uurtarieven'!$A$12:$AU$35,44,FALSE))</f>
        <v>0</v>
      </c>
      <c r="J81" s="42">
        <f>I81*H81</f>
        <v>0</v>
      </c>
      <c r="K81" s="278"/>
    </row>
    <row r="82" spans="1:12" hidden="1">
      <c r="D82" s="235"/>
      <c r="E82" s="38"/>
      <c r="F82" s="39"/>
      <c r="G82" s="40"/>
      <c r="H82" s="153"/>
      <c r="I82" s="41"/>
      <c r="J82" s="42"/>
      <c r="K82" s="278"/>
    </row>
    <row r="83" spans="1:12" s="62" customFormat="1" ht="39.75" hidden="1" customHeight="1">
      <c r="A83" s="274" t="s">
        <v>269</v>
      </c>
      <c r="B83" s="266"/>
      <c r="C83" s="272"/>
      <c r="D83" s="261" t="str">
        <f>VLOOKUP(A83,'1.5 Opbouw uurtarieven'!$A$12:$C$33,2,FALSE)</f>
        <v xml:space="preserve">21.01 Objectleider (algemeen schoonmaakonderhoud) </v>
      </c>
      <c r="J83" s="262"/>
      <c r="K83" s="278"/>
      <c r="L83" s="263"/>
    </row>
    <row r="84" spans="1:12" hidden="1">
      <c r="D84" s="235" t="s">
        <v>171</v>
      </c>
      <c r="E84" s="198">
        <v>0</v>
      </c>
      <c r="F84" s="44">
        <f>IF(H84=0,0,H84/G84)</f>
        <v>0</v>
      </c>
      <c r="G84" s="40">
        <f>'1.4-Premies en opslagen'!$C$63</f>
        <v>0</v>
      </c>
      <c r="H84" s="44">
        <f>E84*$H$75</f>
        <v>0</v>
      </c>
      <c r="I84" s="41">
        <f>(VLOOKUP(A83,'1.5 Opbouw uurtarieven'!$A$12:$AU$35,44,FALSE)*'1.1-Jaarprijzen'!H131)+(VLOOKUP(A83,'1.5 Opbouw uurtarieven'!$A$12:$AU$35,44,FALSE))</f>
        <v>0</v>
      </c>
      <c r="J84" s="45">
        <f>I84*H84</f>
        <v>0</v>
      </c>
      <c r="K84" s="278"/>
    </row>
    <row r="85" spans="1:12" hidden="1">
      <c r="D85" s="234"/>
      <c r="E85" s="47">
        <f>E84+E81+E78</f>
        <v>0</v>
      </c>
      <c r="F85" s="48">
        <f>SUM(F78:F84)</f>
        <v>0</v>
      </c>
      <c r="G85" s="37"/>
      <c r="H85" s="48">
        <f>SUM(H78:H84)</f>
        <v>0</v>
      </c>
      <c r="I85" s="49"/>
      <c r="J85" s="50" t="e">
        <f>SUM(J78:J84)</f>
        <v>#N/A</v>
      </c>
      <c r="K85" s="278"/>
      <c r="L85" s="218">
        <f>IF(H85=0,0,J85/H85)</f>
        <v>0</v>
      </c>
    </row>
    <row r="86" spans="1:12">
      <c r="D86" s="234"/>
      <c r="E86" s="52"/>
      <c r="F86" s="48"/>
      <c r="G86" s="37"/>
      <c r="H86" s="48"/>
      <c r="I86" s="49"/>
      <c r="J86" s="199"/>
      <c r="K86" s="278"/>
      <c r="L86" s="43"/>
    </row>
    <row r="87" spans="1:12">
      <c r="D87" s="234" t="s">
        <v>193</v>
      </c>
      <c r="E87" s="52"/>
      <c r="F87" s="48"/>
      <c r="G87" s="37"/>
      <c r="H87" s="48"/>
      <c r="I87" s="49"/>
      <c r="J87" s="50">
        <f>'1.6-Machine-investeringskosten'!E115</f>
        <v>0</v>
      </c>
      <c r="L87" s="43"/>
    </row>
    <row r="88" spans="1:12">
      <c r="D88" s="234"/>
      <c r="E88" s="52"/>
      <c r="F88" s="48"/>
      <c r="G88" s="37"/>
      <c r="H88" s="48"/>
      <c r="I88" s="49"/>
      <c r="J88" s="50"/>
    </row>
    <row r="89" spans="1:12">
      <c r="D89" s="234"/>
      <c r="E89" s="52"/>
      <c r="F89" s="48"/>
      <c r="G89" s="37"/>
      <c r="I89" s="48" t="s">
        <v>310</v>
      </c>
      <c r="J89" s="50">
        <f>J62+J87</f>
        <v>0</v>
      </c>
    </row>
    <row r="90" spans="1:12">
      <c r="D90" s="234"/>
      <c r="E90" s="52"/>
      <c r="F90" s="48"/>
      <c r="G90" s="37"/>
      <c r="H90" s="48"/>
      <c r="I90" s="49"/>
      <c r="J90" s="50"/>
    </row>
    <row r="91" spans="1:12">
      <c r="D91" s="234" t="s">
        <v>245</v>
      </c>
      <c r="E91" s="52"/>
      <c r="F91" s="48"/>
      <c r="G91" s="37"/>
      <c r="H91" s="48"/>
      <c r="I91" s="49"/>
      <c r="J91" s="50"/>
    </row>
    <row r="92" spans="1:12">
      <c r="D92" s="234"/>
      <c r="E92" s="52"/>
      <c r="F92" s="48"/>
      <c r="G92" s="37"/>
      <c r="H92" s="48"/>
      <c r="I92" s="49"/>
      <c r="J92" s="50"/>
    </row>
    <row r="93" spans="1:12" s="33" customFormat="1" ht="16">
      <c r="A93" s="267"/>
      <c r="B93" s="266"/>
      <c r="C93" s="270"/>
      <c r="D93" s="224" t="s">
        <v>1211</v>
      </c>
      <c r="E93" s="224"/>
      <c r="F93" s="224"/>
      <c r="G93" s="224"/>
      <c r="H93" s="224"/>
      <c r="I93" s="224"/>
      <c r="J93" s="225"/>
      <c r="K93" s="276"/>
    </row>
    <row r="94" spans="1:12">
      <c r="D94" s="234"/>
      <c r="E94" s="49"/>
      <c r="F94" s="214"/>
      <c r="G94" s="200"/>
      <c r="H94" s="214"/>
      <c r="I94" s="49"/>
      <c r="J94" s="49"/>
    </row>
    <row r="95" spans="1:12">
      <c r="D95" s="234"/>
      <c r="E95" s="49"/>
      <c r="F95" s="214"/>
      <c r="G95" s="200"/>
      <c r="H95" s="214"/>
      <c r="I95" s="49"/>
      <c r="J95" s="49"/>
    </row>
    <row r="96" spans="1:12">
      <c r="D96" s="540" t="s">
        <v>366</v>
      </c>
      <c r="E96" s="539"/>
      <c r="F96" s="579"/>
      <c r="G96" s="54"/>
      <c r="H96" s="541"/>
      <c r="I96" s="42"/>
      <c r="J96" s="542">
        <f ca="1">VLOOKUP(D96,'1.8a-Budget afroep werkzaam.'!H:J,3,FALSE)</f>
        <v>0</v>
      </c>
    </row>
    <row r="97" spans="4:15">
      <c r="D97" s="38" t="s">
        <v>373</v>
      </c>
      <c r="E97" s="49"/>
      <c r="F97" s="36"/>
      <c r="G97" s="40"/>
      <c r="H97" s="55"/>
      <c r="I97" s="55"/>
      <c r="J97" s="542">
        <f ca="1">VLOOKUP(D97,'1.8a-Budget afroep werkzaam.'!H:J,3,FALSE)</f>
        <v>0</v>
      </c>
      <c r="M97" s="206"/>
      <c r="N97" s="43"/>
      <c r="O97" s="206"/>
    </row>
    <row r="98" spans="4:15">
      <c r="D98" s="38" t="s">
        <v>374</v>
      </c>
      <c r="E98" s="49"/>
      <c r="F98" s="36"/>
      <c r="G98" s="40"/>
      <c r="H98" s="55"/>
      <c r="I98" s="55"/>
      <c r="J98" s="542">
        <f ca="1">VLOOKUP(D98,'1.8a-Budget afroep werkzaam.'!H:J,3,FALSE)</f>
        <v>0</v>
      </c>
      <c r="M98" s="206"/>
      <c r="N98" s="43"/>
      <c r="O98" s="206"/>
    </row>
    <row r="99" spans="4:15">
      <c r="D99" s="38" t="s">
        <v>1052</v>
      </c>
      <c r="E99" s="49"/>
      <c r="F99" s="36"/>
      <c r="G99" s="40"/>
      <c r="H99" s="55"/>
      <c r="I99" s="55"/>
      <c r="J99" s="542">
        <f ca="1">VLOOKUP(D99,'1.8a-Budget afroep werkzaam.'!H:J,3,FALSE)</f>
        <v>0</v>
      </c>
      <c r="M99" s="206"/>
      <c r="N99" s="43"/>
      <c r="O99" s="206"/>
    </row>
    <row r="100" spans="4:15">
      <c r="D100" s="38" t="s">
        <v>1099</v>
      </c>
      <c r="E100" s="49"/>
      <c r="F100" s="36"/>
      <c r="G100" s="40"/>
      <c r="H100" s="55"/>
      <c r="I100" s="55"/>
      <c r="J100" s="542">
        <f ca="1">VLOOKUP(D100,'1.8a-Budget afroep werkzaam.'!H:J,3,FALSE)</f>
        <v>0</v>
      </c>
      <c r="M100" s="206"/>
      <c r="N100" s="43"/>
      <c r="O100" s="206"/>
    </row>
    <row r="101" spans="4:15">
      <c r="D101" s="38"/>
      <c r="E101" s="49"/>
      <c r="F101" s="36"/>
      <c r="G101" s="40"/>
      <c r="H101" s="55"/>
      <c r="I101" s="55"/>
      <c r="J101" s="42"/>
      <c r="M101" s="206"/>
      <c r="N101" s="43"/>
      <c r="O101" s="206"/>
    </row>
    <row r="102" spans="4:15">
      <c r="D102" s="38"/>
      <c r="E102" s="49"/>
      <c r="F102" s="36"/>
      <c r="G102" s="40"/>
      <c r="H102" s="55"/>
      <c r="I102" s="55"/>
      <c r="J102" s="42"/>
      <c r="M102" s="206"/>
      <c r="N102" s="43"/>
      <c r="O102" s="206"/>
    </row>
    <row r="103" spans="4:15">
      <c r="D103" s="38"/>
      <c r="E103" s="49"/>
      <c r="F103" s="36"/>
      <c r="G103" s="40"/>
      <c r="H103" s="55"/>
      <c r="I103" s="55"/>
      <c r="J103" s="42"/>
      <c r="M103" s="206"/>
      <c r="N103" s="43"/>
      <c r="O103" s="206"/>
    </row>
    <row r="104" spans="4:15">
      <c r="D104" s="38"/>
      <c r="E104" s="49"/>
      <c r="F104" s="36"/>
      <c r="G104" s="40"/>
      <c r="H104" s="55"/>
      <c r="I104" s="55"/>
      <c r="J104" s="42"/>
      <c r="M104" s="206"/>
      <c r="N104" s="43"/>
      <c r="O104" s="206"/>
    </row>
    <row r="105" spans="4:15">
      <c r="D105" s="38"/>
      <c r="E105" s="49"/>
      <c r="F105" s="36"/>
      <c r="G105" s="40"/>
      <c r="H105" s="55"/>
      <c r="I105" s="55"/>
      <c r="J105" s="42"/>
      <c r="M105" s="206"/>
      <c r="N105" s="43"/>
      <c r="O105" s="206"/>
    </row>
    <row r="106" spans="4:15">
      <c r="D106" s="38"/>
      <c r="E106" s="49"/>
      <c r="F106" s="36"/>
      <c r="G106" s="40"/>
      <c r="H106" s="55"/>
      <c r="I106" s="55"/>
      <c r="J106" s="42"/>
      <c r="M106" s="206"/>
      <c r="N106" s="43"/>
      <c r="O106" s="206"/>
    </row>
    <row r="107" spans="4:15">
      <c r="D107" s="38"/>
      <c r="E107" s="49"/>
      <c r="F107" s="36"/>
      <c r="G107" s="40"/>
      <c r="H107" s="55"/>
      <c r="I107" s="55"/>
      <c r="J107" s="42"/>
      <c r="M107" s="206"/>
      <c r="N107" s="43"/>
      <c r="O107" s="206"/>
    </row>
    <row r="108" spans="4:15"/>
    <row r="109" spans="4:15">
      <c r="D109" s="46"/>
      <c r="E109" s="49"/>
      <c r="F109" s="49"/>
      <c r="G109" s="49"/>
      <c r="H109" s="49"/>
      <c r="I109" s="49"/>
      <c r="J109" s="49"/>
    </row>
    <row r="110" spans="4:15">
      <c r="D110" s="46"/>
      <c r="E110" s="49"/>
      <c r="F110" s="49"/>
      <c r="G110" s="49"/>
      <c r="H110" s="49"/>
      <c r="I110" s="49"/>
      <c r="J110" s="49"/>
    </row>
    <row r="111" spans="4:15">
      <c r="G111" s="56" t="s">
        <v>6</v>
      </c>
      <c r="I111" s="57"/>
      <c r="J111" s="58">
        <f ca="1">SUM(J89:J109)</f>
        <v>0</v>
      </c>
      <c r="M111" s="206"/>
      <c r="N111" s="43">
        <f ca="1">J111/H29</f>
        <v>0</v>
      </c>
      <c r="O111" s="43"/>
    </row>
    <row r="112" spans="4:15">
      <c r="G112" s="35" t="s">
        <v>7</v>
      </c>
      <c r="I112" s="59">
        <v>0.21</v>
      </c>
      <c r="J112" s="45">
        <f ca="1">I112*J111</f>
        <v>0</v>
      </c>
    </row>
    <row r="113" spans="1:15">
      <c r="G113" s="35" t="s">
        <v>180</v>
      </c>
      <c r="I113" s="27" t="s">
        <v>191</v>
      </c>
      <c r="J113" s="42">
        <f ca="1">J112+J111</f>
        <v>0</v>
      </c>
      <c r="M113" s="206"/>
      <c r="N113" s="43"/>
      <c r="O113" s="43"/>
    </row>
    <row r="114" spans="1:15">
      <c r="D114" s="46"/>
      <c r="E114" s="49"/>
      <c r="F114" s="49"/>
      <c r="G114" s="49"/>
      <c r="H114" s="49"/>
      <c r="I114" s="49"/>
      <c r="J114" s="42"/>
    </row>
    <row r="115" spans="1:15">
      <c r="J115" s="53"/>
    </row>
    <row r="116" spans="1:15"/>
    <row r="117" spans="1:15" s="33" customFormat="1" ht="16">
      <c r="A117" s="267"/>
      <c r="B117" s="266"/>
      <c r="C117" s="270"/>
      <c r="D117" s="224"/>
      <c r="E117" s="224"/>
      <c r="F117" s="224"/>
      <c r="G117" s="224"/>
      <c r="H117" s="224"/>
      <c r="I117" s="224"/>
      <c r="J117" s="225"/>
      <c r="K117" s="276"/>
    </row>
    <row r="118" spans="1:15"/>
    <row r="119" spans="1:15"/>
    <row r="120" spans="1:15"/>
    <row r="121" spans="1:15"/>
    <row r="122" spans="1:15"/>
    <row r="123" spans="1:15"/>
    <row r="124" spans="1:15"/>
    <row r="125" spans="1:15"/>
    <row r="126" spans="1:15"/>
    <row r="127" spans="1:15"/>
    <row r="128" spans="1:15"/>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row r="65537"/>
    <row r="65538"/>
    <row r="65539"/>
    <row r="65540"/>
    <row r="65541"/>
    <row r="65542"/>
    <row r="65543"/>
    <row r="65544"/>
    <row r="65545"/>
    <row r="65546"/>
    <row r="65547"/>
    <row r="65548"/>
    <row r="65549"/>
    <row r="65550"/>
    <row r="65551"/>
    <row r="65552"/>
  </sheetData>
  <mergeCells count="3">
    <mergeCell ref="A29:A30"/>
    <mergeCell ref="A49:A50"/>
    <mergeCell ref="A75:A76"/>
  </mergeCells>
  <phoneticPr fontId="9"/>
  <conditionalFormatting sqref="A29">
    <cfRule type="expression" dxfId="308" priority="49" stopIfTrue="1">
      <formula>$E$29&gt;100%</formula>
    </cfRule>
  </conditionalFormatting>
  <conditionalFormatting sqref="E29 E49">
    <cfRule type="cellIs" dxfId="307" priority="50" stopIfTrue="1" operator="greaterThan">
      <formula>1</formula>
    </cfRule>
  </conditionalFormatting>
  <conditionalFormatting sqref="E22 E25">
    <cfRule type="cellIs" dxfId="306" priority="47" stopIfTrue="1" operator="lessThanOrEqual">
      <formula>0</formula>
    </cfRule>
  </conditionalFormatting>
  <conditionalFormatting sqref="E28">
    <cfRule type="cellIs" dxfId="305" priority="46" stopIfTrue="1" operator="lessThanOrEqual">
      <formula>0</formula>
    </cfRule>
  </conditionalFormatting>
  <conditionalFormatting sqref="E35">
    <cfRule type="cellIs" dxfId="304" priority="45" stopIfTrue="1" operator="lessThanOrEqual">
      <formula>0</formula>
    </cfRule>
  </conditionalFormatting>
  <conditionalFormatting sqref="E38">
    <cfRule type="cellIs" dxfId="303" priority="44" stopIfTrue="1" operator="lessThanOrEqual">
      <formula>0</formula>
    </cfRule>
  </conditionalFormatting>
  <conditionalFormatting sqref="E19">
    <cfRule type="cellIs" dxfId="302" priority="43" stopIfTrue="1" operator="lessThanOrEqual">
      <formula>0</formula>
    </cfRule>
  </conditionalFormatting>
  <conditionalFormatting sqref="E16">
    <cfRule type="cellIs" dxfId="301" priority="42" stopIfTrue="1" operator="lessThanOrEqual">
      <formula>0</formula>
    </cfRule>
  </conditionalFormatting>
  <conditionalFormatting sqref="A49">
    <cfRule type="expression" dxfId="300" priority="40" stopIfTrue="1">
      <formula>$E$48&gt;100%</formula>
    </cfRule>
  </conditionalFormatting>
  <conditionalFormatting sqref="E42">
    <cfRule type="cellIs" dxfId="299" priority="37" stopIfTrue="1" operator="lessThanOrEqual">
      <formula>0</formula>
    </cfRule>
  </conditionalFormatting>
  <conditionalFormatting sqref="E45">
    <cfRule type="cellIs" dxfId="298" priority="36" stopIfTrue="1" operator="lessThanOrEqual">
      <formula>0</formula>
    </cfRule>
  </conditionalFormatting>
  <conditionalFormatting sqref="E48">
    <cfRule type="cellIs" dxfId="297" priority="35" stopIfTrue="1" operator="lessThanOrEqual">
      <formula>0</formula>
    </cfRule>
  </conditionalFormatting>
  <conditionalFormatting sqref="E32">
    <cfRule type="cellIs" dxfId="296" priority="22" stopIfTrue="1" operator="lessThanOrEqual">
      <formula>0</formula>
    </cfRule>
  </conditionalFormatting>
  <conditionalFormatting sqref="E55">
    <cfRule type="cellIs" dxfId="295" priority="21" stopIfTrue="1" operator="lessThanOrEqual">
      <formula>0</formula>
    </cfRule>
  </conditionalFormatting>
  <conditionalFormatting sqref="E58">
    <cfRule type="cellIs" dxfId="294" priority="20" stopIfTrue="1" operator="lessThanOrEqual">
      <formula>0</formula>
    </cfRule>
  </conditionalFormatting>
  <conditionalFormatting sqref="E59:E65">
    <cfRule type="cellIs" dxfId="293" priority="24" stopIfTrue="1" operator="greaterThan">
      <formula>1</formula>
    </cfRule>
  </conditionalFormatting>
  <conditionalFormatting sqref="E52">
    <cfRule type="cellIs" dxfId="292" priority="19" stopIfTrue="1" operator="lessThanOrEqual">
      <formula>0</formula>
    </cfRule>
  </conditionalFormatting>
  <conditionalFormatting sqref="E85">
    <cfRule type="cellIs" dxfId="291" priority="18" stopIfTrue="1" operator="greaterThan">
      <formula>1</formula>
    </cfRule>
  </conditionalFormatting>
  <conditionalFormatting sqref="A75">
    <cfRule type="expression" dxfId="290" priority="17" stopIfTrue="1">
      <formula>$E$48&gt;100%</formula>
    </cfRule>
  </conditionalFormatting>
  <conditionalFormatting sqref="E75">
    <cfRule type="cellIs" dxfId="289" priority="16" stopIfTrue="1" operator="greaterThan">
      <formula>1</formula>
    </cfRule>
  </conditionalFormatting>
  <conditionalFormatting sqref="E68">
    <cfRule type="cellIs" dxfId="288" priority="15" stopIfTrue="1" operator="lessThanOrEqual">
      <formula>0</formula>
    </cfRule>
  </conditionalFormatting>
  <conditionalFormatting sqref="E71">
    <cfRule type="cellIs" dxfId="287" priority="14" stopIfTrue="1" operator="lessThanOrEqual">
      <formula>0</formula>
    </cfRule>
  </conditionalFormatting>
  <conditionalFormatting sqref="E74">
    <cfRule type="cellIs" dxfId="286" priority="13" stopIfTrue="1" operator="lessThanOrEqual">
      <formula>0</formula>
    </cfRule>
  </conditionalFormatting>
  <conditionalFormatting sqref="E84">
    <cfRule type="cellIs" dxfId="285" priority="11" stopIfTrue="1" operator="lessThanOrEqual">
      <formula>0</formula>
    </cfRule>
  </conditionalFormatting>
  <conditionalFormatting sqref="E81">
    <cfRule type="cellIs" dxfId="284" priority="12" stopIfTrue="1" operator="lessThanOrEqual">
      <formula>0</formula>
    </cfRule>
  </conditionalFormatting>
  <conditionalFormatting sqref="E78">
    <cfRule type="cellIs" dxfId="283" priority="10" stopIfTrue="1" operator="lessThanOrEqual">
      <formula>0</formula>
    </cfRule>
  </conditionalFormatting>
  <dataValidations count="1">
    <dataValidation type="list" allowBlank="1" showInputMessage="1" showErrorMessage="1" sqref="A18 A21 A24 A15 A27 A31 A34 A37">
      <formula1>Loongroepen</formula1>
    </dataValidation>
  </dataValidations>
  <pageMargins left="0.58629921259842532" right="0.59" top="0.59259842519685046" bottom="0.79000000000000015"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115" min="2" max="9" man="1"/>
  </rowBreak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2:X235"/>
  <sheetViews>
    <sheetView showGridLines="0" showZeros="0" showOutlineSymbols="0" zoomScaleSheetLayoutView="75" workbookViewId="0">
      <selection activeCell="E56" sqref="E56"/>
    </sheetView>
  </sheetViews>
  <sheetFormatPr baseColWidth="10" defaultColWidth="11.42578125" defaultRowHeight="13" x14ac:dyDescent="0"/>
  <cols>
    <col min="1" max="1" width="3.42578125" customWidth="1"/>
    <col min="2" max="2" width="38.140625" style="1" customWidth="1"/>
    <col min="3" max="3" width="17.140625" style="1" customWidth="1"/>
    <col min="4" max="4" width="20.28515625" style="1" customWidth="1"/>
    <col min="5" max="5" width="16" style="1" customWidth="1"/>
    <col min="6" max="7" width="17.7109375" style="1" customWidth="1"/>
    <col min="8" max="8" width="13.42578125" style="1" bestFit="1" customWidth="1"/>
    <col min="9" max="9" width="16.7109375" style="1" bestFit="1" customWidth="1"/>
    <col min="10" max="10" width="16" style="1" bestFit="1" customWidth="1"/>
    <col min="11" max="11" width="12.140625" style="1" customWidth="1"/>
    <col min="12" max="13" width="18.42578125" style="1" customWidth="1"/>
    <col min="14" max="14" width="4.28515625" style="1" customWidth="1"/>
    <col min="15" max="15" width="17.140625" style="1" customWidth="1"/>
    <col min="16" max="16" width="18.5703125" style="1" customWidth="1"/>
    <col min="17" max="17" width="11.28515625" style="1" bestFit="1" customWidth="1"/>
    <col min="18" max="18" width="8.42578125" customWidth="1"/>
    <col min="19" max="19" width="17.7109375" customWidth="1"/>
    <col min="20" max="20" width="13" customWidth="1"/>
  </cols>
  <sheetData>
    <row r="2" spans="1:20" ht="16">
      <c r="B2" s="72" t="str">
        <f>'1.0-Contractblad'!D2</f>
        <v>Naam opdrachtgever</v>
      </c>
      <c r="C2" s="30" t="str">
        <f>'1.0-Contractblad'!E2</f>
        <v>Friesland College</v>
      </c>
      <c r="D2" s="33"/>
    </row>
    <row r="3" spans="1:20" ht="16">
      <c r="B3" s="72" t="str">
        <f>'1.0-Contractblad'!D3</f>
        <v>Omschrijving blad</v>
      </c>
      <c r="C3" s="72" t="s">
        <v>44</v>
      </c>
      <c r="D3" s="33"/>
    </row>
    <row r="4" spans="1:20" ht="16">
      <c r="B4" s="72" t="str">
        <f>'1.0-Contractblad'!D4</f>
        <v>Adres/plaats</v>
      </c>
      <c r="C4" s="30" t="str">
        <f>'1.0-Contractblad'!E4</f>
        <v>Diverse locaties Leeuwarden e.o.</v>
      </c>
      <c r="D4" s="33"/>
    </row>
    <row r="5" spans="1:20" ht="16">
      <c r="B5" s="72" t="str">
        <f>'1.0-Contractblad'!D5</f>
        <v>Besteknummer</v>
      </c>
      <c r="C5" s="30" t="str">
        <f>'1.0-Contractblad'!E5</f>
        <v>0601-36-2013 Perceel 2</v>
      </c>
      <c r="D5" s="33"/>
      <c r="K5" s="649"/>
    </row>
    <row r="6" spans="1:20" ht="16">
      <c r="B6" s="72" t="str">
        <f>'1.0-Contractblad'!D6</f>
        <v>Naam leverancier</v>
      </c>
      <c r="C6" s="30" t="str">
        <f>'1.0-Contractblad'!E6</f>
        <v>(Invoer naam Inschrijver)</v>
      </c>
      <c r="D6" s="33"/>
    </row>
    <row r="7" spans="1:20">
      <c r="A7" s="580"/>
    </row>
    <row r="8" spans="1:20">
      <c r="A8" s="580"/>
    </row>
    <row r="9" spans="1:20">
      <c r="A9" s="580"/>
      <c r="R9" s="1"/>
      <c r="S9" s="1"/>
    </row>
    <row r="10" spans="1:20" s="287" customFormat="1" ht="26">
      <c r="A10" s="581"/>
      <c r="B10" s="281" t="s">
        <v>207</v>
      </c>
      <c r="C10" s="281" t="s">
        <v>174</v>
      </c>
      <c r="D10" s="281" t="s">
        <v>42</v>
      </c>
      <c r="E10" s="281" t="s">
        <v>241</v>
      </c>
      <c r="F10" s="281" t="s">
        <v>1126</v>
      </c>
      <c r="G10" s="285" t="s">
        <v>122</v>
      </c>
      <c r="H10" s="282" t="s">
        <v>308</v>
      </c>
      <c r="I10" s="282" t="s">
        <v>309</v>
      </c>
      <c r="J10" s="282" t="s">
        <v>1051</v>
      </c>
      <c r="K10" s="282" t="s">
        <v>185</v>
      </c>
      <c r="L10" s="282" t="s">
        <v>1235</v>
      </c>
      <c r="M10" s="282" t="s">
        <v>1235</v>
      </c>
      <c r="N10" s="286"/>
      <c r="O10" s="1"/>
      <c r="P10" s="1"/>
      <c r="Q10" s="1"/>
    </row>
    <row r="11" spans="1:20">
      <c r="A11" s="582">
        <f t="shared" ref="A11:A16" si="0">G11</f>
        <v>1</v>
      </c>
      <c r="B11" s="494" t="s">
        <v>366</v>
      </c>
      <c r="C11" s="308" t="s">
        <v>364</v>
      </c>
      <c r="D11" s="309"/>
      <c r="E11" s="310">
        <f ca="1">SUMIF('1.3-Basis ruimtestaat'!$E$10:$O$837,'1.1-Jaarprijzen'!B11,'1.3-Basis ruimtestaat'!$R$10:$R$837)</f>
        <v>9745.7899999999991</v>
      </c>
      <c r="F11" s="766">
        <f ca="1">(H11+J11+I11)/200</f>
        <v>0</v>
      </c>
      <c r="G11" s="496">
        <v>1</v>
      </c>
      <c r="H11" s="466">
        <f t="shared" ref="H11:H16" ca="1" si="1">SUMIF(totaal2,$B11,urenmavr)</f>
        <v>0</v>
      </c>
      <c r="I11" s="466">
        <f t="shared" ref="I11:I16" ca="1" si="2">SUMIF(totaal2,$B11,urenperiodiek)</f>
        <v>0</v>
      </c>
      <c r="J11" s="466">
        <f t="shared" ref="J11:J16" ca="1" si="3">SUMIF(totaal2,$B11,naloopuren)</f>
        <v>0</v>
      </c>
      <c r="K11" s="311">
        <f ca="1">(H11+I11+J11)*'1.0-Contractblad'!$E$39</f>
        <v>0</v>
      </c>
      <c r="L11" s="311"/>
      <c r="M11" s="311"/>
      <c r="N11" s="286"/>
      <c r="R11" s="287"/>
      <c r="S11" s="287"/>
      <c r="T11" s="287"/>
    </row>
    <row r="12" spans="1:20">
      <c r="A12" s="582">
        <f t="shared" si="0"/>
        <v>1</v>
      </c>
      <c r="B12" s="494" t="s">
        <v>1253</v>
      </c>
      <c r="C12" s="308" t="s">
        <v>364</v>
      </c>
      <c r="D12" s="309"/>
      <c r="E12" s="310">
        <f ca="1">SUMIF('1.3-Basis ruimtestaat'!$E$10:$O$837,'1.1-Jaarprijzen'!B12,'1.3-Basis ruimtestaat'!$R$10:$R$837)</f>
        <v>0</v>
      </c>
      <c r="F12" s="766">
        <f t="shared" ref="F12:F16" ca="1" si="4">(H12+J12+I12)/200</f>
        <v>1</v>
      </c>
      <c r="G12" s="496">
        <v>1</v>
      </c>
      <c r="H12" s="466">
        <f t="shared" ca="1" si="1"/>
        <v>184</v>
      </c>
      <c r="I12" s="466">
        <f t="shared" ca="1" si="2"/>
        <v>16</v>
      </c>
      <c r="J12" s="466">
        <f t="shared" ca="1" si="3"/>
        <v>0</v>
      </c>
      <c r="K12" s="311">
        <f ca="1">(H12+I12+J12)*'1.0-Contractblad'!$E$39</f>
        <v>0</v>
      </c>
      <c r="L12" s="311"/>
      <c r="M12" s="311"/>
      <c r="N12" s="286"/>
      <c r="R12" s="287"/>
      <c r="S12" s="287"/>
      <c r="T12" s="287"/>
    </row>
    <row r="13" spans="1:20">
      <c r="A13" s="582">
        <f t="shared" si="0"/>
        <v>1</v>
      </c>
      <c r="B13" s="494" t="s">
        <v>373</v>
      </c>
      <c r="C13" s="308" t="s">
        <v>364</v>
      </c>
      <c r="D13" s="309"/>
      <c r="E13" s="310">
        <f ca="1">SUMIF('1.3-Basis ruimtestaat'!$E$10:$O$837,'1.1-Jaarprijzen'!B13,'1.3-Basis ruimtestaat'!$R$10:$R$837)</f>
        <v>729</v>
      </c>
      <c r="F13" s="766">
        <f t="shared" ca="1" si="4"/>
        <v>0</v>
      </c>
      <c r="G13" s="496">
        <v>1</v>
      </c>
      <c r="H13" s="466">
        <f t="shared" ca="1" si="1"/>
        <v>0</v>
      </c>
      <c r="I13" s="466">
        <f t="shared" ca="1" si="2"/>
        <v>0</v>
      </c>
      <c r="J13" s="466">
        <f t="shared" ca="1" si="3"/>
        <v>0</v>
      </c>
      <c r="K13" s="311">
        <f ca="1">(H13+I13+J13)*'1.0-Contractblad'!$E$39</f>
        <v>0</v>
      </c>
      <c r="L13" s="311"/>
      <c r="M13" s="311"/>
      <c r="N13" s="286"/>
      <c r="R13" s="287"/>
      <c r="S13" s="287"/>
      <c r="T13" s="287"/>
    </row>
    <row r="14" spans="1:20">
      <c r="A14" s="582">
        <f t="shared" si="0"/>
        <v>1</v>
      </c>
      <c r="B14" s="494" t="s">
        <v>374</v>
      </c>
      <c r="C14" s="308" t="s">
        <v>364</v>
      </c>
      <c r="D14" s="309"/>
      <c r="E14" s="310">
        <f ca="1">SUMIF('1.3-Basis ruimtestaat'!$E$10:$O$837,'1.1-Jaarprijzen'!B14,'1.3-Basis ruimtestaat'!$R$10:$R$837)</f>
        <v>7149.5</v>
      </c>
      <c r="F14" s="766">
        <f t="shared" ca="1" si="4"/>
        <v>0</v>
      </c>
      <c r="G14" s="496">
        <v>1</v>
      </c>
      <c r="H14" s="466">
        <f t="shared" ca="1" si="1"/>
        <v>0</v>
      </c>
      <c r="I14" s="466">
        <f t="shared" ca="1" si="2"/>
        <v>0</v>
      </c>
      <c r="J14" s="466">
        <f t="shared" ca="1" si="3"/>
        <v>0</v>
      </c>
      <c r="K14" s="311">
        <f ca="1">(H14+I14+J14)*'1.0-Contractblad'!$E$39</f>
        <v>0</v>
      </c>
      <c r="L14" s="311"/>
      <c r="M14" s="311"/>
      <c r="N14" s="286"/>
      <c r="R14" s="287"/>
      <c r="S14" s="287"/>
      <c r="T14" s="287"/>
    </row>
    <row r="15" spans="1:20">
      <c r="A15" s="582">
        <f t="shared" si="0"/>
        <v>1</v>
      </c>
      <c r="B15" s="494" t="s">
        <v>1052</v>
      </c>
      <c r="C15" s="308" t="s">
        <v>364</v>
      </c>
      <c r="D15" s="309"/>
      <c r="E15" s="310">
        <f ca="1">SUMIF('1.3-Basis ruimtestaat'!$E$10:$O$837,'1.1-Jaarprijzen'!B15,'1.3-Basis ruimtestaat'!$R$10:$R$837)</f>
        <v>2815.5</v>
      </c>
      <c r="F15" s="766">
        <f t="shared" ca="1" si="4"/>
        <v>0</v>
      </c>
      <c r="G15" s="496">
        <v>1</v>
      </c>
      <c r="H15" s="466">
        <f t="shared" ca="1" si="1"/>
        <v>0</v>
      </c>
      <c r="I15" s="466">
        <f t="shared" ca="1" si="2"/>
        <v>0</v>
      </c>
      <c r="J15" s="466">
        <f t="shared" ca="1" si="3"/>
        <v>0</v>
      </c>
      <c r="K15" s="311">
        <f ca="1">(H15+I15+J15)*'1.0-Contractblad'!$E$39</f>
        <v>0</v>
      </c>
      <c r="L15" s="311"/>
      <c r="M15" s="311"/>
      <c r="N15" s="286"/>
      <c r="R15" s="287"/>
      <c r="S15" s="287"/>
      <c r="T15" s="287"/>
    </row>
    <row r="16" spans="1:20">
      <c r="A16" s="582">
        <f t="shared" si="0"/>
        <v>1</v>
      </c>
      <c r="B16" s="494" t="s">
        <v>1099</v>
      </c>
      <c r="C16" s="308" t="s">
        <v>364</v>
      </c>
      <c r="D16" s="309"/>
      <c r="E16" s="310">
        <f ca="1">SUMIF('1.3-Basis ruimtestaat'!$E$10:$O$837,'1.1-Jaarprijzen'!B16,'1.3-Basis ruimtestaat'!$R$10:$R$837)</f>
        <v>628</v>
      </c>
      <c r="F16" s="766">
        <f t="shared" ca="1" si="4"/>
        <v>0</v>
      </c>
      <c r="G16" s="496">
        <v>1</v>
      </c>
      <c r="H16" s="466">
        <f t="shared" ca="1" si="1"/>
        <v>0</v>
      </c>
      <c r="I16" s="466">
        <f t="shared" ca="1" si="2"/>
        <v>0</v>
      </c>
      <c r="J16" s="466">
        <f t="shared" ca="1" si="3"/>
        <v>0</v>
      </c>
      <c r="K16" s="311">
        <f ca="1">(H16+I16+J16)*'1.0-Contractblad'!$E$39</f>
        <v>0</v>
      </c>
      <c r="L16" s="311"/>
      <c r="M16" s="311"/>
      <c r="N16" s="286"/>
      <c r="R16" s="287"/>
      <c r="S16" s="287"/>
      <c r="T16" s="287"/>
    </row>
    <row r="17" spans="1:24">
      <c r="A17" s="582" t="e">
        <f>#REF!</f>
        <v>#REF!</v>
      </c>
      <c r="B17" s="494"/>
      <c r="C17" s="308"/>
      <c r="D17" s="312"/>
      <c r="E17" s="310"/>
      <c r="F17" s="310"/>
      <c r="G17" s="496"/>
      <c r="H17" s="466"/>
      <c r="I17" s="466"/>
      <c r="J17" s="314"/>
      <c r="K17" s="311"/>
      <c r="L17" s="315"/>
      <c r="M17" s="315"/>
      <c r="N17" s="286"/>
      <c r="R17" s="287"/>
      <c r="S17" s="287"/>
      <c r="T17" s="287"/>
    </row>
    <row r="18" spans="1:24" hidden="1">
      <c r="A18" s="582" t="e">
        <f t="shared" ref="A18:A19" si="5">A17</f>
        <v>#REF!</v>
      </c>
      <c r="B18" s="494"/>
      <c r="C18" s="308"/>
      <c r="D18" s="312"/>
      <c r="E18" s="310"/>
      <c r="F18" s="310"/>
      <c r="G18" s="496"/>
      <c r="H18" s="466"/>
      <c r="I18" s="466"/>
      <c r="J18" s="314"/>
      <c r="K18" s="311"/>
      <c r="L18" s="315"/>
      <c r="M18" s="315"/>
      <c r="N18" s="286"/>
      <c r="R18" s="287"/>
      <c r="S18" s="287"/>
      <c r="T18" s="287"/>
    </row>
    <row r="19" spans="1:24" hidden="1">
      <c r="A19" s="582" t="e">
        <f t="shared" si="5"/>
        <v>#REF!</v>
      </c>
      <c r="B19" s="494"/>
      <c r="C19" s="308"/>
      <c r="D19" s="312"/>
      <c r="E19" s="310"/>
      <c r="F19" s="313"/>
      <c r="G19" s="496"/>
      <c r="H19" s="466"/>
      <c r="I19" s="466"/>
      <c r="J19" s="314"/>
      <c r="K19" s="311"/>
      <c r="L19" s="315"/>
      <c r="M19" s="315"/>
      <c r="N19" s="286"/>
      <c r="R19" s="287"/>
      <c r="S19" s="287"/>
      <c r="T19" s="287"/>
    </row>
    <row r="20" spans="1:24" hidden="1">
      <c r="A20" s="583"/>
      <c r="B20" s="219"/>
      <c r="C20" s="220"/>
      <c r="D20" s="220"/>
      <c r="E20" s="221"/>
      <c r="F20" s="221"/>
      <c r="G20" s="222"/>
      <c r="H20" s="485"/>
      <c r="I20" s="485"/>
      <c r="J20" s="203"/>
      <c r="K20" s="223"/>
      <c r="L20" s="223"/>
      <c r="M20" s="223"/>
      <c r="N20" s="286"/>
      <c r="R20" s="287"/>
      <c r="S20" s="287"/>
      <c r="T20" s="287"/>
    </row>
    <row r="21" spans="1:24">
      <c r="A21" s="583"/>
      <c r="B21" s="219"/>
      <c r="C21" s="220"/>
      <c r="D21" s="220"/>
      <c r="E21" s="221"/>
      <c r="F21" s="221"/>
      <c r="G21" s="222"/>
      <c r="H21" s="485"/>
      <c r="I21" s="485"/>
      <c r="J21" s="203"/>
      <c r="K21" s="223"/>
      <c r="L21" s="223"/>
      <c r="M21" s="223"/>
      <c r="N21" s="286"/>
      <c r="R21" s="287"/>
      <c r="S21" s="287"/>
      <c r="T21" s="287"/>
    </row>
    <row r="22" spans="1:24">
      <c r="A22" s="583"/>
      <c r="B22" s="219"/>
      <c r="C22" s="220"/>
      <c r="D22" s="220"/>
      <c r="E22" s="221"/>
      <c r="G22" s="222"/>
      <c r="H22" s="221"/>
      <c r="I22" s="203"/>
      <c r="J22" s="221"/>
      <c r="K22" s="223"/>
      <c r="M22" s="221"/>
      <c r="N22" s="286"/>
      <c r="R22" s="287"/>
      <c r="S22" s="287"/>
      <c r="T22" s="287"/>
    </row>
    <row r="23" spans="1:24" hidden="1">
      <c r="A23" s="583"/>
      <c r="E23" s="205"/>
      <c r="F23" s="205"/>
      <c r="H23" s="204">
        <f>'1.0-Contractblad'!$L$29</f>
        <v>0</v>
      </c>
      <c r="I23" s="204">
        <f>H23</f>
        <v>0</v>
      </c>
      <c r="J23" s="204">
        <f>I23</f>
        <v>0</v>
      </c>
      <c r="K23" s="204">
        <f>'1.0-Contractblad'!$L$39</f>
        <v>0</v>
      </c>
      <c r="L23" s="204">
        <f>'1.0-Contractblad'!$L$59</f>
        <v>0</v>
      </c>
      <c r="M23" s="204">
        <f>'1.0-Contractblad'!$L$85</f>
        <v>0</v>
      </c>
      <c r="N23" s="286"/>
      <c r="R23" s="287"/>
      <c r="S23" s="287"/>
      <c r="T23" s="287"/>
    </row>
    <row r="24" spans="1:24">
      <c r="A24" s="583"/>
      <c r="D24" s="209"/>
      <c r="E24" s="210"/>
      <c r="F24" s="210"/>
      <c r="G24" s="209"/>
      <c r="H24" s="209"/>
      <c r="N24" s="286"/>
      <c r="R24" s="287"/>
      <c r="S24" s="287"/>
      <c r="T24" s="287"/>
    </row>
    <row r="25" spans="1:24" s="284" customFormat="1" ht="52">
      <c r="A25" s="584">
        <f t="shared" ref="A25:A31" si="6">A10</f>
        <v>0</v>
      </c>
      <c r="B25" s="281" t="s">
        <v>207</v>
      </c>
      <c r="C25" s="281" t="s">
        <v>174</v>
      </c>
      <c r="D25" s="281" t="s">
        <v>1226</v>
      </c>
      <c r="E25" s="282" t="s">
        <v>144</v>
      </c>
      <c r="F25" s="282" t="s">
        <v>66</v>
      </c>
      <c r="G25" s="282" t="s">
        <v>67</v>
      </c>
      <c r="H25" s="282" t="s">
        <v>234</v>
      </c>
      <c r="I25" s="282" t="s">
        <v>41</v>
      </c>
      <c r="J25" s="282" t="s">
        <v>158</v>
      </c>
      <c r="K25" s="282" t="s">
        <v>157</v>
      </c>
      <c r="L25" s="282" t="s">
        <v>1227</v>
      </c>
      <c r="M25" s="282" t="s">
        <v>199</v>
      </c>
      <c r="N25" s="283"/>
      <c r="O25" s="1"/>
      <c r="P25" s="1"/>
      <c r="Q25" s="1"/>
      <c r="R25" s="287"/>
      <c r="S25" s="287"/>
      <c r="T25" s="287"/>
    </row>
    <row r="26" spans="1:24">
      <c r="A26" s="584">
        <f t="shared" si="6"/>
        <v>1</v>
      </c>
      <c r="B26" s="309" t="str">
        <f t="shared" ref="B26:C31" si="7">B11</f>
        <v>Abe Lenstra Boulevard 29, Heerenveen</v>
      </c>
      <c r="C26" s="309" t="str">
        <f t="shared" si="7"/>
        <v>Friesland College</v>
      </c>
      <c r="D26" s="451">
        <f ca="1">IF(ISNA(VLOOKUP(B26,'1.0-Contractblad'!$D$96:$J$113,7,FALSE)),0,VLOOKUP(B26,'1.0-Contractblad'!$D$96:$J$113,7,FALSE))</f>
        <v>0</v>
      </c>
      <c r="E26" s="316">
        <f>VLOOKUP($B26,'1.6-Machine-investeringskosten'!$B$97:$E$112,4,FALSE)</f>
        <v>0</v>
      </c>
      <c r="F26" s="316">
        <f t="shared" ref="F26:F31" ca="1" si="8">$H$23*H11+$I$23*I11+J11*$J$23</f>
        <v>0</v>
      </c>
      <c r="G26" s="316">
        <f t="shared" ref="G26:G31" ca="1" si="9">$K$23*K11+$L$23*L11+M11*$M$23</f>
        <v>0</v>
      </c>
      <c r="H26" s="316"/>
      <c r="I26" s="718">
        <f ca="1">G26+F26+E26+H26+D26</f>
        <v>0</v>
      </c>
      <c r="J26" s="719"/>
      <c r="K26" s="585"/>
      <c r="L26" s="316"/>
      <c r="M26" s="316">
        <f t="shared" ref="M26:M31" ca="1" si="10">IF(K26="NEE",L26+I26,I26+J26+L26)</f>
        <v>0</v>
      </c>
      <c r="R26" s="287"/>
      <c r="S26" s="287"/>
      <c r="T26" s="287"/>
      <c r="U26" s="284"/>
      <c r="V26" s="284"/>
      <c r="W26" s="284"/>
      <c r="X26" s="284"/>
    </row>
    <row r="27" spans="1:24">
      <c r="A27" s="584">
        <f t="shared" si="6"/>
        <v>1</v>
      </c>
      <c r="B27" s="309" t="str">
        <f t="shared" si="7"/>
        <v>De Zwaai, Drachten</v>
      </c>
      <c r="C27" s="309" t="str">
        <f t="shared" si="7"/>
        <v>Friesland College</v>
      </c>
      <c r="D27" s="451">
        <f>IF(ISNA(VLOOKUP(B27,'1.0-Contractblad'!$D$96:$J$113,7,FALSE)),0,VLOOKUP(B27,'1.0-Contractblad'!$D$96:$J$113,7,FALSE))</f>
        <v>0</v>
      </c>
      <c r="E27" s="316">
        <f>VLOOKUP($B27,'1.6-Machine-investeringskosten'!$B$97:$E$112,4,FALSE)</f>
        <v>0</v>
      </c>
      <c r="F27" s="316">
        <f t="shared" ca="1" si="8"/>
        <v>0</v>
      </c>
      <c r="G27" s="316">
        <f t="shared" ca="1" si="9"/>
        <v>0</v>
      </c>
      <c r="H27" s="316"/>
      <c r="I27" s="718">
        <f t="shared" ref="I27:I31" ca="1" si="11">G27+F27+E27+H27+D27</f>
        <v>0</v>
      </c>
      <c r="J27" s="719"/>
      <c r="K27" s="585"/>
      <c r="L27" s="316"/>
      <c r="M27" s="316">
        <f t="shared" ca="1" si="10"/>
        <v>0</v>
      </c>
      <c r="R27" s="287"/>
      <c r="S27" s="287"/>
      <c r="T27" s="287"/>
      <c r="U27" s="284"/>
      <c r="V27" s="284"/>
      <c r="W27" s="284"/>
      <c r="X27" s="284"/>
    </row>
    <row r="28" spans="1:24">
      <c r="A28" s="584">
        <f t="shared" si="6"/>
        <v>1</v>
      </c>
      <c r="B28" s="309" t="str">
        <f t="shared" si="7"/>
        <v>Kerkstraat 51, Buitenpost</v>
      </c>
      <c r="C28" s="309" t="str">
        <f t="shared" si="7"/>
        <v>Friesland College</v>
      </c>
      <c r="D28" s="451">
        <f ca="1">IF(ISNA(VLOOKUP(B28,'1.0-Contractblad'!$D$96:$J$113,7,FALSE)),0,VLOOKUP(B28,'1.0-Contractblad'!$D$96:$J$113,7,FALSE))</f>
        <v>0</v>
      </c>
      <c r="E28" s="316">
        <f>VLOOKUP($B28,'1.6-Machine-investeringskosten'!$B$97:$E$112,4,FALSE)</f>
        <v>0</v>
      </c>
      <c r="F28" s="316">
        <f t="shared" ca="1" si="8"/>
        <v>0</v>
      </c>
      <c r="G28" s="316">
        <f t="shared" ca="1" si="9"/>
        <v>0</v>
      </c>
      <c r="H28" s="316"/>
      <c r="I28" s="718">
        <f t="shared" ca="1" si="11"/>
        <v>0</v>
      </c>
      <c r="J28" s="719"/>
      <c r="K28" s="585"/>
      <c r="L28" s="316"/>
      <c r="M28" s="316">
        <f t="shared" ca="1" si="10"/>
        <v>0</v>
      </c>
      <c r="R28" s="287"/>
      <c r="S28" s="287"/>
      <c r="T28" s="287"/>
      <c r="U28" s="284"/>
      <c r="V28" s="284"/>
      <c r="W28" s="284"/>
      <c r="X28" s="284"/>
    </row>
    <row r="29" spans="1:24">
      <c r="A29" s="584">
        <f t="shared" si="6"/>
        <v>1</v>
      </c>
      <c r="B29" s="309" t="str">
        <f t="shared" si="7"/>
        <v>Saturnus 7, Heerenveen</v>
      </c>
      <c r="C29" s="309" t="str">
        <f t="shared" si="7"/>
        <v>Friesland College</v>
      </c>
      <c r="D29" s="451">
        <f ca="1">IF(ISNA(VLOOKUP(B29,'1.0-Contractblad'!$D$96:$J$113,7,FALSE)),0,VLOOKUP(B29,'1.0-Contractblad'!$D$96:$J$113,7,FALSE))</f>
        <v>0</v>
      </c>
      <c r="E29" s="316">
        <f>VLOOKUP($B29,'1.6-Machine-investeringskosten'!$B$97:$E$112,4,FALSE)</f>
        <v>0</v>
      </c>
      <c r="F29" s="316">
        <f t="shared" ca="1" si="8"/>
        <v>0</v>
      </c>
      <c r="G29" s="316">
        <f t="shared" ca="1" si="9"/>
        <v>0</v>
      </c>
      <c r="H29" s="316"/>
      <c r="I29" s="718">
        <f t="shared" ca="1" si="11"/>
        <v>0</v>
      </c>
      <c r="J29" s="719"/>
      <c r="K29" s="585"/>
      <c r="L29" s="316"/>
      <c r="M29" s="316">
        <f t="shared" ca="1" si="10"/>
        <v>0</v>
      </c>
      <c r="R29" s="287"/>
      <c r="S29" s="287"/>
      <c r="T29" s="287"/>
      <c r="U29" s="284"/>
      <c r="V29" s="284"/>
      <c r="W29" s="284"/>
      <c r="X29" s="284"/>
    </row>
    <row r="30" spans="1:24">
      <c r="A30" s="584">
        <f t="shared" si="6"/>
        <v>1</v>
      </c>
      <c r="B30" s="309" t="str">
        <f t="shared" si="7"/>
        <v>Jousterweg 28, Heerenveen</v>
      </c>
      <c r="C30" s="309" t="str">
        <f t="shared" si="7"/>
        <v>Friesland College</v>
      </c>
      <c r="D30" s="451">
        <f ca="1">IF(ISNA(VLOOKUP(B30,'1.0-Contractblad'!$D$96:$J$113,7,FALSE)),0,VLOOKUP(B30,'1.0-Contractblad'!$D$96:$J$113,7,FALSE))</f>
        <v>0</v>
      </c>
      <c r="E30" s="316">
        <f>VLOOKUP($B30,'1.6-Machine-investeringskosten'!$B$97:$E$112,4,FALSE)</f>
        <v>0</v>
      </c>
      <c r="F30" s="316">
        <f t="shared" ca="1" si="8"/>
        <v>0</v>
      </c>
      <c r="G30" s="316">
        <f t="shared" ca="1" si="9"/>
        <v>0</v>
      </c>
      <c r="H30" s="316"/>
      <c r="I30" s="718">
        <f t="shared" ca="1" si="11"/>
        <v>0</v>
      </c>
      <c r="J30" s="719"/>
      <c r="K30" s="585"/>
      <c r="L30" s="316"/>
      <c r="M30" s="316">
        <f t="shared" ca="1" si="10"/>
        <v>0</v>
      </c>
      <c r="R30" s="287"/>
      <c r="S30" s="287"/>
      <c r="T30" s="287"/>
      <c r="U30" s="284"/>
      <c r="V30" s="284"/>
      <c r="W30" s="284"/>
      <c r="X30" s="284"/>
    </row>
    <row r="31" spans="1:24">
      <c r="A31" s="584">
        <f t="shared" si="6"/>
        <v>1</v>
      </c>
      <c r="B31" s="309" t="str">
        <f t="shared" si="7"/>
        <v>St Antoniusplein 5-2, Sneek</v>
      </c>
      <c r="C31" s="309" t="str">
        <f t="shared" si="7"/>
        <v>Friesland College</v>
      </c>
      <c r="D31" s="451">
        <f ca="1">IF(ISNA(VLOOKUP(B31,'1.0-Contractblad'!$D$96:$J$113,7,FALSE)),0,VLOOKUP(B31,'1.0-Contractblad'!$D$96:$J$113,7,FALSE))</f>
        <v>0</v>
      </c>
      <c r="E31" s="316">
        <f>VLOOKUP($B31,'1.6-Machine-investeringskosten'!$B$97:$E$112,4,FALSE)</f>
        <v>0</v>
      </c>
      <c r="F31" s="316">
        <f t="shared" ca="1" si="8"/>
        <v>0</v>
      </c>
      <c r="G31" s="316">
        <f t="shared" ca="1" si="9"/>
        <v>0</v>
      </c>
      <c r="H31" s="316"/>
      <c r="I31" s="718">
        <f t="shared" ca="1" si="11"/>
        <v>0</v>
      </c>
      <c r="J31" s="719"/>
      <c r="K31" s="585"/>
      <c r="L31" s="316"/>
      <c r="M31" s="316">
        <f t="shared" ca="1" si="10"/>
        <v>0</v>
      </c>
      <c r="R31" s="287"/>
      <c r="S31" s="287"/>
      <c r="T31" s="287"/>
      <c r="U31" s="284"/>
      <c r="V31" s="284"/>
      <c r="W31" s="284"/>
      <c r="X31" s="284"/>
    </row>
    <row r="32" spans="1:24">
      <c r="A32" s="584" t="e">
        <f>#REF!</f>
        <v>#REF!</v>
      </c>
      <c r="B32" s="309"/>
      <c r="C32" s="309"/>
      <c r="D32" s="451"/>
      <c r="E32" s="316"/>
      <c r="F32" s="316"/>
      <c r="G32" s="316"/>
      <c r="H32" s="316"/>
      <c r="I32" s="316"/>
      <c r="J32" s="514"/>
      <c r="K32" s="515"/>
      <c r="L32" s="316"/>
      <c r="M32" s="316"/>
      <c r="R32" s="287"/>
      <c r="S32" s="287"/>
      <c r="T32" s="287"/>
      <c r="U32" s="284"/>
      <c r="V32" s="284"/>
      <c r="W32" s="284"/>
      <c r="X32" s="284"/>
    </row>
    <row r="33" spans="1:24" hidden="1">
      <c r="A33" s="584" t="e">
        <f>A17</f>
        <v>#REF!</v>
      </c>
      <c r="B33" s="309"/>
      <c r="C33" s="309"/>
      <c r="D33" s="451"/>
      <c r="E33" s="316"/>
      <c r="F33" s="316"/>
      <c r="G33" s="316"/>
      <c r="H33" s="316"/>
      <c r="I33" s="316"/>
      <c r="J33" s="514"/>
      <c r="K33" s="515"/>
      <c r="L33" s="316"/>
      <c r="M33" s="316"/>
      <c r="R33" s="287"/>
      <c r="S33" s="287"/>
      <c r="T33" s="287"/>
      <c r="U33" s="284"/>
      <c r="V33" s="284"/>
      <c r="W33" s="284"/>
      <c r="X33" s="284"/>
    </row>
    <row r="34" spans="1:24" hidden="1">
      <c r="A34" s="584" t="e">
        <f>A18</f>
        <v>#REF!</v>
      </c>
      <c r="B34" s="309"/>
      <c r="C34" s="309"/>
      <c r="D34" s="451"/>
      <c r="E34" s="316"/>
      <c r="F34" s="316"/>
      <c r="G34" s="316"/>
      <c r="H34" s="316"/>
      <c r="I34" s="316"/>
      <c r="J34" s="514"/>
      <c r="K34" s="515"/>
      <c r="L34" s="316"/>
      <c r="M34" s="316"/>
      <c r="R34" s="287"/>
      <c r="S34" s="287"/>
      <c r="T34" s="287"/>
      <c r="U34" s="284"/>
      <c r="V34" s="284"/>
      <c r="W34" s="284"/>
      <c r="X34" s="284"/>
    </row>
    <row r="35" spans="1:24" hidden="1">
      <c r="A35" s="584" t="e">
        <f>A19</f>
        <v>#REF!</v>
      </c>
      <c r="B35" s="494"/>
      <c r="C35" s="308"/>
      <c r="D35" s="312"/>
      <c r="E35" s="310"/>
      <c r="F35" s="313"/>
      <c r="G35" s="496"/>
      <c r="H35" s="466"/>
      <c r="I35" s="466"/>
      <c r="J35" s="314"/>
      <c r="K35" s="311"/>
      <c r="L35" s="315"/>
      <c r="M35" s="315"/>
      <c r="N35" s="286"/>
      <c r="R35" s="287"/>
      <c r="S35" s="287"/>
      <c r="T35" s="287"/>
      <c r="U35" s="284"/>
      <c r="V35" s="284"/>
      <c r="W35" s="284"/>
      <c r="X35" s="284"/>
    </row>
    <row r="36" spans="1:24">
      <c r="A36" s="583"/>
      <c r="E36" s="204"/>
      <c r="F36" s="204"/>
      <c r="G36" s="204"/>
      <c r="H36" s="204"/>
      <c r="I36" s="204"/>
      <c r="M36" s="207"/>
      <c r="R36" s="287"/>
      <c r="S36" s="287"/>
      <c r="T36" s="287"/>
      <c r="U36" s="284"/>
      <c r="V36" s="284"/>
      <c r="W36" s="284"/>
      <c r="X36" s="284"/>
    </row>
    <row r="37" spans="1:24" s="287" customFormat="1" ht="23" customHeight="1">
      <c r="B37" s="286"/>
      <c r="C37" s="317" t="s">
        <v>271</v>
      </c>
      <c r="D37" s="289">
        <f ca="1">SUM(D25:D36)</f>
        <v>0</v>
      </c>
      <c r="E37" s="289">
        <f>SUM(E25:E36)</f>
        <v>0</v>
      </c>
      <c r="F37" s="289">
        <f ca="1">SUM(F25:F36)</f>
        <v>0</v>
      </c>
      <c r="G37" s="289">
        <f ca="1">SUM(G25:G36)</f>
        <v>0</v>
      </c>
      <c r="H37" s="317"/>
      <c r="I37" s="289">
        <f ca="1">SUM(I25:I36)</f>
        <v>0</v>
      </c>
      <c r="J37" s="289">
        <f>SUM(J25:J36)</f>
        <v>0</v>
      </c>
      <c r="K37" s="317"/>
      <c r="L37" s="290">
        <f>SUM(L25:L36)</f>
        <v>0</v>
      </c>
      <c r="M37" s="290">
        <f ca="1">SUM(M25:M36)</f>
        <v>0</v>
      </c>
      <c r="N37" s="286"/>
      <c r="O37" s="1"/>
      <c r="P37" s="1"/>
      <c r="Q37" s="1"/>
      <c r="U37" s="284"/>
      <c r="V37" s="284"/>
      <c r="W37" s="284"/>
      <c r="X37" s="284"/>
    </row>
    <row r="38" spans="1:24" s="287" customFormat="1" ht="16">
      <c r="B38" s="286"/>
      <c r="C38" s="286"/>
      <c r="D38" s="286"/>
      <c r="E38" s="288"/>
      <c r="F38" s="450"/>
      <c r="G38" s="450"/>
      <c r="H38" s="317"/>
      <c r="I38" s="289"/>
      <c r="J38" s="289"/>
      <c r="K38" s="317"/>
      <c r="L38" s="290"/>
      <c r="M38" s="290"/>
      <c r="N38" s="286"/>
      <c r="O38" s="1"/>
      <c r="P38" s="1"/>
      <c r="Q38" s="1"/>
      <c r="U38" s="284"/>
      <c r="V38" s="284"/>
      <c r="W38" s="284"/>
      <c r="X38" s="284"/>
    </row>
    <row r="39" spans="1:24" s="287" customFormat="1" ht="16" hidden="1">
      <c r="B39" s="286"/>
      <c r="C39" s="286"/>
      <c r="D39" s="286"/>
      <c r="E39" s="288"/>
      <c r="F39" s="450"/>
      <c r="G39" s="450"/>
      <c r="H39" s="317"/>
      <c r="I39" s="289"/>
      <c r="J39" s="289"/>
      <c r="K39" s="317"/>
      <c r="L39" s="290"/>
      <c r="M39" s="290"/>
      <c r="N39" s="286"/>
      <c r="O39" s="1"/>
      <c r="P39" s="1"/>
      <c r="Q39" s="1"/>
      <c r="U39" s="284"/>
      <c r="V39" s="284"/>
      <c r="W39" s="284"/>
      <c r="X39" s="284"/>
    </row>
    <row r="40" spans="1:24" s="287" customFormat="1" ht="16" hidden="1">
      <c r="B40" s="286"/>
      <c r="C40" s="286"/>
      <c r="D40" s="286"/>
      <c r="E40" s="288"/>
      <c r="F40" s="450"/>
      <c r="G40" s="450"/>
      <c r="H40" s="317"/>
      <c r="I40" s="289"/>
      <c r="J40" s="289"/>
      <c r="K40" s="317"/>
      <c r="L40" s="290"/>
      <c r="M40" s="290"/>
      <c r="N40" s="286"/>
      <c r="O40" s="1"/>
      <c r="P40" s="1"/>
      <c r="Q40" s="1"/>
      <c r="U40" s="284"/>
      <c r="V40" s="284"/>
      <c r="W40" s="284"/>
      <c r="X40" s="284"/>
    </row>
    <row r="41" spans="1:24">
      <c r="E41" s="205"/>
      <c r="F41" s="205"/>
      <c r="M41" s="208"/>
      <c r="R41" s="287"/>
      <c r="S41" s="287"/>
      <c r="T41" s="287"/>
      <c r="U41" s="284"/>
      <c r="V41" s="284"/>
      <c r="W41" s="284"/>
      <c r="X41" s="284"/>
    </row>
    <row r="42" spans="1:24" s="284" customFormat="1" ht="26">
      <c r="B42" s="285" t="s">
        <v>122</v>
      </c>
      <c r="C42" s="285" t="s">
        <v>1044</v>
      </c>
      <c r="D42" s="281" t="s">
        <v>274</v>
      </c>
      <c r="E42" s="282" t="s">
        <v>144</v>
      </c>
      <c r="F42" s="282" t="s">
        <v>66</v>
      </c>
      <c r="G42" s="282" t="s">
        <v>67</v>
      </c>
      <c r="H42" s="282" t="s">
        <v>234</v>
      </c>
      <c r="I42" s="282" t="s">
        <v>41</v>
      </c>
      <c r="J42" s="282" t="s">
        <v>158</v>
      </c>
      <c r="K42" s="282" t="s">
        <v>157</v>
      </c>
      <c r="L42" s="282" t="s">
        <v>68</v>
      </c>
      <c r="M42" s="282" t="s">
        <v>199</v>
      </c>
      <c r="N42" s="283"/>
      <c r="O42" s="1"/>
      <c r="P42" s="1"/>
      <c r="Q42" s="1"/>
      <c r="R42" s="287"/>
      <c r="S42" s="287"/>
      <c r="T42" s="287"/>
    </row>
    <row r="43" spans="1:24">
      <c r="B43" s="486"/>
      <c r="E43" s="205"/>
      <c r="F43" s="205"/>
      <c r="R43" s="287"/>
      <c r="S43" s="287"/>
      <c r="T43" s="287"/>
    </row>
    <row r="44" spans="1:24">
      <c r="B44" s="497">
        <v>1</v>
      </c>
      <c r="C44" s="487">
        <f ca="1">SUMIF($G$11:$O$19,$B44,$H$11:$H$19)+SUMIF($G$11:$O$19,$B44,$I$11:$I$19)</f>
        <v>200</v>
      </c>
      <c r="D44" s="468">
        <f ca="1">SUMIF($A$26:$M$35,$B44,$D$26:$D$35)</f>
        <v>0</v>
      </c>
      <c r="E44" s="468">
        <f ca="1">SUMIF($A$26:$M$35,$B44,$E$26:$E$35)</f>
        <v>0</v>
      </c>
      <c r="F44" s="468">
        <f ca="1">SUMIF($A$26:$M$35,$B44,$F$26:$F$35)</f>
        <v>0</v>
      </c>
      <c r="G44" s="468">
        <f ca="1">SUMIF($A$26:$M$35,$B44,$G$26:$G$35)</f>
        <v>0</v>
      </c>
      <c r="H44" s="468">
        <f ca="1">SUMIF($A$26:$M$35,$B44,$H$26:$H$35)</f>
        <v>0</v>
      </c>
      <c r="I44" s="468">
        <f ca="1">SUMIF($A$26:$M$35,$B44,$I$26:$I$35)</f>
        <v>0</v>
      </c>
      <c r="J44" s="468">
        <v>0</v>
      </c>
      <c r="K44" s="468"/>
      <c r="L44" s="468">
        <f ca="1">SUMIF($A$26:$M$35,$B44,$L$26:$L$35)</f>
        <v>0</v>
      </c>
      <c r="M44" s="468">
        <f ca="1">SUMIF($A$26:$M$35,$B44,$M$26:$M$35)</f>
        <v>0</v>
      </c>
      <c r="R44" s="287"/>
      <c r="S44" s="287"/>
      <c r="T44" s="287"/>
    </row>
    <row r="45" spans="1:24">
      <c r="B45" s="497">
        <v>2</v>
      </c>
      <c r="C45" s="487">
        <f ca="1">SUMIF($G$11:$O$19,$B45,$H$11:$H$19)+SUMIF($G$11:$O$19,$B45,$I$11:$I$19)</f>
        <v>0</v>
      </c>
      <c r="D45" s="468">
        <f ca="1">SUMIF($A$26:$M$35,$B45,$D$26:$D$35)</f>
        <v>0</v>
      </c>
      <c r="E45" s="468">
        <f ca="1">SUMIF($A$26:$M$35,$B45,$E$26:$E$35)</f>
        <v>0</v>
      </c>
      <c r="F45" s="468">
        <f ca="1">SUMIF($A$26:$M$35,$B45,$F$26:$F$35)</f>
        <v>0</v>
      </c>
      <c r="G45" s="468">
        <f ca="1">SUMIF($A$26:$M$35,$B45,$G$26:$G$35)</f>
        <v>0</v>
      </c>
      <c r="H45" s="468">
        <f ca="1">SUMIF($A$26:$M$35,$B45,$H$26:$H$35)</f>
        <v>0</v>
      </c>
      <c r="I45" s="468">
        <f ca="1">SUMIF($A$26:$M$35,$B45,$I$26:$I$35)</f>
        <v>0</v>
      </c>
      <c r="J45" s="468">
        <v>0</v>
      </c>
      <c r="K45" s="468"/>
      <c r="L45" s="468">
        <f ca="1">SUMIF($A$26:$M$35,$B45,$L$26:$L$35)</f>
        <v>0</v>
      </c>
      <c r="M45" s="468">
        <f ca="1">SUMIF($A$26:$M$35,$B45,$M$26:$M$35)</f>
        <v>0</v>
      </c>
      <c r="R45" s="287"/>
      <c r="S45" s="287"/>
      <c r="T45" s="287"/>
    </row>
    <row r="46" spans="1:24" ht="13" hidden="1" customHeight="1">
      <c r="B46" s="497">
        <v>3</v>
      </c>
      <c r="C46" s="487">
        <f ca="1">SUMIF($G$11:$O$19,$B46,$O$11:$O$19)</f>
        <v>0</v>
      </c>
      <c r="D46" s="468">
        <f ca="1">SUMIF($A$26:$M$35,$B46,$D$26:$D$35)</f>
        <v>0</v>
      </c>
      <c r="E46" s="468">
        <f ca="1">SUMIF($A$26:$M$35,$B46,$E$26:$E$35)</f>
        <v>0</v>
      </c>
      <c r="F46" s="468">
        <f ca="1">SUMIF($A$26:$M$35,$B46,$F$26:$F$35)</f>
        <v>0</v>
      </c>
      <c r="G46" s="468">
        <f ca="1">SUMIF($A$26:$M$35,$B46,$G$26:$G$35)</f>
        <v>0</v>
      </c>
      <c r="H46" s="468">
        <f ca="1">SUMIF($A$26:$M$35,$B46,$H$26:$H$35)</f>
        <v>0</v>
      </c>
      <c r="I46" s="468">
        <f ca="1">SUMIF($A$26:$M$35,$B46,$I$26:$I$35)</f>
        <v>0</v>
      </c>
      <c r="J46" s="468">
        <f ca="1">SUMIF($A$26:$M$35,$B46,$J$26:$J$35)</f>
        <v>0</v>
      </c>
      <c r="K46" s="468"/>
      <c r="L46" s="468">
        <f ca="1">SUMIF($A$26:$M$35,$B46,$L$26:$L$35)</f>
        <v>0</v>
      </c>
      <c r="M46" s="468">
        <f ca="1">SUMIF($A$26:$M$35,$B46,$M$26:$M$35)</f>
        <v>0</v>
      </c>
      <c r="R46" s="287"/>
      <c r="S46" s="287"/>
      <c r="T46" s="287"/>
    </row>
    <row r="47" spans="1:24">
      <c r="B47" s="486"/>
      <c r="E47" s="205"/>
      <c r="F47" s="205"/>
      <c r="R47" s="287"/>
      <c r="S47" s="287"/>
      <c r="T47" s="287"/>
    </row>
    <row r="48" spans="1:24" s="287" customFormat="1" ht="23" customHeight="1">
      <c r="B48" s="286"/>
      <c r="C48" s="286"/>
      <c r="D48" s="286"/>
      <c r="E48" s="288"/>
      <c r="F48" s="450"/>
      <c r="G48" s="450"/>
      <c r="H48" s="317" t="s">
        <v>271</v>
      </c>
      <c r="I48" s="289">
        <f ca="1">SUM(I44:I47)</f>
        <v>0</v>
      </c>
      <c r="J48" s="289">
        <f ca="1">SUM(J44:J47)</f>
        <v>0</v>
      </c>
      <c r="K48" s="317" t="s">
        <v>271</v>
      </c>
      <c r="L48" s="290">
        <f ca="1">SUM(L44:L47)</f>
        <v>0</v>
      </c>
      <c r="M48" s="290">
        <f ca="1">SUM(M44:M47)</f>
        <v>0</v>
      </c>
      <c r="N48" s="286"/>
      <c r="O48" s="1"/>
      <c r="P48" s="1"/>
      <c r="Q48" s="1"/>
    </row>
    <row r="49" spans="2:20" s="284" customFormat="1" ht="26">
      <c r="B49" s="285" t="s">
        <v>122</v>
      </c>
      <c r="C49" s="285" t="s">
        <v>241</v>
      </c>
      <c r="D49" s="285" t="s">
        <v>308</v>
      </c>
      <c r="E49" s="282" t="s">
        <v>309</v>
      </c>
      <c r="F49" s="282" t="s">
        <v>1051</v>
      </c>
      <c r="G49" s="282" t="s">
        <v>185</v>
      </c>
      <c r="H49" s="282"/>
      <c r="I49" s="282"/>
      <c r="J49" s="282"/>
      <c r="K49" s="282"/>
      <c r="L49" s="282"/>
      <c r="M49" s="282"/>
      <c r="N49" s="283"/>
      <c r="O49" s="1"/>
      <c r="P49" s="1"/>
      <c r="Q49" s="1"/>
      <c r="R49" s="287"/>
      <c r="S49" s="287"/>
      <c r="T49" s="287"/>
    </row>
    <row r="50" spans="2:20">
      <c r="B50" s="293"/>
      <c r="E50" s="205"/>
      <c r="F50" s="205"/>
      <c r="R50" s="1"/>
    </row>
    <row r="51" spans="2:20">
      <c r="B51" s="510">
        <v>1</v>
      </c>
      <c r="C51" s="511">
        <f ca="1">SUMIF($A$11:$E$19,$B51,$E$11:$E$19)</f>
        <v>21067.79</v>
      </c>
      <c r="D51" s="511">
        <f ca="1">SUMIF($A$11:$M$19,$B51,$H$11:$H$19)</f>
        <v>184</v>
      </c>
      <c r="E51" s="511">
        <f ca="1">SUMIF($G$11:$M$16,$B51,$I$11:$I$16)</f>
        <v>16</v>
      </c>
      <c r="F51" s="511">
        <f ca="1">SUMIF($G$11:$M$16,$B51,$J$11:$J$16)</f>
        <v>0</v>
      </c>
      <c r="G51" s="511">
        <f ca="1">SUMIF($A$11:$M$19,$B51,$K$11:$K$19)</f>
        <v>0</v>
      </c>
      <c r="R51" s="1"/>
    </row>
    <row r="52" spans="2:20">
      <c r="B52" s="510">
        <v>2</v>
      </c>
      <c r="C52" s="511">
        <f ca="1">SUMIF($A$11:$E$19,$B52,$E$11:$E$19)</f>
        <v>0</v>
      </c>
      <c r="D52" s="511">
        <f ca="1">SUMIF($A$11:$M$19,$B52,$H$11:$H$19)</f>
        <v>0</v>
      </c>
      <c r="E52" s="511">
        <f ca="1">SUMIF($A$11:$M$19,$B52,$I$11:$I$19)</f>
        <v>0</v>
      </c>
      <c r="F52" s="511">
        <f ca="1">SUMIF($G$11:$M$16,$B52,$J$11:$J$16)</f>
        <v>0</v>
      </c>
      <c r="G52" s="511">
        <f ca="1">SUMIF($A$11:$M$19,$B52,$K$11:$K$19)</f>
        <v>0</v>
      </c>
      <c r="R52" s="1"/>
    </row>
    <row r="53" spans="2:20" ht="13" hidden="1" customHeight="1">
      <c r="B53" s="510">
        <v>3</v>
      </c>
      <c r="C53" s="511">
        <f ca="1">SUMIF($A$11:$E$19,$B53,$E$11:$E$19)</f>
        <v>0</v>
      </c>
      <c r="D53" s="511">
        <f ca="1">SUMIF($A$11:$M$19,$B53,$H$11:$H$19)</f>
        <v>0</v>
      </c>
      <c r="E53" s="511">
        <f ca="1">SUMIF($A$11:$M$19,$B53,$I$11:$I$19)</f>
        <v>0</v>
      </c>
      <c r="F53" s="511">
        <f ca="1">SUMIF($A$11:$M$19,$B53,$K$11:$K$19)</f>
        <v>0</v>
      </c>
      <c r="G53" s="512"/>
      <c r="M53" s="1">
        <f ca="1">M48*1.21</f>
        <v>0</v>
      </c>
      <c r="R53" s="1"/>
    </row>
    <row r="54" spans="2:20" ht="14" thickBot="1">
      <c r="B54" s="293"/>
      <c r="E54" s="205"/>
      <c r="F54" s="205"/>
      <c r="R54" s="1"/>
    </row>
    <row r="55" spans="2:20" ht="15" thickTop="1" thickBot="1">
      <c r="B55" s="293"/>
      <c r="C55" s="513">
        <f ca="1">SUM(C51:C53)</f>
        <v>21067.79</v>
      </c>
      <c r="D55" s="513">
        <f ca="1">SUM(D51:D53)</f>
        <v>184</v>
      </c>
      <c r="E55" s="513">
        <f ca="1">SUM(E51:E52)</f>
        <v>16</v>
      </c>
      <c r="F55" s="513">
        <f ca="1">SUM(F51:G53)</f>
        <v>0</v>
      </c>
      <c r="G55" s="513">
        <f ca="1">SUM(G51:H53)</f>
        <v>0</v>
      </c>
      <c r="R55" s="1"/>
    </row>
    <row r="56" spans="2:20" ht="14" thickTop="1">
      <c r="B56" s="293"/>
      <c r="D56" s="492"/>
      <c r="E56" s="205"/>
      <c r="F56" s="205"/>
      <c r="I56" s="786"/>
      <c r="R56" s="1"/>
    </row>
    <row r="57" spans="2:20">
      <c r="B57" s="293"/>
      <c r="D57" s="492">
        <f ca="1">D53+E53</f>
        <v>0</v>
      </c>
      <c r="E57" s="205"/>
      <c r="F57" s="205"/>
      <c r="R57" s="1"/>
    </row>
    <row r="58" spans="2:20">
      <c r="B58" s="294"/>
      <c r="C58" s="292"/>
      <c r="D58" s="292"/>
      <c r="E58" s="292"/>
      <c r="F58" s="292"/>
      <c r="G58" s="292"/>
      <c r="H58" s="291"/>
      <c r="I58" s="291"/>
      <c r="J58" s="291"/>
      <c r="K58" s="449"/>
      <c r="L58" s="291"/>
      <c r="R58" s="1"/>
    </row>
    <row r="59" spans="2:20">
      <c r="B59" s="295"/>
      <c r="C59" s="301" t="s">
        <v>242</v>
      </c>
      <c r="D59" s="301" t="s">
        <v>242</v>
      </c>
      <c r="E59" s="301" t="s">
        <v>242</v>
      </c>
      <c r="F59" s="301" t="s">
        <v>242</v>
      </c>
      <c r="G59" s="301" t="s">
        <v>242</v>
      </c>
      <c r="H59" s="291"/>
      <c r="I59" s="291"/>
      <c r="J59" s="291"/>
      <c r="K59" s="291"/>
      <c r="L59" s="291"/>
      <c r="R59" s="1"/>
    </row>
    <row r="60" spans="2:20">
      <c r="B60" s="295"/>
      <c r="C60" s="495">
        <v>2015</v>
      </c>
      <c r="D60" s="495">
        <f>C60+1</f>
        <v>2016</v>
      </c>
      <c r="E60" s="495">
        <f>D60+1</f>
        <v>2017</v>
      </c>
      <c r="F60" s="495">
        <f>E60+1</f>
        <v>2018</v>
      </c>
      <c r="G60" s="495">
        <f>F60+1</f>
        <v>2019</v>
      </c>
      <c r="H60" s="291"/>
      <c r="I60" s="291"/>
      <c r="J60" s="291"/>
      <c r="K60" s="291"/>
      <c r="L60" s="291"/>
      <c r="R60" s="1"/>
    </row>
    <row r="61" spans="2:20" s="287" customFormat="1" ht="18" customHeight="1">
      <c r="B61" s="303" t="s">
        <v>243</v>
      </c>
      <c r="C61" s="304"/>
      <c r="D61" s="305"/>
      <c r="E61" s="305"/>
      <c r="F61" s="305"/>
      <c r="G61" s="305"/>
      <c r="H61" s="306"/>
      <c r="I61" s="306"/>
      <c r="J61" s="306"/>
      <c r="K61" s="306"/>
      <c r="L61" s="306"/>
      <c r="N61" s="286"/>
      <c r="O61" s="286"/>
      <c r="P61" s="286"/>
      <c r="Q61" s="286"/>
      <c r="R61" s="286"/>
    </row>
    <row r="62" spans="2:20" ht="21.75" customHeight="1">
      <c r="B62" s="296" t="s">
        <v>244</v>
      </c>
      <c r="C62" s="307"/>
      <c r="D62" s="307"/>
      <c r="E62" s="307"/>
      <c r="F62" s="307"/>
      <c r="G62" s="307"/>
      <c r="H62" s="291"/>
      <c r="I62" s="291"/>
      <c r="J62" s="291"/>
      <c r="K62" s="291"/>
      <c r="L62" s="291"/>
      <c r="R62" s="1"/>
    </row>
    <row r="63" spans="2:20">
      <c r="B63" s="297">
        <v>1</v>
      </c>
      <c r="C63" s="302">
        <f>B63*C62+B63</f>
        <v>1</v>
      </c>
      <c r="D63" s="302">
        <f>C63*D62+C63</f>
        <v>1</v>
      </c>
      <c r="E63" s="302">
        <f>D63*E62+D63</f>
        <v>1</v>
      </c>
      <c r="F63" s="302">
        <f>E63*F62+E63</f>
        <v>1</v>
      </c>
      <c r="G63" s="302">
        <f>F63*G62+F63</f>
        <v>1</v>
      </c>
      <c r="H63" s="291"/>
      <c r="I63" s="291"/>
      <c r="J63" s="291"/>
      <c r="K63" s="291"/>
      <c r="L63" s="291"/>
      <c r="R63" s="1"/>
    </row>
    <row r="64" spans="2:20" hidden="1">
      <c r="B64" s="295"/>
      <c r="C64" s="298">
        <f>MAX(B63:G63)-1</f>
        <v>0</v>
      </c>
      <c r="D64" s="299"/>
      <c r="E64" s="299"/>
      <c r="F64" s="299"/>
      <c r="G64" s="299"/>
      <c r="H64" s="291"/>
      <c r="I64" s="291"/>
      <c r="J64" s="291"/>
      <c r="K64" s="291"/>
      <c r="L64" s="291"/>
      <c r="R64" s="1"/>
    </row>
    <row r="65" spans="2:18">
      <c r="B65" s="293"/>
      <c r="C65" s="291"/>
      <c r="D65" s="291"/>
      <c r="E65" s="300"/>
      <c r="F65" s="300"/>
      <c r="G65" s="291"/>
      <c r="H65" s="291"/>
      <c r="I65" s="291"/>
      <c r="J65" s="291"/>
      <c r="K65" s="291"/>
      <c r="L65" s="291"/>
      <c r="R65" s="1"/>
    </row>
    <row r="66" spans="2:18">
      <c r="B66" s="293"/>
      <c r="E66" s="205"/>
      <c r="F66" s="205"/>
      <c r="H66" s="291"/>
      <c r="I66" s="291"/>
      <c r="J66" s="291"/>
      <c r="K66" s="291"/>
      <c r="L66" s="291"/>
      <c r="R66" s="1"/>
    </row>
    <row r="67" spans="2:18">
      <c r="E67" s="205"/>
      <c r="F67" s="205"/>
      <c r="R67" s="1"/>
    </row>
    <row r="68" spans="2:18">
      <c r="E68" s="205"/>
      <c r="F68" s="205"/>
      <c r="R68" s="1"/>
    </row>
    <row r="69" spans="2:18">
      <c r="E69" s="205"/>
      <c r="F69" s="205"/>
      <c r="R69" s="1"/>
    </row>
    <row r="70" spans="2:18">
      <c r="E70" s="205"/>
      <c r="F70" s="205"/>
      <c r="R70" s="1"/>
    </row>
    <row r="71" spans="2:18">
      <c r="E71" s="205"/>
      <c r="F71" s="205"/>
      <c r="R71" s="1"/>
    </row>
    <row r="72" spans="2:18">
      <c r="E72" s="205"/>
      <c r="F72" s="205"/>
      <c r="R72" s="1"/>
    </row>
    <row r="73" spans="2:18">
      <c r="E73" s="205"/>
      <c r="F73" s="205"/>
      <c r="R73" s="1"/>
    </row>
    <row r="74" spans="2:18">
      <c r="E74" s="205"/>
      <c r="F74" s="205"/>
      <c r="R74" s="1"/>
    </row>
    <row r="75" spans="2:18">
      <c r="E75" s="205"/>
      <c r="F75" s="205"/>
      <c r="R75" s="1"/>
    </row>
    <row r="76" spans="2:18">
      <c r="E76" s="205"/>
      <c r="F76" s="205"/>
      <c r="R76" s="1"/>
    </row>
    <row r="77" spans="2:18">
      <c r="E77" s="205"/>
      <c r="F77" s="205"/>
      <c r="R77" s="1"/>
    </row>
    <row r="78" spans="2:18">
      <c r="E78" s="205"/>
      <c r="F78" s="205"/>
      <c r="R78" s="1"/>
    </row>
    <row r="79" spans="2:18">
      <c r="E79" s="205"/>
      <c r="F79" s="205"/>
      <c r="R79" s="1"/>
    </row>
    <row r="80" spans="2:18">
      <c r="E80" s="205"/>
      <c r="F80" s="205"/>
      <c r="R80" s="1"/>
    </row>
    <row r="81" spans="5:18">
      <c r="E81" s="205"/>
      <c r="F81" s="205"/>
      <c r="R81" s="1"/>
    </row>
    <row r="82" spans="5:18">
      <c r="E82" s="205"/>
      <c r="F82" s="205"/>
      <c r="R82" s="1"/>
    </row>
    <row r="83" spans="5:18">
      <c r="E83" s="205"/>
      <c r="F83" s="205"/>
      <c r="R83" s="1"/>
    </row>
    <row r="84" spans="5:18">
      <c r="E84" s="205"/>
      <c r="F84" s="205"/>
      <c r="R84" s="1"/>
    </row>
    <row r="85" spans="5:18">
      <c r="E85" s="205"/>
      <c r="F85" s="205"/>
      <c r="R85" s="1"/>
    </row>
    <row r="86" spans="5:18">
      <c r="E86" s="205"/>
      <c r="F86" s="205"/>
      <c r="R86" s="1"/>
    </row>
    <row r="87" spans="5:18">
      <c r="E87" s="205"/>
      <c r="F87" s="205"/>
      <c r="R87" s="1"/>
    </row>
    <row r="88" spans="5:18">
      <c r="E88" s="205"/>
      <c r="F88" s="205"/>
      <c r="R88" s="1"/>
    </row>
    <row r="89" spans="5:18">
      <c r="E89" s="205"/>
      <c r="F89" s="205"/>
      <c r="R89" s="1"/>
    </row>
    <row r="90" spans="5:18">
      <c r="E90" s="205"/>
      <c r="F90" s="205"/>
      <c r="R90" s="1"/>
    </row>
    <row r="91" spans="5:18">
      <c r="E91" s="205"/>
      <c r="F91" s="205"/>
      <c r="R91" s="1"/>
    </row>
    <row r="92" spans="5:18">
      <c r="E92" s="205"/>
      <c r="F92" s="205"/>
      <c r="R92" s="1"/>
    </row>
    <row r="93" spans="5:18">
      <c r="E93" s="205"/>
      <c r="F93" s="205"/>
      <c r="R93" s="1"/>
    </row>
    <row r="94" spans="5:18">
      <c r="E94" s="205"/>
      <c r="F94" s="205"/>
      <c r="R94" s="1"/>
    </row>
    <row r="95" spans="5:18">
      <c r="E95" s="205"/>
      <c r="F95" s="205"/>
      <c r="R95" s="1"/>
    </row>
    <row r="96" spans="5:18">
      <c r="E96" s="205"/>
      <c r="F96" s="205"/>
      <c r="R96" s="1"/>
    </row>
    <row r="97" spans="5:18">
      <c r="E97" s="205"/>
      <c r="F97" s="205"/>
      <c r="R97" s="1"/>
    </row>
    <row r="98" spans="5:18">
      <c r="E98" s="205"/>
      <c r="F98" s="205"/>
      <c r="R98" s="1"/>
    </row>
    <row r="99" spans="5:18">
      <c r="E99" s="205"/>
      <c r="F99" s="205"/>
      <c r="R99" s="1"/>
    </row>
    <row r="100" spans="5:18">
      <c r="E100" s="205"/>
      <c r="F100" s="205"/>
      <c r="R100" s="1"/>
    </row>
    <row r="101" spans="5:18">
      <c r="E101" s="205"/>
      <c r="F101" s="205"/>
      <c r="R101" s="1"/>
    </row>
    <row r="102" spans="5:18">
      <c r="E102" s="205"/>
      <c r="F102" s="205"/>
      <c r="R102" s="1"/>
    </row>
    <row r="103" spans="5:18">
      <c r="E103" s="205"/>
      <c r="F103" s="205"/>
      <c r="R103" s="1"/>
    </row>
    <row r="104" spans="5:18">
      <c r="E104" s="205"/>
      <c r="F104" s="205"/>
      <c r="R104" s="1"/>
    </row>
    <row r="105" spans="5:18">
      <c r="E105" s="205"/>
      <c r="F105" s="205"/>
      <c r="R105" s="1"/>
    </row>
    <row r="106" spans="5:18">
      <c r="E106" s="205"/>
      <c r="F106" s="205"/>
      <c r="R106" s="1"/>
    </row>
    <row r="107" spans="5:18">
      <c r="E107" s="205"/>
      <c r="F107" s="205"/>
      <c r="R107" s="1"/>
    </row>
    <row r="108" spans="5:18">
      <c r="E108" s="205"/>
      <c r="F108" s="205"/>
      <c r="R108" s="1"/>
    </row>
    <row r="109" spans="5:18">
      <c r="E109" s="205"/>
      <c r="F109" s="205"/>
      <c r="R109" s="1"/>
    </row>
    <row r="110" spans="5:18">
      <c r="E110" s="205"/>
      <c r="F110" s="205"/>
      <c r="R110" s="1"/>
    </row>
    <row r="111" spans="5:18">
      <c r="E111" s="205"/>
      <c r="F111" s="205"/>
      <c r="R111" s="1"/>
    </row>
    <row r="112" spans="5:18">
      <c r="E112" s="205"/>
      <c r="F112" s="205"/>
      <c r="R112" s="1"/>
    </row>
    <row r="113" spans="5:18">
      <c r="E113" s="205"/>
      <c r="F113" s="205"/>
      <c r="R113" s="1"/>
    </row>
    <row r="114" spans="5:18">
      <c r="E114" s="205"/>
      <c r="F114" s="205"/>
      <c r="R114" s="1"/>
    </row>
    <row r="115" spans="5:18">
      <c r="E115" s="205"/>
      <c r="F115" s="205"/>
      <c r="R115" s="1"/>
    </row>
    <row r="116" spans="5:18">
      <c r="E116" s="205"/>
      <c r="F116" s="205"/>
      <c r="R116" s="1"/>
    </row>
    <row r="117" spans="5:18">
      <c r="E117" s="205"/>
      <c r="F117" s="205"/>
      <c r="R117" s="1"/>
    </row>
    <row r="118" spans="5:18">
      <c r="E118" s="205"/>
      <c r="F118" s="205"/>
      <c r="R118" s="1"/>
    </row>
    <row r="119" spans="5:18">
      <c r="E119" s="205"/>
      <c r="F119" s="205"/>
      <c r="R119" s="1"/>
    </row>
    <row r="120" spans="5:18">
      <c r="E120" s="205"/>
      <c r="F120" s="205"/>
      <c r="R120" s="1"/>
    </row>
    <row r="121" spans="5:18">
      <c r="E121" s="205"/>
      <c r="F121" s="205"/>
      <c r="R121" s="1"/>
    </row>
    <row r="122" spans="5:18">
      <c r="E122" s="205"/>
      <c r="F122" s="205"/>
      <c r="R122" s="1"/>
    </row>
    <row r="123" spans="5:18">
      <c r="E123" s="205"/>
      <c r="F123" s="205"/>
      <c r="R123" s="1"/>
    </row>
    <row r="124" spans="5:18">
      <c r="E124" s="205"/>
      <c r="F124" s="205"/>
      <c r="R124" s="1"/>
    </row>
    <row r="125" spans="5:18">
      <c r="E125" s="205"/>
      <c r="F125" s="205"/>
      <c r="R125" s="1"/>
    </row>
    <row r="126" spans="5:18">
      <c r="E126" s="205"/>
      <c r="F126" s="205"/>
      <c r="R126" s="1"/>
    </row>
    <row r="127" spans="5:18">
      <c r="E127" s="205"/>
      <c r="F127" s="205"/>
      <c r="R127" s="1"/>
    </row>
    <row r="128" spans="5:18">
      <c r="E128" s="205"/>
      <c r="F128" s="205"/>
      <c r="R128" s="1"/>
    </row>
    <row r="129" spans="5:18">
      <c r="E129" s="205"/>
      <c r="F129" s="205"/>
      <c r="R129" s="1"/>
    </row>
    <row r="130" spans="5:18">
      <c r="E130" s="205"/>
      <c r="F130" s="205"/>
      <c r="R130" s="1"/>
    </row>
    <row r="131" spans="5:18">
      <c r="E131" s="205"/>
      <c r="F131" s="205"/>
      <c r="R131" s="1"/>
    </row>
    <row r="132" spans="5:18">
      <c r="E132" s="205"/>
      <c r="F132" s="205"/>
      <c r="R132" s="1"/>
    </row>
    <row r="133" spans="5:18">
      <c r="E133" s="205"/>
      <c r="F133" s="205"/>
      <c r="R133" s="1"/>
    </row>
    <row r="134" spans="5:18">
      <c r="E134" s="205"/>
      <c r="F134" s="205"/>
      <c r="R134" s="1"/>
    </row>
    <row r="135" spans="5:18">
      <c r="E135" s="205"/>
      <c r="F135" s="205"/>
      <c r="R135" s="1"/>
    </row>
    <row r="136" spans="5:18">
      <c r="E136" s="205"/>
      <c r="F136" s="205"/>
      <c r="R136" s="1"/>
    </row>
    <row r="137" spans="5:18">
      <c r="E137" s="205"/>
      <c r="F137" s="205"/>
      <c r="R137" s="1"/>
    </row>
    <row r="138" spans="5:18">
      <c r="E138" s="205"/>
      <c r="F138" s="205"/>
      <c r="R138" s="1"/>
    </row>
    <row r="139" spans="5:18">
      <c r="E139" s="205"/>
      <c r="F139" s="205"/>
      <c r="R139" s="1"/>
    </row>
    <row r="140" spans="5:18">
      <c r="E140" s="205"/>
      <c r="F140" s="205"/>
      <c r="R140" s="1"/>
    </row>
    <row r="141" spans="5:18">
      <c r="E141" s="205"/>
      <c r="F141" s="205"/>
      <c r="R141" s="1"/>
    </row>
    <row r="142" spans="5:18">
      <c r="E142" s="205"/>
      <c r="F142" s="205"/>
      <c r="R142" s="1"/>
    </row>
    <row r="143" spans="5:18">
      <c r="E143" s="205"/>
      <c r="F143" s="205"/>
      <c r="R143" s="1"/>
    </row>
    <row r="144" spans="5:18">
      <c r="E144" s="205"/>
      <c r="F144" s="205"/>
      <c r="R144" s="1"/>
    </row>
    <row r="145" spans="5:18">
      <c r="E145" s="205"/>
      <c r="F145" s="205"/>
      <c r="R145" s="1"/>
    </row>
    <row r="146" spans="5:18">
      <c r="E146" s="205"/>
      <c r="F146" s="205"/>
      <c r="R146" s="1"/>
    </row>
    <row r="147" spans="5:18">
      <c r="E147" s="205"/>
      <c r="F147" s="205"/>
      <c r="R147" s="1"/>
    </row>
    <row r="148" spans="5:18">
      <c r="E148" s="205"/>
      <c r="F148" s="205"/>
      <c r="R148" s="1"/>
    </row>
    <row r="149" spans="5:18">
      <c r="E149" s="205"/>
      <c r="F149" s="205"/>
      <c r="R149" s="1"/>
    </row>
    <row r="150" spans="5:18">
      <c r="E150" s="205"/>
      <c r="F150" s="205"/>
      <c r="R150" s="1"/>
    </row>
    <row r="151" spans="5:18">
      <c r="E151" s="205"/>
      <c r="F151" s="205"/>
      <c r="R151" s="1"/>
    </row>
    <row r="152" spans="5:18">
      <c r="E152" s="205"/>
      <c r="F152" s="205"/>
      <c r="R152" s="1"/>
    </row>
    <row r="153" spans="5:18">
      <c r="E153" s="205"/>
      <c r="F153" s="205"/>
      <c r="R153" s="1"/>
    </row>
    <row r="154" spans="5:18">
      <c r="E154" s="205"/>
      <c r="F154" s="205"/>
      <c r="R154" s="1"/>
    </row>
    <row r="155" spans="5:18">
      <c r="E155" s="205"/>
      <c r="F155" s="205"/>
      <c r="R155" s="1"/>
    </row>
    <row r="156" spans="5:18">
      <c r="E156" s="205"/>
      <c r="F156" s="205"/>
      <c r="R156" s="1"/>
    </row>
    <row r="157" spans="5:18">
      <c r="E157" s="205"/>
      <c r="F157" s="205"/>
      <c r="R157" s="1"/>
    </row>
    <row r="158" spans="5:18">
      <c r="E158" s="205"/>
      <c r="F158" s="205"/>
      <c r="R158" s="1"/>
    </row>
    <row r="159" spans="5:18">
      <c r="E159" s="205"/>
      <c r="F159" s="205"/>
      <c r="R159" s="1"/>
    </row>
    <row r="160" spans="5:18">
      <c r="E160" s="205"/>
      <c r="F160" s="205"/>
      <c r="R160" s="1"/>
    </row>
    <row r="161" spans="5:18">
      <c r="E161" s="205"/>
      <c r="F161" s="205"/>
      <c r="R161" s="1"/>
    </row>
    <row r="162" spans="5:18">
      <c r="E162" s="205"/>
      <c r="F162" s="205"/>
      <c r="R162" s="1"/>
    </row>
    <row r="163" spans="5:18">
      <c r="E163" s="205"/>
      <c r="F163" s="205"/>
      <c r="R163" s="1"/>
    </row>
    <row r="164" spans="5:18">
      <c r="E164" s="205"/>
      <c r="F164" s="205"/>
      <c r="R164" s="1"/>
    </row>
    <row r="165" spans="5:18">
      <c r="E165" s="205"/>
      <c r="F165" s="205"/>
      <c r="R165" s="1"/>
    </row>
    <row r="166" spans="5:18">
      <c r="E166" s="205"/>
      <c r="F166" s="205"/>
      <c r="R166" s="1"/>
    </row>
    <row r="167" spans="5:18">
      <c r="E167" s="205"/>
      <c r="F167" s="205"/>
      <c r="R167" s="1"/>
    </row>
    <row r="168" spans="5:18">
      <c r="E168" s="205"/>
      <c r="F168" s="205"/>
      <c r="R168" s="1"/>
    </row>
    <row r="169" spans="5:18">
      <c r="E169" s="205"/>
      <c r="F169" s="205"/>
      <c r="R169" s="1"/>
    </row>
    <row r="170" spans="5:18">
      <c r="E170" s="205"/>
      <c r="F170" s="205"/>
      <c r="R170" s="1"/>
    </row>
    <row r="171" spans="5:18">
      <c r="E171" s="205"/>
      <c r="F171" s="205"/>
      <c r="R171" s="1"/>
    </row>
    <row r="172" spans="5:18">
      <c r="E172" s="205"/>
      <c r="F172" s="205"/>
      <c r="R172" s="1"/>
    </row>
    <row r="173" spans="5:18">
      <c r="E173" s="205"/>
      <c r="F173" s="205"/>
      <c r="R173" s="1"/>
    </row>
    <row r="174" spans="5:18">
      <c r="E174" s="205"/>
      <c r="F174" s="205"/>
      <c r="R174" s="1"/>
    </row>
    <row r="175" spans="5:18">
      <c r="E175" s="205"/>
      <c r="F175" s="205"/>
      <c r="R175" s="1"/>
    </row>
    <row r="176" spans="5:18">
      <c r="E176" s="205"/>
      <c r="F176" s="205"/>
      <c r="R176" s="1"/>
    </row>
    <row r="177" spans="5:18">
      <c r="E177" s="205"/>
      <c r="F177" s="205"/>
      <c r="R177" s="1"/>
    </row>
    <row r="178" spans="5:18">
      <c r="E178" s="205"/>
      <c r="F178" s="205"/>
      <c r="R178" s="1"/>
    </row>
    <row r="179" spans="5:18">
      <c r="E179" s="205"/>
      <c r="F179" s="205"/>
    </row>
    <row r="180" spans="5:18">
      <c r="E180" s="205"/>
      <c r="F180" s="205"/>
    </row>
    <row r="181" spans="5:18">
      <c r="E181" s="205"/>
      <c r="F181" s="205"/>
    </row>
    <row r="182" spans="5:18">
      <c r="E182" s="205"/>
      <c r="F182" s="205"/>
    </row>
    <row r="183" spans="5:18">
      <c r="E183" s="205"/>
      <c r="F183" s="205"/>
    </row>
    <row r="184" spans="5:18">
      <c r="E184" s="205"/>
      <c r="F184" s="205"/>
    </row>
    <row r="185" spans="5:18">
      <c r="E185" s="205"/>
      <c r="F185" s="205"/>
    </row>
    <row r="186" spans="5:18">
      <c r="E186" s="205"/>
      <c r="F186" s="205"/>
    </row>
    <row r="187" spans="5:18">
      <c r="E187" s="205"/>
      <c r="F187" s="205"/>
    </row>
    <row r="188" spans="5:18">
      <c r="E188" s="205"/>
      <c r="F188" s="205"/>
    </row>
    <row r="189" spans="5:18">
      <c r="E189" s="205"/>
      <c r="F189" s="205"/>
    </row>
    <row r="190" spans="5:18">
      <c r="E190" s="205"/>
      <c r="F190" s="205"/>
    </row>
    <row r="191" spans="5:18">
      <c r="E191" s="205"/>
      <c r="F191" s="205"/>
    </row>
    <row r="192" spans="5:18">
      <c r="E192" s="205"/>
      <c r="F192" s="205"/>
    </row>
    <row r="193" spans="5:6">
      <c r="E193" s="205"/>
      <c r="F193" s="205"/>
    </row>
    <row r="194" spans="5:6">
      <c r="E194" s="205"/>
      <c r="F194" s="205"/>
    </row>
    <row r="195" spans="5:6">
      <c r="E195" s="205"/>
      <c r="F195" s="205"/>
    </row>
    <row r="196" spans="5:6">
      <c r="E196" s="205"/>
      <c r="F196" s="205"/>
    </row>
    <row r="197" spans="5:6">
      <c r="E197" s="205"/>
      <c r="F197" s="205"/>
    </row>
    <row r="198" spans="5:6">
      <c r="E198" s="205"/>
      <c r="F198" s="205"/>
    </row>
    <row r="199" spans="5:6">
      <c r="E199" s="205"/>
      <c r="F199" s="205"/>
    </row>
    <row r="200" spans="5:6">
      <c r="E200" s="205"/>
      <c r="F200" s="205"/>
    </row>
    <row r="201" spans="5:6">
      <c r="E201" s="205"/>
      <c r="F201" s="205"/>
    </row>
    <row r="202" spans="5:6">
      <c r="E202" s="205"/>
      <c r="F202" s="205"/>
    </row>
    <row r="203" spans="5:6">
      <c r="E203" s="205"/>
      <c r="F203" s="205"/>
    </row>
    <row r="204" spans="5:6">
      <c r="E204" s="205"/>
      <c r="F204" s="205"/>
    </row>
    <row r="205" spans="5:6">
      <c r="E205" s="205"/>
      <c r="F205" s="205"/>
    </row>
    <row r="206" spans="5:6">
      <c r="E206" s="205"/>
      <c r="F206" s="205"/>
    </row>
    <row r="207" spans="5:6">
      <c r="E207" s="205"/>
      <c r="F207" s="205"/>
    </row>
    <row r="208" spans="5:6">
      <c r="E208" s="205"/>
      <c r="F208" s="205"/>
    </row>
    <row r="209" spans="5:6">
      <c r="E209" s="205"/>
      <c r="F209" s="205"/>
    </row>
    <row r="210" spans="5:6">
      <c r="E210" s="205"/>
      <c r="F210" s="205"/>
    </row>
    <row r="211" spans="5:6">
      <c r="E211" s="205"/>
      <c r="F211" s="205"/>
    </row>
    <row r="212" spans="5:6">
      <c r="E212" s="205"/>
      <c r="F212" s="205"/>
    </row>
    <row r="213" spans="5:6">
      <c r="E213" s="205"/>
      <c r="F213" s="205"/>
    </row>
    <row r="214" spans="5:6">
      <c r="E214" s="205"/>
      <c r="F214" s="205"/>
    </row>
    <row r="215" spans="5:6">
      <c r="E215" s="205"/>
      <c r="F215" s="205"/>
    </row>
    <row r="216" spans="5:6">
      <c r="E216" s="205"/>
      <c r="F216" s="205"/>
    </row>
    <row r="217" spans="5:6">
      <c r="E217" s="205"/>
      <c r="F217" s="205"/>
    </row>
    <row r="218" spans="5:6">
      <c r="E218" s="205"/>
      <c r="F218" s="205"/>
    </row>
    <row r="219" spans="5:6">
      <c r="E219" s="205"/>
      <c r="F219" s="205"/>
    </row>
    <row r="220" spans="5:6">
      <c r="E220" s="205"/>
      <c r="F220" s="205"/>
    </row>
    <row r="221" spans="5:6">
      <c r="E221" s="205"/>
      <c r="F221" s="205"/>
    </row>
    <row r="222" spans="5:6">
      <c r="E222" s="205"/>
      <c r="F222" s="205"/>
    </row>
    <row r="223" spans="5:6">
      <c r="E223" s="205"/>
      <c r="F223" s="205"/>
    </row>
    <row r="224" spans="5:6">
      <c r="E224" s="205"/>
      <c r="F224" s="205"/>
    </row>
    <row r="225" spans="5:6">
      <c r="E225" s="205"/>
      <c r="F225" s="205"/>
    </row>
    <row r="226" spans="5:6">
      <c r="E226" s="205"/>
      <c r="F226" s="205"/>
    </row>
    <row r="227" spans="5:6">
      <c r="E227" s="205"/>
      <c r="F227" s="205"/>
    </row>
    <row r="228" spans="5:6">
      <c r="E228" s="205"/>
      <c r="F228" s="205"/>
    </row>
    <row r="229" spans="5:6">
      <c r="E229" s="205"/>
      <c r="F229" s="205"/>
    </row>
    <row r="230" spans="5:6">
      <c r="E230" s="205"/>
      <c r="F230" s="205"/>
    </row>
    <row r="231" spans="5:6">
      <c r="E231" s="205"/>
      <c r="F231" s="205"/>
    </row>
    <row r="232" spans="5:6">
      <c r="E232" s="205"/>
      <c r="F232" s="205"/>
    </row>
    <row r="233" spans="5:6">
      <c r="E233" s="205"/>
      <c r="F233" s="205"/>
    </row>
    <row r="234" spans="5:6">
      <c r="E234" s="205"/>
      <c r="F234" s="205"/>
    </row>
    <row r="235" spans="5:6">
      <c r="E235" s="205"/>
      <c r="F235" s="205"/>
    </row>
  </sheetData>
  <autoFilter ref="B10:M10">
    <sortState ref="B11:M23">
      <sortCondition ref="G10:G25"/>
    </sortState>
  </autoFilter>
  <sortState ref="A32:M44">
    <sortCondition ref="A32"/>
  </sortState>
  <phoneticPr fontId="10" type="noConversion"/>
  <printOptions horizontalCentered="1"/>
  <pageMargins left="0.2" right="0.2" top="0.4" bottom="0.4" header="0.39000000000000007" footer="0.2"/>
  <pageSetup paperSize="9" scale="49"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pageSetUpPr autoPageBreaks="0" fitToPage="1"/>
  </sheetPr>
  <dimension ref="C1:AB47"/>
  <sheetViews>
    <sheetView showGridLines="0" showZeros="0" showOutlineSymbols="0" topLeftCell="B1" zoomScaleSheetLayoutView="75" workbookViewId="0"/>
  </sheetViews>
  <sheetFormatPr baseColWidth="10" defaultColWidth="0" defaultRowHeight="13" x14ac:dyDescent="0"/>
  <cols>
    <col min="1" max="1" width="0" style="88" hidden="1" customWidth="1"/>
    <col min="2" max="2" width="2.28515625" style="88" customWidth="1"/>
    <col min="3" max="4" width="16.85546875" style="78" customWidth="1"/>
    <col min="5" max="5" width="12.42578125" style="83" customWidth="1"/>
    <col min="6" max="7" width="35.7109375" style="84" customWidth="1"/>
    <col min="8" max="8" width="12.42578125" style="86" customWidth="1"/>
    <col min="9" max="9" width="17.85546875" style="86" customWidth="1"/>
    <col min="10" max="10" width="9.85546875" style="86" hidden="1" customWidth="1"/>
    <col min="11" max="11" width="10.28515625" style="87" customWidth="1"/>
    <col min="12" max="12" width="10.140625" style="81" customWidth="1"/>
    <col min="13" max="13" width="17.5703125" style="81" customWidth="1"/>
    <col min="14" max="14" width="35.7109375" style="82" customWidth="1"/>
    <col min="15" max="15" width="12.85546875" style="82" customWidth="1"/>
    <col min="16" max="16" width="16.140625" style="82" customWidth="1"/>
    <col min="17" max="17" width="15.5703125" style="82" customWidth="1"/>
    <col min="18" max="18" width="18.5703125" style="82" hidden="1" customWidth="1"/>
    <col min="19" max="19" width="12.28515625" style="82" hidden="1" customWidth="1"/>
    <col min="20" max="20" width="18.7109375" style="85" hidden="1" customWidth="1"/>
    <col min="21" max="21" width="6" style="78" hidden="1" customWidth="1"/>
    <col min="22" max="25" width="0" style="88" hidden="1" customWidth="1"/>
    <col min="26" max="26" width="15.5703125" style="89" hidden="1" customWidth="1"/>
    <col min="27" max="28" width="15.5703125" style="88" hidden="1" customWidth="1"/>
    <col min="29" max="16384" width="0" style="88" hidden="1"/>
  </cols>
  <sheetData>
    <row r="1" spans="3:26" s="71" customFormat="1">
      <c r="C1" s="63"/>
      <c r="D1" s="63"/>
      <c r="E1" s="63"/>
      <c r="F1" s="64"/>
      <c r="G1" s="64"/>
      <c r="H1" s="65"/>
      <c r="I1" s="65"/>
      <c r="J1" s="65"/>
      <c r="K1" s="66"/>
      <c r="L1" s="67"/>
      <c r="M1" s="67"/>
      <c r="N1" s="68"/>
      <c r="O1" s="68"/>
      <c r="P1" s="68"/>
      <c r="Q1" s="68"/>
      <c r="R1" s="68"/>
      <c r="S1" s="68"/>
      <c r="T1" s="69"/>
      <c r="U1" s="70"/>
      <c r="Z1" s="60"/>
    </row>
    <row r="2" spans="3:26" s="71" customFormat="1">
      <c r="C2" s="63"/>
      <c r="D2" s="63"/>
      <c r="E2" s="63"/>
      <c r="F2" s="64"/>
      <c r="G2" s="64"/>
      <c r="H2" s="65"/>
      <c r="I2" s="65"/>
      <c r="J2" s="65"/>
      <c r="K2" s="66"/>
      <c r="L2" s="67"/>
      <c r="M2" s="67"/>
      <c r="N2" s="68"/>
      <c r="O2" s="68"/>
      <c r="P2" s="68"/>
      <c r="Q2" s="68"/>
      <c r="R2" s="68"/>
      <c r="S2" s="68"/>
      <c r="T2" s="69"/>
      <c r="U2" s="70"/>
      <c r="Z2" s="60"/>
    </row>
    <row r="3" spans="3:26" s="33" customFormat="1" ht="16">
      <c r="C3" s="72" t="str">
        <f>'1.1-Jaarprijzen'!B2</f>
        <v>Naam opdrachtgever</v>
      </c>
      <c r="D3" s="72"/>
      <c r="F3" s="30" t="str">
        <f>'1.1-Jaarprijzen'!C2</f>
        <v>Friesland College</v>
      </c>
      <c r="H3" s="73"/>
      <c r="I3" s="73"/>
      <c r="J3" s="73"/>
      <c r="K3" s="74"/>
      <c r="L3" s="74"/>
      <c r="M3" s="74"/>
      <c r="N3" s="75"/>
      <c r="O3" s="75"/>
      <c r="P3" s="75"/>
      <c r="Q3" s="75"/>
      <c r="R3" s="75"/>
      <c r="S3" s="75"/>
    </row>
    <row r="4" spans="3:26" s="33" customFormat="1" ht="16">
      <c r="C4" s="72" t="str">
        <f>'1.1-Jaarprijzen'!B3</f>
        <v>Omschrijving blad</v>
      </c>
      <c r="D4" s="72"/>
      <c r="F4" s="72" t="s">
        <v>160</v>
      </c>
      <c r="G4" s="31"/>
      <c r="H4" s="73"/>
      <c r="I4" s="73"/>
      <c r="J4" s="73"/>
      <c r="K4" s="74"/>
      <c r="L4" s="74"/>
      <c r="M4" s="74"/>
      <c r="N4" s="75"/>
      <c r="O4" s="75"/>
      <c r="P4" s="75"/>
      <c r="Q4" s="75"/>
      <c r="R4" s="75"/>
      <c r="S4" s="75"/>
    </row>
    <row r="5" spans="3:26" s="33" customFormat="1" ht="16">
      <c r="C5" s="72" t="str">
        <f>'1.1-Jaarprijzen'!B4</f>
        <v>Adres/plaats</v>
      </c>
      <c r="D5" s="72"/>
      <c r="F5" s="30" t="str">
        <f>'1.1-Jaarprijzen'!C4</f>
        <v>Diverse locaties Leeuwarden e.o.</v>
      </c>
      <c r="G5" s="77"/>
      <c r="H5" s="77"/>
      <c r="I5" s="77"/>
      <c r="J5" s="77"/>
      <c r="K5" s="74"/>
      <c r="L5" s="74"/>
      <c r="M5" s="74"/>
      <c r="N5" s="75"/>
      <c r="O5" s="75"/>
      <c r="P5" s="75"/>
      <c r="Q5" s="75"/>
      <c r="R5" s="75"/>
      <c r="S5" s="75"/>
    </row>
    <row r="6" spans="3:26" s="33" customFormat="1" ht="16">
      <c r="C6" s="72" t="str">
        <f>'1.1-Jaarprijzen'!B5</f>
        <v>Besteknummer</v>
      </c>
      <c r="D6" s="72"/>
      <c r="F6" s="30" t="str">
        <f>'1.1-Jaarprijzen'!C5</f>
        <v>0601-36-2013 Perceel 2</v>
      </c>
      <c r="G6" s="31"/>
      <c r="H6" s="73"/>
      <c r="I6" s="73"/>
      <c r="J6" s="73"/>
      <c r="K6" s="74"/>
      <c r="L6" s="74"/>
      <c r="M6" s="74"/>
      <c r="N6" s="75"/>
      <c r="O6" s="75"/>
      <c r="P6" s="75"/>
      <c r="Q6" s="75"/>
      <c r="R6" s="75"/>
      <c r="S6" s="75"/>
    </row>
    <row r="7" spans="3:26" s="33" customFormat="1" ht="16">
      <c r="C7" s="72" t="str">
        <f>'1.1-Jaarprijzen'!B6</f>
        <v>Naam leverancier</v>
      </c>
      <c r="D7" s="72"/>
      <c r="F7" s="30" t="str">
        <f>'1.1-Jaarprijzen'!C6</f>
        <v>(Invoer naam Inschrijver)</v>
      </c>
      <c r="G7" s="31"/>
      <c r="H7" s="73"/>
      <c r="I7" s="73"/>
      <c r="J7" s="73"/>
      <c r="K7" s="74"/>
      <c r="L7" s="74"/>
      <c r="M7" s="74"/>
      <c r="N7" s="75"/>
      <c r="O7" s="75"/>
      <c r="P7" s="75"/>
      <c r="Q7" s="75"/>
      <c r="R7" s="75"/>
      <c r="S7" s="75"/>
    </row>
    <row r="8" spans="3:26" s="71" customFormat="1">
      <c r="C8" s="78"/>
      <c r="D8" s="78"/>
      <c r="E8" s="79"/>
      <c r="F8" s="80"/>
      <c r="G8" s="80"/>
      <c r="H8" s="65"/>
      <c r="I8" s="65"/>
      <c r="J8" s="65"/>
      <c r="K8" s="66"/>
      <c r="L8" s="67"/>
      <c r="M8" s="67"/>
      <c r="N8" s="68"/>
      <c r="O8" s="68"/>
      <c r="P8" s="68"/>
      <c r="Q8" s="68"/>
      <c r="R8" s="68"/>
      <c r="S8" s="68"/>
      <c r="T8" s="69"/>
      <c r="U8" s="70"/>
      <c r="Z8" s="60"/>
    </row>
    <row r="9" spans="3:26" s="61" customFormat="1" ht="39">
      <c r="C9" s="335" t="s">
        <v>315</v>
      </c>
      <c r="D9" s="335" t="s">
        <v>316</v>
      </c>
      <c r="E9" s="281" t="s">
        <v>39</v>
      </c>
      <c r="F9" s="336" t="s">
        <v>240</v>
      </c>
      <c r="G9" s="337" t="s">
        <v>129</v>
      </c>
      <c r="H9" s="338" t="s">
        <v>306</v>
      </c>
      <c r="I9" s="338" t="s">
        <v>305</v>
      </c>
      <c r="J9" s="338"/>
      <c r="K9" s="339" t="s">
        <v>17</v>
      </c>
      <c r="L9" s="340" t="s">
        <v>143</v>
      </c>
      <c r="M9" s="340" t="s">
        <v>81</v>
      </c>
      <c r="N9" s="341" t="s">
        <v>179</v>
      </c>
      <c r="O9" s="342" t="s">
        <v>84</v>
      </c>
      <c r="P9" s="342" t="s">
        <v>18</v>
      </c>
      <c r="Q9" s="452"/>
      <c r="R9" s="452"/>
    </row>
    <row r="10" spans="3:26" s="71" customFormat="1">
      <c r="C10" s="344">
        <v>0</v>
      </c>
      <c r="D10" s="344"/>
      <c r="E10" s="345">
        <v>0</v>
      </c>
      <c r="F10" s="346">
        <v>0</v>
      </c>
      <c r="G10" s="346">
        <v>0</v>
      </c>
      <c r="H10" s="357">
        <v>0</v>
      </c>
      <c r="I10" s="357">
        <v>0</v>
      </c>
      <c r="J10" s="357">
        <v>0</v>
      </c>
      <c r="K10" s="356">
        <v>0</v>
      </c>
      <c r="L10" s="357">
        <v>0</v>
      </c>
      <c r="M10" s="357"/>
      <c r="N10" s="358">
        <v>0</v>
      </c>
      <c r="O10" s="359"/>
      <c r="P10" s="334"/>
      <c r="U10" s="60"/>
    </row>
    <row r="11" spans="3:26" s="71" customFormat="1">
      <c r="C11" s="646">
        <v>101100</v>
      </c>
      <c r="D11" s="347">
        <v>101</v>
      </c>
      <c r="E11" s="347">
        <v>100</v>
      </c>
      <c r="F11" s="348" t="s">
        <v>962</v>
      </c>
      <c r="G11" s="465" t="s">
        <v>956</v>
      </c>
      <c r="H11" s="498"/>
      <c r="I11" s="343"/>
      <c r="J11" s="360"/>
      <c r="K11" s="363">
        <f t="shared" ref="K11:K23" si="0">IF(H11=0,0,E11/(H11+I11))</f>
        <v>0</v>
      </c>
      <c r="L11" s="361">
        <f>SUMIF('1.3-Basis ruimtestaat'!S:S,C11,'1.3-Basis ruimtestaat'!R:R)</f>
        <v>1737.7</v>
      </c>
      <c r="M11" s="361"/>
      <c r="N11" s="362">
        <f t="shared" ref="N11:N25" si="1">IF(L11=0,"",L11/$L$31)</f>
        <v>8.2481361357788358E-2</v>
      </c>
      <c r="O11" s="364"/>
      <c r="P11" s="157" t="s">
        <v>958</v>
      </c>
      <c r="U11" s="60"/>
    </row>
    <row r="12" spans="3:26" s="71" customFormat="1">
      <c r="C12" s="646">
        <v>101120</v>
      </c>
      <c r="D12" s="347">
        <v>101</v>
      </c>
      <c r="E12" s="347">
        <v>120</v>
      </c>
      <c r="F12" s="348" t="s">
        <v>962</v>
      </c>
      <c r="G12" s="465" t="s">
        <v>957</v>
      </c>
      <c r="H12" s="498"/>
      <c r="I12" s="498"/>
      <c r="J12" s="360"/>
      <c r="K12" s="363">
        <f t="shared" si="0"/>
        <v>0</v>
      </c>
      <c r="L12" s="361">
        <f>SUMIF('1.3-Basis ruimtestaat'!S:S,C12,'1.3-Basis ruimtestaat'!R:R)</f>
        <v>313</v>
      </c>
      <c r="M12" s="361"/>
      <c r="N12" s="362">
        <f t="shared" si="1"/>
        <v>1.4856802730613889E-2</v>
      </c>
      <c r="O12" s="364"/>
      <c r="P12" s="157" t="s">
        <v>958</v>
      </c>
      <c r="U12" s="60"/>
    </row>
    <row r="13" spans="3:26" s="71" customFormat="1">
      <c r="C13" s="646">
        <v>102200</v>
      </c>
      <c r="D13" s="347">
        <v>102</v>
      </c>
      <c r="E13" s="347">
        <v>200</v>
      </c>
      <c r="F13" s="348" t="s">
        <v>1244</v>
      </c>
      <c r="G13" s="465" t="s">
        <v>324</v>
      </c>
      <c r="H13" s="498"/>
      <c r="I13" s="498"/>
      <c r="J13" s="360"/>
      <c r="K13" s="363">
        <f t="shared" si="0"/>
        <v>0</v>
      </c>
      <c r="L13" s="361">
        <f>SUMIF('1.3-Basis ruimtestaat'!S:S,C13,'1.3-Basis ruimtestaat'!R:R)</f>
        <v>6813.4</v>
      </c>
      <c r="M13" s="361"/>
      <c r="N13" s="362">
        <f t="shared" si="1"/>
        <v>0.32340364129317783</v>
      </c>
      <c r="O13" s="364"/>
      <c r="P13" s="157" t="s">
        <v>303</v>
      </c>
      <c r="U13" s="60"/>
    </row>
    <row r="14" spans="3:26" s="71" customFormat="1">
      <c r="C14" s="646">
        <v>112200</v>
      </c>
      <c r="D14" s="347">
        <v>102</v>
      </c>
      <c r="E14" s="347">
        <v>200</v>
      </c>
      <c r="F14" s="348" t="s">
        <v>1245</v>
      </c>
      <c r="G14" s="465" t="s">
        <v>324</v>
      </c>
      <c r="H14" s="498"/>
      <c r="I14" s="498"/>
      <c r="J14" s="360"/>
      <c r="K14" s="363">
        <f t="shared" ref="K14" si="2">IF(H14=0,0,E14/(H14+I14))</f>
        <v>0</v>
      </c>
      <c r="L14" s="361">
        <f>SUMIF('1.3-Basis ruimtestaat'!S:S,C14,'1.3-Basis ruimtestaat'!R:R)</f>
        <v>996</v>
      </c>
      <c r="M14" s="361"/>
      <c r="N14" s="362">
        <f t="shared" ref="N14" si="3">IF(L14=0,"",L14/$L$31)</f>
        <v>4.7275960126809694E-2</v>
      </c>
      <c r="O14" s="364"/>
      <c r="P14" s="157" t="s">
        <v>303</v>
      </c>
      <c r="U14" s="60"/>
    </row>
    <row r="15" spans="3:26" s="71" customFormat="1">
      <c r="C15" s="646">
        <v>103200</v>
      </c>
      <c r="D15" s="347">
        <v>103</v>
      </c>
      <c r="E15" s="347">
        <v>200</v>
      </c>
      <c r="F15" s="348" t="s">
        <v>963</v>
      </c>
      <c r="G15" s="465" t="s">
        <v>324</v>
      </c>
      <c r="H15" s="498"/>
      <c r="I15" s="498"/>
      <c r="J15" s="360"/>
      <c r="K15" s="363">
        <f>IF(H15=0,0,E15/(H15+I15))</f>
        <v>0</v>
      </c>
      <c r="L15" s="361">
        <f>SUMIF('1.3-Basis ruimtestaat'!S:S,C15,'1.3-Basis ruimtestaat'!R:R)</f>
        <v>577.9</v>
      </c>
      <c r="M15" s="361"/>
      <c r="N15" s="362">
        <f t="shared" si="1"/>
        <v>2.7430499354702129E-2</v>
      </c>
      <c r="O15" s="364"/>
      <c r="P15" s="157" t="s">
        <v>302</v>
      </c>
      <c r="U15" s="60"/>
    </row>
    <row r="16" spans="3:26" s="71" customFormat="1">
      <c r="C16" s="646">
        <v>103400</v>
      </c>
      <c r="D16" s="347">
        <v>103</v>
      </c>
      <c r="E16" s="347">
        <v>200</v>
      </c>
      <c r="F16" s="348" t="s">
        <v>963</v>
      </c>
      <c r="G16" s="465" t="s">
        <v>1261</v>
      </c>
      <c r="H16" s="498"/>
      <c r="I16" s="354"/>
      <c r="J16" s="360"/>
      <c r="K16" s="363">
        <f t="shared" si="0"/>
        <v>0</v>
      </c>
      <c r="L16" s="361">
        <f>SUMIF('1.3-Basis ruimtestaat'!S:S,C16,'1.3-Basis ruimtestaat'!R:R)</f>
        <v>0</v>
      </c>
      <c r="M16" s="361"/>
      <c r="N16" s="362" t="str">
        <f t="shared" si="1"/>
        <v/>
      </c>
      <c r="O16" s="364"/>
      <c r="P16" s="157" t="s">
        <v>302</v>
      </c>
      <c r="U16" s="60"/>
    </row>
    <row r="17" spans="3:26" s="71" customFormat="1">
      <c r="C17" s="646">
        <v>104200</v>
      </c>
      <c r="D17" s="347">
        <v>104</v>
      </c>
      <c r="E17" s="347">
        <v>200</v>
      </c>
      <c r="F17" s="348" t="s">
        <v>1128</v>
      </c>
      <c r="G17" s="465" t="s">
        <v>324</v>
      </c>
      <c r="H17" s="498"/>
      <c r="I17" s="498"/>
      <c r="J17" s="360"/>
      <c r="K17" s="363">
        <f t="shared" si="0"/>
        <v>0</v>
      </c>
      <c r="L17" s="361">
        <f>SUMIF('1.3-Basis ruimtestaat'!S:S,C17,'1.3-Basis ruimtestaat'!R:R)</f>
        <v>4165.75</v>
      </c>
      <c r="M17" s="361"/>
      <c r="N17" s="362">
        <f t="shared" si="1"/>
        <v>0.19773075391391312</v>
      </c>
      <c r="O17" s="364"/>
      <c r="P17" s="157" t="s">
        <v>77</v>
      </c>
      <c r="U17" s="60"/>
    </row>
    <row r="18" spans="3:26" s="71" customFormat="1">
      <c r="C18" s="646">
        <v>105200</v>
      </c>
      <c r="D18" s="347">
        <v>105</v>
      </c>
      <c r="E18" s="347">
        <v>200</v>
      </c>
      <c r="F18" s="348" t="s">
        <v>965</v>
      </c>
      <c r="G18" s="465" t="s">
        <v>324</v>
      </c>
      <c r="H18" s="498"/>
      <c r="I18" s="498"/>
      <c r="J18" s="360"/>
      <c r="K18" s="363">
        <f t="shared" si="0"/>
        <v>0</v>
      </c>
      <c r="L18" s="361">
        <f>SUMIF('1.3-Basis ruimtestaat'!S:S,C18,'1.3-Basis ruimtestaat'!R:R)</f>
        <v>206</v>
      </c>
      <c r="M18" s="361"/>
      <c r="N18" s="362">
        <f t="shared" si="1"/>
        <v>9.777959624621281E-3</v>
      </c>
      <c r="O18" s="364"/>
      <c r="P18" s="157" t="s">
        <v>77</v>
      </c>
      <c r="U18" s="60"/>
    </row>
    <row r="19" spans="3:26" s="71" customFormat="1">
      <c r="C19" s="646">
        <v>106200</v>
      </c>
      <c r="D19" s="347">
        <v>106</v>
      </c>
      <c r="E19" s="347">
        <v>200</v>
      </c>
      <c r="F19" s="348" t="s">
        <v>964</v>
      </c>
      <c r="G19" s="465" t="s">
        <v>324</v>
      </c>
      <c r="H19" s="498"/>
      <c r="I19" s="498"/>
      <c r="J19" s="360"/>
      <c r="K19" s="363">
        <f t="shared" si="0"/>
        <v>0</v>
      </c>
      <c r="L19" s="361">
        <f>SUMIF('1.3-Basis ruimtestaat'!S:S,C19,'1.3-Basis ruimtestaat'!R:R)</f>
        <v>1354</v>
      </c>
      <c r="M19" s="361"/>
      <c r="N19" s="362">
        <f t="shared" si="1"/>
        <v>6.4268724911345707E-2</v>
      </c>
      <c r="O19" s="364"/>
      <c r="P19" s="157" t="s">
        <v>77</v>
      </c>
      <c r="U19" s="60"/>
    </row>
    <row r="20" spans="3:26" s="71" customFormat="1">
      <c r="C20" s="646">
        <v>107200</v>
      </c>
      <c r="D20" s="347">
        <v>107</v>
      </c>
      <c r="E20" s="347">
        <v>200</v>
      </c>
      <c r="F20" s="348" t="s">
        <v>1040</v>
      </c>
      <c r="G20" s="465" t="s">
        <v>324</v>
      </c>
      <c r="H20" s="498"/>
      <c r="I20" s="498"/>
      <c r="J20" s="360"/>
      <c r="K20" s="363">
        <f t="shared" si="0"/>
        <v>0</v>
      </c>
      <c r="L20" s="361">
        <f>SUMIF('1.3-Basis ruimtestaat'!S:S,C20,'1.3-Basis ruimtestaat'!R:R)</f>
        <v>829</v>
      </c>
      <c r="M20" s="361"/>
      <c r="N20" s="362">
        <f t="shared" si="1"/>
        <v>3.9349167615587585E-2</v>
      </c>
      <c r="O20" s="364"/>
      <c r="P20" s="157" t="s">
        <v>1122</v>
      </c>
      <c r="U20" s="60"/>
    </row>
    <row r="21" spans="3:26" s="71" customFormat="1">
      <c r="C21" s="646">
        <v>108200</v>
      </c>
      <c r="D21" s="347">
        <v>104</v>
      </c>
      <c r="E21" s="347">
        <v>200</v>
      </c>
      <c r="F21" s="348" t="s">
        <v>1127</v>
      </c>
      <c r="G21" s="465" t="s">
        <v>324</v>
      </c>
      <c r="H21" s="498"/>
      <c r="I21" s="498"/>
      <c r="J21" s="360"/>
      <c r="K21" s="363">
        <f t="shared" si="0"/>
        <v>0</v>
      </c>
      <c r="L21" s="361">
        <f>SUMIF('1.3-Basis ruimtestaat'!S:S,C21,'1.3-Basis ruimtestaat'!R:R)</f>
        <v>668.74000000000012</v>
      </c>
      <c r="M21" s="361"/>
      <c r="N21" s="362">
        <f t="shared" si="1"/>
        <v>3.1742294754219601E-2</v>
      </c>
      <c r="O21" s="364"/>
      <c r="P21" s="157" t="s">
        <v>77</v>
      </c>
      <c r="U21" s="60"/>
    </row>
    <row r="22" spans="3:26" s="71" customFormat="1">
      <c r="C22" s="646">
        <v>109200</v>
      </c>
      <c r="D22" s="347">
        <v>104</v>
      </c>
      <c r="E22" s="347">
        <v>200</v>
      </c>
      <c r="F22" s="348" t="s">
        <v>765</v>
      </c>
      <c r="G22" s="465" t="s">
        <v>324</v>
      </c>
      <c r="H22" s="498"/>
      <c r="I22" s="498"/>
      <c r="J22" s="360"/>
      <c r="K22" s="363">
        <f t="shared" si="0"/>
        <v>0</v>
      </c>
      <c r="L22" s="361">
        <f>SUMIF('1.3-Basis ruimtestaat'!S:S,C22,'1.3-Basis ruimtestaat'!R:R)</f>
        <v>180</v>
      </c>
      <c r="M22" s="361"/>
      <c r="N22" s="362">
        <f t="shared" si="1"/>
        <v>8.543848215688498E-3</v>
      </c>
      <c r="O22" s="364"/>
      <c r="P22" s="157" t="s">
        <v>77</v>
      </c>
      <c r="U22" s="60"/>
    </row>
    <row r="23" spans="3:26" s="71" customFormat="1">
      <c r="C23" s="646">
        <v>110200</v>
      </c>
      <c r="D23" s="347">
        <v>104</v>
      </c>
      <c r="E23" s="347">
        <v>200</v>
      </c>
      <c r="F23" s="348" t="s">
        <v>860</v>
      </c>
      <c r="G23" s="465" t="s">
        <v>324</v>
      </c>
      <c r="H23" s="498"/>
      <c r="I23" s="498"/>
      <c r="J23" s="360"/>
      <c r="K23" s="363">
        <f t="shared" si="0"/>
        <v>0</v>
      </c>
      <c r="L23" s="361">
        <f>SUMIF('1.3-Basis ruimtestaat'!S:S,C23,'1.3-Basis ruimtestaat'!R:R)</f>
        <v>124</v>
      </c>
      <c r="M23" s="361"/>
      <c r="N23" s="362">
        <f t="shared" si="1"/>
        <v>5.8857621041409659E-3</v>
      </c>
      <c r="O23" s="364"/>
      <c r="P23" s="157" t="s">
        <v>77</v>
      </c>
      <c r="U23" s="60"/>
    </row>
    <row r="24" spans="3:26" s="71" customFormat="1">
      <c r="C24" s="646">
        <v>111200</v>
      </c>
      <c r="D24" s="347">
        <v>104</v>
      </c>
      <c r="E24" s="347">
        <v>200</v>
      </c>
      <c r="F24" s="348" t="s">
        <v>885</v>
      </c>
      <c r="G24" s="465" t="s">
        <v>324</v>
      </c>
      <c r="H24" s="498"/>
      <c r="I24" s="498"/>
      <c r="J24" s="360"/>
      <c r="K24" s="363">
        <f>IF(H24=0,0,E24/(H24+I24))</f>
        <v>0</v>
      </c>
      <c r="L24" s="361">
        <f>SUMIF('1.3-Basis ruimtestaat'!S:S,C24,'1.3-Basis ruimtestaat'!R:R)</f>
        <v>42</v>
      </c>
      <c r="M24" s="361"/>
      <c r="N24" s="362">
        <f t="shared" si="1"/>
        <v>1.9935645836606495E-3</v>
      </c>
      <c r="O24" s="364"/>
      <c r="P24" s="157" t="s">
        <v>77</v>
      </c>
      <c r="U24" s="60"/>
    </row>
    <row r="25" spans="3:26" s="71" customFormat="1">
      <c r="C25" s="646" t="s">
        <v>1236</v>
      </c>
      <c r="D25" s="347">
        <v>110</v>
      </c>
      <c r="E25" s="347">
        <v>2</v>
      </c>
      <c r="F25" s="348" t="s">
        <v>1237</v>
      </c>
      <c r="G25" s="465" t="s">
        <v>1242</v>
      </c>
      <c r="H25" s="354"/>
      <c r="I25" s="498"/>
      <c r="J25" s="360"/>
      <c r="K25" s="363" t="e">
        <f>E25/I25</f>
        <v>#DIV/0!</v>
      </c>
      <c r="L25" s="361">
        <f>SUMIF('1.3-Basis ruimtestaat'!S:S,C25,'1.3-Basis ruimtestaat'!R:R)</f>
        <v>0.5</v>
      </c>
      <c r="M25" s="361"/>
      <c r="N25" s="362">
        <f t="shared" si="1"/>
        <v>2.3732911710245828E-5</v>
      </c>
      <c r="O25" s="364"/>
      <c r="P25" s="157"/>
      <c r="U25" s="60"/>
    </row>
    <row r="26" spans="3:26" s="71" customFormat="1">
      <c r="C26" s="349" t="s">
        <v>28</v>
      </c>
      <c r="D26" s="347"/>
      <c r="E26" s="347"/>
      <c r="F26" s="348" t="s">
        <v>886</v>
      </c>
      <c r="G26" s="465"/>
      <c r="H26" s="354">
        <v>0</v>
      </c>
      <c r="I26" s="354">
        <v>0</v>
      </c>
      <c r="J26" s="360"/>
      <c r="K26" s="363">
        <f t="shared" ref="K26" si="4">IF(H26=0,0,E26/(H26+I26))</f>
        <v>0</v>
      </c>
      <c r="L26" s="361">
        <f>SUMIF('1.3-Basis ruimtestaat'!S:S,C26,'1.3-Basis ruimtestaat'!R:R)</f>
        <v>2633</v>
      </c>
      <c r="M26" s="361"/>
      <c r="N26" s="362">
        <f t="shared" ref="N26:N29" si="5">IF(L26=0,"",L26/$L$31)</f>
        <v>0.12497751306615454</v>
      </c>
      <c r="O26" s="364"/>
      <c r="P26" s="157"/>
      <c r="U26" s="60"/>
    </row>
    <row r="27" spans="3:26" s="71" customFormat="1">
      <c r="C27" s="349" t="s">
        <v>959</v>
      </c>
      <c r="D27" s="347"/>
      <c r="E27" s="347"/>
      <c r="F27" s="348" t="s">
        <v>960</v>
      </c>
      <c r="G27" s="465"/>
      <c r="H27" s="354">
        <v>0</v>
      </c>
      <c r="I27" s="354">
        <v>0</v>
      </c>
      <c r="J27" s="360"/>
      <c r="K27" s="363"/>
      <c r="L27" s="361">
        <f>SUMIF('1.3-Basis ruimtestaat'!S:S,C27,'1.3-Basis ruimtestaat'!R:R)</f>
        <v>426.8</v>
      </c>
      <c r="M27" s="361"/>
      <c r="N27" s="362">
        <f t="shared" si="5"/>
        <v>2.0258413435865839E-2</v>
      </c>
      <c r="O27" s="364"/>
      <c r="P27" s="157"/>
      <c r="U27" s="60"/>
    </row>
    <row r="28" spans="3:26">
      <c r="C28" s="350" t="s">
        <v>227</v>
      </c>
      <c r="D28" s="350"/>
      <c r="E28" s="351"/>
      <c r="F28" s="352" t="s">
        <v>961</v>
      </c>
      <c r="G28" s="353"/>
      <c r="H28" s="354">
        <v>0</v>
      </c>
      <c r="I28" s="354"/>
      <c r="J28" s="355">
        <v>0</v>
      </c>
      <c r="K28" s="363">
        <f>IF(H28=0,0,E28/(H28+I28))</f>
        <v>0</v>
      </c>
      <c r="L28" s="361">
        <f>SUMIF('1.3-Basis ruimtestaat'!S:S,C28,'1.3-Basis ruimtestaat'!Q:Q)</f>
        <v>0</v>
      </c>
      <c r="M28" s="361"/>
      <c r="N28" s="362" t="str">
        <f t="shared" si="5"/>
        <v/>
      </c>
      <c r="O28" s="364"/>
      <c r="P28" s="157"/>
      <c r="Q28" s="88"/>
      <c r="R28" s="88"/>
      <c r="S28" s="88"/>
      <c r="T28" s="88"/>
      <c r="U28" s="89"/>
      <c r="Z28" s="88"/>
    </row>
    <row r="29" spans="3:26">
      <c r="C29" s="350" t="s">
        <v>331</v>
      </c>
      <c r="D29" s="350"/>
      <c r="E29" s="351"/>
      <c r="F29" s="352" t="s">
        <v>332</v>
      </c>
      <c r="G29" s="353"/>
      <c r="H29" s="354">
        <v>0</v>
      </c>
      <c r="I29" s="354"/>
      <c r="J29" s="355">
        <v>0</v>
      </c>
      <c r="K29" s="363">
        <f>IF(H29=0,0,E29/(H29+I29))</f>
        <v>0</v>
      </c>
      <c r="L29" s="361">
        <f>SUMIF('1.3-Basis ruimtestaat'!S:S,C29,'1.3-Basis ruimtestaat'!Q:Q)</f>
        <v>0</v>
      </c>
      <c r="M29" s="361"/>
      <c r="N29" s="362" t="str">
        <f t="shared" si="5"/>
        <v/>
      </c>
      <c r="O29" s="364"/>
      <c r="P29" s="157"/>
      <c r="Q29" s="88"/>
      <c r="R29" s="88"/>
      <c r="S29" s="88"/>
      <c r="T29" s="88"/>
      <c r="U29" s="89"/>
      <c r="Z29" s="88"/>
    </row>
    <row r="30" spans="3:26">
      <c r="E30" s="63"/>
      <c r="F30" s="64"/>
      <c r="G30" s="69"/>
      <c r="H30" s="65"/>
      <c r="I30" s="65"/>
      <c r="J30" s="65"/>
      <c r="K30" s="65"/>
      <c r="O30" s="69"/>
      <c r="P30" s="70"/>
      <c r="Q30" s="88"/>
      <c r="R30" s="215">
        <f>SUM(Meters)</f>
        <v>0</v>
      </c>
      <c r="S30" s="88"/>
      <c r="T30" s="88"/>
      <c r="U30" s="89"/>
      <c r="Z30" s="88"/>
    </row>
    <row r="31" spans="3:26" ht="23" customHeight="1">
      <c r="C31" s="365" t="s">
        <v>33</v>
      </c>
      <c r="D31" s="493"/>
      <c r="E31" s="63"/>
      <c r="F31" s="64"/>
      <c r="G31" s="69"/>
      <c r="H31" s="65"/>
      <c r="I31" s="65"/>
      <c r="J31" s="65"/>
      <c r="K31" s="446"/>
      <c r="L31" s="447">
        <f>SUM(L11:L29)</f>
        <v>21067.79</v>
      </c>
      <c r="M31" s="447">
        <f>SUM(M11:M29)</f>
        <v>0</v>
      </c>
      <c r="N31" s="448">
        <f>SUM(N10:N29)</f>
        <v>1</v>
      </c>
      <c r="O31" s="69"/>
      <c r="P31" s="70"/>
      <c r="Q31" s="88"/>
      <c r="R31" s="216">
        <f>R30-L31</f>
        <v>-21067.79</v>
      </c>
      <c r="S31" s="217" t="s">
        <v>247</v>
      </c>
      <c r="T31" s="88"/>
      <c r="U31" s="89"/>
      <c r="Z31" s="88"/>
    </row>
    <row r="32" spans="3:26">
      <c r="E32" s="63"/>
      <c r="F32" s="64"/>
      <c r="G32" s="69"/>
      <c r="H32" s="65"/>
      <c r="I32" s="65"/>
      <c r="J32" s="65"/>
      <c r="K32" s="66"/>
      <c r="O32" s="69"/>
      <c r="P32" s="70"/>
      <c r="Q32" s="88"/>
      <c r="R32" s="88"/>
      <c r="S32" s="88"/>
      <c r="T32" s="88"/>
      <c r="U32" s="89"/>
      <c r="Z32" s="88"/>
    </row>
    <row r="33" spans="3:26">
      <c r="G33" s="85"/>
      <c r="O33" s="69"/>
      <c r="P33" s="70"/>
      <c r="Q33" s="88"/>
      <c r="R33" s="88"/>
      <c r="S33" s="88"/>
      <c r="T33" s="88"/>
      <c r="U33" s="89"/>
      <c r="Z33" s="88"/>
    </row>
    <row r="34" spans="3:26">
      <c r="C34" s="90" t="s">
        <v>225</v>
      </c>
      <c r="D34" s="90"/>
      <c r="E34" s="91"/>
      <c r="F34" s="91"/>
      <c r="G34" s="85"/>
      <c r="O34" s="69"/>
      <c r="P34" s="70"/>
    </row>
    <row r="35" spans="3:26">
      <c r="C35" s="91" t="s">
        <v>50</v>
      </c>
      <c r="D35" s="91"/>
      <c r="E35" s="91" t="s">
        <v>54</v>
      </c>
      <c r="G35" s="85"/>
      <c r="O35" s="69"/>
      <c r="P35" s="70"/>
    </row>
    <row r="36" spans="3:26">
      <c r="C36" s="91" t="s">
        <v>69</v>
      </c>
      <c r="D36" s="91"/>
      <c r="E36" s="91" t="s">
        <v>23</v>
      </c>
      <c r="G36" s="85"/>
      <c r="O36" s="69"/>
      <c r="P36" s="70"/>
    </row>
    <row r="37" spans="3:26">
      <c r="C37" s="91" t="s">
        <v>127</v>
      </c>
      <c r="D37" s="91"/>
      <c r="E37" s="91" t="s">
        <v>142</v>
      </c>
      <c r="G37" s="85"/>
      <c r="O37" s="69"/>
      <c r="P37" s="70"/>
    </row>
    <row r="38" spans="3:26">
      <c r="C38" s="91" t="s">
        <v>76</v>
      </c>
      <c r="D38" s="91"/>
      <c r="E38" s="91" t="s">
        <v>177</v>
      </c>
      <c r="G38" s="85"/>
      <c r="O38" s="69"/>
      <c r="P38" s="70"/>
    </row>
    <row r="39" spans="3:26">
      <c r="C39" s="91" t="s">
        <v>62</v>
      </c>
      <c r="D39" s="91"/>
      <c r="E39" s="91" t="s">
        <v>206</v>
      </c>
      <c r="G39" s="85"/>
      <c r="O39" s="69"/>
      <c r="P39" s="70"/>
    </row>
    <row r="40" spans="3:26">
      <c r="C40" s="91" t="s">
        <v>73</v>
      </c>
      <c r="D40" s="91"/>
      <c r="E40" s="91" t="s">
        <v>228</v>
      </c>
      <c r="O40" s="69"/>
      <c r="P40" s="70"/>
    </row>
    <row r="41" spans="3:26">
      <c r="C41" s="91" t="s">
        <v>280</v>
      </c>
      <c r="D41" s="91"/>
      <c r="E41" s="91" t="s">
        <v>282</v>
      </c>
      <c r="G41" s="85"/>
      <c r="O41" s="69"/>
      <c r="P41" s="70"/>
    </row>
    <row r="42" spans="3:26">
      <c r="C42" s="91" t="s">
        <v>281</v>
      </c>
      <c r="D42" s="91"/>
      <c r="E42" s="91" t="s">
        <v>283</v>
      </c>
      <c r="G42" s="85"/>
      <c r="O42" s="69"/>
      <c r="P42" s="70"/>
    </row>
    <row r="43" spans="3:26">
      <c r="C43" s="91" t="s">
        <v>284</v>
      </c>
      <c r="D43" s="91"/>
      <c r="E43" s="91" t="s">
        <v>301</v>
      </c>
    </row>
    <row r="44" spans="3:26">
      <c r="C44" s="91" t="s">
        <v>285</v>
      </c>
      <c r="D44" s="91"/>
      <c r="E44" s="91" t="s">
        <v>286</v>
      </c>
    </row>
    <row r="45" spans="3:26">
      <c r="C45" s="91" t="s">
        <v>172</v>
      </c>
      <c r="D45" s="91"/>
      <c r="E45" s="91" t="s">
        <v>64</v>
      </c>
    </row>
    <row r="47" spans="3:26">
      <c r="G47"/>
      <c r="H47"/>
    </row>
  </sheetData>
  <autoFilter ref="C9:P29">
    <sortState ref="C10:P24">
      <sortCondition ref="C9:C24"/>
    </sortState>
  </autoFilter>
  <sortState ref="C11:AB22">
    <sortCondition ref="C11"/>
  </sortState>
  <phoneticPr fontId="10"/>
  <conditionalFormatting sqref="I11">
    <cfRule type="cellIs" dxfId="282" priority="55" stopIfTrue="1" operator="lessThanOrEqual">
      <formula>0</formula>
    </cfRule>
  </conditionalFormatting>
  <conditionalFormatting sqref="H13">
    <cfRule type="cellIs" dxfId="281" priority="44" stopIfTrue="1" operator="lessThanOrEqual">
      <formula>0</formula>
    </cfRule>
  </conditionalFormatting>
  <conditionalFormatting sqref="H11">
    <cfRule type="cellIs" dxfId="280" priority="45" stopIfTrue="1" operator="lessThanOrEqual">
      <formula>0</formula>
    </cfRule>
  </conditionalFormatting>
  <conditionalFormatting sqref="H16 H20:H22 H24">
    <cfRule type="cellIs" dxfId="279" priority="35" stopIfTrue="1" operator="lessThanOrEqual">
      <formula>0</formula>
    </cfRule>
  </conditionalFormatting>
  <conditionalFormatting sqref="I12">
    <cfRule type="cellIs" dxfId="278" priority="34" stopIfTrue="1" operator="lessThanOrEqual">
      <formula>0</formula>
    </cfRule>
  </conditionalFormatting>
  <conditionalFormatting sqref="H12">
    <cfRule type="cellIs" dxfId="277" priority="33" stopIfTrue="1" operator="lessThanOrEqual">
      <formula>0</formula>
    </cfRule>
  </conditionalFormatting>
  <conditionalFormatting sqref="I20">
    <cfRule type="cellIs" dxfId="276" priority="27" stopIfTrue="1" operator="lessThanOrEqual">
      <formula>0</formula>
    </cfRule>
  </conditionalFormatting>
  <conditionalFormatting sqref="H17">
    <cfRule type="cellIs" dxfId="275" priority="31" stopIfTrue="1" operator="lessThanOrEqual">
      <formula>0</formula>
    </cfRule>
  </conditionalFormatting>
  <conditionalFormatting sqref="I13">
    <cfRule type="cellIs" dxfId="274" priority="30" stopIfTrue="1" operator="lessThanOrEqual">
      <formula>0</formula>
    </cfRule>
  </conditionalFormatting>
  <conditionalFormatting sqref="I17">
    <cfRule type="cellIs" dxfId="273" priority="28" stopIfTrue="1" operator="lessThanOrEqual">
      <formula>0</formula>
    </cfRule>
  </conditionalFormatting>
  <conditionalFormatting sqref="I21">
    <cfRule type="cellIs" dxfId="272" priority="26" stopIfTrue="1" operator="lessThanOrEqual">
      <formula>0</formula>
    </cfRule>
  </conditionalFormatting>
  <conditionalFormatting sqref="I22">
    <cfRule type="cellIs" dxfId="271" priority="25" stopIfTrue="1" operator="lessThanOrEqual">
      <formula>0</formula>
    </cfRule>
  </conditionalFormatting>
  <conditionalFormatting sqref="I24:I25">
    <cfRule type="cellIs" dxfId="270" priority="24" stopIfTrue="1" operator="lessThanOrEqual">
      <formula>0</formula>
    </cfRule>
  </conditionalFormatting>
  <conditionalFormatting sqref="H15">
    <cfRule type="cellIs" dxfId="269" priority="23" stopIfTrue="1" operator="lessThanOrEqual">
      <formula>0</formula>
    </cfRule>
  </conditionalFormatting>
  <conditionalFormatting sqref="I15">
    <cfRule type="cellIs" dxfId="268" priority="22" stopIfTrue="1" operator="lessThanOrEqual">
      <formula>0</formula>
    </cfRule>
  </conditionalFormatting>
  <conditionalFormatting sqref="H18">
    <cfRule type="cellIs" dxfId="267" priority="20" stopIfTrue="1" operator="lessThanOrEqual">
      <formula>0</formula>
    </cfRule>
  </conditionalFormatting>
  <conditionalFormatting sqref="I18">
    <cfRule type="cellIs" dxfId="266" priority="19" stopIfTrue="1" operator="lessThanOrEqual">
      <formula>0</formula>
    </cfRule>
  </conditionalFormatting>
  <conditionalFormatting sqref="H19">
    <cfRule type="cellIs" dxfId="265" priority="18" stopIfTrue="1" operator="lessThanOrEqual">
      <formula>0</formula>
    </cfRule>
  </conditionalFormatting>
  <conditionalFormatting sqref="I19">
    <cfRule type="cellIs" dxfId="264" priority="17" stopIfTrue="1" operator="lessThanOrEqual">
      <formula>0</formula>
    </cfRule>
  </conditionalFormatting>
  <conditionalFormatting sqref="H23">
    <cfRule type="cellIs" dxfId="263" priority="16" stopIfTrue="1" operator="lessThanOrEqual">
      <formula>0</formula>
    </cfRule>
  </conditionalFormatting>
  <conditionalFormatting sqref="I23">
    <cfRule type="cellIs" dxfId="262" priority="15" stopIfTrue="1" operator="lessThanOrEqual">
      <formula>0</formula>
    </cfRule>
  </conditionalFormatting>
  <conditionalFormatting sqref="H14">
    <cfRule type="cellIs" dxfId="261" priority="3" stopIfTrue="1" operator="lessThanOrEqual">
      <formula>0</formula>
    </cfRule>
  </conditionalFormatting>
  <conditionalFormatting sqref="I14">
    <cfRule type="cellIs" dxfId="260" priority="2" stopIfTrue="1" operator="lessThanOrEqual">
      <formula>0</formula>
    </cfRule>
  </conditionalFormatting>
  <printOptions horizontalCentered="1" gridLinesSet="0"/>
  <pageMargins left="0.2" right="0.2" top="0.59" bottom="0.4" header="0.39000000000000007" footer="0.2"/>
  <pageSetup paperSize="9" scale="82"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5"/>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2:BG1937"/>
  <sheetViews>
    <sheetView showGridLines="0" showZeros="0" showOutlineSymbols="0" zoomScaleSheetLayoutView="65" workbookViewId="0"/>
  </sheetViews>
  <sheetFormatPr baseColWidth="10" defaultColWidth="0" defaultRowHeight="13" x14ac:dyDescent="0"/>
  <cols>
    <col min="1" max="1" width="0.140625" style="60" customWidth="1"/>
    <col min="2" max="2" width="13" style="60" customWidth="1"/>
    <col min="3" max="3" width="10.5703125" style="60" customWidth="1"/>
    <col min="4" max="4" width="7.7109375" style="60" customWidth="1"/>
    <col min="5" max="5" width="37.140625" style="1" customWidth="1"/>
    <col min="6" max="6" width="9.140625" style="94" customWidth="1"/>
    <col min="7" max="7" width="12.7109375" style="95" customWidth="1"/>
    <col min="8" max="8" width="13.85546875" style="95" bestFit="1" customWidth="1"/>
    <col min="9" max="11" width="0.140625" style="563" hidden="1" customWidth="1"/>
    <col min="12" max="12" width="41.85546875" style="60" bestFit="1" customWidth="1"/>
    <col min="13" max="13" width="44.140625" style="96" bestFit="1" customWidth="1"/>
    <col min="14" max="14" width="9.5703125" style="60" bestFit="1" customWidth="1"/>
    <col min="15" max="15" width="44" style="573" bestFit="1" customWidth="1"/>
    <col min="16" max="17" width="9.7109375" style="97" customWidth="1"/>
    <col min="18" max="18" width="8" style="97" customWidth="1"/>
    <col min="19" max="19" width="12.5703125" style="98" customWidth="1"/>
    <col min="20" max="20" width="11.7109375" style="117" bestFit="1" customWidth="1"/>
    <col min="21" max="21" width="7.140625" style="117" customWidth="1"/>
    <col min="22" max="22" width="13" style="483" bestFit="1" customWidth="1"/>
    <col min="23" max="23" width="9.28515625" style="117" customWidth="1"/>
    <col min="24" max="24" width="10.140625" style="60" customWidth="1"/>
    <col min="25" max="25" width="8" style="60" customWidth="1"/>
    <col min="26" max="26" width="10.85546875" style="60" customWidth="1"/>
    <col min="27" max="27" width="10" style="747" customWidth="1"/>
    <col min="28" max="28" width="9.5703125" style="60" customWidth="1"/>
    <col min="29" max="29" width="11.140625" style="60" hidden="1" customWidth="1"/>
    <col min="30" max="30" width="15.85546875" style="89" customWidth="1"/>
    <col min="31" max="31" width="18.140625" style="60" customWidth="1"/>
    <col min="32" max="32" width="13" style="60" hidden="1" customWidth="1"/>
    <col min="33" max="34" width="8.7109375" style="60" hidden="1" customWidth="1"/>
    <col min="35" max="35" width="23.7109375" style="60" hidden="1" customWidth="1"/>
    <col min="36" max="37" width="8.7109375" style="60" hidden="1" customWidth="1"/>
    <col min="38" max="38" width="13.42578125" style="60" hidden="1" customWidth="1"/>
    <col min="39" max="59" width="0" style="60" hidden="1" customWidth="1"/>
    <col min="60" max="16384" width="8.7109375" hidden="1"/>
  </cols>
  <sheetData>
    <row r="2" spans="1:59">
      <c r="A2" s="92">
        <v>1</v>
      </c>
      <c r="B2" s="366"/>
      <c r="C2" s="366"/>
      <c r="D2" s="366"/>
      <c r="E2" s="209" t="s">
        <v>218</v>
      </c>
      <c r="T2" s="98"/>
      <c r="U2" s="98"/>
      <c r="W2" s="98"/>
      <c r="X2" s="99"/>
      <c r="Y2" s="99"/>
      <c r="Z2" s="99"/>
      <c r="AA2" s="748"/>
      <c r="AB2" s="99"/>
      <c r="AC2" s="99"/>
      <c r="AD2" s="100"/>
      <c r="AE2" s="101"/>
      <c r="AF2" s="101"/>
    </row>
    <row r="3" spans="1:59" ht="18" customHeight="1">
      <c r="A3" s="92">
        <v>2</v>
      </c>
      <c r="B3" s="366"/>
      <c r="C3" s="366"/>
      <c r="D3" s="366"/>
      <c r="E3" s="211"/>
      <c r="F3" s="103"/>
      <c r="G3" s="104"/>
      <c r="H3" s="104"/>
      <c r="I3" s="564"/>
      <c r="J3" s="564"/>
      <c r="K3" s="564"/>
      <c r="L3" s="102"/>
      <c r="M3" s="105"/>
      <c r="N3" s="93"/>
      <c r="O3" s="574"/>
      <c r="P3" s="106"/>
      <c r="Q3" s="106"/>
      <c r="R3" s="106"/>
      <c r="S3" s="107"/>
      <c r="T3" s="107"/>
      <c r="U3" s="107"/>
      <c r="V3" s="484"/>
      <c r="W3" s="107"/>
      <c r="X3" s="108"/>
      <c r="Y3" s="108"/>
      <c r="Z3" s="108"/>
      <c r="AA3" s="749"/>
      <c r="AB3" s="108"/>
      <c r="AC3" s="108"/>
      <c r="AD3" s="109"/>
      <c r="AE3" s="110"/>
      <c r="AF3" s="110"/>
    </row>
    <row r="4" spans="1:59" ht="18" customHeight="1">
      <c r="A4" s="92">
        <v>3</v>
      </c>
      <c r="B4" s="366"/>
      <c r="C4" s="366"/>
      <c r="D4" s="366"/>
      <c r="E4" s="212" t="str">
        <f>'1.2-Kengetal'!C3</f>
        <v>Naam opdrachtgever</v>
      </c>
      <c r="F4" s="111"/>
      <c r="G4" s="213" t="str">
        <f>'1.2-Kengetal'!F3</f>
        <v>Friesland College</v>
      </c>
      <c r="H4" s="213"/>
      <c r="I4" s="213"/>
      <c r="J4" s="213"/>
      <c r="K4" s="213"/>
      <c r="M4" s="105"/>
      <c r="N4" s="93"/>
      <c r="O4" s="574"/>
      <c r="P4" s="106"/>
      <c r="Q4" s="106"/>
      <c r="R4" s="106"/>
      <c r="S4" s="107"/>
      <c r="T4" s="107"/>
      <c r="U4" s="107"/>
      <c r="V4" s="484"/>
      <c r="W4" s="107"/>
      <c r="X4" s="108"/>
      <c r="Y4" s="108"/>
      <c r="Z4" s="108"/>
      <c r="AA4" s="749"/>
      <c r="AB4" s="108"/>
      <c r="AC4" s="108"/>
      <c r="AD4" s="109"/>
      <c r="AE4" s="93"/>
      <c r="AF4" s="93"/>
    </row>
    <row r="5" spans="1:59" ht="18" customHeight="1">
      <c r="A5" s="92">
        <v>4</v>
      </c>
      <c r="B5" s="366"/>
      <c r="C5" s="366"/>
      <c r="D5" s="366"/>
      <c r="E5" s="212" t="str">
        <f>'1.2-Kengetal'!C4</f>
        <v>Omschrijving blad</v>
      </c>
      <c r="F5" s="113"/>
      <c r="G5" s="537" t="s">
        <v>59</v>
      </c>
      <c r="H5" s="537"/>
      <c r="I5" s="537"/>
      <c r="J5" s="537"/>
      <c r="K5" s="537"/>
      <c r="M5" s="114"/>
      <c r="N5" s="93"/>
      <c r="O5" s="574"/>
      <c r="P5" s="106"/>
      <c r="Q5" s="106"/>
      <c r="R5" s="106"/>
      <c r="S5" s="107"/>
      <c r="T5" s="107"/>
      <c r="U5" s="107"/>
      <c r="V5" s="484"/>
      <c r="W5" s="107"/>
      <c r="X5" s="108"/>
      <c r="Y5" s="108"/>
      <c r="Z5" s="108"/>
      <c r="AA5" s="749"/>
      <c r="AB5" s="108"/>
      <c r="AC5" s="108"/>
      <c r="AD5" s="109"/>
      <c r="AE5" s="93"/>
      <c r="AF5" s="93"/>
    </row>
    <row r="6" spans="1:59" ht="18" customHeight="1">
      <c r="A6" s="92">
        <v>5</v>
      </c>
      <c r="B6" s="366"/>
      <c r="C6" s="366"/>
      <c r="D6" s="366"/>
      <c r="E6" s="212" t="str">
        <f>'1.2-Kengetal'!C5</f>
        <v>Adres/plaats</v>
      </c>
      <c r="F6" s="111"/>
      <c r="G6" s="213" t="str">
        <f>'1.2-Kengetal'!F5</f>
        <v>Diverse locaties Leeuwarden e.o.</v>
      </c>
      <c r="H6" s="213"/>
      <c r="I6" s="213"/>
      <c r="J6" s="213"/>
      <c r="K6" s="213"/>
      <c r="L6" s="115"/>
      <c r="M6" s="115"/>
      <c r="N6" s="115"/>
      <c r="O6" s="575"/>
      <c r="P6" s="116"/>
      <c r="Q6" s="116"/>
      <c r="R6" s="116"/>
      <c r="S6" s="107"/>
      <c r="T6" s="107"/>
      <c r="U6" s="107"/>
      <c r="V6" s="484"/>
      <c r="W6" s="107"/>
      <c r="X6" s="108"/>
      <c r="Y6" s="108"/>
      <c r="Z6" s="108"/>
      <c r="AA6" s="749"/>
      <c r="AB6" s="108"/>
      <c r="AC6" s="108"/>
      <c r="AD6" s="109"/>
      <c r="AE6" s="93"/>
      <c r="AF6" s="93"/>
    </row>
    <row r="7" spans="1:59" ht="18" customHeight="1">
      <c r="A7" s="92">
        <v>6</v>
      </c>
      <c r="B7" s="366"/>
      <c r="C7" s="366"/>
      <c r="D7" s="366"/>
      <c r="E7" s="212" t="str">
        <f>'1.2-Kengetal'!C6</f>
        <v>Besteknummer</v>
      </c>
      <c r="F7" s="111"/>
      <c r="G7" s="213" t="str">
        <f>'1.2-Kengetal'!F6</f>
        <v>0601-36-2013 Perceel 2</v>
      </c>
      <c r="H7" s="213"/>
      <c r="I7" s="213"/>
      <c r="J7" s="213"/>
      <c r="K7" s="213"/>
      <c r="N7" s="93"/>
      <c r="O7" s="574"/>
      <c r="P7" s="106"/>
      <c r="Q7" s="106"/>
      <c r="R7" s="106"/>
      <c r="S7" s="107"/>
      <c r="T7" s="107"/>
      <c r="U7" s="107"/>
      <c r="V7" s="484"/>
      <c r="W7" s="107"/>
      <c r="X7" s="108"/>
      <c r="Y7" s="108"/>
      <c r="Z7" s="108"/>
      <c r="AA7" s="749"/>
      <c r="AB7" s="108"/>
      <c r="AC7" s="108"/>
      <c r="AD7" s="109"/>
      <c r="AE7" s="93"/>
      <c r="AF7" s="93"/>
    </row>
    <row r="8" spans="1:59" ht="18" customHeight="1">
      <c r="A8" s="92">
        <v>7</v>
      </c>
      <c r="B8" s="366"/>
      <c r="C8" s="366"/>
      <c r="D8" s="366"/>
      <c r="E8" s="212" t="str">
        <f>'1.2-Kengetal'!C7</f>
        <v>Naam leverancier</v>
      </c>
      <c r="F8" s="111"/>
      <c r="G8" s="213" t="str">
        <f>'1.2-Kengetal'!F7</f>
        <v>(Invoer naam Inschrijver)</v>
      </c>
      <c r="H8" s="213"/>
      <c r="I8" s="213"/>
      <c r="J8" s="213"/>
      <c r="K8" s="213"/>
      <c r="N8" s="93"/>
      <c r="O8" s="574"/>
      <c r="P8" s="106"/>
      <c r="Q8" s="106"/>
      <c r="R8" s="106"/>
      <c r="S8" s="107"/>
      <c r="T8" s="107"/>
      <c r="U8" s="107"/>
      <c r="V8" s="484"/>
      <c r="W8" s="107"/>
      <c r="X8" s="108"/>
      <c r="Y8" s="108"/>
      <c r="Z8" s="108"/>
      <c r="AA8" s="749"/>
      <c r="AB8" s="108"/>
      <c r="AC8" s="108"/>
      <c r="AD8" s="109"/>
      <c r="AE8" s="93"/>
      <c r="AF8" s="93"/>
    </row>
    <row r="9" spans="1:59">
      <c r="A9" s="92">
        <v>8</v>
      </c>
      <c r="B9" s="366"/>
      <c r="C9" s="366"/>
      <c r="D9" s="366"/>
      <c r="E9" s="211"/>
      <c r="F9" s="103"/>
      <c r="G9" s="104"/>
      <c r="H9" s="104"/>
      <c r="I9" s="564"/>
      <c r="J9" s="564"/>
      <c r="K9" s="564"/>
      <c r="L9" s="102"/>
      <c r="M9" s="105"/>
      <c r="N9" s="93"/>
      <c r="O9" s="574"/>
      <c r="P9" s="106"/>
      <c r="Q9" s="106"/>
      <c r="R9" s="106"/>
      <c r="S9" s="107"/>
      <c r="T9" s="107"/>
      <c r="U9" s="107"/>
      <c r="V9" s="484"/>
      <c r="W9" s="107"/>
      <c r="X9" s="108"/>
      <c r="Y9" s="108"/>
      <c r="Z9" s="108"/>
      <c r="AA9" s="749"/>
      <c r="AB9" s="108"/>
      <c r="AC9" s="108"/>
      <c r="AD9" s="109"/>
      <c r="AE9" s="110"/>
      <c r="AF9" s="110"/>
    </row>
    <row r="10" spans="1:59" s="572" customFormat="1" ht="56" customHeight="1">
      <c r="A10" s="568"/>
      <c r="B10" s="586" t="s">
        <v>971</v>
      </c>
      <c r="C10" s="586" t="s">
        <v>972</v>
      </c>
      <c r="D10" s="586" t="s">
        <v>973</v>
      </c>
      <c r="E10" s="586" t="s">
        <v>207</v>
      </c>
      <c r="F10" s="586" t="s">
        <v>40</v>
      </c>
      <c r="G10" s="586" t="s">
        <v>375</v>
      </c>
      <c r="H10" s="586" t="s">
        <v>376</v>
      </c>
      <c r="I10" s="586" t="s">
        <v>311</v>
      </c>
      <c r="J10" s="586" t="s">
        <v>312</v>
      </c>
      <c r="K10" s="586" t="s">
        <v>755</v>
      </c>
      <c r="L10" s="586" t="s">
        <v>974</v>
      </c>
      <c r="M10" s="586" t="s">
        <v>92</v>
      </c>
      <c r="N10" s="586" t="s">
        <v>183</v>
      </c>
      <c r="O10" s="586" t="s">
        <v>1043</v>
      </c>
      <c r="P10" s="587" t="s">
        <v>967</v>
      </c>
      <c r="Q10" s="586" t="s">
        <v>968</v>
      </c>
      <c r="R10" s="586" t="s">
        <v>969</v>
      </c>
      <c r="S10" s="586" t="s">
        <v>975</v>
      </c>
      <c r="T10" s="586" t="s">
        <v>1048</v>
      </c>
      <c r="U10" s="586" t="s">
        <v>246</v>
      </c>
      <c r="V10" s="586" t="s">
        <v>39</v>
      </c>
      <c r="W10" s="586" t="s">
        <v>976</v>
      </c>
      <c r="X10" s="586" t="s">
        <v>1041</v>
      </c>
      <c r="Y10" s="586" t="s">
        <v>1050</v>
      </c>
      <c r="Z10" s="586" t="s">
        <v>977</v>
      </c>
      <c r="AA10" s="750" t="s">
        <v>1042</v>
      </c>
      <c r="AB10" s="586" t="s">
        <v>1049</v>
      </c>
      <c r="AC10" s="586" t="s">
        <v>975</v>
      </c>
      <c r="AD10" s="586" t="s">
        <v>84</v>
      </c>
      <c r="AE10" s="586" t="s">
        <v>978</v>
      </c>
      <c r="AF10" s="586" t="s">
        <v>966</v>
      </c>
      <c r="AG10" s="586" t="s">
        <v>979</v>
      </c>
      <c r="AH10" s="586" t="s">
        <v>980</v>
      </c>
      <c r="AI10" s="588" t="s">
        <v>981</v>
      </c>
      <c r="AJ10" s="586" t="s">
        <v>982</v>
      </c>
      <c r="AK10" s="586" t="s">
        <v>983</v>
      </c>
      <c r="AL10" s="586" t="s">
        <v>174</v>
      </c>
      <c r="AM10" s="589"/>
      <c r="AN10" s="589"/>
      <c r="AO10" s="590">
        <v>1</v>
      </c>
      <c r="AP10" s="569"/>
      <c r="AQ10" s="570"/>
      <c r="AR10" s="570"/>
      <c r="AS10" s="570"/>
      <c r="AT10" s="570"/>
      <c r="AU10" s="570"/>
      <c r="AV10" s="570"/>
      <c r="AW10" s="570"/>
      <c r="AX10" s="570"/>
      <c r="AY10" s="570"/>
      <c r="AZ10" s="570"/>
      <c r="BA10" s="570"/>
      <c r="BB10" s="570"/>
      <c r="BC10" s="570"/>
      <c r="BD10" s="570"/>
      <c r="BE10" s="570"/>
      <c r="BF10" s="571"/>
      <c r="BG10" s="571"/>
    </row>
    <row r="11" spans="1:59">
      <c r="A11" s="591"/>
      <c r="B11" s="592"/>
      <c r="C11" s="593"/>
      <c r="D11" s="594">
        <v>1</v>
      </c>
      <c r="E11" s="595" t="s">
        <v>366</v>
      </c>
      <c r="F11" s="593" t="s">
        <v>367</v>
      </c>
      <c r="G11" s="596">
        <v>6</v>
      </c>
      <c r="H11" s="596" t="s">
        <v>377</v>
      </c>
      <c r="I11" s="596"/>
      <c r="J11" s="596"/>
      <c r="K11" s="596"/>
      <c r="L11" s="591" t="s">
        <v>756</v>
      </c>
      <c r="M11" s="597" t="str">
        <f t="shared" ref="M11:M53" si="0">VLOOKUP(S11,Kengetal,4,FALSE)</f>
        <v>Gang, hal, pantry, aula, repro, gardarobe</v>
      </c>
      <c r="N11" s="591" t="s">
        <v>78</v>
      </c>
      <c r="O11" s="598"/>
      <c r="P11" s="599"/>
      <c r="Q11" s="600">
        <f t="shared" ref="Q11" si="1">AF11*P11/100</f>
        <v>0</v>
      </c>
      <c r="R11" s="601">
        <v>28</v>
      </c>
      <c r="S11" s="752">
        <v>104200</v>
      </c>
      <c r="T11" s="602"/>
      <c r="U11" s="645">
        <v>1</v>
      </c>
      <c r="V11" s="593">
        <f t="shared" ref="V11:V74" si="2">VLOOKUP(S11,Kengetal,3,FALSE)+VLOOKUP(T11,Kengetal,3,FALSE)</f>
        <v>200</v>
      </c>
      <c r="W11" s="604">
        <f>Z11*R11*U11</f>
        <v>0</v>
      </c>
      <c r="X11" s="604">
        <f>AA11*R11</f>
        <v>0</v>
      </c>
      <c r="Y11" s="604">
        <f>AB11*R11</f>
        <v>0</v>
      </c>
      <c r="Z11" s="605">
        <f>VLOOKUP(S11,Kengetal,6,FALSE)</f>
        <v>0</v>
      </c>
      <c r="AA11" s="751">
        <f>VLOOKUP(S11,Kengetal,7,FALSE)</f>
        <v>0</v>
      </c>
      <c r="AB11" s="605">
        <f>VLOOKUP(T11,Kengetal,6,FALSE)</f>
        <v>0</v>
      </c>
      <c r="AC11" s="607"/>
      <c r="AD11" s="591" t="str">
        <f>AL11</f>
        <v>Friesland College</v>
      </c>
      <c r="AE11" s="608"/>
      <c r="AF11" s="639">
        <v>52</v>
      </c>
      <c r="AG11" s="639">
        <f t="shared" ref="AG11" si="3">IF(AND(C11="t"),-AF11,IF(AND(C11="v"),-AF11,IF(AND(C11="W"),-AF11,IF(AND(C11=""),AF11))))</f>
        <v>52</v>
      </c>
      <c r="AH11" s="639">
        <f t="shared" ref="AH11" si="4">IF(B11=0,0,MONTH(B11))</f>
        <v>0</v>
      </c>
      <c r="AI11" s="640"/>
      <c r="AJ11" s="641">
        <f>W11+X11</f>
        <v>0</v>
      </c>
      <c r="AK11" s="642"/>
      <c r="AL11" s="642" t="s">
        <v>364</v>
      </c>
      <c r="AM11" s="643"/>
      <c r="AN11" s="642"/>
      <c r="AO11" s="644">
        <v>11</v>
      </c>
      <c r="AP11" s="565"/>
      <c r="AQ11" s="566"/>
      <c r="AR11" s="566"/>
      <c r="AS11" s="566"/>
      <c r="AT11" s="566"/>
      <c r="AU11" s="566"/>
      <c r="AV11" s="566"/>
      <c r="AW11" s="566"/>
      <c r="AX11" s="566"/>
      <c r="AY11" s="566"/>
      <c r="AZ11" s="566"/>
      <c r="BA11" s="566"/>
      <c r="BB11" s="566"/>
      <c r="BC11" s="566"/>
      <c r="BD11" s="566"/>
      <c r="BE11" s="566"/>
      <c r="BF11" s="566"/>
      <c r="BG11" s="566"/>
    </row>
    <row r="12" spans="1:59">
      <c r="A12" s="591"/>
      <c r="B12" s="609"/>
      <c r="C12" s="609"/>
      <c r="D12" s="594">
        <v>1</v>
      </c>
      <c r="E12" s="595" t="s">
        <v>366</v>
      </c>
      <c r="F12" s="593" t="s">
        <v>367</v>
      </c>
      <c r="G12" s="610">
        <v>6</v>
      </c>
      <c r="H12" s="610" t="s">
        <v>377</v>
      </c>
      <c r="I12" s="610"/>
      <c r="J12" s="610"/>
      <c r="K12" s="610"/>
      <c r="L12" s="611" t="s">
        <v>756</v>
      </c>
      <c r="M12" s="612">
        <f t="shared" si="0"/>
        <v>0</v>
      </c>
      <c r="N12" s="613"/>
      <c r="O12" s="614" t="s">
        <v>984</v>
      </c>
      <c r="P12" s="615">
        <v>100</v>
      </c>
      <c r="Q12" s="616">
        <f t="shared" ref="Q12:Q74" si="5">AF12*P12/100</f>
        <v>28</v>
      </c>
      <c r="R12" s="617"/>
      <c r="S12" s="603"/>
      <c r="T12" s="606"/>
      <c r="U12" s="606"/>
      <c r="V12" s="593">
        <f t="shared" si="2"/>
        <v>0</v>
      </c>
      <c r="W12" s="604">
        <f>Z12*R12</f>
        <v>0</v>
      </c>
      <c r="X12" s="604">
        <f>AA12*R12</f>
        <v>0</v>
      </c>
      <c r="Y12" s="606"/>
      <c r="Z12" s="605">
        <f>VLOOKUP(S12,Kengetal,6,FALSE)</f>
        <v>0</v>
      </c>
      <c r="AA12" s="606">
        <f>VLOOKUP(S12,Kengetal,7,FALSE)</f>
        <v>0</v>
      </c>
      <c r="AB12" s="606"/>
      <c r="AC12" s="607"/>
      <c r="AD12" s="591" t="str">
        <f>AL12</f>
        <v>Friesland College</v>
      </c>
      <c r="AE12" s="608"/>
      <c r="AF12" s="639">
        <v>28</v>
      </c>
      <c r="AG12" s="639">
        <f>IF(AND(C12="t"),-AF12,IF(AND(C12="v"),-AF12,IF(AND(C12="W"),-AF12,IF(AND(C12=""),AF12))))</f>
        <v>28</v>
      </c>
      <c r="AH12" s="639">
        <f t="shared" ref="AH12:AH74" si="6">IF(B12=0,0,MONTH(B12))</f>
        <v>0</v>
      </c>
      <c r="AI12" s="640"/>
      <c r="AJ12" s="641">
        <f t="shared" ref="AJ12:AJ17" si="7">W12+X12</f>
        <v>0</v>
      </c>
      <c r="AK12" s="642"/>
      <c r="AL12" s="642" t="s">
        <v>364</v>
      </c>
      <c r="AM12" s="642"/>
      <c r="AN12" s="642"/>
      <c r="AO12" s="644">
        <v>3</v>
      </c>
      <c r="AP12" s="565"/>
      <c r="AQ12" s="566"/>
      <c r="AR12" s="566"/>
      <c r="AS12" s="566"/>
      <c r="AT12" s="566"/>
      <c r="AU12" s="566"/>
      <c r="AV12" s="566"/>
      <c r="AW12" s="566"/>
      <c r="AX12" s="566"/>
      <c r="AY12" s="566"/>
      <c r="AZ12" s="566"/>
      <c r="BA12" s="566"/>
      <c r="BB12" s="566"/>
      <c r="BC12" s="566"/>
      <c r="BD12" s="566"/>
      <c r="BE12" s="566"/>
      <c r="BF12" s="566"/>
      <c r="BG12" s="566"/>
    </row>
    <row r="13" spans="1:59">
      <c r="A13" s="591"/>
      <c r="B13" s="592"/>
      <c r="C13" s="593"/>
      <c r="D13" s="594">
        <v>1</v>
      </c>
      <c r="E13" s="595" t="s">
        <v>366</v>
      </c>
      <c r="F13" s="593" t="s">
        <v>367</v>
      </c>
      <c r="G13" s="596">
        <v>10</v>
      </c>
      <c r="H13" s="596" t="s">
        <v>378</v>
      </c>
      <c r="I13" s="596"/>
      <c r="J13" s="596"/>
      <c r="K13" s="596"/>
      <c r="L13" s="591" t="s">
        <v>985</v>
      </c>
      <c r="M13" s="597" t="str">
        <f t="shared" si="0"/>
        <v>Gang, hal, pantry, aula, repro, gardarobe</v>
      </c>
      <c r="N13" s="591" t="s">
        <v>78</v>
      </c>
      <c r="O13" s="598"/>
      <c r="P13" s="599"/>
      <c r="Q13" s="600">
        <f t="shared" si="5"/>
        <v>0</v>
      </c>
      <c r="R13" s="601">
        <f>AF13</f>
        <v>52</v>
      </c>
      <c r="S13" s="752">
        <v>104200</v>
      </c>
      <c r="T13" s="602"/>
      <c r="U13" s="645">
        <v>1</v>
      </c>
      <c r="V13" s="593">
        <f t="shared" ref="V13" si="8">VLOOKUP(S13,Kengetal,3,FALSE)+VLOOKUP(T13,Kengetal,3,FALSE)</f>
        <v>200</v>
      </c>
      <c r="W13" s="604">
        <f>Z13*R13*U13</f>
        <v>0</v>
      </c>
      <c r="X13" s="604">
        <f>AA13*R13</f>
        <v>0</v>
      </c>
      <c r="Y13" s="604">
        <f>AB13*R13</f>
        <v>0</v>
      </c>
      <c r="Z13" s="605">
        <f>VLOOKUP(S13,Kengetal,6,FALSE)</f>
        <v>0</v>
      </c>
      <c r="AA13" s="751">
        <f>VLOOKUP(S13,Kengetal,7,FALSE)</f>
        <v>0</v>
      </c>
      <c r="AB13" s="605">
        <f>VLOOKUP(T13,Kengetal,6,FALSE)</f>
        <v>0</v>
      </c>
      <c r="AC13" s="607"/>
      <c r="AD13" s="591" t="str">
        <f>AL13</f>
        <v>Friesland College</v>
      </c>
      <c r="AE13" s="608"/>
      <c r="AF13" s="639">
        <v>52</v>
      </c>
      <c r="AG13" s="639">
        <f t="shared" ref="AG13:AG74" si="9">IF(AND(C13="t"),-AF13,IF(AND(C13="v"),-AF13,IF(AND(C13="W"),-AF13,IF(AND(C13=""),AF13))))</f>
        <v>52</v>
      </c>
      <c r="AH13" s="639">
        <f t="shared" si="6"/>
        <v>0</v>
      </c>
      <c r="AI13" s="640"/>
      <c r="AJ13" s="641">
        <f t="shared" si="7"/>
        <v>0</v>
      </c>
      <c r="AK13" s="642"/>
      <c r="AL13" s="642" t="s">
        <v>364</v>
      </c>
      <c r="AM13" s="643"/>
      <c r="AN13" s="642"/>
      <c r="AO13" s="644">
        <v>4</v>
      </c>
      <c r="AP13" s="565"/>
      <c r="AQ13" s="566"/>
      <c r="AR13" s="566"/>
      <c r="AS13" s="566"/>
      <c r="AT13" s="566"/>
      <c r="AU13" s="566"/>
      <c r="AV13" s="566"/>
      <c r="AW13" s="566"/>
      <c r="AX13" s="566"/>
      <c r="AY13" s="566"/>
      <c r="AZ13" s="566"/>
      <c r="BA13" s="566"/>
      <c r="BB13" s="566"/>
      <c r="BC13" s="566"/>
      <c r="BD13" s="566"/>
      <c r="BE13" s="566"/>
      <c r="BF13" s="566"/>
      <c r="BG13" s="566"/>
    </row>
    <row r="14" spans="1:59">
      <c r="A14" s="591"/>
      <c r="B14" s="618"/>
      <c r="C14" s="609"/>
      <c r="D14" s="594">
        <v>1</v>
      </c>
      <c r="E14" s="595" t="s">
        <v>366</v>
      </c>
      <c r="F14" s="593" t="s">
        <v>367</v>
      </c>
      <c r="G14" s="610">
        <v>10</v>
      </c>
      <c r="H14" s="610" t="s">
        <v>378</v>
      </c>
      <c r="I14" s="610"/>
      <c r="J14" s="610"/>
      <c r="K14" s="610"/>
      <c r="L14" s="611" t="s">
        <v>757</v>
      </c>
      <c r="M14" s="612">
        <f t="shared" si="0"/>
        <v>0</v>
      </c>
      <c r="N14" s="613"/>
      <c r="O14" s="619" t="s">
        <v>986</v>
      </c>
      <c r="P14" s="615">
        <v>100</v>
      </c>
      <c r="Q14" s="616">
        <f t="shared" si="5"/>
        <v>52</v>
      </c>
      <c r="R14" s="613"/>
      <c r="S14" s="603"/>
      <c r="T14" s="606"/>
      <c r="U14" s="606"/>
      <c r="V14" s="593">
        <f t="shared" si="2"/>
        <v>0</v>
      </c>
      <c r="W14" s="606"/>
      <c r="X14" s="606"/>
      <c r="Y14" s="606"/>
      <c r="Z14" s="606"/>
      <c r="AA14" s="606"/>
      <c r="AB14" s="606"/>
      <c r="AC14" s="607"/>
      <c r="AD14" s="606"/>
      <c r="AE14" s="608"/>
      <c r="AF14" s="639">
        <v>52</v>
      </c>
      <c r="AG14" s="639">
        <f t="shared" si="9"/>
        <v>52</v>
      </c>
      <c r="AH14" s="639">
        <f t="shared" si="6"/>
        <v>0</v>
      </c>
      <c r="AI14" s="640"/>
      <c r="AJ14" s="641">
        <f t="shared" si="7"/>
        <v>0</v>
      </c>
      <c r="AK14" s="642"/>
      <c r="AL14" s="642" t="s">
        <v>364</v>
      </c>
      <c r="AM14" s="643"/>
      <c r="AN14" s="642"/>
      <c r="AO14" s="644">
        <v>5</v>
      </c>
      <c r="AP14" s="565"/>
      <c r="AQ14" s="566"/>
      <c r="AR14" s="566"/>
      <c r="AS14" s="566"/>
      <c r="AT14" s="566"/>
      <c r="AU14" s="566"/>
      <c r="AV14" s="566"/>
      <c r="AW14" s="566"/>
      <c r="AX14" s="566"/>
      <c r="AY14" s="566"/>
      <c r="AZ14" s="566"/>
      <c r="BA14" s="566"/>
      <c r="BB14" s="566"/>
      <c r="BC14" s="566"/>
      <c r="BD14" s="566"/>
      <c r="BE14" s="566"/>
      <c r="BF14" s="566"/>
      <c r="BG14" s="566"/>
    </row>
    <row r="15" spans="1:59">
      <c r="A15" s="591"/>
      <c r="B15" s="592"/>
      <c r="C15" s="593"/>
      <c r="D15" s="594">
        <v>1</v>
      </c>
      <c r="E15" s="595" t="s">
        <v>366</v>
      </c>
      <c r="F15" s="593" t="s">
        <v>367</v>
      </c>
      <c r="G15" s="596">
        <v>11</v>
      </c>
      <c r="H15" s="596" t="s">
        <v>379</v>
      </c>
      <c r="I15" s="596"/>
      <c r="J15" s="596"/>
      <c r="K15" s="596"/>
      <c r="L15" s="591" t="s">
        <v>812</v>
      </c>
      <c r="M15" s="597" t="str">
        <f t="shared" si="0"/>
        <v>Onderwijsruimte (theorie)</v>
      </c>
      <c r="N15" s="591" t="s">
        <v>78</v>
      </c>
      <c r="O15" s="598"/>
      <c r="P15" s="599"/>
      <c r="Q15" s="600">
        <f t="shared" si="5"/>
        <v>0</v>
      </c>
      <c r="R15" s="601">
        <f>AF15</f>
        <v>52</v>
      </c>
      <c r="S15" s="647">
        <v>102200</v>
      </c>
      <c r="T15" s="602"/>
      <c r="U15" s="645">
        <v>1</v>
      </c>
      <c r="V15" s="593">
        <f t="shared" ref="V15" si="10">VLOOKUP(S15,Kengetal,3,FALSE)+VLOOKUP(T15,Kengetal,3,FALSE)</f>
        <v>200</v>
      </c>
      <c r="W15" s="604">
        <f>Z15*R15*U15</f>
        <v>0</v>
      </c>
      <c r="X15" s="604">
        <f>AA15*R15</f>
        <v>0</v>
      </c>
      <c r="Y15" s="604">
        <f>AB15*R15</f>
        <v>0</v>
      </c>
      <c r="Z15" s="605">
        <f>VLOOKUP(S15,Kengetal,6,FALSE)</f>
        <v>0</v>
      </c>
      <c r="AA15" s="751">
        <f>VLOOKUP(S15,Kengetal,7,FALSE)</f>
        <v>0</v>
      </c>
      <c r="AB15" s="605">
        <f>VLOOKUP(T15,Kengetal,6,FALSE)</f>
        <v>0</v>
      </c>
      <c r="AC15" s="607"/>
      <c r="AD15" s="591" t="str">
        <f>AL15</f>
        <v>Friesland College</v>
      </c>
      <c r="AE15" s="608"/>
      <c r="AF15" s="639">
        <v>52</v>
      </c>
      <c r="AG15" s="639">
        <f t="shared" si="9"/>
        <v>52</v>
      </c>
      <c r="AH15" s="639">
        <f t="shared" si="6"/>
        <v>0</v>
      </c>
      <c r="AI15" s="640"/>
      <c r="AJ15" s="641">
        <f t="shared" si="7"/>
        <v>0</v>
      </c>
      <c r="AK15" s="642"/>
      <c r="AL15" s="642" t="s">
        <v>364</v>
      </c>
      <c r="AM15" s="643"/>
      <c r="AN15" s="642"/>
      <c r="AO15" s="644">
        <v>6</v>
      </c>
      <c r="AP15" s="565"/>
      <c r="AQ15" s="566"/>
      <c r="AR15" s="566"/>
      <c r="AS15" s="566"/>
      <c r="AT15" s="566"/>
      <c r="AU15" s="566"/>
      <c r="AV15" s="566"/>
      <c r="AW15" s="566"/>
      <c r="AX15" s="566"/>
      <c r="AY15" s="566"/>
      <c r="AZ15" s="566"/>
      <c r="BA15" s="566"/>
      <c r="BB15" s="566"/>
      <c r="BC15" s="566"/>
      <c r="BD15" s="566"/>
      <c r="BE15" s="566"/>
      <c r="BF15" s="566"/>
      <c r="BG15" s="566"/>
    </row>
    <row r="16" spans="1:59">
      <c r="A16" s="591"/>
      <c r="B16" s="618"/>
      <c r="C16" s="609"/>
      <c r="D16" s="594">
        <v>1</v>
      </c>
      <c r="E16" s="595" t="s">
        <v>366</v>
      </c>
      <c r="F16" s="593" t="s">
        <v>367</v>
      </c>
      <c r="G16" s="610">
        <v>11</v>
      </c>
      <c r="H16" s="610" t="s">
        <v>379</v>
      </c>
      <c r="I16" s="610"/>
      <c r="J16" s="610"/>
      <c r="K16" s="610"/>
      <c r="L16" s="611" t="s">
        <v>812</v>
      </c>
      <c r="M16" s="612">
        <f t="shared" si="0"/>
        <v>0</v>
      </c>
      <c r="N16" s="613"/>
      <c r="O16" s="619" t="s">
        <v>986</v>
      </c>
      <c r="P16" s="615">
        <v>100</v>
      </c>
      <c r="Q16" s="616">
        <f t="shared" si="5"/>
        <v>52</v>
      </c>
      <c r="R16" s="613"/>
      <c r="S16" s="603"/>
      <c r="T16" s="606"/>
      <c r="U16" s="606"/>
      <c r="V16" s="593">
        <f t="shared" si="2"/>
        <v>0</v>
      </c>
      <c r="W16" s="606"/>
      <c r="X16" s="606"/>
      <c r="Y16" s="606"/>
      <c r="Z16" s="606"/>
      <c r="AA16" s="606"/>
      <c r="AB16" s="606"/>
      <c r="AC16" s="607"/>
      <c r="AD16" s="606"/>
      <c r="AE16" s="608"/>
      <c r="AF16" s="639">
        <v>52</v>
      </c>
      <c r="AG16" s="639">
        <f t="shared" si="9"/>
        <v>52</v>
      </c>
      <c r="AH16" s="639">
        <f t="shared" si="6"/>
        <v>0</v>
      </c>
      <c r="AI16" s="640"/>
      <c r="AJ16" s="641">
        <f t="shared" si="7"/>
        <v>0</v>
      </c>
      <c r="AK16" s="642"/>
      <c r="AL16" s="642" t="s">
        <v>364</v>
      </c>
      <c r="AM16" s="643"/>
      <c r="AN16" s="642"/>
      <c r="AO16" s="644">
        <v>7</v>
      </c>
      <c r="AP16" s="565"/>
      <c r="AQ16" s="566"/>
      <c r="AR16" s="566"/>
      <c r="AS16" s="566"/>
      <c r="AT16" s="566"/>
      <c r="AU16" s="566"/>
      <c r="AV16" s="566"/>
      <c r="AW16" s="566"/>
      <c r="AX16" s="566"/>
      <c r="AY16" s="566"/>
      <c r="AZ16" s="566"/>
      <c r="BA16" s="566"/>
      <c r="BB16" s="566"/>
      <c r="BC16" s="566"/>
      <c r="BD16" s="566"/>
      <c r="BE16" s="566"/>
      <c r="BF16" s="566"/>
      <c r="BG16" s="566"/>
    </row>
    <row r="17" spans="1:59">
      <c r="A17" s="591"/>
      <c r="B17" s="592"/>
      <c r="C17" s="593"/>
      <c r="D17" s="594">
        <v>1</v>
      </c>
      <c r="E17" s="595" t="s">
        <v>366</v>
      </c>
      <c r="F17" s="593" t="s">
        <v>367</v>
      </c>
      <c r="G17" s="596">
        <v>12</v>
      </c>
      <c r="H17" s="596" t="s">
        <v>381</v>
      </c>
      <c r="I17" s="596"/>
      <c r="J17" s="596"/>
      <c r="K17" s="596"/>
      <c r="L17" s="620" t="s">
        <v>758</v>
      </c>
      <c r="M17" s="597" t="str">
        <f t="shared" si="0"/>
        <v>Administratieve -, personeels- en vergaderruimte</v>
      </c>
      <c r="N17" s="591" t="s">
        <v>938</v>
      </c>
      <c r="O17" s="598"/>
      <c r="P17" s="599"/>
      <c r="Q17" s="600">
        <f t="shared" si="5"/>
        <v>0</v>
      </c>
      <c r="R17" s="601">
        <f>AF17</f>
        <v>28</v>
      </c>
      <c r="S17" s="647">
        <v>101100</v>
      </c>
      <c r="T17" s="602"/>
      <c r="U17" s="645">
        <v>1</v>
      </c>
      <c r="V17" s="593">
        <f t="shared" ref="V17" si="11">VLOOKUP(S17,Kengetal,3,FALSE)+VLOOKUP(T17,Kengetal,3,FALSE)</f>
        <v>100</v>
      </c>
      <c r="W17" s="604">
        <f>Z17*R17*U17</f>
        <v>0</v>
      </c>
      <c r="X17" s="604">
        <f>AA17*R17</f>
        <v>0</v>
      </c>
      <c r="Y17" s="604">
        <f>AB17*R17</f>
        <v>0</v>
      </c>
      <c r="Z17" s="605">
        <f>VLOOKUP(S17,Kengetal,6,FALSE)</f>
        <v>0</v>
      </c>
      <c r="AA17" s="751">
        <f>VLOOKUP(S17,Kengetal,7,FALSE)</f>
        <v>0</v>
      </c>
      <c r="AB17" s="605">
        <f>VLOOKUP(T17,Kengetal,6,FALSE)</f>
        <v>0</v>
      </c>
      <c r="AC17" s="607"/>
      <c r="AD17" s="591" t="str">
        <f>AL17</f>
        <v>Friesland College</v>
      </c>
      <c r="AE17" s="608"/>
      <c r="AF17" s="639">
        <v>28</v>
      </c>
      <c r="AG17" s="639">
        <f t="shared" si="9"/>
        <v>28</v>
      </c>
      <c r="AH17" s="639">
        <f t="shared" si="6"/>
        <v>0</v>
      </c>
      <c r="AI17" s="640"/>
      <c r="AJ17" s="641">
        <f t="shared" si="7"/>
        <v>0</v>
      </c>
      <c r="AK17" s="642"/>
      <c r="AL17" s="642" t="s">
        <v>364</v>
      </c>
      <c r="AM17" s="643"/>
      <c r="AN17" s="642"/>
      <c r="AO17" s="644">
        <v>8</v>
      </c>
      <c r="AP17" s="565"/>
      <c r="AQ17" s="566"/>
      <c r="AR17" s="566"/>
      <c r="AS17" s="566"/>
      <c r="AT17" s="566"/>
      <c r="AU17" s="566"/>
      <c r="AV17" s="566"/>
      <c r="AW17" s="566"/>
      <c r="AX17" s="566"/>
      <c r="AY17" s="566"/>
      <c r="AZ17" s="566"/>
      <c r="BA17" s="566"/>
      <c r="BB17" s="566"/>
      <c r="BC17" s="566"/>
      <c r="BD17" s="566"/>
      <c r="BE17" s="566"/>
      <c r="BF17" s="566"/>
      <c r="BG17" s="566"/>
    </row>
    <row r="18" spans="1:59">
      <c r="A18" s="591"/>
      <c r="B18" s="592"/>
      <c r="C18" s="593"/>
      <c r="D18" s="594">
        <v>1</v>
      </c>
      <c r="E18" s="595" t="s">
        <v>366</v>
      </c>
      <c r="F18" s="593" t="s">
        <v>367</v>
      </c>
      <c r="G18" s="610">
        <v>12</v>
      </c>
      <c r="H18" s="610" t="s">
        <v>381</v>
      </c>
      <c r="I18" s="610"/>
      <c r="J18" s="610"/>
      <c r="K18" s="610"/>
      <c r="L18" s="611" t="s">
        <v>758</v>
      </c>
      <c r="M18" s="612">
        <f t="shared" si="0"/>
        <v>0</v>
      </c>
      <c r="N18" s="613"/>
      <c r="O18" s="614" t="s">
        <v>986</v>
      </c>
      <c r="P18" s="615">
        <v>100</v>
      </c>
      <c r="Q18" s="616">
        <f t="shared" si="5"/>
        <v>28</v>
      </c>
      <c r="R18" s="613"/>
      <c r="S18" s="603"/>
      <c r="T18" s="606"/>
      <c r="U18" s="606"/>
      <c r="V18" s="593">
        <f t="shared" si="2"/>
        <v>0</v>
      </c>
      <c r="W18" s="606"/>
      <c r="X18" s="606"/>
      <c r="Y18" s="606"/>
      <c r="Z18" s="606"/>
      <c r="AA18" s="606"/>
      <c r="AB18" s="606"/>
      <c r="AC18" s="607"/>
      <c r="AD18" s="606"/>
      <c r="AE18" s="608"/>
      <c r="AF18" s="639">
        <v>28</v>
      </c>
      <c r="AG18" s="639">
        <f t="shared" si="9"/>
        <v>28</v>
      </c>
      <c r="AH18" s="639">
        <f t="shared" si="6"/>
        <v>0</v>
      </c>
      <c r="AI18" s="640"/>
      <c r="AJ18" s="641">
        <f t="shared" ref="AJ18:AJ74" si="12">W18+X18</f>
        <v>0</v>
      </c>
      <c r="AK18" s="642"/>
      <c r="AL18" s="642" t="s">
        <v>364</v>
      </c>
      <c r="AM18" s="642"/>
      <c r="AN18" s="642"/>
      <c r="AO18" s="644">
        <v>9</v>
      </c>
      <c r="AP18" s="565"/>
      <c r="AQ18" s="566"/>
      <c r="AR18" s="566"/>
      <c r="AS18" s="566"/>
      <c r="AT18" s="566"/>
      <c r="AU18" s="566"/>
      <c r="AV18" s="566"/>
      <c r="AW18" s="566"/>
      <c r="AX18" s="566"/>
      <c r="AY18" s="566"/>
      <c r="AZ18" s="566"/>
      <c r="BA18" s="566"/>
      <c r="BB18" s="566"/>
      <c r="BC18" s="566"/>
      <c r="BD18" s="566"/>
      <c r="BE18" s="566"/>
      <c r="BF18" s="566"/>
      <c r="BG18" s="566"/>
    </row>
    <row r="19" spans="1:59">
      <c r="A19" s="591"/>
      <c r="B19" s="592"/>
      <c r="C19" s="593"/>
      <c r="D19" s="594">
        <v>1</v>
      </c>
      <c r="E19" s="595" t="s">
        <v>366</v>
      </c>
      <c r="F19" s="593" t="s">
        <v>367</v>
      </c>
      <c r="G19" s="596">
        <v>13</v>
      </c>
      <c r="H19" s="596" t="s">
        <v>382</v>
      </c>
      <c r="I19" s="596"/>
      <c r="J19" s="596"/>
      <c r="K19" s="596"/>
      <c r="L19" s="591" t="s">
        <v>759</v>
      </c>
      <c r="M19" s="597" t="str">
        <f t="shared" si="0"/>
        <v>Onderwijsruimte (praktijk)</v>
      </c>
      <c r="N19" s="591" t="s">
        <v>938</v>
      </c>
      <c r="O19" s="621"/>
      <c r="P19" s="622"/>
      <c r="Q19" s="600">
        <f t="shared" si="5"/>
        <v>0</v>
      </c>
      <c r="R19" s="601">
        <f>AF19</f>
        <v>106</v>
      </c>
      <c r="S19" s="647">
        <v>112200</v>
      </c>
      <c r="T19" s="602"/>
      <c r="U19" s="645">
        <v>1</v>
      </c>
      <c r="V19" s="593">
        <f t="shared" ref="V19" si="13">VLOOKUP(S19,Kengetal,3,FALSE)+VLOOKUP(T19,Kengetal,3,FALSE)</f>
        <v>200</v>
      </c>
      <c r="W19" s="604">
        <f>Z19*R19*U19</f>
        <v>0</v>
      </c>
      <c r="X19" s="604">
        <f>AA19*R19</f>
        <v>0</v>
      </c>
      <c r="Y19" s="604">
        <f>AB19*R19</f>
        <v>0</v>
      </c>
      <c r="Z19" s="605">
        <f>VLOOKUP(S19,Kengetal,6,FALSE)</f>
        <v>0</v>
      </c>
      <c r="AA19" s="751">
        <f>VLOOKUP(S19,Kengetal,7,FALSE)</f>
        <v>0</v>
      </c>
      <c r="AB19" s="605">
        <f>VLOOKUP(T19,Kengetal,6,FALSE)</f>
        <v>0</v>
      </c>
      <c r="AC19" s="607"/>
      <c r="AD19" s="591" t="str">
        <f>AL19</f>
        <v>Friesland College</v>
      </c>
      <c r="AE19" s="608"/>
      <c r="AF19" s="639">
        <v>106</v>
      </c>
      <c r="AG19" s="639">
        <f t="shared" si="9"/>
        <v>106</v>
      </c>
      <c r="AH19" s="639">
        <f t="shared" si="6"/>
        <v>0</v>
      </c>
      <c r="AI19" s="640"/>
      <c r="AJ19" s="641">
        <f t="shared" si="12"/>
        <v>0</v>
      </c>
      <c r="AK19" s="642"/>
      <c r="AL19" s="642" t="s">
        <v>364</v>
      </c>
      <c r="AM19" s="643"/>
      <c r="AN19" s="642"/>
      <c r="AO19" s="644">
        <v>10</v>
      </c>
      <c r="AP19" s="565"/>
      <c r="AQ19" s="566"/>
      <c r="AR19" s="566"/>
      <c r="AS19" s="566"/>
      <c r="AT19" s="566"/>
      <c r="AU19" s="566"/>
      <c r="AV19" s="566"/>
      <c r="AW19" s="566"/>
      <c r="AX19" s="566"/>
      <c r="AY19" s="566"/>
      <c r="AZ19" s="566"/>
      <c r="BA19" s="566"/>
      <c r="BB19" s="566"/>
      <c r="BC19" s="566"/>
      <c r="BD19" s="566"/>
      <c r="BE19" s="566"/>
      <c r="BF19" s="566"/>
      <c r="BG19" s="566"/>
    </row>
    <row r="20" spans="1:59">
      <c r="A20" s="591"/>
      <c r="B20" s="592"/>
      <c r="C20" s="593"/>
      <c r="D20" s="594">
        <v>1</v>
      </c>
      <c r="E20" s="595" t="s">
        <v>366</v>
      </c>
      <c r="F20" s="593" t="s">
        <v>367</v>
      </c>
      <c r="G20" s="610">
        <v>13</v>
      </c>
      <c r="H20" s="610" t="s">
        <v>382</v>
      </c>
      <c r="I20" s="610"/>
      <c r="J20" s="610"/>
      <c r="K20" s="610"/>
      <c r="L20" s="611" t="s">
        <v>759</v>
      </c>
      <c r="M20" s="612">
        <f t="shared" si="0"/>
        <v>0</v>
      </c>
      <c r="N20" s="613"/>
      <c r="O20" s="619" t="s">
        <v>986</v>
      </c>
      <c r="P20" s="623">
        <v>13</v>
      </c>
      <c r="Q20" s="616">
        <f>AF20*P20/100</f>
        <v>13.78</v>
      </c>
      <c r="R20" s="613"/>
      <c r="S20" s="603"/>
      <c r="T20" s="606"/>
      <c r="U20" s="606"/>
      <c r="V20" s="593">
        <f t="shared" si="2"/>
        <v>0</v>
      </c>
      <c r="W20" s="606"/>
      <c r="X20" s="606"/>
      <c r="Y20" s="606"/>
      <c r="Z20" s="606"/>
      <c r="AA20" s="606"/>
      <c r="AB20" s="606"/>
      <c r="AC20" s="607"/>
      <c r="AD20" s="606"/>
      <c r="AE20" s="608"/>
      <c r="AF20" s="639">
        <v>106</v>
      </c>
      <c r="AG20" s="639">
        <f t="shared" si="9"/>
        <v>106</v>
      </c>
      <c r="AH20" s="639">
        <f t="shared" si="6"/>
        <v>0</v>
      </c>
      <c r="AI20" s="640"/>
      <c r="AJ20" s="641">
        <f t="shared" si="12"/>
        <v>0</v>
      </c>
      <c r="AK20" s="642"/>
      <c r="AL20" s="642" t="s">
        <v>364</v>
      </c>
      <c r="AM20" s="642"/>
      <c r="AN20" s="642"/>
      <c r="AO20" s="644">
        <v>11</v>
      </c>
      <c r="AP20" s="565"/>
      <c r="AQ20" s="566"/>
      <c r="AR20" s="566"/>
      <c r="AS20" s="566"/>
      <c r="AT20" s="566"/>
      <c r="AU20" s="566"/>
      <c r="AV20" s="566"/>
      <c r="AW20" s="566"/>
      <c r="AX20" s="566"/>
      <c r="AY20" s="566"/>
      <c r="AZ20" s="566"/>
      <c r="BA20" s="566"/>
      <c r="BB20" s="566"/>
      <c r="BC20" s="566"/>
      <c r="BD20" s="566"/>
      <c r="BE20" s="566"/>
      <c r="BF20" s="566"/>
      <c r="BG20" s="566"/>
    </row>
    <row r="21" spans="1:59">
      <c r="A21" s="591"/>
      <c r="B21" s="592"/>
      <c r="C21" s="593"/>
      <c r="D21" s="594">
        <v>1</v>
      </c>
      <c r="E21" s="595" t="s">
        <v>366</v>
      </c>
      <c r="F21" s="593" t="s">
        <v>367</v>
      </c>
      <c r="G21" s="610">
        <v>13</v>
      </c>
      <c r="H21" s="610" t="s">
        <v>382</v>
      </c>
      <c r="I21" s="610"/>
      <c r="J21" s="610"/>
      <c r="K21" s="610"/>
      <c r="L21" s="611" t="s">
        <v>759</v>
      </c>
      <c r="M21" s="612">
        <f t="shared" si="0"/>
        <v>0</v>
      </c>
      <c r="N21" s="613"/>
      <c r="O21" s="619" t="s">
        <v>987</v>
      </c>
      <c r="P21" s="623">
        <v>64</v>
      </c>
      <c r="Q21" s="616">
        <f t="shared" si="5"/>
        <v>67.84</v>
      </c>
      <c r="R21" s="613"/>
      <c r="S21" s="603"/>
      <c r="T21" s="606"/>
      <c r="U21" s="606"/>
      <c r="V21" s="593">
        <f t="shared" si="2"/>
        <v>0</v>
      </c>
      <c r="W21" s="606"/>
      <c r="X21" s="606"/>
      <c r="Y21" s="606"/>
      <c r="Z21" s="606"/>
      <c r="AA21" s="606"/>
      <c r="AB21" s="606"/>
      <c r="AC21" s="607"/>
      <c r="AD21" s="606"/>
      <c r="AE21" s="608"/>
      <c r="AF21" s="639">
        <v>106</v>
      </c>
      <c r="AG21" s="639">
        <f t="shared" si="9"/>
        <v>106</v>
      </c>
      <c r="AH21" s="639">
        <f t="shared" si="6"/>
        <v>0</v>
      </c>
      <c r="AI21" s="640"/>
      <c r="AJ21" s="641">
        <f t="shared" si="12"/>
        <v>0</v>
      </c>
      <c r="AK21" s="642"/>
      <c r="AL21" s="642" t="s">
        <v>364</v>
      </c>
      <c r="AM21" s="642"/>
      <c r="AN21" s="642"/>
      <c r="AO21" s="644">
        <v>12</v>
      </c>
      <c r="AP21" s="565"/>
      <c r="AQ21" s="566"/>
      <c r="AR21" s="566"/>
      <c r="AS21" s="566"/>
      <c r="AT21" s="566"/>
      <c r="AU21" s="566"/>
      <c r="AV21" s="566"/>
      <c r="AW21" s="566"/>
      <c r="AX21" s="566"/>
      <c r="AY21" s="566"/>
      <c r="AZ21" s="566"/>
      <c r="BA21" s="566"/>
      <c r="BB21" s="566"/>
      <c r="BC21" s="566"/>
      <c r="BD21" s="566"/>
      <c r="BE21" s="566"/>
      <c r="BF21" s="566"/>
      <c r="BG21" s="566"/>
    </row>
    <row r="22" spans="1:59">
      <c r="A22" s="591"/>
      <c r="B22" s="592"/>
      <c r="C22" s="593"/>
      <c r="D22" s="594">
        <v>1</v>
      </c>
      <c r="E22" s="595" t="s">
        <v>366</v>
      </c>
      <c r="F22" s="593" t="s">
        <v>367</v>
      </c>
      <c r="G22" s="610">
        <v>13</v>
      </c>
      <c r="H22" s="610" t="s">
        <v>382</v>
      </c>
      <c r="I22" s="610"/>
      <c r="J22" s="610"/>
      <c r="K22" s="610"/>
      <c r="L22" s="611" t="s">
        <v>759</v>
      </c>
      <c r="M22" s="612">
        <f t="shared" si="0"/>
        <v>0</v>
      </c>
      <c r="N22" s="613"/>
      <c r="O22" s="619" t="s">
        <v>988</v>
      </c>
      <c r="P22" s="623">
        <v>23</v>
      </c>
      <c r="Q22" s="616">
        <f t="shared" si="5"/>
        <v>24.38</v>
      </c>
      <c r="R22" s="613"/>
      <c r="S22" s="603"/>
      <c r="T22" s="606"/>
      <c r="U22" s="606"/>
      <c r="V22" s="593">
        <f t="shared" si="2"/>
        <v>0</v>
      </c>
      <c r="W22" s="606"/>
      <c r="X22" s="606"/>
      <c r="Y22" s="606"/>
      <c r="Z22" s="606"/>
      <c r="AA22" s="606"/>
      <c r="AB22" s="606"/>
      <c r="AC22" s="607"/>
      <c r="AD22" s="606"/>
      <c r="AE22" s="608"/>
      <c r="AF22" s="639">
        <v>106</v>
      </c>
      <c r="AG22" s="639">
        <f t="shared" si="9"/>
        <v>106</v>
      </c>
      <c r="AH22" s="639">
        <f t="shared" si="6"/>
        <v>0</v>
      </c>
      <c r="AI22" s="640"/>
      <c r="AJ22" s="641">
        <f t="shared" si="12"/>
        <v>0</v>
      </c>
      <c r="AK22" s="642"/>
      <c r="AL22" s="642" t="s">
        <v>364</v>
      </c>
      <c r="AM22" s="642"/>
      <c r="AN22" s="642"/>
      <c r="AO22" s="644">
        <v>13</v>
      </c>
      <c r="AP22" s="565"/>
      <c r="AQ22" s="566"/>
      <c r="AR22" s="566"/>
      <c r="AS22" s="566"/>
      <c r="AT22" s="566"/>
      <c r="AU22" s="566"/>
      <c r="AV22" s="566"/>
      <c r="AW22" s="566"/>
      <c r="AX22" s="566"/>
      <c r="AY22" s="566"/>
      <c r="AZ22" s="566"/>
      <c r="BA22" s="566"/>
      <c r="BB22" s="566"/>
      <c r="BC22" s="566"/>
      <c r="BD22" s="566"/>
      <c r="BE22" s="566"/>
      <c r="BF22" s="566"/>
      <c r="BG22" s="566"/>
    </row>
    <row r="23" spans="1:59">
      <c r="A23" s="591"/>
      <c r="B23" s="592"/>
      <c r="C23" s="593"/>
      <c r="D23" s="594">
        <v>1</v>
      </c>
      <c r="E23" s="595" t="s">
        <v>366</v>
      </c>
      <c r="F23" s="593" t="s">
        <v>367</v>
      </c>
      <c r="G23" s="596">
        <v>26</v>
      </c>
      <c r="H23" s="596" t="s">
        <v>383</v>
      </c>
      <c r="I23" s="596"/>
      <c r="J23" s="596"/>
      <c r="K23" s="596"/>
      <c r="L23" s="591" t="s">
        <v>760</v>
      </c>
      <c r="M23" s="597" t="str">
        <f t="shared" si="0"/>
        <v>Op afroep (in overleg)</v>
      </c>
      <c r="N23" s="591" t="s">
        <v>938</v>
      </c>
      <c r="O23" s="598"/>
      <c r="P23" s="599"/>
      <c r="Q23" s="600">
        <f t="shared" si="5"/>
        <v>0</v>
      </c>
      <c r="R23" s="601">
        <f>AF23</f>
        <v>15</v>
      </c>
      <c r="S23" s="603" t="s">
        <v>959</v>
      </c>
      <c r="T23" s="602"/>
      <c r="U23" s="603"/>
      <c r="V23" s="593">
        <f t="shared" si="2"/>
        <v>0</v>
      </c>
      <c r="W23" s="604">
        <f>Z23*R23*U23</f>
        <v>0</v>
      </c>
      <c r="X23" s="604">
        <f>AA23*R23</f>
        <v>0</v>
      </c>
      <c r="Y23" s="604">
        <f>AB23*R23</f>
        <v>0</v>
      </c>
      <c r="Z23" s="605">
        <f>VLOOKUP(S23,Kengetal,6,FALSE)</f>
        <v>0</v>
      </c>
      <c r="AA23" s="751">
        <f>VLOOKUP(S23,Kengetal,7,FALSE)</f>
        <v>0</v>
      </c>
      <c r="AB23" s="605">
        <f>VLOOKUP(T23,Kengetal,6,FALSE)</f>
        <v>0</v>
      </c>
      <c r="AC23" s="607"/>
      <c r="AD23" s="591" t="str">
        <f>AL23</f>
        <v>Friesland College</v>
      </c>
      <c r="AE23" s="608"/>
      <c r="AF23" s="639">
        <v>15</v>
      </c>
      <c r="AG23" s="639">
        <f t="shared" si="9"/>
        <v>15</v>
      </c>
      <c r="AH23" s="639">
        <f t="shared" si="6"/>
        <v>0</v>
      </c>
      <c r="AI23" s="640"/>
      <c r="AJ23" s="641">
        <f t="shared" si="12"/>
        <v>0</v>
      </c>
      <c r="AK23" s="642"/>
      <c r="AL23" s="642" t="s">
        <v>364</v>
      </c>
      <c r="AM23" s="643"/>
      <c r="AN23" s="642"/>
      <c r="AO23" s="644">
        <v>15</v>
      </c>
      <c r="AP23" s="565"/>
      <c r="AQ23" s="566"/>
      <c r="AR23" s="566"/>
      <c r="AS23" s="566"/>
      <c r="AT23" s="566"/>
      <c r="AU23" s="566"/>
      <c r="AV23" s="566"/>
      <c r="AW23" s="566"/>
      <c r="AX23" s="566"/>
      <c r="AY23" s="566"/>
      <c r="AZ23" s="566"/>
      <c r="BA23" s="566"/>
      <c r="BB23" s="566"/>
      <c r="BC23" s="566"/>
      <c r="BD23" s="566"/>
      <c r="BE23" s="566"/>
      <c r="BF23" s="566"/>
      <c r="BG23" s="566"/>
    </row>
    <row r="24" spans="1:59">
      <c r="A24" s="624"/>
      <c r="B24" s="618"/>
      <c r="C24" s="609"/>
      <c r="D24" s="594">
        <v>1</v>
      </c>
      <c r="E24" s="595" t="s">
        <v>366</v>
      </c>
      <c r="F24" s="593" t="s">
        <v>367</v>
      </c>
      <c r="G24" s="610">
        <v>26</v>
      </c>
      <c r="H24" s="610" t="s">
        <v>384</v>
      </c>
      <c r="I24" s="610"/>
      <c r="J24" s="610"/>
      <c r="K24" s="610"/>
      <c r="L24" s="611" t="s">
        <v>760</v>
      </c>
      <c r="M24" s="612">
        <f t="shared" si="0"/>
        <v>0</v>
      </c>
      <c r="N24" s="613"/>
      <c r="O24" s="614" t="s">
        <v>987</v>
      </c>
      <c r="P24" s="615">
        <v>100</v>
      </c>
      <c r="Q24" s="616">
        <f t="shared" si="5"/>
        <v>15</v>
      </c>
      <c r="R24" s="613"/>
      <c r="S24" s="603"/>
      <c r="T24" s="606"/>
      <c r="U24" s="606"/>
      <c r="V24" s="593">
        <f t="shared" si="2"/>
        <v>0</v>
      </c>
      <c r="W24" s="606"/>
      <c r="X24" s="606"/>
      <c r="Y24" s="606"/>
      <c r="Z24" s="606"/>
      <c r="AA24" s="606"/>
      <c r="AB24" s="606"/>
      <c r="AC24" s="607"/>
      <c r="AD24" s="606"/>
      <c r="AE24" s="608"/>
      <c r="AF24" s="639">
        <v>15</v>
      </c>
      <c r="AG24" s="639">
        <f t="shared" si="9"/>
        <v>15</v>
      </c>
      <c r="AH24" s="639">
        <f t="shared" si="6"/>
        <v>0</v>
      </c>
      <c r="AI24" s="640"/>
      <c r="AJ24" s="641">
        <f t="shared" si="12"/>
        <v>0</v>
      </c>
      <c r="AK24" s="642"/>
      <c r="AL24" s="642" t="s">
        <v>364</v>
      </c>
      <c r="AM24" s="643"/>
      <c r="AN24" s="642"/>
      <c r="AO24" s="644">
        <v>16</v>
      </c>
      <c r="AP24" s="565"/>
      <c r="AQ24" s="566"/>
      <c r="AR24" s="566"/>
      <c r="AS24" s="566"/>
      <c r="AT24" s="566"/>
      <c r="AU24" s="566"/>
      <c r="AV24" s="566"/>
      <c r="AW24" s="566"/>
      <c r="AX24" s="566"/>
      <c r="AY24" s="566"/>
      <c r="AZ24" s="566"/>
      <c r="BA24" s="566"/>
      <c r="BB24" s="566"/>
      <c r="BC24" s="566"/>
      <c r="BD24" s="566"/>
      <c r="BE24" s="566"/>
      <c r="BF24" s="566"/>
      <c r="BG24" s="566"/>
    </row>
    <row r="25" spans="1:59">
      <c r="A25" s="591"/>
      <c r="B25" s="592"/>
      <c r="C25" s="593"/>
      <c r="D25" s="594">
        <v>1</v>
      </c>
      <c r="E25" s="595" t="s">
        <v>366</v>
      </c>
      <c r="F25" s="593" t="s">
        <v>367</v>
      </c>
      <c r="G25" s="596" t="s">
        <v>385</v>
      </c>
      <c r="H25" s="596"/>
      <c r="I25" s="596"/>
      <c r="J25" s="596"/>
      <c r="K25" s="596"/>
      <c r="L25" s="591" t="s">
        <v>761</v>
      </c>
      <c r="M25" s="597" t="str">
        <f t="shared" si="0"/>
        <v>Buitenterrein</v>
      </c>
      <c r="N25" s="591" t="s">
        <v>85</v>
      </c>
      <c r="O25" s="621"/>
      <c r="P25" s="622"/>
      <c r="Q25" s="600">
        <f>AF25*P25/100</f>
        <v>0</v>
      </c>
      <c r="R25" s="601">
        <f t="shared" ref="R25:R38" si="14">AF25</f>
        <v>206</v>
      </c>
      <c r="S25" s="647">
        <v>107200</v>
      </c>
      <c r="T25" s="602"/>
      <c r="U25" s="645">
        <v>1</v>
      </c>
      <c r="V25" s="593">
        <f t="shared" ref="V25:V35" si="15">VLOOKUP(S25,Kengetal,3,FALSE)+VLOOKUP(T25,Kengetal,3,FALSE)</f>
        <v>200</v>
      </c>
      <c r="W25" s="604">
        <f t="shared" ref="W25:W39" si="16">Z25*R25*U25</f>
        <v>0</v>
      </c>
      <c r="X25" s="604">
        <f t="shared" ref="X25:X39" si="17">AA25*R25</f>
        <v>0</v>
      </c>
      <c r="Y25" s="604">
        <f t="shared" ref="Y25:Y39" si="18">AB25*R25</f>
        <v>0</v>
      </c>
      <c r="Z25" s="605">
        <f t="shared" ref="Z25:Z39" si="19">VLOOKUP(S25,Kengetal,6,FALSE)</f>
        <v>0</v>
      </c>
      <c r="AA25" s="751">
        <f t="shared" ref="AA25:AA39" si="20">VLOOKUP(S25,Kengetal,7,FALSE)</f>
        <v>0</v>
      </c>
      <c r="AB25" s="605">
        <f t="shared" ref="AB25:AB39" si="21">VLOOKUP(T25,Kengetal,6,FALSE)</f>
        <v>0</v>
      </c>
      <c r="AC25" s="607"/>
      <c r="AD25" s="591" t="str">
        <f t="shared" ref="AD25:AD39" si="22">AL25</f>
        <v>Friesland College</v>
      </c>
      <c r="AE25" s="608"/>
      <c r="AF25" s="639">
        <v>206</v>
      </c>
      <c r="AG25" s="639">
        <f t="shared" si="9"/>
        <v>206</v>
      </c>
      <c r="AH25" s="639">
        <f t="shared" si="6"/>
        <v>0</v>
      </c>
      <c r="AI25" s="640"/>
      <c r="AJ25" s="641">
        <f t="shared" si="12"/>
        <v>0</v>
      </c>
      <c r="AK25" s="642"/>
      <c r="AL25" s="642" t="s">
        <v>364</v>
      </c>
      <c r="AM25" s="642"/>
      <c r="AN25" s="642"/>
      <c r="AO25" s="644">
        <v>17</v>
      </c>
      <c r="AP25" s="565"/>
      <c r="AQ25" s="566"/>
      <c r="AR25" s="566"/>
      <c r="AS25" s="566"/>
      <c r="AT25" s="566"/>
      <c r="AU25" s="566"/>
      <c r="AV25" s="566"/>
      <c r="AW25" s="566"/>
      <c r="AX25" s="566"/>
      <c r="AY25" s="566"/>
      <c r="AZ25" s="566"/>
      <c r="BA25" s="566"/>
      <c r="BB25" s="566"/>
      <c r="BC25" s="566"/>
      <c r="BD25" s="566"/>
      <c r="BE25" s="566"/>
      <c r="BF25" s="566"/>
      <c r="BG25" s="566"/>
    </row>
    <row r="26" spans="1:59">
      <c r="A26" s="591"/>
      <c r="B26" s="592"/>
      <c r="C26" s="593"/>
      <c r="D26" s="594">
        <v>1</v>
      </c>
      <c r="E26" s="595" t="s">
        <v>366</v>
      </c>
      <c r="F26" s="593" t="s">
        <v>367</v>
      </c>
      <c r="G26" s="596" t="s">
        <v>386</v>
      </c>
      <c r="H26" s="596"/>
      <c r="I26" s="596"/>
      <c r="J26" s="596"/>
      <c r="K26" s="596"/>
      <c r="L26" s="591" t="s">
        <v>319</v>
      </c>
      <c r="M26" s="597" t="str">
        <f t="shared" si="0"/>
        <v>Gang, hal, pantry, aula, repro, gardarobe</v>
      </c>
      <c r="N26" s="591" t="s">
        <v>939</v>
      </c>
      <c r="O26" s="621"/>
      <c r="P26" s="622"/>
      <c r="Q26" s="600">
        <f t="shared" si="5"/>
        <v>0</v>
      </c>
      <c r="R26" s="601">
        <f t="shared" si="14"/>
        <v>200</v>
      </c>
      <c r="S26" s="647">
        <v>104200</v>
      </c>
      <c r="T26" s="602"/>
      <c r="U26" s="645">
        <v>1</v>
      </c>
      <c r="V26" s="593">
        <f t="shared" si="15"/>
        <v>200</v>
      </c>
      <c r="W26" s="604">
        <f t="shared" si="16"/>
        <v>0</v>
      </c>
      <c r="X26" s="604">
        <f t="shared" si="17"/>
        <v>0</v>
      </c>
      <c r="Y26" s="604">
        <f t="shared" si="18"/>
        <v>0</v>
      </c>
      <c r="Z26" s="605">
        <f t="shared" si="19"/>
        <v>0</v>
      </c>
      <c r="AA26" s="751">
        <f t="shared" si="20"/>
        <v>0</v>
      </c>
      <c r="AB26" s="605">
        <f t="shared" si="21"/>
        <v>0</v>
      </c>
      <c r="AC26" s="607"/>
      <c r="AD26" s="591" t="str">
        <f t="shared" si="22"/>
        <v>Friesland College</v>
      </c>
      <c r="AE26" s="608"/>
      <c r="AF26" s="639">
        <v>200</v>
      </c>
      <c r="AG26" s="639">
        <f t="shared" si="9"/>
        <v>200</v>
      </c>
      <c r="AH26" s="639">
        <f t="shared" si="6"/>
        <v>0</v>
      </c>
      <c r="AI26" s="640"/>
      <c r="AJ26" s="641">
        <f t="shared" si="12"/>
        <v>0</v>
      </c>
      <c r="AK26" s="642"/>
      <c r="AL26" s="642" t="s">
        <v>364</v>
      </c>
      <c r="AM26" s="642"/>
      <c r="AN26" s="642"/>
      <c r="AO26" s="644">
        <v>18</v>
      </c>
      <c r="AP26" s="565"/>
      <c r="AQ26" s="566"/>
      <c r="AR26" s="566"/>
      <c r="AS26" s="566"/>
      <c r="AT26" s="566"/>
      <c r="AU26" s="566"/>
      <c r="AV26" s="566"/>
      <c r="AW26" s="566"/>
      <c r="AX26" s="566"/>
      <c r="AY26" s="566"/>
      <c r="AZ26" s="566"/>
      <c r="BA26" s="566"/>
      <c r="BB26" s="566"/>
      <c r="BC26" s="566"/>
      <c r="BD26" s="566"/>
      <c r="BE26" s="566"/>
      <c r="BF26" s="566"/>
      <c r="BG26" s="566"/>
    </row>
    <row r="27" spans="1:59">
      <c r="A27" s="591"/>
      <c r="B27" s="592"/>
      <c r="C27" s="593"/>
      <c r="D27" s="594">
        <v>1</v>
      </c>
      <c r="E27" s="595" t="s">
        <v>366</v>
      </c>
      <c r="F27" s="593" t="s">
        <v>367</v>
      </c>
      <c r="G27" s="596" t="s">
        <v>386</v>
      </c>
      <c r="H27" s="596"/>
      <c r="I27" s="596"/>
      <c r="J27" s="596"/>
      <c r="K27" s="596"/>
      <c r="L27" s="591" t="s">
        <v>762</v>
      </c>
      <c r="M27" s="597" t="str">
        <f t="shared" si="0"/>
        <v>Gang, hal, pantry, aula, repro, gardarobe</v>
      </c>
      <c r="N27" s="591" t="s">
        <v>78</v>
      </c>
      <c r="O27" s="598"/>
      <c r="P27" s="599"/>
      <c r="Q27" s="600">
        <f t="shared" si="5"/>
        <v>0</v>
      </c>
      <c r="R27" s="601">
        <f t="shared" si="14"/>
        <v>22</v>
      </c>
      <c r="S27" s="647">
        <v>104200</v>
      </c>
      <c r="T27" s="602"/>
      <c r="U27" s="645">
        <v>1</v>
      </c>
      <c r="V27" s="593">
        <f t="shared" si="15"/>
        <v>200</v>
      </c>
      <c r="W27" s="604">
        <f t="shared" si="16"/>
        <v>0</v>
      </c>
      <c r="X27" s="604">
        <f t="shared" si="17"/>
        <v>0</v>
      </c>
      <c r="Y27" s="604">
        <f t="shared" si="18"/>
        <v>0</v>
      </c>
      <c r="Z27" s="605">
        <f t="shared" si="19"/>
        <v>0</v>
      </c>
      <c r="AA27" s="751">
        <f t="shared" si="20"/>
        <v>0</v>
      </c>
      <c r="AB27" s="605">
        <f t="shared" si="21"/>
        <v>0</v>
      </c>
      <c r="AC27" s="607"/>
      <c r="AD27" s="591" t="str">
        <f t="shared" si="22"/>
        <v>Friesland College</v>
      </c>
      <c r="AE27" s="608"/>
      <c r="AF27" s="639">
        <v>22</v>
      </c>
      <c r="AG27" s="639">
        <f t="shared" si="9"/>
        <v>22</v>
      </c>
      <c r="AH27" s="639">
        <f t="shared" si="6"/>
        <v>0</v>
      </c>
      <c r="AI27" s="640"/>
      <c r="AJ27" s="641">
        <f t="shared" si="12"/>
        <v>0</v>
      </c>
      <c r="AK27" s="642"/>
      <c r="AL27" s="642" t="s">
        <v>364</v>
      </c>
      <c r="AM27" s="642"/>
      <c r="AN27" s="642"/>
      <c r="AO27" s="644">
        <v>19</v>
      </c>
      <c r="AP27" s="565"/>
      <c r="AQ27" s="566"/>
      <c r="AR27" s="566"/>
      <c r="AS27" s="566"/>
      <c r="AT27" s="566"/>
      <c r="AU27" s="566"/>
      <c r="AV27" s="566"/>
      <c r="AW27" s="566"/>
      <c r="AX27" s="566"/>
      <c r="AY27" s="566"/>
      <c r="AZ27" s="566"/>
      <c r="BA27" s="566"/>
      <c r="BB27" s="566"/>
      <c r="BC27" s="566"/>
      <c r="BD27" s="566"/>
      <c r="BE27" s="566"/>
      <c r="BF27" s="566"/>
      <c r="BG27" s="566"/>
    </row>
    <row r="28" spans="1:59">
      <c r="A28" s="591"/>
      <c r="B28" s="592"/>
      <c r="C28" s="593"/>
      <c r="D28" s="594">
        <v>1</v>
      </c>
      <c r="E28" s="595" t="s">
        <v>366</v>
      </c>
      <c r="F28" s="593" t="s">
        <v>367</v>
      </c>
      <c r="G28" s="596" t="s">
        <v>387</v>
      </c>
      <c r="H28" s="596"/>
      <c r="I28" s="596"/>
      <c r="J28" s="596"/>
      <c r="K28" s="596"/>
      <c r="L28" s="591" t="s">
        <v>763</v>
      </c>
      <c r="M28" s="597" t="str">
        <f t="shared" si="0"/>
        <v>Trappenhuis-bordes</v>
      </c>
      <c r="N28" s="591" t="s">
        <v>940</v>
      </c>
      <c r="O28" s="598"/>
      <c r="P28" s="599"/>
      <c r="Q28" s="600">
        <f t="shared" si="5"/>
        <v>0</v>
      </c>
      <c r="R28" s="601">
        <f t="shared" si="14"/>
        <v>15</v>
      </c>
      <c r="S28" s="647">
        <v>108200</v>
      </c>
      <c r="T28" s="602"/>
      <c r="U28" s="645">
        <v>1</v>
      </c>
      <c r="V28" s="593">
        <f t="shared" si="15"/>
        <v>200</v>
      </c>
      <c r="W28" s="604">
        <f t="shared" si="16"/>
        <v>0</v>
      </c>
      <c r="X28" s="604">
        <f t="shared" si="17"/>
        <v>0</v>
      </c>
      <c r="Y28" s="604">
        <f t="shared" si="18"/>
        <v>0</v>
      </c>
      <c r="Z28" s="605">
        <f t="shared" si="19"/>
        <v>0</v>
      </c>
      <c r="AA28" s="751">
        <f t="shared" si="20"/>
        <v>0</v>
      </c>
      <c r="AB28" s="605">
        <f t="shared" si="21"/>
        <v>0</v>
      </c>
      <c r="AC28" s="607"/>
      <c r="AD28" s="591" t="str">
        <f t="shared" si="22"/>
        <v>Friesland College</v>
      </c>
      <c r="AE28" s="608"/>
      <c r="AF28" s="639">
        <v>15</v>
      </c>
      <c r="AG28" s="639">
        <f t="shared" si="9"/>
        <v>15</v>
      </c>
      <c r="AH28" s="639">
        <f t="shared" si="6"/>
        <v>0</v>
      </c>
      <c r="AI28" s="640"/>
      <c r="AJ28" s="641">
        <f t="shared" si="12"/>
        <v>0</v>
      </c>
      <c r="AK28" s="642"/>
      <c r="AL28" s="642" t="s">
        <v>364</v>
      </c>
      <c r="AM28" s="642"/>
      <c r="AN28" s="642"/>
      <c r="AO28" s="644">
        <v>20</v>
      </c>
      <c r="AP28" s="565"/>
      <c r="AQ28" s="566"/>
      <c r="AR28" s="566"/>
      <c r="AS28" s="566"/>
      <c r="AT28" s="566"/>
      <c r="AU28" s="566"/>
      <c r="AV28" s="566"/>
      <c r="AW28" s="566"/>
      <c r="AX28" s="566"/>
      <c r="AY28" s="566"/>
      <c r="AZ28" s="566"/>
      <c r="BA28" s="566"/>
      <c r="BB28" s="566"/>
      <c r="BC28" s="566"/>
      <c r="BD28" s="566"/>
      <c r="BE28" s="566"/>
      <c r="BF28" s="566"/>
      <c r="BG28" s="566"/>
    </row>
    <row r="29" spans="1:59">
      <c r="A29" s="591"/>
      <c r="B29" s="592"/>
      <c r="C29" s="593"/>
      <c r="D29" s="594">
        <v>1</v>
      </c>
      <c r="E29" s="595" t="s">
        <v>366</v>
      </c>
      <c r="F29" s="593" t="s">
        <v>367</v>
      </c>
      <c r="G29" s="596" t="s">
        <v>387</v>
      </c>
      <c r="H29" s="596"/>
      <c r="I29" s="596"/>
      <c r="J29" s="596"/>
      <c r="K29" s="596"/>
      <c r="L29" s="591" t="s">
        <v>764</v>
      </c>
      <c r="M29" s="597" t="str">
        <f t="shared" si="0"/>
        <v>Gang, hal, pantry, aula, repro, gardarobe</v>
      </c>
      <c r="N29" s="591" t="s">
        <v>78</v>
      </c>
      <c r="O29" s="598"/>
      <c r="P29" s="599"/>
      <c r="Q29" s="600">
        <f t="shared" si="5"/>
        <v>0</v>
      </c>
      <c r="R29" s="601">
        <f t="shared" si="14"/>
        <v>22</v>
      </c>
      <c r="S29" s="647">
        <v>104200</v>
      </c>
      <c r="T29" s="602"/>
      <c r="U29" s="645">
        <v>1</v>
      </c>
      <c r="V29" s="593">
        <f t="shared" si="15"/>
        <v>200</v>
      </c>
      <c r="W29" s="604">
        <f t="shared" si="16"/>
        <v>0</v>
      </c>
      <c r="X29" s="604">
        <f t="shared" si="17"/>
        <v>0</v>
      </c>
      <c r="Y29" s="604">
        <f t="shared" si="18"/>
        <v>0</v>
      </c>
      <c r="Z29" s="605">
        <f t="shared" si="19"/>
        <v>0</v>
      </c>
      <c r="AA29" s="751">
        <f t="shared" si="20"/>
        <v>0</v>
      </c>
      <c r="AB29" s="605">
        <f t="shared" si="21"/>
        <v>0</v>
      </c>
      <c r="AC29" s="607"/>
      <c r="AD29" s="591" t="str">
        <f t="shared" si="22"/>
        <v>Friesland College</v>
      </c>
      <c r="AE29" s="608"/>
      <c r="AF29" s="639">
        <v>22</v>
      </c>
      <c r="AG29" s="639">
        <f t="shared" si="9"/>
        <v>22</v>
      </c>
      <c r="AH29" s="639">
        <f t="shared" si="6"/>
        <v>0</v>
      </c>
      <c r="AI29" s="640"/>
      <c r="AJ29" s="641">
        <f t="shared" si="12"/>
        <v>0</v>
      </c>
      <c r="AK29" s="642"/>
      <c r="AL29" s="642" t="s">
        <v>364</v>
      </c>
      <c r="AM29" s="642"/>
      <c r="AN29" s="642"/>
      <c r="AO29" s="644">
        <v>21</v>
      </c>
      <c r="AP29" s="565"/>
      <c r="AQ29" s="566"/>
      <c r="AR29" s="566"/>
      <c r="AS29" s="566"/>
      <c r="AT29" s="566"/>
      <c r="AU29" s="566"/>
      <c r="AV29" s="566"/>
      <c r="AW29" s="566"/>
      <c r="AX29" s="566"/>
      <c r="AY29" s="566"/>
      <c r="AZ29" s="566"/>
      <c r="BA29" s="566"/>
      <c r="BB29" s="566"/>
      <c r="BC29" s="566"/>
      <c r="BD29" s="566"/>
      <c r="BE29" s="566"/>
      <c r="BF29" s="566"/>
      <c r="BG29" s="566"/>
    </row>
    <row r="30" spans="1:59">
      <c r="A30" s="591"/>
      <c r="B30" s="592"/>
      <c r="C30" s="593"/>
      <c r="D30" s="594">
        <v>1</v>
      </c>
      <c r="E30" s="595" t="s">
        <v>366</v>
      </c>
      <c r="F30" s="593" t="s">
        <v>367</v>
      </c>
      <c r="G30" s="596" t="s">
        <v>388</v>
      </c>
      <c r="H30" s="596"/>
      <c r="I30" s="596"/>
      <c r="J30" s="596"/>
      <c r="K30" s="596"/>
      <c r="L30" s="591" t="s">
        <v>319</v>
      </c>
      <c r="M30" s="597" t="str">
        <f t="shared" si="0"/>
        <v>Gang, hal, pantry, aula, repro, gardarobe</v>
      </c>
      <c r="N30" s="591" t="s">
        <v>941</v>
      </c>
      <c r="O30" s="598"/>
      <c r="P30" s="599"/>
      <c r="Q30" s="600">
        <f t="shared" si="5"/>
        <v>0</v>
      </c>
      <c r="R30" s="601">
        <f t="shared" si="14"/>
        <v>27</v>
      </c>
      <c r="S30" s="647">
        <v>104200</v>
      </c>
      <c r="T30" s="602"/>
      <c r="U30" s="645">
        <v>1</v>
      </c>
      <c r="V30" s="593">
        <f t="shared" si="15"/>
        <v>200</v>
      </c>
      <c r="W30" s="604">
        <f t="shared" si="16"/>
        <v>0</v>
      </c>
      <c r="X30" s="604">
        <f t="shared" si="17"/>
        <v>0</v>
      </c>
      <c r="Y30" s="604">
        <f t="shared" si="18"/>
        <v>0</v>
      </c>
      <c r="Z30" s="605">
        <f t="shared" si="19"/>
        <v>0</v>
      </c>
      <c r="AA30" s="751">
        <f t="shared" si="20"/>
        <v>0</v>
      </c>
      <c r="AB30" s="605">
        <f t="shared" si="21"/>
        <v>0</v>
      </c>
      <c r="AC30" s="607"/>
      <c r="AD30" s="591" t="str">
        <f t="shared" si="22"/>
        <v>Friesland College</v>
      </c>
      <c r="AE30" s="608"/>
      <c r="AF30" s="639">
        <v>27</v>
      </c>
      <c r="AG30" s="639">
        <f t="shared" si="9"/>
        <v>27</v>
      </c>
      <c r="AH30" s="639">
        <f t="shared" si="6"/>
        <v>0</v>
      </c>
      <c r="AI30" s="640"/>
      <c r="AJ30" s="641">
        <f t="shared" si="12"/>
        <v>0</v>
      </c>
      <c r="AK30" s="642"/>
      <c r="AL30" s="642" t="s">
        <v>364</v>
      </c>
      <c r="AM30" s="642"/>
      <c r="AN30" s="642"/>
      <c r="AO30" s="644">
        <v>22</v>
      </c>
      <c r="AP30" s="565"/>
      <c r="AQ30" s="566"/>
      <c r="AR30" s="566"/>
      <c r="AS30" s="566"/>
      <c r="AT30" s="566"/>
      <c r="AU30" s="566"/>
      <c r="AV30" s="566"/>
      <c r="AW30" s="566"/>
      <c r="AX30" s="566"/>
      <c r="AY30" s="566"/>
      <c r="AZ30" s="566"/>
      <c r="BA30" s="566"/>
      <c r="BB30" s="566"/>
      <c r="BC30" s="566"/>
      <c r="BD30" s="566"/>
      <c r="BE30" s="566"/>
      <c r="BF30" s="566"/>
      <c r="BG30" s="566"/>
    </row>
    <row r="31" spans="1:59">
      <c r="A31" s="591"/>
      <c r="B31" s="592"/>
      <c r="C31" s="593"/>
      <c r="D31" s="594">
        <v>1</v>
      </c>
      <c r="E31" s="595" t="s">
        <v>366</v>
      </c>
      <c r="F31" s="593" t="s">
        <v>367</v>
      </c>
      <c r="G31" s="596" t="s">
        <v>389</v>
      </c>
      <c r="H31" s="596"/>
      <c r="I31" s="596"/>
      <c r="J31" s="596"/>
      <c r="K31" s="596"/>
      <c r="L31" s="591" t="s">
        <v>319</v>
      </c>
      <c r="M31" s="597" t="str">
        <f t="shared" si="0"/>
        <v>Gang, hal, pantry, aula, repro, gardarobe</v>
      </c>
      <c r="N31" s="591" t="s">
        <v>78</v>
      </c>
      <c r="O31" s="598"/>
      <c r="P31" s="599"/>
      <c r="Q31" s="600">
        <f t="shared" si="5"/>
        <v>0</v>
      </c>
      <c r="R31" s="601">
        <f t="shared" si="14"/>
        <v>37</v>
      </c>
      <c r="S31" s="647">
        <v>104200</v>
      </c>
      <c r="T31" s="602"/>
      <c r="U31" s="645">
        <v>1</v>
      </c>
      <c r="V31" s="593">
        <f t="shared" si="15"/>
        <v>200</v>
      </c>
      <c r="W31" s="604">
        <f t="shared" si="16"/>
        <v>0</v>
      </c>
      <c r="X31" s="604">
        <f t="shared" si="17"/>
        <v>0</v>
      </c>
      <c r="Y31" s="604">
        <f t="shared" si="18"/>
        <v>0</v>
      </c>
      <c r="Z31" s="605">
        <f t="shared" si="19"/>
        <v>0</v>
      </c>
      <c r="AA31" s="751">
        <f t="shared" si="20"/>
        <v>0</v>
      </c>
      <c r="AB31" s="605">
        <f t="shared" si="21"/>
        <v>0</v>
      </c>
      <c r="AC31" s="607"/>
      <c r="AD31" s="591" t="str">
        <f t="shared" si="22"/>
        <v>Friesland College</v>
      </c>
      <c r="AE31" s="608"/>
      <c r="AF31" s="639">
        <v>37</v>
      </c>
      <c r="AG31" s="639">
        <f t="shared" si="9"/>
        <v>37</v>
      </c>
      <c r="AH31" s="639">
        <f t="shared" si="6"/>
        <v>0</v>
      </c>
      <c r="AI31" s="640"/>
      <c r="AJ31" s="641">
        <f t="shared" si="12"/>
        <v>0</v>
      </c>
      <c r="AK31" s="642"/>
      <c r="AL31" s="642" t="s">
        <v>364</v>
      </c>
      <c r="AM31" s="642"/>
      <c r="AN31" s="642"/>
      <c r="AO31" s="644">
        <v>23</v>
      </c>
      <c r="AP31" s="565"/>
      <c r="AQ31" s="566"/>
      <c r="AR31" s="566"/>
      <c r="AS31" s="566"/>
      <c r="AT31" s="566"/>
      <c r="AU31" s="566"/>
      <c r="AV31" s="566"/>
      <c r="AW31" s="566"/>
      <c r="AX31" s="566"/>
      <c r="AY31" s="566"/>
      <c r="AZ31" s="566"/>
      <c r="BA31" s="566"/>
      <c r="BB31" s="566"/>
      <c r="BC31" s="566"/>
      <c r="BD31" s="566"/>
      <c r="BE31" s="566"/>
      <c r="BF31" s="566"/>
      <c r="BG31" s="566"/>
    </row>
    <row r="32" spans="1:59">
      <c r="A32" s="591"/>
      <c r="B32" s="592"/>
      <c r="C32" s="593"/>
      <c r="D32" s="594">
        <v>1</v>
      </c>
      <c r="E32" s="595" t="s">
        <v>366</v>
      </c>
      <c r="F32" s="593" t="s">
        <v>367</v>
      </c>
      <c r="G32" s="596" t="s">
        <v>390</v>
      </c>
      <c r="H32" s="596"/>
      <c r="I32" s="596"/>
      <c r="J32" s="596"/>
      <c r="K32" s="596"/>
      <c r="L32" s="591" t="s">
        <v>765</v>
      </c>
      <c r="M32" s="597" t="str">
        <f t="shared" si="0"/>
        <v>Lift</v>
      </c>
      <c r="N32" s="591" t="s">
        <v>938</v>
      </c>
      <c r="O32" s="598"/>
      <c r="P32" s="599"/>
      <c r="Q32" s="600">
        <f t="shared" si="5"/>
        <v>0</v>
      </c>
      <c r="R32" s="601">
        <f t="shared" si="14"/>
        <v>2.5</v>
      </c>
      <c r="S32" s="647">
        <v>109200</v>
      </c>
      <c r="T32" s="602"/>
      <c r="U32" s="645">
        <v>1</v>
      </c>
      <c r="V32" s="593">
        <f t="shared" si="15"/>
        <v>200</v>
      </c>
      <c r="W32" s="604">
        <f t="shared" si="16"/>
        <v>0</v>
      </c>
      <c r="X32" s="604">
        <f t="shared" si="17"/>
        <v>0</v>
      </c>
      <c r="Y32" s="604">
        <f t="shared" si="18"/>
        <v>0</v>
      </c>
      <c r="Z32" s="605">
        <f t="shared" si="19"/>
        <v>0</v>
      </c>
      <c r="AA32" s="751">
        <f t="shared" si="20"/>
        <v>0</v>
      </c>
      <c r="AB32" s="605">
        <f t="shared" si="21"/>
        <v>0</v>
      </c>
      <c r="AC32" s="607"/>
      <c r="AD32" s="591" t="str">
        <f t="shared" si="22"/>
        <v>Friesland College</v>
      </c>
      <c r="AE32" s="608"/>
      <c r="AF32" s="639">
        <v>2.5</v>
      </c>
      <c r="AG32" s="639">
        <f t="shared" si="9"/>
        <v>2.5</v>
      </c>
      <c r="AH32" s="639">
        <f t="shared" si="6"/>
        <v>0</v>
      </c>
      <c r="AI32" s="640"/>
      <c r="AJ32" s="641">
        <f t="shared" si="12"/>
        <v>0</v>
      </c>
      <c r="AK32" s="642"/>
      <c r="AL32" s="642" t="s">
        <v>364</v>
      </c>
      <c r="AM32" s="642"/>
      <c r="AN32" s="642"/>
      <c r="AO32" s="644">
        <v>24</v>
      </c>
      <c r="AP32" s="565"/>
      <c r="AQ32" s="566"/>
      <c r="AR32" s="566"/>
      <c r="AS32" s="566"/>
      <c r="AT32" s="566"/>
      <c r="AU32" s="566"/>
      <c r="AV32" s="566"/>
      <c r="AW32" s="566"/>
      <c r="AX32" s="566"/>
      <c r="AY32" s="566"/>
      <c r="AZ32" s="566"/>
      <c r="BA32" s="566"/>
      <c r="BB32" s="566"/>
      <c r="BC32" s="566"/>
      <c r="BD32" s="566"/>
      <c r="BE32" s="566"/>
      <c r="BF32" s="566"/>
      <c r="BG32" s="566"/>
    </row>
    <row r="33" spans="1:59">
      <c r="A33" s="591"/>
      <c r="B33" s="592"/>
      <c r="C33" s="593"/>
      <c r="D33" s="594">
        <v>1</v>
      </c>
      <c r="E33" s="595" t="s">
        <v>366</v>
      </c>
      <c r="F33" s="593" t="s">
        <v>367</v>
      </c>
      <c r="G33" s="596" t="s">
        <v>390</v>
      </c>
      <c r="H33" s="596"/>
      <c r="I33" s="596"/>
      <c r="J33" s="596"/>
      <c r="K33" s="596"/>
      <c r="L33" s="591" t="s">
        <v>766</v>
      </c>
      <c r="M33" s="597" t="str">
        <f t="shared" si="0"/>
        <v>Gang, hal, pantry, aula, repro, gardarobe</v>
      </c>
      <c r="N33" s="591" t="s">
        <v>939</v>
      </c>
      <c r="O33" s="598"/>
      <c r="P33" s="599"/>
      <c r="Q33" s="600">
        <f t="shared" si="5"/>
        <v>0</v>
      </c>
      <c r="R33" s="601">
        <f t="shared" si="14"/>
        <v>360</v>
      </c>
      <c r="S33" s="647">
        <v>104200</v>
      </c>
      <c r="T33" s="602"/>
      <c r="U33" s="645">
        <v>1</v>
      </c>
      <c r="V33" s="593">
        <f t="shared" si="15"/>
        <v>200</v>
      </c>
      <c r="W33" s="604">
        <f t="shared" si="16"/>
        <v>0</v>
      </c>
      <c r="X33" s="604">
        <f t="shared" si="17"/>
        <v>0</v>
      </c>
      <c r="Y33" s="604">
        <f t="shared" si="18"/>
        <v>0</v>
      </c>
      <c r="Z33" s="605">
        <f t="shared" si="19"/>
        <v>0</v>
      </c>
      <c r="AA33" s="751">
        <f t="shared" si="20"/>
        <v>0</v>
      </c>
      <c r="AB33" s="605">
        <f t="shared" si="21"/>
        <v>0</v>
      </c>
      <c r="AC33" s="607"/>
      <c r="AD33" s="591" t="str">
        <f t="shared" si="22"/>
        <v>Friesland College</v>
      </c>
      <c r="AE33" s="608"/>
      <c r="AF33" s="639">
        <v>360</v>
      </c>
      <c r="AG33" s="639">
        <f t="shared" si="9"/>
        <v>360</v>
      </c>
      <c r="AH33" s="639">
        <f t="shared" si="6"/>
        <v>0</v>
      </c>
      <c r="AI33" s="640"/>
      <c r="AJ33" s="641">
        <f t="shared" si="12"/>
        <v>0</v>
      </c>
      <c r="AK33" s="642"/>
      <c r="AL33" s="642" t="s">
        <v>364</v>
      </c>
      <c r="AM33" s="642"/>
      <c r="AN33" s="642"/>
      <c r="AO33" s="644">
        <v>25</v>
      </c>
      <c r="AP33" s="565"/>
      <c r="AQ33" s="566"/>
      <c r="AR33" s="566"/>
      <c r="AS33" s="566"/>
      <c r="AT33" s="566"/>
      <c r="AU33" s="566"/>
      <c r="AV33" s="566"/>
      <c r="AW33" s="566"/>
      <c r="AX33" s="566"/>
      <c r="AY33" s="566"/>
      <c r="AZ33" s="566"/>
      <c r="BA33" s="566"/>
      <c r="BB33" s="566"/>
      <c r="BC33" s="566"/>
      <c r="BD33" s="566"/>
      <c r="BE33" s="566"/>
      <c r="BF33" s="566"/>
      <c r="BG33" s="566"/>
    </row>
    <row r="34" spans="1:59">
      <c r="A34" s="591"/>
      <c r="B34" s="592"/>
      <c r="C34" s="593"/>
      <c r="D34" s="594">
        <v>1</v>
      </c>
      <c r="E34" s="595" t="s">
        <v>366</v>
      </c>
      <c r="F34" s="593" t="s">
        <v>367</v>
      </c>
      <c r="G34" s="596" t="s">
        <v>391</v>
      </c>
      <c r="H34" s="596"/>
      <c r="I34" s="596"/>
      <c r="J34" s="596"/>
      <c r="K34" s="596"/>
      <c r="L34" s="591" t="s">
        <v>319</v>
      </c>
      <c r="M34" s="597" t="str">
        <f t="shared" si="0"/>
        <v>Gang, hal, pantry, aula, repro, gardarobe</v>
      </c>
      <c r="N34" s="591" t="s">
        <v>938</v>
      </c>
      <c r="O34" s="598"/>
      <c r="P34" s="599"/>
      <c r="Q34" s="600">
        <f t="shared" si="5"/>
        <v>0</v>
      </c>
      <c r="R34" s="601">
        <f t="shared" si="14"/>
        <v>9</v>
      </c>
      <c r="S34" s="647">
        <v>104200</v>
      </c>
      <c r="T34" s="602"/>
      <c r="U34" s="645">
        <v>1</v>
      </c>
      <c r="V34" s="593">
        <f t="shared" si="15"/>
        <v>200</v>
      </c>
      <c r="W34" s="604">
        <f t="shared" si="16"/>
        <v>0</v>
      </c>
      <c r="X34" s="604">
        <f t="shared" si="17"/>
        <v>0</v>
      </c>
      <c r="Y34" s="604">
        <f t="shared" si="18"/>
        <v>0</v>
      </c>
      <c r="Z34" s="605">
        <f t="shared" si="19"/>
        <v>0</v>
      </c>
      <c r="AA34" s="751">
        <f t="shared" si="20"/>
        <v>0</v>
      </c>
      <c r="AB34" s="605">
        <f t="shared" si="21"/>
        <v>0</v>
      </c>
      <c r="AC34" s="607"/>
      <c r="AD34" s="591" t="str">
        <f t="shared" si="22"/>
        <v>Friesland College</v>
      </c>
      <c r="AE34" s="608"/>
      <c r="AF34" s="639">
        <v>9</v>
      </c>
      <c r="AG34" s="639">
        <f t="shared" si="9"/>
        <v>9</v>
      </c>
      <c r="AH34" s="639">
        <f t="shared" si="6"/>
        <v>0</v>
      </c>
      <c r="AI34" s="640"/>
      <c r="AJ34" s="641">
        <f t="shared" si="12"/>
        <v>0</v>
      </c>
      <c r="AK34" s="642"/>
      <c r="AL34" s="642" t="s">
        <v>364</v>
      </c>
      <c r="AM34" s="642"/>
      <c r="AN34" s="642"/>
      <c r="AO34" s="644">
        <v>26</v>
      </c>
      <c r="AP34" s="565"/>
      <c r="AQ34" s="566"/>
      <c r="AR34" s="566"/>
      <c r="AS34" s="566"/>
      <c r="AT34" s="566"/>
      <c r="AU34" s="566"/>
      <c r="AV34" s="566"/>
      <c r="AW34" s="566"/>
      <c r="AX34" s="566"/>
      <c r="AY34" s="566"/>
      <c r="AZ34" s="566"/>
      <c r="BA34" s="566"/>
      <c r="BB34" s="566"/>
      <c r="BC34" s="566"/>
      <c r="BD34" s="566"/>
      <c r="BE34" s="566"/>
      <c r="BF34" s="566"/>
      <c r="BG34" s="566"/>
    </row>
    <row r="35" spans="1:59">
      <c r="A35" s="591"/>
      <c r="B35" s="592"/>
      <c r="C35" s="593"/>
      <c r="D35" s="594">
        <v>1</v>
      </c>
      <c r="E35" s="595" t="s">
        <v>366</v>
      </c>
      <c r="F35" s="593" t="s">
        <v>367</v>
      </c>
      <c r="G35" s="596" t="s">
        <v>391</v>
      </c>
      <c r="H35" s="596"/>
      <c r="I35" s="596"/>
      <c r="J35" s="596"/>
      <c r="K35" s="596"/>
      <c r="L35" s="591" t="s">
        <v>767</v>
      </c>
      <c r="M35" s="597" t="str">
        <f t="shared" si="0"/>
        <v>Gang, hal, pantry, aula, repro, gardarobe</v>
      </c>
      <c r="N35" s="591" t="s">
        <v>939</v>
      </c>
      <c r="O35" s="598"/>
      <c r="P35" s="599"/>
      <c r="Q35" s="600">
        <f t="shared" si="5"/>
        <v>0</v>
      </c>
      <c r="R35" s="601">
        <f t="shared" si="14"/>
        <v>115</v>
      </c>
      <c r="S35" s="647">
        <v>104200</v>
      </c>
      <c r="T35" s="602"/>
      <c r="U35" s="645">
        <v>1</v>
      </c>
      <c r="V35" s="593">
        <f t="shared" si="15"/>
        <v>200</v>
      </c>
      <c r="W35" s="604">
        <f t="shared" si="16"/>
        <v>0</v>
      </c>
      <c r="X35" s="604">
        <f t="shared" si="17"/>
        <v>0</v>
      </c>
      <c r="Y35" s="604">
        <f t="shared" si="18"/>
        <v>0</v>
      </c>
      <c r="Z35" s="605">
        <f t="shared" si="19"/>
        <v>0</v>
      </c>
      <c r="AA35" s="751">
        <f t="shared" si="20"/>
        <v>0</v>
      </c>
      <c r="AB35" s="605">
        <f t="shared" si="21"/>
        <v>0</v>
      </c>
      <c r="AC35" s="607"/>
      <c r="AD35" s="591" t="str">
        <f t="shared" si="22"/>
        <v>Friesland College</v>
      </c>
      <c r="AE35" s="608"/>
      <c r="AF35" s="639">
        <v>115</v>
      </c>
      <c r="AG35" s="639">
        <f t="shared" si="9"/>
        <v>115</v>
      </c>
      <c r="AH35" s="639">
        <f t="shared" si="6"/>
        <v>0</v>
      </c>
      <c r="AI35" s="640"/>
      <c r="AJ35" s="641">
        <f t="shared" si="12"/>
        <v>0</v>
      </c>
      <c r="AK35" s="642"/>
      <c r="AL35" s="642" t="s">
        <v>364</v>
      </c>
      <c r="AM35" s="642"/>
      <c r="AN35" s="642"/>
      <c r="AO35" s="644">
        <v>27</v>
      </c>
      <c r="AP35" s="565"/>
      <c r="AQ35" s="566"/>
      <c r="AR35" s="566"/>
      <c r="AS35" s="566"/>
      <c r="AT35" s="566"/>
      <c r="AU35" s="566"/>
      <c r="AV35" s="566"/>
      <c r="AW35" s="566"/>
      <c r="AX35" s="566"/>
      <c r="AY35" s="566"/>
      <c r="AZ35" s="566"/>
      <c r="BA35" s="566"/>
      <c r="BB35" s="566"/>
      <c r="BC35" s="566"/>
      <c r="BD35" s="566"/>
      <c r="BE35" s="566"/>
      <c r="BF35" s="566"/>
      <c r="BG35" s="566"/>
    </row>
    <row r="36" spans="1:59">
      <c r="A36" s="591"/>
      <c r="B36" s="592"/>
      <c r="C36" s="593"/>
      <c r="D36" s="594">
        <v>1</v>
      </c>
      <c r="E36" s="595" t="s">
        <v>366</v>
      </c>
      <c r="F36" s="593" t="s">
        <v>367</v>
      </c>
      <c r="G36" s="596" t="s">
        <v>392</v>
      </c>
      <c r="H36" s="596"/>
      <c r="I36" s="596"/>
      <c r="J36" s="596"/>
      <c r="K36" s="596"/>
      <c r="L36" s="591" t="s">
        <v>768</v>
      </c>
      <c r="M36" s="597" t="str">
        <f t="shared" si="0"/>
        <v>Niet van toepassing</v>
      </c>
      <c r="N36" s="591" t="s">
        <v>938</v>
      </c>
      <c r="O36" s="598"/>
      <c r="P36" s="599"/>
      <c r="Q36" s="600">
        <f t="shared" si="5"/>
        <v>0</v>
      </c>
      <c r="R36" s="601">
        <f t="shared" si="14"/>
        <v>3</v>
      </c>
      <c r="S36" s="603" t="s">
        <v>28</v>
      </c>
      <c r="T36" s="602"/>
      <c r="U36" s="603"/>
      <c r="V36" s="593">
        <f t="shared" si="2"/>
        <v>0</v>
      </c>
      <c r="W36" s="604">
        <f t="shared" si="16"/>
        <v>0</v>
      </c>
      <c r="X36" s="604">
        <f t="shared" si="17"/>
        <v>0</v>
      </c>
      <c r="Y36" s="604">
        <f t="shared" si="18"/>
        <v>0</v>
      </c>
      <c r="Z36" s="605">
        <f t="shared" si="19"/>
        <v>0</v>
      </c>
      <c r="AA36" s="751">
        <f t="shared" si="20"/>
        <v>0</v>
      </c>
      <c r="AB36" s="605">
        <f t="shared" si="21"/>
        <v>0</v>
      </c>
      <c r="AC36" s="607"/>
      <c r="AD36" s="591" t="str">
        <f t="shared" si="22"/>
        <v>Friesland College</v>
      </c>
      <c r="AE36" s="608"/>
      <c r="AF36" s="639">
        <v>3</v>
      </c>
      <c r="AG36" s="639">
        <f t="shared" si="9"/>
        <v>3</v>
      </c>
      <c r="AH36" s="639">
        <f t="shared" si="6"/>
        <v>0</v>
      </c>
      <c r="AI36" s="640"/>
      <c r="AJ36" s="641">
        <f t="shared" si="12"/>
        <v>0</v>
      </c>
      <c r="AK36" s="642"/>
      <c r="AL36" s="642" t="s">
        <v>364</v>
      </c>
      <c r="AM36" s="642"/>
      <c r="AN36" s="642"/>
      <c r="AO36" s="644">
        <v>28</v>
      </c>
      <c r="AP36" s="565"/>
      <c r="AQ36" s="566"/>
      <c r="AR36" s="566"/>
      <c r="AS36" s="566"/>
      <c r="AT36" s="566"/>
      <c r="AU36" s="566"/>
      <c r="AV36" s="566"/>
      <c r="AW36" s="566"/>
      <c r="AX36" s="566"/>
      <c r="AY36" s="566"/>
      <c r="AZ36" s="566"/>
      <c r="BA36" s="566"/>
      <c r="BB36" s="566"/>
      <c r="BC36" s="566"/>
      <c r="BD36" s="566"/>
      <c r="BE36" s="566"/>
      <c r="BF36" s="566"/>
      <c r="BG36" s="566"/>
    </row>
    <row r="37" spans="1:59">
      <c r="A37" s="591"/>
      <c r="B37" s="592"/>
      <c r="C37" s="593"/>
      <c r="D37" s="594">
        <v>1</v>
      </c>
      <c r="E37" s="595" t="s">
        <v>366</v>
      </c>
      <c r="F37" s="593" t="s">
        <v>367</v>
      </c>
      <c r="G37" s="596" t="s">
        <v>392</v>
      </c>
      <c r="H37" s="596"/>
      <c r="I37" s="596"/>
      <c r="J37" s="596"/>
      <c r="K37" s="596"/>
      <c r="L37" s="591" t="s">
        <v>769</v>
      </c>
      <c r="M37" s="597" t="str">
        <f t="shared" si="0"/>
        <v>Gang, hal, pantry, aula, repro, gardarobe</v>
      </c>
      <c r="N37" s="591" t="s">
        <v>78</v>
      </c>
      <c r="O37" s="598"/>
      <c r="P37" s="599"/>
      <c r="Q37" s="600">
        <f t="shared" si="5"/>
        <v>0</v>
      </c>
      <c r="R37" s="601">
        <f t="shared" si="14"/>
        <v>25</v>
      </c>
      <c r="S37" s="647">
        <v>104200</v>
      </c>
      <c r="T37" s="602"/>
      <c r="U37" s="645">
        <v>1</v>
      </c>
      <c r="V37" s="593">
        <f t="shared" ref="V37" si="23">VLOOKUP(S37,Kengetal,3,FALSE)+VLOOKUP(T37,Kengetal,3,FALSE)</f>
        <v>200</v>
      </c>
      <c r="W37" s="604">
        <f t="shared" si="16"/>
        <v>0</v>
      </c>
      <c r="X37" s="604">
        <f t="shared" si="17"/>
        <v>0</v>
      </c>
      <c r="Y37" s="604">
        <f t="shared" si="18"/>
        <v>0</v>
      </c>
      <c r="Z37" s="605">
        <f t="shared" si="19"/>
        <v>0</v>
      </c>
      <c r="AA37" s="751">
        <f t="shared" si="20"/>
        <v>0</v>
      </c>
      <c r="AB37" s="605">
        <f t="shared" si="21"/>
        <v>0</v>
      </c>
      <c r="AC37" s="607"/>
      <c r="AD37" s="591" t="str">
        <f t="shared" si="22"/>
        <v>Friesland College</v>
      </c>
      <c r="AE37" s="608"/>
      <c r="AF37" s="639">
        <v>25</v>
      </c>
      <c r="AG37" s="639">
        <f t="shared" si="9"/>
        <v>25</v>
      </c>
      <c r="AH37" s="639">
        <f t="shared" si="6"/>
        <v>0</v>
      </c>
      <c r="AI37" s="640"/>
      <c r="AJ37" s="641">
        <f t="shared" si="12"/>
        <v>0</v>
      </c>
      <c r="AK37" s="642"/>
      <c r="AL37" s="642" t="s">
        <v>364</v>
      </c>
      <c r="AM37" s="642"/>
      <c r="AN37" s="642"/>
      <c r="AO37" s="644">
        <v>29</v>
      </c>
      <c r="AP37" s="565"/>
      <c r="AQ37" s="566"/>
      <c r="AR37" s="566"/>
      <c r="AS37" s="566"/>
      <c r="AT37" s="566"/>
      <c r="AU37" s="566"/>
      <c r="AV37" s="566"/>
      <c r="AW37" s="566"/>
      <c r="AX37" s="566"/>
      <c r="AY37" s="566"/>
      <c r="AZ37" s="566"/>
      <c r="BA37" s="566"/>
      <c r="BB37" s="566"/>
      <c r="BC37" s="566"/>
      <c r="BD37" s="566"/>
      <c r="BE37" s="566"/>
      <c r="BF37" s="566"/>
      <c r="BG37" s="566"/>
    </row>
    <row r="38" spans="1:59">
      <c r="A38" s="591"/>
      <c r="B38" s="592"/>
      <c r="C38" s="593"/>
      <c r="D38" s="594">
        <v>1</v>
      </c>
      <c r="E38" s="595" t="s">
        <v>366</v>
      </c>
      <c r="F38" s="593" t="s">
        <v>367</v>
      </c>
      <c r="G38" s="596" t="s">
        <v>393</v>
      </c>
      <c r="H38" s="596"/>
      <c r="I38" s="596"/>
      <c r="J38" s="596"/>
      <c r="K38" s="596"/>
      <c r="L38" s="591" t="s">
        <v>768</v>
      </c>
      <c r="M38" s="597" t="str">
        <f t="shared" si="0"/>
        <v>Niet van toepassing</v>
      </c>
      <c r="N38" s="591" t="s">
        <v>343</v>
      </c>
      <c r="O38" s="598"/>
      <c r="P38" s="599"/>
      <c r="Q38" s="600">
        <f t="shared" si="5"/>
        <v>0</v>
      </c>
      <c r="R38" s="601">
        <f t="shared" si="14"/>
        <v>12</v>
      </c>
      <c r="S38" s="603" t="s">
        <v>28</v>
      </c>
      <c r="T38" s="602"/>
      <c r="U38" s="603"/>
      <c r="V38" s="593">
        <f t="shared" si="2"/>
        <v>0</v>
      </c>
      <c r="W38" s="604">
        <f t="shared" si="16"/>
        <v>0</v>
      </c>
      <c r="X38" s="604">
        <f t="shared" si="17"/>
        <v>0</v>
      </c>
      <c r="Y38" s="604">
        <f t="shared" si="18"/>
        <v>0</v>
      </c>
      <c r="Z38" s="605">
        <f t="shared" si="19"/>
        <v>0</v>
      </c>
      <c r="AA38" s="751">
        <f t="shared" si="20"/>
        <v>0</v>
      </c>
      <c r="AB38" s="605">
        <f t="shared" si="21"/>
        <v>0</v>
      </c>
      <c r="AC38" s="607"/>
      <c r="AD38" s="591" t="str">
        <f t="shared" si="22"/>
        <v>Friesland College</v>
      </c>
      <c r="AE38" s="608"/>
      <c r="AF38" s="639">
        <v>12</v>
      </c>
      <c r="AG38" s="639">
        <f t="shared" si="9"/>
        <v>12</v>
      </c>
      <c r="AH38" s="639">
        <f t="shared" si="6"/>
        <v>0</v>
      </c>
      <c r="AI38" s="640"/>
      <c r="AJ38" s="641">
        <f t="shared" si="12"/>
        <v>0</v>
      </c>
      <c r="AK38" s="642"/>
      <c r="AL38" s="642" t="s">
        <v>364</v>
      </c>
      <c r="AM38" s="642"/>
      <c r="AN38" s="642"/>
      <c r="AO38" s="644">
        <v>30</v>
      </c>
      <c r="AP38" s="565"/>
      <c r="AQ38" s="566"/>
      <c r="AR38" s="566"/>
      <c r="AS38" s="566"/>
      <c r="AT38" s="566"/>
      <c r="AU38" s="566"/>
      <c r="AV38" s="566"/>
      <c r="AW38" s="566"/>
      <c r="AX38" s="566"/>
      <c r="AY38" s="566"/>
      <c r="AZ38" s="566"/>
      <c r="BA38" s="566"/>
      <c r="BB38" s="566"/>
      <c r="BC38" s="566"/>
      <c r="BD38" s="566"/>
      <c r="BE38" s="566"/>
      <c r="BF38" s="566"/>
      <c r="BG38" s="566"/>
    </row>
    <row r="39" spans="1:59">
      <c r="A39" s="591"/>
      <c r="B39" s="592"/>
      <c r="C39" s="593"/>
      <c r="D39" s="594">
        <v>1</v>
      </c>
      <c r="E39" s="595" t="s">
        <v>366</v>
      </c>
      <c r="F39" s="593" t="s">
        <v>367</v>
      </c>
      <c r="G39" s="596" t="s">
        <v>393</v>
      </c>
      <c r="H39" s="596" t="s">
        <v>394</v>
      </c>
      <c r="I39" s="596"/>
      <c r="J39" s="596"/>
      <c r="K39" s="596"/>
      <c r="L39" s="591" t="s">
        <v>770</v>
      </c>
      <c r="M39" s="597" t="str">
        <f t="shared" si="0"/>
        <v>Administratieve -, personeels- en vergaderruimte</v>
      </c>
      <c r="N39" s="591" t="s">
        <v>939</v>
      </c>
      <c r="O39" s="598"/>
      <c r="P39" s="599"/>
      <c r="Q39" s="600">
        <f t="shared" si="5"/>
        <v>0</v>
      </c>
      <c r="R39" s="601">
        <f>AF39</f>
        <v>65</v>
      </c>
      <c r="S39" s="647">
        <v>101100</v>
      </c>
      <c r="T39" s="602"/>
      <c r="U39" s="645">
        <v>1</v>
      </c>
      <c r="V39" s="593">
        <f t="shared" ref="V39" si="24">VLOOKUP(S39,Kengetal,3,FALSE)+VLOOKUP(T39,Kengetal,3,FALSE)</f>
        <v>100</v>
      </c>
      <c r="W39" s="604">
        <f t="shared" si="16"/>
        <v>0</v>
      </c>
      <c r="X39" s="604">
        <f t="shared" si="17"/>
        <v>0</v>
      </c>
      <c r="Y39" s="604">
        <f t="shared" si="18"/>
        <v>0</v>
      </c>
      <c r="Z39" s="605">
        <f t="shared" si="19"/>
        <v>0</v>
      </c>
      <c r="AA39" s="751">
        <f t="shared" si="20"/>
        <v>0</v>
      </c>
      <c r="AB39" s="605">
        <f t="shared" si="21"/>
        <v>0</v>
      </c>
      <c r="AC39" s="607"/>
      <c r="AD39" s="591" t="str">
        <f t="shared" si="22"/>
        <v>Friesland College</v>
      </c>
      <c r="AE39" s="608"/>
      <c r="AF39" s="639">
        <v>65</v>
      </c>
      <c r="AG39" s="639">
        <f t="shared" si="9"/>
        <v>65</v>
      </c>
      <c r="AH39" s="639">
        <f t="shared" si="6"/>
        <v>0</v>
      </c>
      <c r="AI39" s="640"/>
      <c r="AJ39" s="641">
        <f t="shared" si="12"/>
        <v>0</v>
      </c>
      <c r="AK39" s="642"/>
      <c r="AL39" s="642" t="s">
        <v>364</v>
      </c>
      <c r="AM39" s="642"/>
      <c r="AN39" s="642"/>
      <c r="AO39" s="644">
        <v>31</v>
      </c>
      <c r="AP39" s="565"/>
      <c r="AQ39" s="566"/>
      <c r="AR39" s="566"/>
      <c r="AS39" s="566"/>
      <c r="AT39" s="566"/>
      <c r="AU39" s="566"/>
      <c r="AV39" s="566"/>
      <c r="AW39" s="566"/>
      <c r="AX39" s="566"/>
      <c r="AY39" s="566"/>
      <c r="AZ39" s="566"/>
      <c r="BA39" s="566"/>
      <c r="BB39" s="566"/>
      <c r="BC39" s="566"/>
      <c r="BD39" s="566"/>
      <c r="BE39" s="566"/>
      <c r="BF39" s="566"/>
      <c r="BG39" s="566"/>
    </row>
    <row r="40" spans="1:59">
      <c r="A40" s="591"/>
      <c r="B40" s="592"/>
      <c r="C40" s="609"/>
      <c r="D40" s="609">
        <v>1</v>
      </c>
      <c r="E40" s="595" t="s">
        <v>366</v>
      </c>
      <c r="F40" s="593" t="s">
        <v>367</v>
      </c>
      <c r="G40" s="610" t="s">
        <v>393</v>
      </c>
      <c r="H40" s="610" t="s">
        <v>394</v>
      </c>
      <c r="I40" s="610"/>
      <c r="J40" s="610"/>
      <c r="K40" s="610"/>
      <c r="L40" s="611" t="s">
        <v>770</v>
      </c>
      <c r="M40" s="612">
        <f t="shared" si="0"/>
        <v>0</v>
      </c>
      <c r="N40" s="613"/>
      <c r="O40" s="614" t="s">
        <v>989</v>
      </c>
      <c r="P40" s="615">
        <v>100</v>
      </c>
      <c r="Q40" s="616">
        <f t="shared" si="5"/>
        <v>65</v>
      </c>
      <c r="R40" s="613"/>
      <c r="S40" s="603"/>
      <c r="T40" s="606"/>
      <c r="U40" s="606"/>
      <c r="V40" s="593">
        <f t="shared" si="2"/>
        <v>0</v>
      </c>
      <c r="W40" s="606"/>
      <c r="X40" s="606"/>
      <c r="Y40" s="606"/>
      <c r="Z40" s="606"/>
      <c r="AA40" s="606"/>
      <c r="AB40" s="606"/>
      <c r="AC40" s="607"/>
      <c r="AD40" s="606"/>
      <c r="AE40" s="608"/>
      <c r="AF40" s="639">
        <v>65</v>
      </c>
      <c r="AG40" s="639">
        <f t="shared" si="9"/>
        <v>65</v>
      </c>
      <c r="AH40" s="639">
        <f t="shared" si="6"/>
        <v>0</v>
      </c>
      <c r="AI40" s="640"/>
      <c r="AJ40" s="641">
        <f t="shared" si="12"/>
        <v>0</v>
      </c>
      <c r="AK40" s="642"/>
      <c r="AL40" s="642" t="s">
        <v>364</v>
      </c>
      <c r="AM40" s="642"/>
      <c r="AN40" s="642"/>
      <c r="AO40" s="644">
        <v>32</v>
      </c>
      <c r="AP40" s="565"/>
      <c r="AQ40" s="566"/>
      <c r="AR40" s="566"/>
      <c r="AS40" s="566"/>
      <c r="AT40" s="566"/>
      <c r="AU40" s="566"/>
      <c r="AV40" s="566"/>
      <c r="AW40" s="566"/>
      <c r="AX40" s="566"/>
      <c r="AY40" s="566"/>
      <c r="AZ40" s="566"/>
      <c r="BA40" s="566"/>
      <c r="BB40" s="566"/>
      <c r="BC40" s="566"/>
      <c r="BD40" s="566"/>
      <c r="BE40" s="566"/>
      <c r="BF40" s="566"/>
      <c r="BG40" s="566"/>
    </row>
    <row r="41" spans="1:59">
      <c r="A41" s="591"/>
      <c r="B41" s="592"/>
      <c r="C41" s="593"/>
      <c r="D41" s="594">
        <v>1</v>
      </c>
      <c r="E41" s="595" t="s">
        <v>366</v>
      </c>
      <c r="F41" s="593" t="s">
        <v>367</v>
      </c>
      <c r="G41" s="596" t="s">
        <v>395</v>
      </c>
      <c r="H41" s="596"/>
      <c r="I41" s="596"/>
      <c r="J41" s="596"/>
      <c r="K41" s="596"/>
      <c r="L41" s="591" t="s">
        <v>771</v>
      </c>
      <c r="M41" s="597" t="str">
        <f t="shared" si="0"/>
        <v>Niet van toepassing</v>
      </c>
      <c r="N41" s="591" t="s">
        <v>938</v>
      </c>
      <c r="O41" s="598"/>
      <c r="P41" s="599"/>
      <c r="Q41" s="600">
        <f t="shared" si="5"/>
        <v>0</v>
      </c>
      <c r="R41" s="601">
        <f>AF41</f>
        <v>9</v>
      </c>
      <c r="S41" s="603" t="s">
        <v>28</v>
      </c>
      <c r="T41" s="602"/>
      <c r="U41" s="603"/>
      <c r="V41" s="593">
        <f t="shared" si="2"/>
        <v>0</v>
      </c>
      <c r="W41" s="604">
        <f t="shared" ref="W41:W42" si="25">Z41*R41*U41</f>
        <v>0</v>
      </c>
      <c r="X41" s="604">
        <f t="shared" ref="X41:X42" si="26">AA41*R41</f>
        <v>0</v>
      </c>
      <c r="Y41" s="604">
        <f t="shared" ref="Y41:Y42" si="27">AB41*R41</f>
        <v>0</v>
      </c>
      <c r="Z41" s="605">
        <f>VLOOKUP(S41,Kengetal,6,FALSE)</f>
        <v>0</v>
      </c>
      <c r="AA41" s="751">
        <f>VLOOKUP(S41,Kengetal,7,FALSE)</f>
        <v>0</v>
      </c>
      <c r="AB41" s="605">
        <f>VLOOKUP(T41,Kengetal,6,FALSE)</f>
        <v>0</v>
      </c>
      <c r="AC41" s="607"/>
      <c r="AD41" s="591" t="str">
        <f>AL41</f>
        <v>Friesland College</v>
      </c>
      <c r="AE41" s="608"/>
      <c r="AF41" s="639">
        <v>9</v>
      </c>
      <c r="AG41" s="639">
        <f t="shared" si="9"/>
        <v>9</v>
      </c>
      <c r="AH41" s="639">
        <f t="shared" si="6"/>
        <v>0</v>
      </c>
      <c r="AI41" s="640"/>
      <c r="AJ41" s="641">
        <f t="shared" si="12"/>
        <v>0</v>
      </c>
      <c r="AK41" s="642"/>
      <c r="AL41" s="642" t="s">
        <v>364</v>
      </c>
      <c r="AM41" s="642"/>
      <c r="AN41" s="642"/>
      <c r="AO41" s="644">
        <v>33</v>
      </c>
      <c r="AP41" s="565"/>
      <c r="AQ41" s="566"/>
      <c r="AR41" s="566"/>
      <c r="AS41" s="566"/>
      <c r="AT41" s="566"/>
      <c r="AU41" s="566"/>
      <c r="AV41" s="566"/>
      <c r="AW41" s="566"/>
      <c r="AX41" s="566"/>
      <c r="AY41" s="566"/>
      <c r="AZ41" s="566"/>
      <c r="BA41" s="566"/>
      <c r="BB41" s="566"/>
      <c r="BC41" s="566"/>
      <c r="BD41" s="566"/>
      <c r="BE41" s="566"/>
      <c r="BF41" s="566"/>
      <c r="BG41" s="566"/>
    </row>
    <row r="42" spans="1:59">
      <c r="A42" s="591"/>
      <c r="B42" s="592"/>
      <c r="C42" s="593"/>
      <c r="D42" s="594">
        <v>1</v>
      </c>
      <c r="E42" s="595" t="s">
        <v>366</v>
      </c>
      <c r="F42" s="593" t="s">
        <v>367</v>
      </c>
      <c r="G42" s="596" t="s">
        <v>395</v>
      </c>
      <c r="H42" s="596" t="s">
        <v>396</v>
      </c>
      <c r="I42" s="596"/>
      <c r="J42" s="596"/>
      <c r="K42" s="596"/>
      <c r="L42" s="591" t="s">
        <v>772</v>
      </c>
      <c r="M42" s="597" t="str">
        <f t="shared" si="0"/>
        <v>Onderwijsruimte (theorie)</v>
      </c>
      <c r="N42" s="591" t="s">
        <v>939</v>
      </c>
      <c r="O42" s="598"/>
      <c r="P42" s="599"/>
      <c r="Q42" s="600">
        <f t="shared" si="5"/>
        <v>0</v>
      </c>
      <c r="R42" s="601">
        <f>AF42</f>
        <v>12</v>
      </c>
      <c r="S42" s="647">
        <v>102200</v>
      </c>
      <c r="T42" s="602"/>
      <c r="U42" s="645">
        <v>1</v>
      </c>
      <c r="V42" s="593">
        <f t="shared" ref="V42" si="28">VLOOKUP(S42,Kengetal,3,FALSE)+VLOOKUP(T42,Kengetal,3,FALSE)</f>
        <v>200</v>
      </c>
      <c r="W42" s="604">
        <f t="shared" si="25"/>
        <v>0</v>
      </c>
      <c r="X42" s="604">
        <f t="shared" si="26"/>
        <v>0</v>
      </c>
      <c r="Y42" s="604">
        <f t="shared" si="27"/>
        <v>0</v>
      </c>
      <c r="Z42" s="605">
        <f>VLOOKUP(S42,Kengetal,6,FALSE)</f>
        <v>0</v>
      </c>
      <c r="AA42" s="751">
        <f>VLOOKUP(S42,Kengetal,7,FALSE)</f>
        <v>0</v>
      </c>
      <c r="AB42" s="605">
        <f>VLOOKUP(T42,Kengetal,6,FALSE)</f>
        <v>0</v>
      </c>
      <c r="AC42" s="607"/>
      <c r="AD42" s="591" t="str">
        <f>AL42</f>
        <v>Friesland College</v>
      </c>
      <c r="AE42" s="608"/>
      <c r="AF42" s="639">
        <v>12</v>
      </c>
      <c r="AG42" s="639">
        <f t="shared" si="9"/>
        <v>12</v>
      </c>
      <c r="AH42" s="639">
        <f t="shared" si="6"/>
        <v>0</v>
      </c>
      <c r="AI42" s="640"/>
      <c r="AJ42" s="641">
        <f t="shared" si="12"/>
        <v>0</v>
      </c>
      <c r="AK42" s="642"/>
      <c r="AL42" s="642" t="s">
        <v>364</v>
      </c>
      <c r="AM42" s="642"/>
      <c r="AN42" s="642"/>
      <c r="AO42" s="644">
        <v>34</v>
      </c>
      <c r="AP42" s="565"/>
      <c r="AQ42" s="566"/>
      <c r="AR42" s="566"/>
      <c r="AS42" s="566"/>
      <c r="AT42" s="566"/>
      <c r="AU42" s="566"/>
      <c r="AV42" s="566"/>
      <c r="AW42" s="566"/>
      <c r="AX42" s="566"/>
      <c r="AY42" s="566"/>
      <c r="AZ42" s="566"/>
      <c r="BA42" s="566"/>
      <c r="BB42" s="566"/>
      <c r="BC42" s="566"/>
      <c r="BD42" s="566"/>
      <c r="BE42" s="566"/>
      <c r="BF42" s="566"/>
      <c r="BG42" s="566"/>
    </row>
    <row r="43" spans="1:59">
      <c r="A43" s="591"/>
      <c r="B43" s="618"/>
      <c r="C43" s="609"/>
      <c r="D43" s="609">
        <v>1</v>
      </c>
      <c r="E43" s="595" t="s">
        <v>366</v>
      </c>
      <c r="F43" s="593" t="s">
        <v>367</v>
      </c>
      <c r="G43" s="610" t="s">
        <v>395</v>
      </c>
      <c r="H43" s="610" t="s">
        <v>396</v>
      </c>
      <c r="I43" s="610"/>
      <c r="J43" s="610"/>
      <c r="K43" s="610"/>
      <c r="L43" s="611" t="s">
        <v>772</v>
      </c>
      <c r="M43" s="612">
        <f t="shared" ref="M43:M74" si="29">VLOOKUP(S43,Kengetal,4,FALSE)</f>
        <v>0</v>
      </c>
      <c r="N43" s="613"/>
      <c r="O43" s="614" t="s">
        <v>989</v>
      </c>
      <c r="P43" s="615">
        <v>100</v>
      </c>
      <c r="Q43" s="616">
        <f t="shared" si="5"/>
        <v>12</v>
      </c>
      <c r="R43" s="613"/>
      <c r="S43" s="603"/>
      <c r="T43" s="606"/>
      <c r="U43" s="606"/>
      <c r="V43" s="593">
        <f t="shared" si="2"/>
        <v>0</v>
      </c>
      <c r="W43" s="606"/>
      <c r="X43" s="606"/>
      <c r="Y43" s="606"/>
      <c r="Z43" s="606"/>
      <c r="AA43" s="606"/>
      <c r="AB43" s="606"/>
      <c r="AC43" s="607"/>
      <c r="AD43" s="606"/>
      <c r="AE43" s="608"/>
      <c r="AF43" s="639">
        <v>12</v>
      </c>
      <c r="AG43" s="639">
        <f t="shared" si="9"/>
        <v>12</v>
      </c>
      <c r="AH43" s="639">
        <f t="shared" si="6"/>
        <v>0</v>
      </c>
      <c r="AI43" s="640"/>
      <c r="AJ43" s="641">
        <f t="shared" si="12"/>
        <v>0</v>
      </c>
      <c r="AK43" s="642"/>
      <c r="AL43" s="642" t="s">
        <v>364</v>
      </c>
      <c r="AM43" s="642"/>
      <c r="AN43" s="642"/>
      <c r="AO43" s="644">
        <v>35</v>
      </c>
      <c r="AP43" s="565"/>
      <c r="AQ43" s="566"/>
      <c r="AR43" s="566"/>
      <c r="AS43" s="566"/>
      <c r="AT43" s="566"/>
      <c r="AU43" s="566"/>
      <c r="AV43" s="566"/>
      <c r="AW43" s="566"/>
      <c r="AX43" s="566"/>
      <c r="AY43" s="566"/>
      <c r="AZ43" s="566"/>
      <c r="BA43" s="566"/>
      <c r="BB43" s="566"/>
      <c r="BC43" s="566"/>
      <c r="BD43" s="566"/>
      <c r="BE43" s="566"/>
      <c r="BF43" s="566"/>
      <c r="BG43" s="566"/>
    </row>
    <row r="44" spans="1:59">
      <c r="A44" s="591"/>
      <c r="B44" s="592"/>
      <c r="C44" s="593"/>
      <c r="D44" s="594">
        <v>1</v>
      </c>
      <c r="E44" s="595" t="s">
        <v>366</v>
      </c>
      <c r="F44" s="593" t="s">
        <v>367</v>
      </c>
      <c r="G44" s="596" t="s">
        <v>397</v>
      </c>
      <c r="H44" s="596"/>
      <c r="I44" s="596"/>
      <c r="J44" s="596"/>
      <c r="K44" s="596"/>
      <c r="L44" s="591" t="s">
        <v>773</v>
      </c>
      <c r="M44" s="597" t="str">
        <f t="shared" si="0"/>
        <v>Sanitaire ruimte (toilet-/doucheruimte)</v>
      </c>
      <c r="N44" s="591" t="s">
        <v>85</v>
      </c>
      <c r="O44" s="598"/>
      <c r="P44" s="599"/>
      <c r="Q44" s="600">
        <f t="shared" si="5"/>
        <v>0</v>
      </c>
      <c r="R44" s="601">
        <f>AF44</f>
        <v>20</v>
      </c>
      <c r="S44" s="647">
        <v>103200</v>
      </c>
      <c r="T44" s="647">
        <v>103400</v>
      </c>
      <c r="U44" s="645">
        <v>1</v>
      </c>
      <c r="V44" s="593">
        <f t="shared" ref="V44:V45" si="30">VLOOKUP(S44,Kengetal,3,FALSE)+VLOOKUP(T44,Kengetal,3,FALSE)</f>
        <v>400</v>
      </c>
      <c r="W44" s="604">
        <f t="shared" ref="W44:W45" si="31">Z44*R44*U44</f>
        <v>0</v>
      </c>
      <c r="X44" s="604">
        <f t="shared" ref="X44:X45" si="32">AA44*R44</f>
        <v>0</v>
      </c>
      <c r="Y44" s="604">
        <f t="shared" ref="Y44:Y45" si="33">AB44*R44</f>
        <v>0</v>
      </c>
      <c r="Z44" s="605">
        <f>VLOOKUP(S44,Kengetal,6,FALSE)</f>
        <v>0</v>
      </c>
      <c r="AA44" s="751">
        <f>VLOOKUP(S44,Kengetal,7,FALSE)</f>
        <v>0</v>
      </c>
      <c r="AB44" s="605">
        <f>VLOOKUP(T44,Kengetal,6,FALSE)</f>
        <v>0</v>
      </c>
      <c r="AC44" s="607"/>
      <c r="AD44" s="591" t="str">
        <f>AL44</f>
        <v>Friesland College</v>
      </c>
      <c r="AE44" s="608"/>
      <c r="AF44" s="639">
        <v>20</v>
      </c>
      <c r="AG44" s="639">
        <f t="shared" si="9"/>
        <v>20</v>
      </c>
      <c r="AH44" s="639">
        <f t="shared" si="6"/>
        <v>0</v>
      </c>
      <c r="AI44" s="640"/>
      <c r="AJ44" s="641">
        <f t="shared" si="12"/>
        <v>0</v>
      </c>
      <c r="AK44" s="642"/>
      <c r="AL44" s="642" t="s">
        <v>364</v>
      </c>
      <c r="AM44" s="642"/>
      <c r="AN44" s="642"/>
      <c r="AO44" s="644">
        <v>36</v>
      </c>
      <c r="AP44" s="565"/>
      <c r="AQ44" s="566"/>
      <c r="AR44" s="566"/>
      <c r="AS44" s="566"/>
      <c r="AT44" s="566"/>
      <c r="AU44" s="566"/>
      <c r="AV44" s="566"/>
      <c r="AW44" s="566"/>
      <c r="AX44" s="566"/>
      <c r="AY44" s="566"/>
      <c r="AZ44" s="566"/>
      <c r="BA44" s="566"/>
      <c r="BB44" s="566"/>
      <c r="BC44" s="566"/>
      <c r="BD44" s="566"/>
      <c r="BE44" s="566"/>
      <c r="BF44" s="566"/>
      <c r="BG44" s="566"/>
    </row>
    <row r="45" spans="1:59">
      <c r="A45" s="591"/>
      <c r="B45" s="592"/>
      <c r="C45" s="593"/>
      <c r="D45" s="594">
        <v>1</v>
      </c>
      <c r="E45" s="595" t="s">
        <v>366</v>
      </c>
      <c r="F45" s="593" t="s">
        <v>367</v>
      </c>
      <c r="G45" s="596" t="s">
        <v>397</v>
      </c>
      <c r="H45" s="596" t="s">
        <v>398</v>
      </c>
      <c r="I45" s="596"/>
      <c r="J45" s="596"/>
      <c r="K45" s="596"/>
      <c r="L45" s="591" t="s">
        <v>774</v>
      </c>
      <c r="M45" s="597" t="str">
        <f t="shared" si="0"/>
        <v>Administratieve -, personeels- en vergaderruimte</v>
      </c>
      <c r="N45" s="591" t="s">
        <v>939</v>
      </c>
      <c r="O45" s="598"/>
      <c r="P45" s="599"/>
      <c r="Q45" s="600">
        <f t="shared" si="5"/>
        <v>0</v>
      </c>
      <c r="R45" s="601">
        <f>AF45</f>
        <v>12</v>
      </c>
      <c r="S45" s="647">
        <v>101100</v>
      </c>
      <c r="T45" s="602"/>
      <c r="U45" s="645">
        <v>1</v>
      </c>
      <c r="V45" s="593">
        <f t="shared" si="30"/>
        <v>100</v>
      </c>
      <c r="W45" s="604">
        <f t="shared" si="31"/>
        <v>0</v>
      </c>
      <c r="X45" s="604">
        <f t="shared" si="32"/>
        <v>0</v>
      </c>
      <c r="Y45" s="604">
        <f t="shared" si="33"/>
        <v>0</v>
      </c>
      <c r="Z45" s="605">
        <f>VLOOKUP(S45,Kengetal,6,FALSE)</f>
        <v>0</v>
      </c>
      <c r="AA45" s="751">
        <f>VLOOKUP(S45,Kengetal,7,FALSE)</f>
        <v>0</v>
      </c>
      <c r="AB45" s="605">
        <f>VLOOKUP(T45,Kengetal,6,FALSE)</f>
        <v>0</v>
      </c>
      <c r="AC45" s="607"/>
      <c r="AD45" s="591" t="str">
        <f>AL45</f>
        <v>Friesland College</v>
      </c>
      <c r="AE45" s="608"/>
      <c r="AF45" s="639">
        <v>12</v>
      </c>
      <c r="AG45" s="639">
        <f t="shared" si="9"/>
        <v>12</v>
      </c>
      <c r="AH45" s="639">
        <f t="shared" si="6"/>
        <v>0</v>
      </c>
      <c r="AI45" s="640"/>
      <c r="AJ45" s="641">
        <f t="shared" si="12"/>
        <v>0</v>
      </c>
      <c r="AK45" s="642"/>
      <c r="AL45" s="642" t="s">
        <v>364</v>
      </c>
      <c r="AM45" s="642"/>
      <c r="AN45" s="642"/>
      <c r="AO45" s="644">
        <v>37</v>
      </c>
      <c r="AP45" s="565"/>
      <c r="AQ45" s="566"/>
      <c r="AR45" s="566"/>
      <c r="AS45" s="566"/>
      <c r="AT45" s="566"/>
      <c r="AU45" s="566"/>
      <c r="AV45" s="566"/>
      <c r="AW45" s="566"/>
      <c r="AX45" s="566"/>
      <c r="AY45" s="566"/>
      <c r="AZ45" s="566"/>
      <c r="BA45" s="566"/>
      <c r="BB45" s="566"/>
      <c r="BC45" s="566"/>
      <c r="BD45" s="566"/>
      <c r="BE45" s="566"/>
      <c r="BF45" s="566"/>
      <c r="BG45" s="566"/>
    </row>
    <row r="46" spans="1:59">
      <c r="A46" s="591"/>
      <c r="B46" s="618"/>
      <c r="C46" s="609"/>
      <c r="D46" s="609">
        <v>1</v>
      </c>
      <c r="E46" s="595" t="s">
        <v>366</v>
      </c>
      <c r="F46" s="593" t="s">
        <v>367</v>
      </c>
      <c r="G46" s="610" t="s">
        <v>397</v>
      </c>
      <c r="H46" s="610" t="s">
        <v>398</v>
      </c>
      <c r="I46" s="610"/>
      <c r="J46" s="610"/>
      <c r="K46" s="610"/>
      <c r="L46" s="611" t="s">
        <v>774</v>
      </c>
      <c r="M46" s="612">
        <f t="shared" si="29"/>
        <v>0</v>
      </c>
      <c r="N46" s="613"/>
      <c r="O46" s="614" t="s">
        <v>989</v>
      </c>
      <c r="P46" s="615">
        <v>100</v>
      </c>
      <c r="Q46" s="616">
        <f t="shared" si="5"/>
        <v>12</v>
      </c>
      <c r="R46" s="613"/>
      <c r="S46" s="603"/>
      <c r="T46" s="606"/>
      <c r="U46" s="606"/>
      <c r="V46" s="593">
        <f t="shared" si="2"/>
        <v>0</v>
      </c>
      <c r="W46" s="606"/>
      <c r="X46" s="606"/>
      <c r="Y46" s="606"/>
      <c r="Z46" s="606"/>
      <c r="AA46" s="606"/>
      <c r="AB46" s="606"/>
      <c r="AC46" s="607"/>
      <c r="AD46" s="606"/>
      <c r="AE46" s="608"/>
      <c r="AF46" s="639">
        <v>12</v>
      </c>
      <c r="AG46" s="639">
        <f t="shared" si="9"/>
        <v>12</v>
      </c>
      <c r="AH46" s="639">
        <f t="shared" si="6"/>
        <v>0</v>
      </c>
      <c r="AI46" s="640"/>
      <c r="AJ46" s="641">
        <f t="shared" si="12"/>
        <v>0</v>
      </c>
      <c r="AK46" s="642"/>
      <c r="AL46" s="642" t="s">
        <v>364</v>
      </c>
      <c r="AM46" s="642"/>
      <c r="AN46" s="642"/>
      <c r="AO46" s="644">
        <v>38</v>
      </c>
      <c r="AP46" s="565"/>
      <c r="AQ46" s="566"/>
      <c r="AR46" s="566"/>
      <c r="AS46" s="566"/>
      <c r="AT46" s="566"/>
      <c r="AU46" s="566"/>
      <c r="AV46" s="566"/>
      <c r="AW46" s="566"/>
      <c r="AX46" s="566"/>
      <c r="AY46" s="566"/>
      <c r="AZ46" s="566"/>
      <c r="BA46" s="566"/>
      <c r="BB46" s="566"/>
      <c r="BC46" s="566"/>
      <c r="BD46" s="566"/>
      <c r="BE46" s="566"/>
      <c r="BF46" s="566"/>
      <c r="BG46" s="566"/>
    </row>
    <row r="47" spans="1:59">
      <c r="A47" s="591"/>
      <c r="B47" s="592"/>
      <c r="C47" s="593"/>
      <c r="D47" s="594">
        <v>1</v>
      </c>
      <c r="E47" s="595" t="s">
        <v>366</v>
      </c>
      <c r="F47" s="593" t="s">
        <v>367</v>
      </c>
      <c r="G47" s="596" t="s">
        <v>399</v>
      </c>
      <c r="H47" s="596" t="s">
        <v>400</v>
      </c>
      <c r="I47" s="596"/>
      <c r="J47" s="596"/>
      <c r="K47" s="596"/>
      <c r="L47" s="591" t="s">
        <v>775</v>
      </c>
      <c r="M47" s="597" t="str">
        <f t="shared" si="0"/>
        <v>Administratieve -, personeels- en vergaderruimte</v>
      </c>
      <c r="N47" s="591" t="s">
        <v>78</v>
      </c>
      <c r="O47" s="598"/>
      <c r="P47" s="599"/>
      <c r="Q47" s="600">
        <f t="shared" si="5"/>
        <v>0</v>
      </c>
      <c r="R47" s="601">
        <f>AF47</f>
        <v>28</v>
      </c>
      <c r="S47" s="647">
        <v>101100</v>
      </c>
      <c r="T47" s="602"/>
      <c r="U47" s="645">
        <v>1</v>
      </c>
      <c r="V47" s="593">
        <f t="shared" ref="V47" si="34">VLOOKUP(S47,Kengetal,3,FALSE)+VLOOKUP(T47,Kengetal,3,FALSE)</f>
        <v>100</v>
      </c>
      <c r="W47" s="604">
        <f>Z47*R47*U47</f>
        <v>0</v>
      </c>
      <c r="X47" s="604">
        <f>AA47*R47</f>
        <v>0</v>
      </c>
      <c r="Y47" s="604">
        <f>AB47*R47</f>
        <v>0</v>
      </c>
      <c r="Z47" s="605">
        <f>VLOOKUP(S47,Kengetal,6,FALSE)</f>
        <v>0</v>
      </c>
      <c r="AA47" s="751">
        <f>VLOOKUP(S47,Kengetal,7,FALSE)</f>
        <v>0</v>
      </c>
      <c r="AB47" s="605">
        <f>VLOOKUP(T47,Kengetal,6,FALSE)</f>
        <v>0</v>
      </c>
      <c r="AC47" s="607"/>
      <c r="AD47" s="591" t="str">
        <f>AL47</f>
        <v>Friesland College</v>
      </c>
      <c r="AE47" s="608"/>
      <c r="AF47" s="639">
        <v>28</v>
      </c>
      <c r="AG47" s="639">
        <f t="shared" si="9"/>
        <v>28</v>
      </c>
      <c r="AH47" s="639">
        <f t="shared" si="6"/>
        <v>0</v>
      </c>
      <c r="AI47" s="640"/>
      <c r="AJ47" s="641">
        <f t="shared" si="12"/>
        <v>0</v>
      </c>
      <c r="AK47" s="642"/>
      <c r="AL47" s="642" t="s">
        <v>364</v>
      </c>
      <c r="AM47" s="642"/>
      <c r="AN47" s="642"/>
      <c r="AO47" s="644">
        <v>39</v>
      </c>
      <c r="AP47" s="565"/>
      <c r="AQ47" s="566"/>
      <c r="AR47" s="566"/>
      <c r="AS47" s="566"/>
      <c r="AT47" s="566"/>
      <c r="AU47" s="566"/>
      <c r="AV47" s="566"/>
      <c r="AW47" s="566"/>
      <c r="AX47" s="566"/>
      <c r="AY47" s="566"/>
      <c r="AZ47" s="566"/>
      <c r="BA47" s="566"/>
      <c r="BB47" s="566"/>
      <c r="BC47" s="566"/>
      <c r="BD47" s="566"/>
      <c r="BE47" s="566"/>
      <c r="BF47" s="566"/>
      <c r="BG47" s="566"/>
    </row>
    <row r="48" spans="1:59">
      <c r="A48" s="591"/>
      <c r="B48" s="618"/>
      <c r="C48" s="609"/>
      <c r="D48" s="609">
        <v>1</v>
      </c>
      <c r="E48" s="595" t="s">
        <v>366</v>
      </c>
      <c r="F48" s="593" t="s">
        <v>367</v>
      </c>
      <c r="G48" s="610" t="s">
        <v>399</v>
      </c>
      <c r="H48" s="610" t="s">
        <v>400</v>
      </c>
      <c r="I48" s="610"/>
      <c r="J48" s="610"/>
      <c r="K48" s="610"/>
      <c r="L48" s="611" t="s">
        <v>775</v>
      </c>
      <c r="M48" s="612">
        <f t="shared" si="29"/>
        <v>0</v>
      </c>
      <c r="N48" s="613"/>
      <c r="O48" s="614" t="s">
        <v>989</v>
      </c>
      <c r="P48" s="615">
        <v>100</v>
      </c>
      <c r="Q48" s="616">
        <f t="shared" si="5"/>
        <v>28</v>
      </c>
      <c r="R48" s="613"/>
      <c r="S48" s="603"/>
      <c r="T48" s="606"/>
      <c r="U48" s="606"/>
      <c r="V48" s="593">
        <f t="shared" si="2"/>
        <v>0</v>
      </c>
      <c r="W48" s="606"/>
      <c r="X48" s="606"/>
      <c r="Y48" s="606"/>
      <c r="Z48" s="606"/>
      <c r="AA48" s="606"/>
      <c r="AB48" s="606"/>
      <c r="AC48" s="607"/>
      <c r="AD48" s="606"/>
      <c r="AE48" s="608"/>
      <c r="AF48" s="639">
        <v>28</v>
      </c>
      <c r="AG48" s="639">
        <f t="shared" si="9"/>
        <v>28</v>
      </c>
      <c r="AH48" s="639">
        <f t="shared" si="6"/>
        <v>0</v>
      </c>
      <c r="AI48" s="640"/>
      <c r="AJ48" s="641">
        <f t="shared" si="12"/>
        <v>0</v>
      </c>
      <c r="AK48" s="642"/>
      <c r="AL48" s="642" t="s">
        <v>364</v>
      </c>
      <c r="AM48" s="642"/>
      <c r="AN48" s="642"/>
      <c r="AO48" s="644">
        <v>40</v>
      </c>
      <c r="AP48" s="565"/>
      <c r="AQ48" s="566"/>
      <c r="AR48" s="566"/>
      <c r="AS48" s="566"/>
      <c r="AT48" s="566"/>
      <c r="AU48" s="566"/>
      <c r="AV48" s="566"/>
      <c r="AW48" s="566"/>
      <c r="AX48" s="566"/>
      <c r="AY48" s="566"/>
      <c r="AZ48" s="566"/>
      <c r="BA48" s="566"/>
      <c r="BB48" s="566"/>
      <c r="BC48" s="566"/>
      <c r="BD48" s="566"/>
      <c r="BE48" s="566"/>
      <c r="BF48" s="566"/>
      <c r="BG48" s="566"/>
    </row>
    <row r="49" spans="1:59">
      <c r="A49" s="591"/>
      <c r="B49" s="592"/>
      <c r="C49" s="593"/>
      <c r="D49" s="594">
        <v>1</v>
      </c>
      <c r="E49" s="595" t="s">
        <v>366</v>
      </c>
      <c r="F49" s="593" t="s">
        <v>367</v>
      </c>
      <c r="G49" s="596" t="s">
        <v>399</v>
      </c>
      <c r="H49" s="596" t="s">
        <v>401</v>
      </c>
      <c r="I49" s="596"/>
      <c r="J49" s="596"/>
      <c r="K49" s="596"/>
      <c r="L49" s="591" t="s">
        <v>776</v>
      </c>
      <c r="M49" s="597" t="str">
        <f t="shared" si="0"/>
        <v>Administratieve -, personeels- en vergaderruimte</v>
      </c>
      <c r="N49" s="591" t="s">
        <v>939</v>
      </c>
      <c r="O49" s="598"/>
      <c r="P49" s="599"/>
      <c r="Q49" s="600">
        <f t="shared" si="5"/>
        <v>0</v>
      </c>
      <c r="R49" s="601">
        <f>AF49</f>
        <v>12</v>
      </c>
      <c r="S49" s="647">
        <v>101100</v>
      </c>
      <c r="T49" s="602"/>
      <c r="U49" s="645">
        <v>1</v>
      </c>
      <c r="V49" s="593">
        <f t="shared" ref="V49" si="35">VLOOKUP(S49,Kengetal,3,FALSE)+VLOOKUP(T49,Kengetal,3,FALSE)</f>
        <v>100</v>
      </c>
      <c r="W49" s="604">
        <f>Z49*R49*U49</f>
        <v>0</v>
      </c>
      <c r="X49" s="604">
        <f>AA49*R49</f>
        <v>0</v>
      </c>
      <c r="Y49" s="604">
        <f>AB49*R49</f>
        <v>0</v>
      </c>
      <c r="Z49" s="605">
        <f>VLOOKUP(S49,Kengetal,6,FALSE)</f>
        <v>0</v>
      </c>
      <c r="AA49" s="751">
        <f>VLOOKUP(S49,Kengetal,7,FALSE)</f>
        <v>0</v>
      </c>
      <c r="AB49" s="605">
        <f>VLOOKUP(T49,Kengetal,6,FALSE)</f>
        <v>0</v>
      </c>
      <c r="AC49" s="607"/>
      <c r="AD49" s="591" t="str">
        <f>AL49</f>
        <v>Friesland College</v>
      </c>
      <c r="AE49" s="608"/>
      <c r="AF49" s="639">
        <v>12</v>
      </c>
      <c r="AG49" s="639">
        <f t="shared" si="9"/>
        <v>12</v>
      </c>
      <c r="AH49" s="639">
        <f t="shared" si="6"/>
        <v>0</v>
      </c>
      <c r="AI49" s="640"/>
      <c r="AJ49" s="641">
        <f t="shared" si="12"/>
        <v>0</v>
      </c>
      <c r="AK49" s="642"/>
      <c r="AL49" s="642" t="s">
        <v>364</v>
      </c>
      <c r="AM49" s="642"/>
      <c r="AN49" s="642"/>
      <c r="AO49" s="644">
        <v>41</v>
      </c>
      <c r="AP49" s="565"/>
      <c r="AQ49" s="566"/>
      <c r="AR49" s="566"/>
      <c r="AS49" s="566"/>
      <c r="AT49" s="566"/>
      <c r="AU49" s="566"/>
      <c r="AV49" s="566"/>
      <c r="AW49" s="566"/>
      <c r="AX49" s="566"/>
      <c r="AY49" s="566"/>
      <c r="AZ49" s="566"/>
      <c r="BA49" s="566"/>
      <c r="BB49" s="566"/>
      <c r="BC49" s="566"/>
      <c r="BD49" s="566"/>
      <c r="BE49" s="566"/>
      <c r="BF49" s="566"/>
      <c r="BG49" s="566"/>
    </row>
    <row r="50" spans="1:59">
      <c r="A50" s="591"/>
      <c r="B50" s="618"/>
      <c r="C50" s="609"/>
      <c r="D50" s="609">
        <v>1</v>
      </c>
      <c r="E50" s="595" t="s">
        <v>366</v>
      </c>
      <c r="F50" s="593" t="s">
        <v>367</v>
      </c>
      <c r="G50" s="610" t="s">
        <v>399</v>
      </c>
      <c r="H50" s="610" t="s">
        <v>401</v>
      </c>
      <c r="I50" s="610"/>
      <c r="J50" s="610"/>
      <c r="K50" s="610"/>
      <c r="L50" s="611" t="s">
        <v>776</v>
      </c>
      <c r="M50" s="612">
        <f t="shared" si="29"/>
        <v>0</v>
      </c>
      <c r="N50" s="613"/>
      <c r="O50" s="614" t="s">
        <v>989</v>
      </c>
      <c r="P50" s="615">
        <v>100</v>
      </c>
      <c r="Q50" s="616">
        <f t="shared" si="5"/>
        <v>12</v>
      </c>
      <c r="R50" s="613"/>
      <c r="S50" s="603"/>
      <c r="T50" s="606"/>
      <c r="U50" s="606"/>
      <c r="V50" s="593">
        <f t="shared" si="2"/>
        <v>0</v>
      </c>
      <c r="W50" s="606"/>
      <c r="X50" s="606"/>
      <c r="Y50" s="606"/>
      <c r="Z50" s="606"/>
      <c r="AA50" s="606"/>
      <c r="AB50" s="606"/>
      <c r="AC50" s="607"/>
      <c r="AD50" s="606"/>
      <c r="AE50" s="608"/>
      <c r="AF50" s="639">
        <v>12</v>
      </c>
      <c r="AG50" s="639">
        <f t="shared" si="9"/>
        <v>12</v>
      </c>
      <c r="AH50" s="639">
        <f t="shared" si="6"/>
        <v>0</v>
      </c>
      <c r="AI50" s="640"/>
      <c r="AJ50" s="641">
        <f t="shared" si="12"/>
        <v>0</v>
      </c>
      <c r="AK50" s="642"/>
      <c r="AL50" s="642" t="s">
        <v>364</v>
      </c>
      <c r="AM50" s="642"/>
      <c r="AN50" s="642"/>
      <c r="AO50" s="644">
        <v>42</v>
      </c>
      <c r="AP50" s="565"/>
      <c r="AQ50" s="566"/>
      <c r="AR50" s="566"/>
      <c r="AS50" s="566"/>
      <c r="AT50" s="566"/>
      <c r="AU50" s="566"/>
      <c r="AV50" s="566"/>
      <c r="AW50" s="566"/>
      <c r="AX50" s="566"/>
      <c r="AY50" s="566"/>
      <c r="AZ50" s="566"/>
      <c r="BA50" s="566"/>
      <c r="BB50" s="566"/>
      <c r="BC50" s="566"/>
      <c r="BD50" s="566"/>
      <c r="BE50" s="566"/>
      <c r="BF50" s="566"/>
      <c r="BG50" s="566"/>
    </row>
    <row r="51" spans="1:59">
      <c r="A51" s="591"/>
      <c r="B51" s="592"/>
      <c r="C51" s="593"/>
      <c r="D51" s="594">
        <v>1</v>
      </c>
      <c r="E51" s="595" t="s">
        <v>366</v>
      </c>
      <c r="F51" s="593" t="s">
        <v>367</v>
      </c>
      <c r="G51" s="596">
        <v>10</v>
      </c>
      <c r="H51" s="596" t="s">
        <v>380</v>
      </c>
      <c r="I51" s="596"/>
      <c r="J51" s="596"/>
      <c r="K51" s="596"/>
      <c r="L51" s="591" t="s">
        <v>812</v>
      </c>
      <c r="M51" s="597" t="str">
        <f t="shared" si="0"/>
        <v>Administratieve -, personeels- en vergaderruimte</v>
      </c>
      <c r="N51" s="591" t="s">
        <v>78</v>
      </c>
      <c r="O51" s="598"/>
      <c r="P51" s="599"/>
      <c r="Q51" s="600">
        <f t="shared" si="5"/>
        <v>0</v>
      </c>
      <c r="R51" s="601">
        <f>AF51</f>
        <v>52</v>
      </c>
      <c r="S51" s="647">
        <v>101100</v>
      </c>
      <c r="T51" s="602"/>
      <c r="U51" s="645">
        <v>1</v>
      </c>
      <c r="V51" s="593">
        <f t="shared" ref="V51" si="36">VLOOKUP(S51,Kengetal,3,FALSE)+VLOOKUP(T51,Kengetal,3,FALSE)</f>
        <v>100</v>
      </c>
      <c r="W51" s="604">
        <f>Z51*R51*U51</f>
        <v>0</v>
      </c>
      <c r="X51" s="604">
        <f>AA51*R51</f>
        <v>0</v>
      </c>
      <c r="Y51" s="604">
        <f>AB51*R51</f>
        <v>0</v>
      </c>
      <c r="Z51" s="605">
        <f>VLOOKUP(S51,Kengetal,6,FALSE)</f>
        <v>0</v>
      </c>
      <c r="AA51" s="751">
        <f>VLOOKUP(S51,Kengetal,7,FALSE)</f>
        <v>0</v>
      </c>
      <c r="AB51" s="605">
        <f>VLOOKUP(T51,Kengetal,6,FALSE)</f>
        <v>0</v>
      </c>
      <c r="AC51" s="607"/>
      <c r="AD51" s="591" t="str">
        <f>AL51</f>
        <v>Friesland College</v>
      </c>
      <c r="AE51" s="608"/>
      <c r="AF51" s="639">
        <v>52</v>
      </c>
      <c r="AG51" s="639">
        <f t="shared" si="9"/>
        <v>52</v>
      </c>
      <c r="AH51" s="639">
        <f t="shared" si="6"/>
        <v>0</v>
      </c>
      <c r="AI51" s="640"/>
      <c r="AJ51" s="641">
        <f t="shared" si="12"/>
        <v>0</v>
      </c>
      <c r="AK51" s="642"/>
      <c r="AL51" s="642" t="s">
        <v>364</v>
      </c>
      <c r="AM51" s="642"/>
      <c r="AN51" s="642"/>
      <c r="AO51" s="644">
        <v>43</v>
      </c>
      <c r="AP51" s="565"/>
      <c r="AQ51" s="566"/>
      <c r="AR51" s="566"/>
      <c r="AS51" s="566"/>
      <c r="AT51" s="566"/>
      <c r="AU51" s="566"/>
      <c r="AV51" s="566"/>
      <c r="AW51" s="566"/>
      <c r="AX51" s="566"/>
      <c r="AY51" s="566"/>
      <c r="AZ51" s="566"/>
      <c r="BA51" s="566"/>
      <c r="BB51" s="566"/>
      <c r="BC51" s="566"/>
      <c r="BD51" s="566"/>
      <c r="BE51" s="566"/>
      <c r="BF51" s="566"/>
      <c r="BG51" s="566"/>
    </row>
    <row r="52" spans="1:59">
      <c r="A52" s="591"/>
      <c r="B52" s="618"/>
      <c r="C52" s="609"/>
      <c r="D52" s="594">
        <v>1</v>
      </c>
      <c r="E52" s="595" t="s">
        <v>366</v>
      </c>
      <c r="F52" s="593" t="s">
        <v>367</v>
      </c>
      <c r="G52" s="610">
        <v>10</v>
      </c>
      <c r="H52" s="610" t="s">
        <v>380</v>
      </c>
      <c r="I52" s="610"/>
      <c r="J52" s="610"/>
      <c r="K52" s="610"/>
      <c r="L52" s="611" t="s">
        <v>812</v>
      </c>
      <c r="M52" s="612">
        <f t="shared" si="29"/>
        <v>0</v>
      </c>
      <c r="N52" s="613"/>
      <c r="O52" s="619" t="s">
        <v>986</v>
      </c>
      <c r="P52" s="615">
        <v>100</v>
      </c>
      <c r="Q52" s="616">
        <f t="shared" si="5"/>
        <v>52</v>
      </c>
      <c r="R52" s="613"/>
      <c r="S52" s="603"/>
      <c r="T52" s="606"/>
      <c r="U52" s="606"/>
      <c r="V52" s="593">
        <f t="shared" si="2"/>
        <v>0</v>
      </c>
      <c r="W52" s="606"/>
      <c r="X52" s="606"/>
      <c r="Y52" s="606"/>
      <c r="Z52" s="606"/>
      <c r="AA52" s="606"/>
      <c r="AB52" s="606"/>
      <c r="AC52" s="607"/>
      <c r="AD52" s="606"/>
      <c r="AE52" s="608"/>
      <c r="AF52" s="639">
        <v>52</v>
      </c>
      <c r="AG52" s="639">
        <f t="shared" si="9"/>
        <v>52</v>
      </c>
      <c r="AH52" s="639">
        <f t="shared" si="6"/>
        <v>0</v>
      </c>
      <c r="AI52" s="640"/>
      <c r="AJ52" s="641">
        <f t="shared" si="12"/>
        <v>0</v>
      </c>
      <c r="AK52" s="642"/>
      <c r="AL52" s="642" t="s">
        <v>364</v>
      </c>
      <c r="AM52" s="642"/>
      <c r="AN52" s="642"/>
      <c r="AO52" s="644">
        <v>44</v>
      </c>
      <c r="AP52" s="565"/>
      <c r="AQ52" s="566"/>
      <c r="AR52" s="566"/>
      <c r="AS52" s="566"/>
      <c r="AT52" s="566"/>
      <c r="AU52" s="566"/>
      <c r="AV52" s="566"/>
      <c r="AW52" s="566"/>
      <c r="AX52" s="566"/>
      <c r="AY52" s="566"/>
      <c r="AZ52" s="566"/>
      <c r="BA52" s="566"/>
      <c r="BB52" s="566"/>
      <c r="BC52" s="566"/>
      <c r="BD52" s="566"/>
      <c r="BE52" s="566"/>
      <c r="BF52" s="566"/>
      <c r="BG52" s="566"/>
    </row>
    <row r="53" spans="1:59">
      <c r="A53" s="591"/>
      <c r="B53" s="592"/>
      <c r="C53" s="593"/>
      <c r="D53" s="594">
        <v>1</v>
      </c>
      <c r="E53" s="595" t="s">
        <v>366</v>
      </c>
      <c r="F53" s="593" t="s">
        <v>367</v>
      </c>
      <c r="G53" s="596" t="s">
        <v>402</v>
      </c>
      <c r="H53" s="596"/>
      <c r="I53" s="596"/>
      <c r="J53" s="596"/>
      <c r="K53" s="596"/>
      <c r="L53" s="591" t="s">
        <v>319</v>
      </c>
      <c r="M53" s="597" t="str">
        <f t="shared" si="0"/>
        <v>Gang, hal, pantry, aula, repro, gardarobe</v>
      </c>
      <c r="N53" s="591" t="s">
        <v>938</v>
      </c>
      <c r="O53" s="598"/>
      <c r="P53" s="599"/>
      <c r="Q53" s="600">
        <f t="shared" si="5"/>
        <v>0</v>
      </c>
      <c r="R53" s="601">
        <f t="shared" ref="R53:R63" si="37">AF53</f>
        <v>32</v>
      </c>
      <c r="S53" s="647">
        <v>104200</v>
      </c>
      <c r="T53" s="602"/>
      <c r="U53" s="645">
        <v>1</v>
      </c>
      <c r="V53" s="593">
        <f t="shared" ref="V53:V55" si="38">VLOOKUP(S53,Kengetal,3,FALSE)+VLOOKUP(T53,Kengetal,3,FALSE)</f>
        <v>200</v>
      </c>
      <c r="W53" s="604">
        <f t="shared" ref="W53:W63" si="39">Z53*R53*U53</f>
        <v>0</v>
      </c>
      <c r="X53" s="604">
        <f t="shared" ref="X53:X63" si="40">AA53*R53</f>
        <v>0</v>
      </c>
      <c r="Y53" s="604">
        <f t="shared" ref="Y53:Y63" si="41">AB53*R53</f>
        <v>0</v>
      </c>
      <c r="Z53" s="605">
        <f t="shared" ref="Z53:Z63" si="42">VLOOKUP(S53,Kengetal,6,FALSE)</f>
        <v>0</v>
      </c>
      <c r="AA53" s="751">
        <f t="shared" ref="AA53:AA63" si="43">VLOOKUP(S53,Kengetal,7,FALSE)</f>
        <v>0</v>
      </c>
      <c r="AB53" s="605">
        <f t="shared" ref="AB53:AB63" si="44">VLOOKUP(T53,Kengetal,6,FALSE)</f>
        <v>0</v>
      </c>
      <c r="AC53" s="607"/>
      <c r="AD53" s="591" t="str">
        <f t="shared" ref="AD53:AD63" si="45">AL53</f>
        <v>Friesland College</v>
      </c>
      <c r="AE53" s="608"/>
      <c r="AF53" s="639">
        <v>32</v>
      </c>
      <c r="AG53" s="639">
        <f t="shared" si="9"/>
        <v>32</v>
      </c>
      <c r="AH53" s="639">
        <f t="shared" si="6"/>
        <v>0</v>
      </c>
      <c r="AI53" s="640"/>
      <c r="AJ53" s="641">
        <f t="shared" si="12"/>
        <v>0</v>
      </c>
      <c r="AK53" s="642"/>
      <c r="AL53" s="642" t="s">
        <v>364</v>
      </c>
      <c r="AM53" s="643"/>
      <c r="AN53" s="642"/>
      <c r="AO53" s="644">
        <v>45</v>
      </c>
      <c r="AP53" s="565"/>
      <c r="AQ53" s="566"/>
      <c r="AR53" s="566"/>
      <c r="AS53" s="566"/>
      <c r="AT53" s="566"/>
      <c r="AU53" s="566"/>
      <c r="AV53" s="566"/>
      <c r="AW53" s="566"/>
      <c r="AX53" s="566"/>
      <c r="AY53" s="566"/>
      <c r="AZ53" s="566"/>
      <c r="BA53" s="566"/>
      <c r="BB53" s="566"/>
      <c r="BC53" s="566"/>
      <c r="BD53" s="566"/>
      <c r="BE53" s="566"/>
      <c r="BF53" s="566"/>
      <c r="BG53" s="566"/>
    </row>
    <row r="54" spans="1:59">
      <c r="A54" s="591"/>
      <c r="B54" s="592"/>
      <c r="C54" s="593"/>
      <c r="D54" s="594">
        <v>1</v>
      </c>
      <c r="E54" s="595" t="s">
        <v>366</v>
      </c>
      <c r="F54" s="593" t="s">
        <v>367</v>
      </c>
      <c r="G54" s="596" t="s">
        <v>403</v>
      </c>
      <c r="H54" s="596"/>
      <c r="I54" s="596"/>
      <c r="J54" s="596"/>
      <c r="K54" s="596"/>
      <c r="L54" s="591" t="s">
        <v>777</v>
      </c>
      <c r="M54" s="597" t="str">
        <f t="shared" si="29"/>
        <v>Trappenhuis-bordes</v>
      </c>
      <c r="N54" s="591" t="s">
        <v>938</v>
      </c>
      <c r="O54" s="598"/>
      <c r="P54" s="599"/>
      <c r="Q54" s="600">
        <f t="shared" si="5"/>
        <v>0</v>
      </c>
      <c r="R54" s="601">
        <f t="shared" si="37"/>
        <v>28</v>
      </c>
      <c r="S54" s="647">
        <v>108200</v>
      </c>
      <c r="T54" s="602"/>
      <c r="U54" s="645">
        <v>1</v>
      </c>
      <c r="V54" s="593">
        <f t="shared" si="38"/>
        <v>200</v>
      </c>
      <c r="W54" s="604">
        <f t="shared" si="39"/>
        <v>0</v>
      </c>
      <c r="X54" s="604">
        <f t="shared" si="40"/>
        <v>0</v>
      </c>
      <c r="Y54" s="604">
        <f t="shared" si="41"/>
        <v>0</v>
      </c>
      <c r="Z54" s="605">
        <f t="shared" si="42"/>
        <v>0</v>
      </c>
      <c r="AA54" s="751">
        <f t="shared" si="43"/>
        <v>0</v>
      </c>
      <c r="AB54" s="605">
        <f t="shared" si="44"/>
        <v>0</v>
      </c>
      <c r="AC54" s="607"/>
      <c r="AD54" s="591" t="str">
        <f t="shared" si="45"/>
        <v>Friesland College</v>
      </c>
      <c r="AE54" s="608"/>
      <c r="AF54" s="639">
        <v>28</v>
      </c>
      <c r="AG54" s="639">
        <f t="shared" si="9"/>
        <v>28</v>
      </c>
      <c r="AH54" s="639">
        <f t="shared" si="6"/>
        <v>0</v>
      </c>
      <c r="AI54" s="640"/>
      <c r="AJ54" s="641">
        <f t="shared" si="12"/>
        <v>0</v>
      </c>
      <c r="AK54" s="642"/>
      <c r="AL54" s="642" t="s">
        <v>364</v>
      </c>
      <c r="AM54" s="642"/>
      <c r="AN54" s="642"/>
      <c r="AO54" s="644">
        <v>46</v>
      </c>
      <c r="AP54" s="565"/>
      <c r="AQ54" s="566"/>
      <c r="AR54" s="566"/>
      <c r="AS54" s="566"/>
      <c r="AT54" s="566"/>
      <c r="AU54" s="566"/>
      <c r="AV54" s="566"/>
      <c r="AW54" s="566"/>
      <c r="AX54" s="566"/>
      <c r="AY54" s="566"/>
      <c r="AZ54" s="566"/>
      <c r="BA54" s="566"/>
      <c r="BB54" s="566"/>
      <c r="BC54" s="566"/>
      <c r="BD54" s="566"/>
      <c r="BE54" s="566"/>
      <c r="BF54" s="566"/>
      <c r="BG54" s="566"/>
    </row>
    <row r="55" spans="1:59">
      <c r="A55" s="591"/>
      <c r="B55" s="592"/>
      <c r="C55" s="593"/>
      <c r="D55" s="594">
        <v>1</v>
      </c>
      <c r="E55" s="595" t="s">
        <v>366</v>
      </c>
      <c r="F55" s="593" t="s">
        <v>367</v>
      </c>
      <c r="G55" s="596" t="s">
        <v>404</v>
      </c>
      <c r="H55" s="596"/>
      <c r="I55" s="596"/>
      <c r="J55" s="596"/>
      <c r="K55" s="596"/>
      <c r="L55" s="591" t="s">
        <v>763</v>
      </c>
      <c r="M55" s="597" t="str">
        <f t="shared" si="29"/>
        <v>Trappenhuis-bordes</v>
      </c>
      <c r="N55" s="591" t="s">
        <v>940</v>
      </c>
      <c r="O55" s="621"/>
      <c r="P55" s="622"/>
      <c r="Q55" s="600">
        <f t="shared" si="5"/>
        <v>0</v>
      </c>
      <c r="R55" s="601">
        <f t="shared" si="37"/>
        <v>15</v>
      </c>
      <c r="S55" s="647">
        <v>108200</v>
      </c>
      <c r="T55" s="602"/>
      <c r="U55" s="645">
        <v>1</v>
      </c>
      <c r="V55" s="593">
        <f t="shared" si="38"/>
        <v>200</v>
      </c>
      <c r="W55" s="604">
        <f t="shared" si="39"/>
        <v>0</v>
      </c>
      <c r="X55" s="604">
        <f t="shared" si="40"/>
        <v>0</v>
      </c>
      <c r="Y55" s="604">
        <f t="shared" si="41"/>
        <v>0</v>
      </c>
      <c r="Z55" s="605">
        <f t="shared" si="42"/>
        <v>0</v>
      </c>
      <c r="AA55" s="751">
        <f t="shared" si="43"/>
        <v>0</v>
      </c>
      <c r="AB55" s="605">
        <f t="shared" si="44"/>
        <v>0</v>
      </c>
      <c r="AC55" s="607"/>
      <c r="AD55" s="591" t="str">
        <f t="shared" si="45"/>
        <v>Friesland College</v>
      </c>
      <c r="AE55" s="608"/>
      <c r="AF55" s="639">
        <v>15</v>
      </c>
      <c r="AG55" s="639">
        <f t="shared" si="9"/>
        <v>15</v>
      </c>
      <c r="AH55" s="639">
        <f t="shared" si="6"/>
        <v>0</v>
      </c>
      <c r="AI55" s="640"/>
      <c r="AJ55" s="641">
        <f t="shared" si="12"/>
        <v>0</v>
      </c>
      <c r="AK55" s="642"/>
      <c r="AL55" s="642" t="s">
        <v>364</v>
      </c>
      <c r="AM55" s="642"/>
      <c r="AN55" s="642"/>
      <c r="AO55" s="644">
        <v>47</v>
      </c>
      <c r="AP55" s="565"/>
      <c r="AQ55" s="566"/>
      <c r="AR55" s="566"/>
      <c r="AS55" s="566"/>
      <c r="AT55" s="566"/>
      <c r="AU55" s="566"/>
      <c r="AV55" s="566"/>
      <c r="AW55" s="566"/>
      <c r="AX55" s="566"/>
      <c r="AY55" s="566"/>
      <c r="AZ55" s="566"/>
      <c r="BA55" s="566"/>
      <c r="BB55" s="566"/>
      <c r="BC55" s="566"/>
      <c r="BD55" s="566"/>
      <c r="BE55" s="566"/>
      <c r="BF55" s="566"/>
      <c r="BG55" s="566"/>
    </row>
    <row r="56" spans="1:59">
      <c r="A56" s="591"/>
      <c r="B56" s="592"/>
      <c r="C56" s="593"/>
      <c r="D56" s="594">
        <v>1</v>
      </c>
      <c r="E56" s="595" t="s">
        <v>366</v>
      </c>
      <c r="F56" s="593" t="s">
        <v>367</v>
      </c>
      <c r="G56" s="596" t="s">
        <v>405</v>
      </c>
      <c r="H56" s="596"/>
      <c r="I56" s="596"/>
      <c r="J56" s="596"/>
      <c r="K56" s="596"/>
      <c r="L56" s="591" t="s">
        <v>768</v>
      </c>
      <c r="M56" s="597" t="str">
        <f t="shared" si="29"/>
        <v>Niet van toepassing</v>
      </c>
      <c r="N56" s="591" t="s">
        <v>323</v>
      </c>
      <c r="O56" s="621"/>
      <c r="P56" s="622"/>
      <c r="Q56" s="600">
        <f t="shared" si="5"/>
        <v>0</v>
      </c>
      <c r="R56" s="601">
        <f t="shared" si="37"/>
        <v>6</v>
      </c>
      <c r="S56" s="603" t="s">
        <v>28</v>
      </c>
      <c r="T56" s="602"/>
      <c r="U56" s="603"/>
      <c r="V56" s="593">
        <f t="shared" si="2"/>
        <v>0</v>
      </c>
      <c r="W56" s="604">
        <f t="shared" si="39"/>
        <v>0</v>
      </c>
      <c r="X56" s="604">
        <f t="shared" si="40"/>
        <v>0</v>
      </c>
      <c r="Y56" s="604">
        <f t="shared" si="41"/>
        <v>0</v>
      </c>
      <c r="Z56" s="605">
        <f t="shared" si="42"/>
        <v>0</v>
      </c>
      <c r="AA56" s="751">
        <f t="shared" si="43"/>
        <v>0</v>
      </c>
      <c r="AB56" s="605">
        <f t="shared" si="44"/>
        <v>0</v>
      </c>
      <c r="AC56" s="607"/>
      <c r="AD56" s="591" t="str">
        <f t="shared" si="45"/>
        <v>Friesland College</v>
      </c>
      <c r="AE56" s="608"/>
      <c r="AF56" s="639">
        <v>6</v>
      </c>
      <c r="AG56" s="639">
        <f t="shared" si="9"/>
        <v>6</v>
      </c>
      <c r="AH56" s="639">
        <f t="shared" si="6"/>
        <v>0</v>
      </c>
      <c r="AI56" s="640"/>
      <c r="AJ56" s="641">
        <f t="shared" si="12"/>
        <v>0</v>
      </c>
      <c r="AK56" s="642"/>
      <c r="AL56" s="642" t="s">
        <v>364</v>
      </c>
      <c r="AM56" s="642"/>
      <c r="AN56" s="642"/>
      <c r="AO56" s="644">
        <v>48</v>
      </c>
      <c r="AP56" s="565"/>
      <c r="AQ56" s="566"/>
      <c r="AR56" s="566"/>
      <c r="AS56" s="566"/>
      <c r="AT56" s="566"/>
      <c r="AU56" s="566"/>
      <c r="AV56" s="566"/>
      <c r="AW56" s="566"/>
      <c r="AX56" s="566"/>
      <c r="AY56" s="566"/>
      <c r="AZ56" s="566"/>
      <c r="BA56" s="566"/>
      <c r="BB56" s="566"/>
      <c r="BC56" s="566"/>
      <c r="BD56" s="566"/>
      <c r="BE56" s="566"/>
      <c r="BF56" s="566"/>
      <c r="BG56" s="566"/>
    </row>
    <row r="57" spans="1:59">
      <c r="A57" s="591"/>
      <c r="B57" s="592"/>
      <c r="C57" s="593"/>
      <c r="D57" s="594">
        <v>1</v>
      </c>
      <c r="E57" s="595" t="s">
        <v>366</v>
      </c>
      <c r="F57" s="593" t="s">
        <v>367</v>
      </c>
      <c r="G57" s="596" t="s">
        <v>405</v>
      </c>
      <c r="H57" s="596"/>
      <c r="I57" s="596"/>
      <c r="J57" s="596"/>
      <c r="K57" s="596"/>
      <c r="L57" s="591" t="s">
        <v>765</v>
      </c>
      <c r="M57" s="597" t="str">
        <f t="shared" si="29"/>
        <v>Lift</v>
      </c>
      <c r="N57" s="591" t="s">
        <v>938</v>
      </c>
      <c r="O57" s="621"/>
      <c r="P57" s="622"/>
      <c r="Q57" s="600">
        <f t="shared" si="5"/>
        <v>0</v>
      </c>
      <c r="R57" s="601">
        <f t="shared" si="37"/>
        <v>2</v>
      </c>
      <c r="S57" s="647">
        <v>109200</v>
      </c>
      <c r="T57" s="602"/>
      <c r="U57" s="645">
        <v>1</v>
      </c>
      <c r="V57" s="593">
        <f t="shared" ref="V57:V58" si="46">VLOOKUP(S57,Kengetal,3,FALSE)+VLOOKUP(T57,Kengetal,3,FALSE)</f>
        <v>200</v>
      </c>
      <c r="W57" s="604">
        <f t="shared" si="39"/>
        <v>0</v>
      </c>
      <c r="X57" s="604">
        <f t="shared" si="40"/>
        <v>0</v>
      </c>
      <c r="Y57" s="604">
        <f t="shared" si="41"/>
        <v>0</v>
      </c>
      <c r="Z57" s="605">
        <f t="shared" si="42"/>
        <v>0</v>
      </c>
      <c r="AA57" s="751">
        <f t="shared" si="43"/>
        <v>0</v>
      </c>
      <c r="AB57" s="605">
        <f t="shared" si="44"/>
        <v>0</v>
      </c>
      <c r="AC57" s="607"/>
      <c r="AD57" s="591" t="str">
        <f t="shared" si="45"/>
        <v>Friesland College</v>
      </c>
      <c r="AE57" s="608"/>
      <c r="AF57" s="639">
        <v>2</v>
      </c>
      <c r="AG57" s="639">
        <f t="shared" si="9"/>
        <v>2</v>
      </c>
      <c r="AH57" s="639">
        <f t="shared" si="6"/>
        <v>0</v>
      </c>
      <c r="AI57" s="640"/>
      <c r="AJ57" s="641">
        <f t="shared" si="12"/>
        <v>0</v>
      </c>
      <c r="AK57" s="642"/>
      <c r="AL57" s="642" t="s">
        <v>364</v>
      </c>
      <c r="AM57" s="642"/>
      <c r="AN57" s="642"/>
      <c r="AO57" s="644">
        <v>49</v>
      </c>
      <c r="AP57" s="565"/>
      <c r="AQ57" s="566"/>
      <c r="AR57" s="566"/>
      <c r="AS57" s="566"/>
      <c r="AT57" s="566"/>
      <c r="AU57" s="566"/>
      <c r="AV57" s="566"/>
      <c r="AW57" s="566"/>
      <c r="AX57" s="566"/>
      <c r="AY57" s="566"/>
      <c r="AZ57" s="566"/>
      <c r="BA57" s="566"/>
      <c r="BB57" s="566"/>
      <c r="BC57" s="566"/>
      <c r="BD57" s="566"/>
      <c r="BE57" s="566"/>
      <c r="BF57" s="566"/>
      <c r="BG57" s="566"/>
    </row>
    <row r="58" spans="1:59">
      <c r="A58" s="591"/>
      <c r="B58" s="592"/>
      <c r="C58" s="593"/>
      <c r="D58" s="594">
        <v>1</v>
      </c>
      <c r="E58" s="595" t="s">
        <v>366</v>
      </c>
      <c r="F58" s="593" t="s">
        <v>367</v>
      </c>
      <c r="G58" s="596" t="s">
        <v>406</v>
      </c>
      <c r="H58" s="596"/>
      <c r="I58" s="596"/>
      <c r="J58" s="596"/>
      <c r="K58" s="596"/>
      <c r="L58" s="591" t="s">
        <v>777</v>
      </c>
      <c r="M58" s="597" t="str">
        <f t="shared" si="29"/>
        <v>Trappenhuis-bordes</v>
      </c>
      <c r="N58" s="591" t="s">
        <v>941</v>
      </c>
      <c r="O58" s="621"/>
      <c r="P58" s="622"/>
      <c r="Q58" s="600">
        <f t="shared" si="5"/>
        <v>0</v>
      </c>
      <c r="R58" s="601">
        <f t="shared" si="37"/>
        <v>18</v>
      </c>
      <c r="S58" s="647">
        <v>108200</v>
      </c>
      <c r="T58" s="602"/>
      <c r="U58" s="645">
        <v>1</v>
      </c>
      <c r="V58" s="593">
        <f t="shared" si="46"/>
        <v>200</v>
      </c>
      <c r="W58" s="604">
        <f t="shared" si="39"/>
        <v>0</v>
      </c>
      <c r="X58" s="604">
        <f t="shared" si="40"/>
        <v>0</v>
      </c>
      <c r="Y58" s="604">
        <f t="shared" si="41"/>
        <v>0</v>
      </c>
      <c r="Z58" s="605">
        <f t="shared" si="42"/>
        <v>0</v>
      </c>
      <c r="AA58" s="751">
        <f t="shared" si="43"/>
        <v>0</v>
      </c>
      <c r="AB58" s="605">
        <f t="shared" si="44"/>
        <v>0</v>
      </c>
      <c r="AC58" s="607"/>
      <c r="AD58" s="591" t="str">
        <f t="shared" si="45"/>
        <v>Friesland College</v>
      </c>
      <c r="AE58" s="608"/>
      <c r="AF58" s="639">
        <v>18</v>
      </c>
      <c r="AG58" s="639">
        <f t="shared" si="9"/>
        <v>18</v>
      </c>
      <c r="AH58" s="639">
        <f t="shared" si="6"/>
        <v>0</v>
      </c>
      <c r="AI58" s="640"/>
      <c r="AJ58" s="641">
        <f t="shared" si="12"/>
        <v>0</v>
      </c>
      <c r="AK58" s="642"/>
      <c r="AL58" s="642" t="s">
        <v>364</v>
      </c>
      <c r="AM58" s="642"/>
      <c r="AN58" s="642"/>
      <c r="AO58" s="644">
        <v>50</v>
      </c>
      <c r="AP58" s="565"/>
      <c r="AQ58" s="566"/>
      <c r="AR58" s="566"/>
      <c r="AS58" s="566"/>
      <c r="AT58" s="566"/>
      <c r="AU58" s="566"/>
      <c r="AV58" s="566"/>
      <c r="AW58" s="566"/>
      <c r="AX58" s="566"/>
      <c r="AY58" s="566"/>
      <c r="AZ58" s="566"/>
      <c r="BA58" s="566"/>
      <c r="BB58" s="566"/>
      <c r="BC58" s="566"/>
      <c r="BD58" s="566"/>
      <c r="BE58" s="566"/>
      <c r="BF58" s="566"/>
      <c r="BG58" s="566"/>
    </row>
    <row r="59" spans="1:59">
      <c r="A59" s="591"/>
      <c r="B59" s="592"/>
      <c r="C59" s="593"/>
      <c r="D59" s="594">
        <v>1</v>
      </c>
      <c r="E59" s="595" t="s">
        <v>366</v>
      </c>
      <c r="F59" s="593" t="s">
        <v>367</v>
      </c>
      <c r="G59" s="596" t="s">
        <v>406</v>
      </c>
      <c r="H59" s="596"/>
      <c r="I59" s="596"/>
      <c r="J59" s="596"/>
      <c r="K59" s="596"/>
      <c r="L59" s="591" t="s">
        <v>778</v>
      </c>
      <c r="M59" s="597" t="str">
        <f t="shared" si="29"/>
        <v>Op afroep (in overleg)</v>
      </c>
      <c r="N59" s="591" t="s">
        <v>938</v>
      </c>
      <c r="O59" s="621"/>
      <c r="P59" s="622"/>
      <c r="Q59" s="600">
        <f t="shared" si="5"/>
        <v>0</v>
      </c>
      <c r="R59" s="601">
        <f t="shared" si="37"/>
        <v>7</v>
      </c>
      <c r="S59" s="603" t="s">
        <v>959</v>
      </c>
      <c r="T59" s="602"/>
      <c r="U59" s="603"/>
      <c r="V59" s="593">
        <f t="shared" si="2"/>
        <v>0</v>
      </c>
      <c r="W59" s="604">
        <f t="shared" si="39"/>
        <v>0</v>
      </c>
      <c r="X59" s="604">
        <f t="shared" si="40"/>
        <v>0</v>
      </c>
      <c r="Y59" s="604">
        <f t="shared" si="41"/>
        <v>0</v>
      </c>
      <c r="Z59" s="605">
        <f t="shared" si="42"/>
        <v>0</v>
      </c>
      <c r="AA59" s="751">
        <f t="shared" si="43"/>
        <v>0</v>
      </c>
      <c r="AB59" s="605">
        <f t="shared" si="44"/>
        <v>0</v>
      </c>
      <c r="AC59" s="607"/>
      <c r="AD59" s="591" t="str">
        <f t="shared" si="45"/>
        <v>Friesland College</v>
      </c>
      <c r="AE59" s="608"/>
      <c r="AF59" s="639">
        <v>7</v>
      </c>
      <c r="AG59" s="639">
        <f t="shared" si="9"/>
        <v>7</v>
      </c>
      <c r="AH59" s="639">
        <f t="shared" si="6"/>
        <v>0</v>
      </c>
      <c r="AI59" s="640"/>
      <c r="AJ59" s="641">
        <f t="shared" si="12"/>
        <v>0</v>
      </c>
      <c r="AK59" s="642"/>
      <c r="AL59" s="642" t="s">
        <v>364</v>
      </c>
      <c r="AM59" s="642"/>
      <c r="AN59" s="642"/>
      <c r="AO59" s="644">
        <v>51</v>
      </c>
      <c r="AP59" s="565"/>
      <c r="AQ59" s="566"/>
      <c r="AR59" s="566"/>
      <c r="AS59" s="566"/>
      <c r="AT59" s="566"/>
      <c r="AU59" s="566"/>
      <c r="AV59" s="566"/>
      <c r="AW59" s="566"/>
      <c r="AX59" s="566"/>
      <c r="AY59" s="566"/>
      <c r="AZ59" s="566"/>
      <c r="BA59" s="566"/>
      <c r="BB59" s="566"/>
      <c r="BC59" s="566"/>
      <c r="BD59" s="566"/>
      <c r="BE59" s="566"/>
      <c r="BF59" s="566"/>
      <c r="BG59" s="566"/>
    </row>
    <row r="60" spans="1:59">
      <c r="A60" s="591"/>
      <c r="B60" s="592"/>
      <c r="C60" s="593"/>
      <c r="D60" s="594">
        <v>1</v>
      </c>
      <c r="E60" s="595" t="s">
        <v>366</v>
      </c>
      <c r="F60" s="593" t="s">
        <v>367</v>
      </c>
      <c r="G60" s="596" t="s">
        <v>407</v>
      </c>
      <c r="H60" s="596"/>
      <c r="I60" s="596"/>
      <c r="J60" s="596"/>
      <c r="K60" s="596"/>
      <c r="L60" s="591" t="s">
        <v>779</v>
      </c>
      <c r="M60" s="597" t="str">
        <f t="shared" si="29"/>
        <v>Sanitaire ruimte (toilet-/doucheruimte)</v>
      </c>
      <c r="N60" s="591" t="s">
        <v>85</v>
      </c>
      <c r="O60" s="621"/>
      <c r="P60" s="622"/>
      <c r="Q60" s="600">
        <f t="shared" si="5"/>
        <v>0</v>
      </c>
      <c r="R60" s="601">
        <f t="shared" si="37"/>
        <v>19</v>
      </c>
      <c r="S60" s="647">
        <v>103200</v>
      </c>
      <c r="T60" s="647">
        <v>103400</v>
      </c>
      <c r="U60" s="645">
        <v>1</v>
      </c>
      <c r="V60" s="593">
        <f t="shared" ref="V60:V63" si="47">VLOOKUP(S60,Kengetal,3,FALSE)+VLOOKUP(T60,Kengetal,3,FALSE)</f>
        <v>400</v>
      </c>
      <c r="W60" s="604">
        <f t="shared" si="39"/>
        <v>0</v>
      </c>
      <c r="X60" s="604">
        <f t="shared" si="40"/>
        <v>0</v>
      </c>
      <c r="Y60" s="604">
        <f t="shared" si="41"/>
        <v>0</v>
      </c>
      <c r="Z60" s="605">
        <f t="shared" si="42"/>
        <v>0</v>
      </c>
      <c r="AA60" s="751">
        <f t="shared" si="43"/>
        <v>0</v>
      </c>
      <c r="AB60" s="605">
        <f t="shared" si="44"/>
        <v>0</v>
      </c>
      <c r="AC60" s="607"/>
      <c r="AD60" s="591" t="str">
        <f t="shared" si="45"/>
        <v>Friesland College</v>
      </c>
      <c r="AE60" s="608"/>
      <c r="AF60" s="639">
        <v>19</v>
      </c>
      <c r="AG60" s="639">
        <f t="shared" si="9"/>
        <v>19</v>
      </c>
      <c r="AH60" s="639">
        <f t="shared" si="6"/>
        <v>0</v>
      </c>
      <c r="AI60" s="640"/>
      <c r="AJ60" s="641">
        <f t="shared" si="12"/>
        <v>0</v>
      </c>
      <c r="AK60" s="642"/>
      <c r="AL60" s="642" t="s">
        <v>364</v>
      </c>
      <c r="AM60" s="642"/>
      <c r="AN60" s="642"/>
      <c r="AO60" s="644">
        <v>52</v>
      </c>
      <c r="AP60" s="565"/>
      <c r="AQ60" s="566"/>
      <c r="AR60" s="566"/>
      <c r="AS60" s="566"/>
      <c r="AT60" s="566"/>
      <c r="AU60" s="566"/>
      <c r="AV60" s="566"/>
      <c r="AW60" s="566"/>
      <c r="AX60" s="566"/>
      <c r="AY60" s="566"/>
      <c r="AZ60" s="566"/>
      <c r="BA60" s="566"/>
      <c r="BB60" s="566"/>
      <c r="BC60" s="566"/>
      <c r="BD60" s="566"/>
      <c r="BE60" s="566"/>
      <c r="BF60" s="566"/>
      <c r="BG60" s="566"/>
    </row>
    <row r="61" spans="1:59">
      <c r="A61" s="591"/>
      <c r="B61" s="592"/>
      <c r="C61" s="593"/>
      <c r="D61" s="594">
        <v>1</v>
      </c>
      <c r="E61" s="595" t="s">
        <v>366</v>
      </c>
      <c r="F61" s="593" t="s">
        <v>367</v>
      </c>
      <c r="G61" s="596" t="s">
        <v>407</v>
      </c>
      <c r="H61" s="596"/>
      <c r="I61" s="596"/>
      <c r="J61" s="596"/>
      <c r="K61" s="596"/>
      <c r="L61" s="591" t="s">
        <v>777</v>
      </c>
      <c r="M61" s="597" t="str">
        <f t="shared" si="29"/>
        <v>Trappenhuis-bordes</v>
      </c>
      <c r="N61" s="591" t="s">
        <v>939</v>
      </c>
      <c r="O61" s="621"/>
      <c r="P61" s="622"/>
      <c r="Q61" s="600">
        <f t="shared" si="5"/>
        <v>0</v>
      </c>
      <c r="R61" s="601">
        <f t="shared" si="37"/>
        <v>18</v>
      </c>
      <c r="S61" s="647">
        <v>108200</v>
      </c>
      <c r="T61" s="602"/>
      <c r="U61" s="645">
        <v>1</v>
      </c>
      <c r="V61" s="593">
        <f t="shared" si="47"/>
        <v>200</v>
      </c>
      <c r="W61" s="604">
        <f t="shared" si="39"/>
        <v>0</v>
      </c>
      <c r="X61" s="604">
        <f t="shared" si="40"/>
        <v>0</v>
      </c>
      <c r="Y61" s="604">
        <f t="shared" si="41"/>
        <v>0</v>
      </c>
      <c r="Z61" s="605">
        <f t="shared" si="42"/>
        <v>0</v>
      </c>
      <c r="AA61" s="751">
        <f t="shared" si="43"/>
        <v>0</v>
      </c>
      <c r="AB61" s="605">
        <f t="shared" si="44"/>
        <v>0</v>
      </c>
      <c r="AC61" s="607"/>
      <c r="AD61" s="591" t="str">
        <f t="shared" si="45"/>
        <v>Friesland College</v>
      </c>
      <c r="AE61" s="608"/>
      <c r="AF61" s="639">
        <v>18</v>
      </c>
      <c r="AG61" s="639">
        <f t="shared" si="9"/>
        <v>18</v>
      </c>
      <c r="AH61" s="639">
        <f t="shared" si="6"/>
        <v>0</v>
      </c>
      <c r="AI61" s="640"/>
      <c r="AJ61" s="641">
        <f t="shared" si="12"/>
        <v>0</v>
      </c>
      <c r="AK61" s="642"/>
      <c r="AL61" s="642" t="s">
        <v>364</v>
      </c>
      <c r="AM61" s="642"/>
      <c r="AN61" s="642"/>
      <c r="AO61" s="644">
        <v>53</v>
      </c>
      <c r="AP61" s="565"/>
      <c r="AQ61" s="566"/>
      <c r="AR61" s="566"/>
      <c r="AS61" s="566"/>
      <c r="AT61" s="566"/>
      <c r="AU61" s="566"/>
      <c r="AV61" s="566"/>
      <c r="AW61" s="566"/>
      <c r="AX61" s="566"/>
      <c r="AY61" s="566"/>
      <c r="AZ61" s="566"/>
      <c r="BA61" s="566"/>
      <c r="BB61" s="566"/>
      <c r="BC61" s="566"/>
      <c r="BD61" s="566"/>
      <c r="BE61" s="566"/>
      <c r="BF61" s="566"/>
      <c r="BG61" s="566"/>
    </row>
    <row r="62" spans="1:59">
      <c r="A62" s="591"/>
      <c r="B62" s="592"/>
      <c r="C62" s="593"/>
      <c r="D62" s="594">
        <v>1</v>
      </c>
      <c r="E62" s="595" t="s">
        <v>366</v>
      </c>
      <c r="F62" s="593" t="s">
        <v>367</v>
      </c>
      <c r="G62" s="596" t="s">
        <v>408</v>
      </c>
      <c r="H62" s="596"/>
      <c r="I62" s="596"/>
      <c r="J62" s="596"/>
      <c r="K62" s="596"/>
      <c r="L62" s="591" t="s">
        <v>319</v>
      </c>
      <c r="M62" s="597" t="str">
        <f t="shared" si="29"/>
        <v>Gang, hal, pantry, aula, repro, gardarobe</v>
      </c>
      <c r="N62" s="591" t="s">
        <v>78</v>
      </c>
      <c r="O62" s="598"/>
      <c r="P62" s="599"/>
      <c r="Q62" s="600">
        <f t="shared" si="5"/>
        <v>0</v>
      </c>
      <c r="R62" s="601">
        <f t="shared" si="37"/>
        <v>57</v>
      </c>
      <c r="S62" s="647">
        <v>104200</v>
      </c>
      <c r="T62" s="602"/>
      <c r="U62" s="645">
        <v>1</v>
      </c>
      <c r="V62" s="593">
        <f t="shared" si="47"/>
        <v>200</v>
      </c>
      <c r="W62" s="604">
        <f t="shared" si="39"/>
        <v>0</v>
      </c>
      <c r="X62" s="604">
        <f t="shared" si="40"/>
        <v>0</v>
      </c>
      <c r="Y62" s="604">
        <f t="shared" si="41"/>
        <v>0</v>
      </c>
      <c r="Z62" s="605">
        <f t="shared" si="42"/>
        <v>0</v>
      </c>
      <c r="AA62" s="751">
        <f t="shared" si="43"/>
        <v>0</v>
      </c>
      <c r="AB62" s="605">
        <f t="shared" si="44"/>
        <v>0</v>
      </c>
      <c r="AC62" s="607"/>
      <c r="AD62" s="591" t="str">
        <f t="shared" si="45"/>
        <v>Friesland College</v>
      </c>
      <c r="AE62" s="608"/>
      <c r="AF62" s="639">
        <v>57</v>
      </c>
      <c r="AG62" s="639">
        <f t="shared" si="9"/>
        <v>57</v>
      </c>
      <c r="AH62" s="639">
        <f t="shared" si="6"/>
        <v>0</v>
      </c>
      <c r="AI62" s="640"/>
      <c r="AJ62" s="641">
        <f t="shared" si="12"/>
        <v>0</v>
      </c>
      <c r="AK62" s="642"/>
      <c r="AL62" s="642" t="s">
        <v>364</v>
      </c>
      <c r="AM62" s="642"/>
      <c r="AN62" s="642"/>
      <c r="AO62" s="644">
        <v>54</v>
      </c>
      <c r="AP62" s="565"/>
      <c r="AQ62" s="566"/>
      <c r="AR62" s="566"/>
      <c r="AS62" s="566"/>
      <c r="AT62" s="566"/>
      <c r="AU62" s="566"/>
      <c r="AV62" s="566"/>
      <c r="AW62" s="566"/>
      <c r="AX62" s="566"/>
      <c r="AY62" s="566"/>
      <c r="AZ62" s="566"/>
      <c r="BA62" s="566"/>
      <c r="BB62" s="566"/>
      <c r="BC62" s="566"/>
      <c r="BD62" s="566"/>
      <c r="BE62" s="566"/>
      <c r="BF62" s="566"/>
      <c r="BG62" s="566"/>
    </row>
    <row r="63" spans="1:59">
      <c r="A63" s="591"/>
      <c r="B63" s="592"/>
      <c r="C63" s="593"/>
      <c r="D63" s="594">
        <v>1</v>
      </c>
      <c r="E63" s="595" t="s">
        <v>366</v>
      </c>
      <c r="F63" s="593" t="s">
        <v>367</v>
      </c>
      <c r="G63" s="596" t="s">
        <v>409</v>
      </c>
      <c r="H63" s="596" t="s">
        <v>410</v>
      </c>
      <c r="I63" s="596"/>
      <c r="J63" s="596"/>
      <c r="K63" s="596"/>
      <c r="L63" s="591" t="s">
        <v>780</v>
      </c>
      <c r="M63" s="597" t="str">
        <f t="shared" si="29"/>
        <v>Onderwijsruimte (theorie)</v>
      </c>
      <c r="N63" s="591" t="s">
        <v>938</v>
      </c>
      <c r="O63" s="598"/>
      <c r="P63" s="599"/>
      <c r="Q63" s="600">
        <f t="shared" si="5"/>
        <v>0</v>
      </c>
      <c r="R63" s="601">
        <f t="shared" si="37"/>
        <v>55.5</v>
      </c>
      <c r="S63" s="647">
        <v>102200</v>
      </c>
      <c r="T63" s="602"/>
      <c r="U63" s="645">
        <v>1</v>
      </c>
      <c r="V63" s="593">
        <f t="shared" si="47"/>
        <v>200</v>
      </c>
      <c r="W63" s="604">
        <f t="shared" si="39"/>
        <v>0</v>
      </c>
      <c r="X63" s="604">
        <f t="shared" si="40"/>
        <v>0</v>
      </c>
      <c r="Y63" s="604">
        <f t="shared" si="41"/>
        <v>0</v>
      </c>
      <c r="Z63" s="605">
        <f t="shared" si="42"/>
        <v>0</v>
      </c>
      <c r="AA63" s="751">
        <f t="shared" si="43"/>
        <v>0</v>
      </c>
      <c r="AB63" s="605">
        <f t="shared" si="44"/>
        <v>0</v>
      </c>
      <c r="AC63" s="607"/>
      <c r="AD63" s="591" t="str">
        <f t="shared" si="45"/>
        <v>Friesland College</v>
      </c>
      <c r="AE63" s="608"/>
      <c r="AF63" s="639">
        <v>55.5</v>
      </c>
      <c r="AG63" s="639">
        <f t="shared" si="9"/>
        <v>55.5</v>
      </c>
      <c r="AH63" s="639">
        <f t="shared" si="6"/>
        <v>0</v>
      </c>
      <c r="AI63" s="640"/>
      <c r="AJ63" s="641">
        <f t="shared" si="12"/>
        <v>0</v>
      </c>
      <c r="AK63" s="642"/>
      <c r="AL63" s="642" t="s">
        <v>364</v>
      </c>
      <c r="AM63" s="642"/>
      <c r="AN63" s="642"/>
      <c r="AO63" s="644">
        <v>55</v>
      </c>
      <c r="AP63" s="565"/>
      <c r="AQ63" s="566"/>
      <c r="AR63" s="566"/>
      <c r="AS63" s="566"/>
      <c r="AT63" s="566"/>
      <c r="AU63" s="566"/>
      <c r="AV63" s="566"/>
      <c r="AW63" s="566"/>
      <c r="AX63" s="566"/>
      <c r="AY63" s="566"/>
      <c r="AZ63" s="566"/>
      <c r="BA63" s="566"/>
      <c r="BB63" s="566"/>
      <c r="BC63" s="566"/>
      <c r="BD63" s="566"/>
      <c r="BE63" s="566"/>
      <c r="BF63" s="566"/>
      <c r="BG63" s="566"/>
    </row>
    <row r="64" spans="1:59">
      <c r="A64" s="591"/>
      <c r="B64" s="592"/>
      <c r="C64" s="593"/>
      <c r="D64" s="594">
        <v>1</v>
      </c>
      <c r="E64" s="595" t="s">
        <v>366</v>
      </c>
      <c r="F64" s="593" t="s">
        <v>367</v>
      </c>
      <c r="G64" s="610" t="s">
        <v>409</v>
      </c>
      <c r="H64" s="610" t="s">
        <v>410</v>
      </c>
      <c r="I64" s="610"/>
      <c r="J64" s="610"/>
      <c r="K64" s="610"/>
      <c r="L64" s="611" t="s">
        <v>780</v>
      </c>
      <c r="M64" s="612">
        <f t="shared" si="29"/>
        <v>0</v>
      </c>
      <c r="N64" s="613"/>
      <c r="O64" s="614" t="s">
        <v>987</v>
      </c>
      <c r="P64" s="615">
        <v>100</v>
      </c>
      <c r="Q64" s="616">
        <f t="shared" si="5"/>
        <v>55.5</v>
      </c>
      <c r="R64" s="613"/>
      <c r="S64" s="603"/>
      <c r="T64" s="606"/>
      <c r="U64" s="606"/>
      <c r="V64" s="593">
        <f t="shared" si="2"/>
        <v>0</v>
      </c>
      <c r="W64" s="606"/>
      <c r="X64" s="606"/>
      <c r="Y64" s="606"/>
      <c r="Z64" s="606"/>
      <c r="AA64" s="606"/>
      <c r="AB64" s="606"/>
      <c r="AC64" s="607"/>
      <c r="AD64" s="606"/>
      <c r="AE64" s="608"/>
      <c r="AF64" s="639">
        <v>55.5</v>
      </c>
      <c r="AG64" s="639">
        <f t="shared" si="9"/>
        <v>55.5</v>
      </c>
      <c r="AH64" s="639">
        <f t="shared" si="6"/>
        <v>0</v>
      </c>
      <c r="AI64" s="640"/>
      <c r="AJ64" s="641">
        <f t="shared" si="12"/>
        <v>0</v>
      </c>
      <c r="AK64" s="642"/>
      <c r="AL64" s="642" t="s">
        <v>364</v>
      </c>
      <c r="AM64" s="642"/>
      <c r="AN64" s="642"/>
      <c r="AO64" s="644">
        <v>56</v>
      </c>
      <c r="AP64" s="565"/>
      <c r="AQ64" s="566"/>
      <c r="AR64" s="566"/>
      <c r="AS64" s="566"/>
      <c r="AT64" s="566"/>
      <c r="AU64" s="566"/>
      <c r="AV64" s="566"/>
      <c r="AW64" s="566"/>
      <c r="AX64" s="566"/>
      <c r="AY64" s="566"/>
      <c r="AZ64" s="566"/>
      <c r="BA64" s="566"/>
      <c r="BB64" s="566"/>
      <c r="BC64" s="566"/>
      <c r="BD64" s="566"/>
      <c r="BE64" s="566"/>
      <c r="BF64" s="566"/>
      <c r="BG64" s="566"/>
    </row>
    <row r="65" spans="1:59">
      <c r="A65" s="591"/>
      <c r="B65" s="592"/>
      <c r="C65" s="593"/>
      <c r="D65" s="594">
        <v>1</v>
      </c>
      <c r="E65" s="595" t="s">
        <v>366</v>
      </c>
      <c r="F65" s="593" t="s">
        <v>367</v>
      </c>
      <c r="G65" s="596" t="s">
        <v>411</v>
      </c>
      <c r="H65" s="596"/>
      <c r="I65" s="596"/>
      <c r="J65" s="596"/>
      <c r="K65" s="596"/>
      <c r="L65" s="591" t="s">
        <v>781</v>
      </c>
      <c r="M65" s="597" t="str">
        <f t="shared" si="29"/>
        <v>Gang, hal, pantry, aula, repro, gardarobe</v>
      </c>
      <c r="N65" s="591" t="s">
        <v>938</v>
      </c>
      <c r="O65" s="598"/>
      <c r="P65" s="599"/>
      <c r="Q65" s="600">
        <f t="shared" si="5"/>
        <v>0</v>
      </c>
      <c r="R65" s="601">
        <f>AF65</f>
        <v>8.5</v>
      </c>
      <c r="S65" s="647">
        <v>104200</v>
      </c>
      <c r="T65" s="602"/>
      <c r="U65" s="645">
        <v>1</v>
      </c>
      <c r="V65" s="593">
        <f t="shared" ref="V65:V66" si="48">VLOOKUP(S65,Kengetal,3,FALSE)+VLOOKUP(T65,Kengetal,3,FALSE)</f>
        <v>200</v>
      </c>
      <c r="W65" s="604">
        <f t="shared" ref="W65:W66" si="49">Z65*R65*U65</f>
        <v>0</v>
      </c>
      <c r="X65" s="604">
        <f t="shared" ref="X65:X66" si="50">AA65*R65</f>
        <v>0</v>
      </c>
      <c r="Y65" s="604">
        <f t="shared" ref="Y65:Y66" si="51">AB65*R65</f>
        <v>0</v>
      </c>
      <c r="Z65" s="605">
        <f>VLOOKUP(S65,Kengetal,6,FALSE)</f>
        <v>0</v>
      </c>
      <c r="AA65" s="751">
        <f>VLOOKUP(S65,Kengetal,7,FALSE)</f>
        <v>0</v>
      </c>
      <c r="AB65" s="605">
        <f>VLOOKUP(T65,Kengetal,6,FALSE)</f>
        <v>0</v>
      </c>
      <c r="AC65" s="607"/>
      <c r="AD65" s="591" t="str">
        <f>AL65</f>
        <v>Friesland College</v>
      </c>
      <c r="AE65" s="608"/>
      <c r="AF65" s="639">
        <v>8.5</v>
      </c>
      <c r="AG65" s="639">
        <f t="shared" si="9"/>
        <v>8.5</v>
      </c>
      <c r="AH65" s="639">
        <f t="shared" si="6"/>
        <v>0</v>
      </c>
      <c r="AI65" s="640"/>
      <c r="AJ65" s="641">
        <f t="shared" si="12"/>
        <v>0</v>
      </c>
      <c r="AK65" s="642"/>
      <c r="AL65" s="642" t="s">
        <v>364</v>
      </c>
      <c r="AM65" s="642"/>
      <c r="AN65" s="642"/>
      <c r="AO65" s="644">
        <v>57</v>
      </c>
      <c r="AP65" s="565"/>
      <c r="AQ65" s="566"/>
      <c r="AR65" s="566"/>
      <c r="AS65" s="566"/>
      <c r="AT65" s="566"/>
      <c r="AU65" s="566"/>
      <c r="AV65" s="566"/>
      <c r="AW65" s="566"/>
      <c r="AX65" s="566"/>
      <c r="AY65" s="566"/>
      <c r="AZ65" s="566"/>
      <c r="BA65" s="566"/>
      <c r="BB65" s="566"/>
      <c r="BC65" s="566"/>
      <c r="BD65" s="566"/>
      <c r="BE65" s="566"/>
      <c r="BF65" s="566"/>
      <c r="BG65" s="566"/>
    </row>
    <row r="66" spans="1:59">
      <c r="A66" s="591"/>
      <c r="B66" s="592"/>
      <c r="C66" s="593"/>
      <c r="D66" s="594">
        <v>1</v>
      </c>
      <c r="E66" s="595" t="s">
        <v>366</v>
      </c>
      <c r="F66" s="593" t="s">
        <v>367</v>
      </c>
      <c r="G66" s="596" t="s">
        <v>412</v>
      </c>
      <c r="H66" s="596" t="s">
        <v>413</v>
      </c>
      <c r="I66" s="596"/>
      <c r="J66" s="596"/>
      <c r="K66" s="596"/>
      <c r="L66" s="591" t="s">
        <v>782</v>
      </c>
      <c r="M66" s="597" t="str">
        <f t="shared" si="29"/>
        <v>Administratieve -, personeels- en vergaderruimte</v>
      </c>
      <c r="N66" s="591" t="s">
        <v>78</v>
      </c>
      <c r="O66" s="598"/>
      <c r="P66" s="599"/>
      <c r="Q66" s="600">
        <f t="shared" si="5"/>
        <v>0</v>
      </c>
      <c r="R66" s="601">
        <f>AF66</f>
        <v>20</v>
      </c>
      <c r="S66" s="647">
        <v>101100</v>
      </c>
      <c r="T66" s="602"/>
      <c r="U66" s="645">
        <v>1</v>
      </c>
      <c r="V66" s="593">
        <f t="shared" si="48"/>
        <v>100</v>
      </c>
      <c r="W66" s="604">
        <f t="shared" si="49"/>
        <v>0</v>
      </c>
      <c r="X66" s="604">
        <f t="shared" si="50"/>
        <v>0</v>
      </c>
      <c r="Y66" s="604">
        <f t="shared" si="51"/>
        <v>0</v>
      </c>
      <c r="Z66" s="605">
        <f>VLOOKUP(S66,Kengetal,6,FALSE)</f>
        <v>0</v>
      </c>
      <c r="AA66" s="751">
        <f>VLOOKUP(S66,Kengetal,7,FALSE)</f>
        <v>0</v>
      </c>
      <c r="AB66" s="605">
        <f>VLOOKUP(T66,Kengetal,6,FALSE)</f>
        <v>0</v>
      </c>
      <c r="AC66" s="607"/>
      <c r="AD66" s="591" t="str">
        <f>AL66</f>
        <v>Friesland College</v>
      </c>
      <c r="AE66" s="608"/>
      <c r="AF66" s="639">
        <v>20</v>
      </c>
      <c r="AG66" s="639">
        <f t="shared" si="9"/>
        <v>20</v>
      </c>
      <c r="AH66" s="639">
        <f t="shared" si="6"/>
        <v>0</v>
      </c>
      <c r="AI66" s="640"/>
      <c r="AJ66" s="641">
        <f t="shared" si="12"/>
        <v>0</v>
      </c>
      <c r="AK66" s="642"/>
      <c r="AL66" s="642" t="s">
        <v>364</v>
      </c>
      <c r="AM66" s="642"/>
      <c r="AN66" s="642"/>
      <c r="AO66" s="644">
        <v>58</v>
      </c>
      <c r="AP66" s="565"/>
      <c r="AQ66" s="566"/>
      <c r="AR66" s="566"/>
      <c r="AS66" s="566"/>
      <c r="AT66" s="566"/>
      <c r="AU66" s="566"/>
      <c r="AV66" s="566"/>
      <c r="AW66" s="566"/>
      <c r="AX66" s="566"/>
      <c r="AY66" s="566"/>
      <c r="AZ66" s="566"/>
      <c r="BA66" s="566"/>
      <c r="BB66" s="566"/>
      <c r="BC66" s="566"/>
      <c r="BD66" s="566"/>
      <c r="BE66" s="566"/>
      <c r="BF66" s="566"/>
      <c r="BG66" s="566"/>
    </row>
    <row r="67" spans="1:59">
      <c r="A67" s="591"/>
      <c r="B67" s="592"/>
      <c r="C67" s="593"/>
      <c r="D67" s="594">
        <v>1</v>
      </c>
      <c r="E67" s="595" t="s">
        <v>366</v>
      </c>
      <c r="F67" s="593" t="s">
        <v>367</v>
      </c>
      <c r="G67" s="610" t="s">
        <v>412</v>
      </c>
      <c r="H67" s="610" t="s">
        <v>413</v>
      </c>
      <c r="I67" s="610"/>
      <c r="J67" s="610"/>
      <c r="K67" s="610"/>
      <c r="L67" s="611" t="s">
        <v>782</v>
      </c>
      <c r="M67" s="612">
        <f t="shared" si="29"/>
        <v>0</v>
      </c>
      <c r="N67" s="613"/>
      <c r="O67" s="614" t="s">
        <v>987</v>
      </c>
      <c r="P67" s="615">
        <v>100</v>
      </c>
      <c r="Q67" s="616">
        <f t="shared" si="5"/>
        <v>20</v>
      </c>
      <c r="R67" s="613"/>
      <c r="S67" s="603"/>
      <c r="T67" s="606"/>
      <c r="U67" s="606"/>
      <c r="V67" s="593">
        <f t="shared" si="2"/>
        <v>0</v>
      </c>
      <c r="W67" s="606"/>
      <c r="X67" s="606"/>
      <c r="Y67" s="606"/>
      <c r="Z67" s="606"/>
      <c r="AA67" s="606"/>
      <c r="AB67" s="606"/>
      <c r="AC67" s="607"/>
      <c r="AD67" s="606"/>
      <c r="AE67" s="608"/>
      <c r="AF67" s="639">
        <v>20</v>
      </c>
      <c r="AG67" s="639">
        <f t="shared" si="9"/>
        <v>20</v>
      </c>
      <c r="AH67" s="639">
        <f t="shared" si="6"/>
        <v>0</v>
      </c>
      <c r="AI67" s="640"/>
      <c r="AJ67" s="641">
        <f t="shared" si="12"/>
        <v>0</v>
      </c>
      <c r="AK67" s="642"/>
      <c r="AL67" s="642" t="s">
        <v>364</v>
      </c>
      <c r="AM67" s="642"/>
      <c r="AN67" s="642"/>
      <c r="AO67" s="644">
        <v>59</v>
      </c>
      <c r="AP67" s="565"/>
      <c r="AQ67" s="566"/>
      <c r="AR67" s="566"/>
      <c r="AS67" s="566"/>
      <c r="AT67" s="566"/>
      <c r="AU67" s="566"/>
      <c r="AV67" s="566"/>
      <c r="AW67" s="566"/>
      <c r="AX67" s="566"/>
      <c r="AY67" s="566"/>
      <c r="AZ67" s="566"/>
      <c r="BA67" s="566"/>
      <c r="BB67" s="566"/>
      <c r="BC67" s="566"/>
      <c r="BD67" s="566"/>
      <c r="BE67" s="566"/>
      <c r="BF67" s="566"/>
      <c r="BG67" s="566"/>
    </row>
    <row r="68" spans="1:59">
      <c r="A68" s="591"/>
      <c r="B68" s="592"/>
      <c r="C68" s="593"/>
      <c r="D68" s="594">
        <v>1</v>
      </c>
      <c r="E68" s="595" t="s">
        <v>366</v>
      </c>
      <c r="F68" s="593" t="s">
        <v>367</v>
      </c>
      <c r="G68" s="596" t="s">
        <v>414</v>
      </c>
      <c r="H68" s="596" t="s">
        <v>415</v>
      </c>
      <c r="I68" s="596"/>
      <c r="J68" s="596"/>
      <c r="K68" s="596"/>
      <c r="L68" s="591" t="s">
        <v>783</v>
      </c>
      <c r="M68" s="597" t="str">
        <f t="shared" si="29"/>
        <v>Onderwijsruimte (theorie)</v>
      </c>
      <c r="N68" s="591" t="s">
        <v>78</v>
      </c>
      <c r="O68" s="598"/>
      <c r="P68" s="599"/>
      <c r="Q68" s="600">
        <f t="shared" si="5"/>
        <v>0</v>
      </c>
      <c r="R68" s="601">
        <f>AF68</f>
        <v>20</v>
      </c>
      <c r="S68" s="647">
        <v>102200</v>
      </c>
      <c r="T68" s="602"/>
      <c r="U68" s="645">
        <v>1</v>
      </c>
      <c r="V68" s="593">
        <f t="shared" ref="V68" si="52">VLOOKUP(S68,Kengetal,3,FALSE)+VLOOKUP(T68,Kengetal,3,FALSE)</f>
        <v>200</v>
      </c>
      <c r="W68" s="604">
        <f>Z68*R68*U68</f>
        <v>0</v>
      </c>
      <c r="X68" s="604">
        <f>AA68*R68</f>
        <v>0</v>
      </c>
      <c r="Y68" s="604">
        <f>AB68*R68</f>
        <v>0</v>
      </c>
      <c r="Z68" s="605">
        <f>VLOOKUP(S68,Kengetal,6,FALSE)</f>
        <v>0</v>
      </c>
      <c r="AA68" s="751">
        <f>VLOOKUP(S68,Kengetal,7,FALSE)</f>
        <v>0</v>
      </c>
      <c r="AB68" s="605">
        <f>VLOOKUP(T68,Kengetal,6,FALSE)</f>
        <v>0</v>
      </c>
      <c r="AC68" s="607"/>
      <c r="AD68" s="591" t="str">
        <f>AL68</f>
        <v>Friesland College</v>
      </c>
      <c r="AE68" s="608"/>
      <c r="AF68" s="639">
        <v>20</v>
      </c>
      <c r="AG68" s="639">
        <f t="shared" si="9"/>
        <v>20</v>
      </c>
      <c r="AH68" s="639">
        <f t="shared" si="6"/>
        <v>0</v>
      </c>
      <c r="AI68" s="640"/>
      <c r="AJ68" s="641">
        <f t="shared" si="12"/>
        <v>0</v>
      </c>
      <c r="AK68" s="642"/>
      <c r="AL68" s="642" t="s">
        <v>364</v>
      </c>
      <c r="AM68" s="642"/>
      <c r="AN68" s="642"/>
      <c r="AO68" s="644">
        <v>60</v>
      </c>
      <c r="AP68" s="565"/>
      <c r="AQ68" s="566"/>
      <c r="AR68" s="566"/>
      <c r="AS68" s="566"/>
      <c r="AT68" s="566"/>
      <c r="AU68" s="566"/>
      <c r="AV68" s="566"/>
      <c r="AW68" s="566"/>
      <c r="AX68" s="566"/>
      <c r="AY68" s="566"/>
      <c r="AZ68" s="566"/>
      <c r="BA68" s="566"/>
      <c r="BB68" s="566"/>
      <c r="BC68" s="566"/>
      <c r="BD68" s="566"/>
      <c r="BE68" s="566"/>
      <c r="BF68" s="566"/>
      <c r="BG68" s="566"/>
    </row>
    <row r="69" spans="1:59">
      <c r="A69" s="591"/>
      <c r="B69" s="592"/>
      <c r="C69" s="593"/>
      <c r="D69" s="594">
        <v>1</v>
      </c>
      <c r="E69" s="595" t="s">
        <v>366</v>
      </c>
      <c r="F69" s="593" t="s">
        <v>367</v>
      </c>
      <c r="G69" s="610" t="s">
        <v>414</v>
      </c>
      <c r="H69" s="610" t="s">
        <v>415</v>
      </c>
      <c r="I69" s="610"/>
      <c r="J69" s="610"/>
      <c r="K69" s="610"/>
      <c r="L69" s="611" t="s">
        <v>783</v>
      </c>
      <c r="M69" s="612">
        <f t="shared" si="29"/>
        <v>0</v>
      </c>
      <c r="N69" s="613"/>
      <c r="O69" s="614" t="s">
        <v>987</v>
      </c>
      <c r="P69" s="615">
        <v>100</v>
      </c>
      <c r="Q69" s="616">
        <f t="shared" si="5"/>
        <v>20</v>
      </c>
      <c r="R69" s="613"/>
      <c r="S69" s="603"/>
      <c r="T69" s="606"/>
      <c r="U69" s="606"/>
      <c r="V69" s="593">
        <f t="shared" si="2"/>
        <v>0</v>
      </c>
      <c r="W69" s="606"/>
      <c r="X69" s="606"/>
      <c r="Y69" s="606"/>
      <c r="Z69" s="606"/>
      <c r="AA69" s="606"/>
      <c r="AB69" s="606"/>
      <c r="AC69" s="607"/>
      <c r="AD69" s="606"/>
      <c r="AE69" s="608"/>
      <c r="AF69" s="639">
        <v>20</v>
      </c>
      <c r="AG69" s="639">
        <f t="shared" si="9"/>
        <v>20</v>
      </c>
      <c r="AH69" s="639">
        <f t="shared" si="6"/>
        <v>0</v>
      </c>
      <c r="AI69" s="640"/>
      <c r="AJ69" s="641">
        <f t="shared" si="12"/>
        <v>0</v>
      </c>
      <c r="AK69" s="642"/>
      <c r="AL69" s="642" t="s">
        <v>364</v>
      </c>
      <c r="AM69" s="643"/>
      <c r="AN69" s="642"/>
      <c r="AO69" s="644">
        <v>61</v>
      </c>
      <c r="AP69" s="565"/>
      <c r="AQ69" s="566"/>
      <c r="AR69" s="566"/>
      <c r="AS69" s="566"/>
      <c r="AT69" s="566"/>
      <c r="AU69" s="566"/>
      <c r="AV69" s="566"/>
      <c r="AW69" s="566"/>
      <c r="AX69" s="566"/>
      <c r="AY69" s="566"/>
      <c r="AZ69" s="566"/>
      <c r="BA69" s="566"/>
      <c r="BB69" s="566"/>
      <c r="BC69" s="566"/>
      <c r="BD69" s="566"/>
      <c r="BE69" s="566"/>
      <c r="BF69" s="566"/>
      <c r="BG69" s="566"/>
    </row>
    <row r="70" spans="1:59">
      <c r="A70" s="591"/>
      <c r="B70" s="592"/>
      <c r="C70" s="593"/>
      <c r="D70" s="594">
        <v>1</v>
      </c>
      <c r="E70" s="595" t="s">
        <v>366</v>
      </c>
      <c r="F70" s="593" t="s">
        <v>367</v>
      </c>
      <c r="G70" s="596" t="s">
        <v>416</v>
      </c>
      <c r="H70" s="596" t="s">
        <v>417</v>
      </c>
      <c r="I70" s="596"/>
      <c r="J70" s="596"/>
      <c r="K70" s="596"/>
      <c r="L70" s="591" t="s">
        <v>784</v>
      </c>
      <c r="M70" s="597" t="str">
        <f t="shared" si="29"/>
        <v>Administratieve -, personeels- en vergaderruimte</v>
      </c>
      <c r="N70" s="591" t="s">
        <v>78</v>
      </c>
      <c r="O70" s="598"/>
      <c r="P70" s="599"/>
      <c r="Q70" s="600">
        <f t="shared" si="5"/>
        <v>0</v>
      </c>
      <c r="R70" s="601">
        <f>AF70</f>
        <v>43</v>
      </c>
      <c r="S70" s="647">
        <v>101100</v>
      </c>
      <c r="T70" s="602"/>
      <c r="U70" s="645">
        <v>1</v>
      </c>
      <c r="V70" s="593">
        <f t="shared" ref="V70" si="53">VLOOKUP(S70,Kengetal,3,FALSE)+VLOOKUP(T70,Kengetal,3,FALSE)</f>
        <v>100</v>
      </c>
      <c r="W70" s="604">
        <f>Z70*R70*U70</f>
        <v>0</v>
      </c>
      <c r="X70" s="604">
        <f>AA70*R70</f>
        <v>0</v>
      </c>
      <c r="Y70" s="604">
        <f>AB70*R70</f>
        <v>0</v>
      </c>
      <c r="Z70" s="605">
        <f>VLOOKUP(S70,Kengetal,6,FALSE)</f>
        <v>0</v>
      </c>
      <c r="AA70" s="751">
        <f>VLOOKUP(S70,Kengetal,7,FALSE)</f>
        <v>0</v>
      </c>
      <c r="AB70" s="605">
        <f>VLOOKUP(T70,Kengetal,6,FALSE)</f>
        <v>0</v>
      </c>
      <c r="AC70" s="607"/>
      <c r="AD70" s="591" t="str">
        <f>AL70</f>
        <v>Friesland College</v>
      </c>
      <c r="AE70" s="608"/>
      <c r="AF70" s="639">
        <v>43</v>
      </c>
      <c r="AG70" s="639">
        <f t="shared" si="9"/>
        <v>43</v>
      </c>
      <c r="AH70" s="639">
        <f t="shared" si="6"/>
        <v>0</v>
      </c>
      <c r="AI70" s="640"/>
      <c r="AJ70" s="641">
        <f t="shared" si="12"/>
        <v>0</v>
      </c>
      <c r="AK70" s="642"/>
      <c r="AL70" s="642" t="s">
        <v>364</v>
      </c>
      <c r="AM70" s="643"/>
      <c r="AN70" s="642"/>
      <c r="AO70" s="644">
        <v>62</v>
      </c>
      <c r="AP70" s="565"/>
      <c r="AQ70" s="566"/>
      <c r="AR70" s="566"/>
      <c r="AS70" s="566"/>
      <c r="AT70" s="566"/>
      <c r="AU70" s="566"/>
      <c r="AV70" s="566"/>
      <c r="AW70" s="566"/>
      <c r="AX70" s="566"/>
      <c r="AY70" s="566"/>
      <c r="AZ70" s="566"/>
      <c r="BA70" s="566"/>
      <c r="BB70" s="566"/>
      <c r="BC70" s="566"/>
      <c r="BD70" s="566"/>
      <c r="BE70" s="566"/>
      <c r="BF70" s="566"/>
      <c r="BG70" s="566"/>
    </row>
    <row r="71" spans="1:59">
      <c r="A71" s="591"/>
      <c r="B71" s="592"/>
      <c r="C71" s="593"/>
      <c r="D71" s="594">
        <v>1</v>
      </c>
      <c r="E71" s="595" t="s">
        <v>366</v>
      </c>
      <c r="F71" s="593" t="s">
        <v>367</v>
      </c>
      <c r="G71" s="610" t="s">
        <v>416</v>
      </c>
      <c r="H71" s="610" t="s">
        <v>417</v>
      </c>
      <c r="I71" s="610"/>
      <c r="J71" s="610"/>
      <c r="K71" s="610"/>
      <c r="L71" s="611" t="s">
        <v>784</v>
      </c>
      <c r="M71" s="612">
        <f t="shared" si="29"/>
        <v>0</v>
      </c>
      <c r="N71" s="613"/>
      <c r="O71" s="614" t="s">
        <v>987</v>
      </c>
      <c r="P71" s="615">
        <v>100</v>
      </c>
      <c r="Q71" s="616">
        <f t="shared" si="5"/>
        <v>43</v>
      </c>
      <c r="R71" s="613"/>
      <c r="S71" s="603"/>
      <c r="T71" s="606"/>
      <c r="U71" s="606"/>
      <c r="V71" s="593">
        <f t="shared" si="2"/>
        <v>0</v>
      </c>
      <c r="W71" s="606"/>
      <c r="X71" s="606"/>
      <c r="Y71" s="606"/>
      <c r="Z71" s="606"/>
      <c r="AA71" s="606"/>
      <c r="AB71" s="606"/>
      <c r="AC71" s="607"/>
      <c r="AD71" s="606"/>
      <c r="AE71" s="608"/>
      <c r="AF71" s="639">
        <v>43</v>
      </c>
      <c r="AG71" s="639">
        <f t="shared" si="9"/>
        <v>43</v>
      </c>
      <c r="AH71" s="639">
        <f t="shared" si="6"/>
        <v>0</v>
      </c>
      <c r="AI71" s="640"/>
      <c r="AJ71" s="641">
        <f t="shared" si="12"/>
        <v>0</v>
      </c>
      <c r="AK71" s="642"/>
      <c r="AL71" s="642" t="s">
        <v>364</v>
      </c>
      <c r="AM71" s="643"/>
      <c r="AN71" s="642"/>
      <c r="AO71" s="644">
        <v>63</v>
      </c>
      <c r="AP71" s="565"/>
      <c r="AQ71" s="566"/>
      <c r="AR71" s="566"/>
      <c r="AS71" s="566"/>
      <c r="AT71" s="566"/>
      <c r="AU71" s="566"/>
      <c r="AV71" s="566"/>
      <c r="AW71" s="566"/>
      <c r="AX71" s="566"/>
      <c r="AY71" s="566"/>
      <c r="AZ71" s="566"/>
      <c r="BA71" s="566"/>
      <c r="BB71" s="566"/>
      <c r="BC71" s="566"/>
      <c r="BD71" s="566"/>
      <c r="BE71" s="566"/>
      <c r="BF71" s="566"/>
      <c r="BG71" s="566"/>
    </row>
    <row r="72" spans="1:59">
      <c r="A72" s="591"/>
      <c r="B72" s="592"/>
      <c r="C72" s="593"/>
      <c r="D72" s="594">
        <v>1</v>
      </c>
      <c r="E72" s="595" t="s">
        <v>366</v>
      </c>
      <c r="F72" s="593" t="s">
        <v>367</v>
      </c>
      <c r="G72" s="596" t="s">
        <v>418</v>
      </c>
      <c r="H72" s="596" t="s">
        <v>419</v>
      </c>
      <c r="I72" s="596"/>
      <c r="J72" s="596"/>
      <c r="K72" s="596"/>
      <c r="L72" s="591" t="s">
        <v>785</v>
      </c>
      <c r="M72" s="597" t="str">
        <f t="shared" si="29"/>
        <v>Onderwijsruimte (praktijk)</v>
      </c>
      <c r="N72" s="591" t="s">
        <v>938</v>
      </c>
      <c r="O72" s="598"/>
      <c r="P72" s="599"/>
      <c r="Q72" s="600">
        <f t="shared" si="5"/>
        <v>0</v>
      </c>
      <c r="R72" s="601">
        <f>AF72</f>
        <v>134</v>
      </c>
      <c r="S72" s="647">
        <v>112200</v>
      </c>
      <c r="T72" s="602"/>
      <c r="U72" s="645">
        <v>1</v>
      </c>
      <c r="V72" s="593">
        <f t="shared" ref="V72" si="54">VLOOKUP(S72,Kengetal,3,FALSE)+VLOOKUP(T72,Kengetal,3,FALSE)</f>
        <v>200</v>
      </c>
      <c r="W72" s="604">
        <f>Z72*R72*U72</f>
        <v>0</v>
      </c>
      <c r="X72" s="604">
        <f>AA72*R72</f>
        <v>0</v>
      </c>
      <c r="Y72" s="604">
        <f>AB72*R72</f>
        <v>0</v>
      </c>
      <c r="Z72" s="605">
        <f>VLOOKUP(S72,Kengetal,6,FALSE)</f>
        <v>0</v>
      </c>
      <c r="AA72" s="751">
        <f>VLOOKUP(S72,Kengetal,7,FALSE)</f>
        <v>0</v>
      </c>
      <c r="AB72" s="605">
        <f>VLOOKUP(T72,Kengetal,6,FALSE)</f>
        <v>0</v>
      </c>
      <c r="AC72" s="607"/>
      <c r="AD72" s="591" t="str">
        <f>AL72</f>
        <v>Friesland College</v>
      </c>
      <c r="AE72" s="608"/>
      <c r="AF72" s="639">
        <v>134</v>
      </c>
      <c r="AG72" s="639">
        <f t="shared" si="9"/>
        <v>134</v>
      </c>
      <c r="AH72" s="639">
        <f t="shared" si="6"/>
        <v>0</v>
      </c>
      <c r="AI72" s="640"/>
      <c r="AJ72" s="641">
        <f t="shared" si="12"/>
        <v>0</v>
      </c>
      <c r="AK72" s="642"/>
      <c r="AL72" s="642" t="s">
        <v>364</v>
      </c>
      <c r="AM72" s="643"/>
      <c r="AN72" s="642"/>
      <c r="AO72" s="644">
        <v>64</v>
      </c>
      <c r="AP72" s="565"/>
      <c r="AQ72" s="566"/>
      <c r="AR72" s="566"/>
      <c r="AS72" s="566"/>
      <c r="AT72" s="566"/>
      <c r="AU72" s="566"/>
      <c r="AV72" s="566"/>
      <c r="AW72" s="566"/>
      <c r="AX72" s="566"/>
      <c r="AY72" s="566"/>
      <c r="AZ72" s="566"/>
      <c r="BA72" s="566"/>
      <c r="BB72" s="566"/>
      <c r="BC72" s="566"/>
      <c r="BD72" s="566"/>
      <c r="BE72" s="566"/>
      <c r="BF72" s="566"/>
      <c r="BG72" s="566"/>
    </row>
    <row r="73" spans="1:59">
      <c r="A73" s="591"/>
      <c r="B73" s="592"/>
      <c r="C73" s="593"/>
      <c r="D73" s="594">
        <v>1</v>
      </c>
      <c r="E73" s="595" t="s">
        <v>366</v>
      </c>
      <c r="F73" s="593" t="s">
        <v>367</v>
      </c>
      <c r="G73" s="610" t="s">
        <v>418</v>
      </c>
      <c r="H73" s="610" t="s">
        <v>419</v>
      </c>
      <c r="I73" s="610"/>
      <c r="J73" s="610"/>
      <c r="K73" s="610"/>
      <c r="L73" s="611" t="s">
        <v>785</v>
      </c>
      <c r="M73" s="612">
        <f t="shared" si="29"/>
        <v>0</v>
      </c>
      <c r="N73" s="613"/>
      <c r="O73" s="614" t="s">
        <v>987</v>
      </c>
      <c r="P73" s="615">
        <v>100</v>
      </c>
      <c r="Q73" s="616">
        <f t="shared" si="5"/>
        <v>134</v>
      </c>
      <c r="R73" s="613"/>
      <c r="S73" s="603"/>
      <c r="T73" s="606"/>
      <c r="U73" s="606"/>
      <c r="V73" s="593">
        <f t="shared" si="2"/>
        <v>0</v>
      </c>
      <c r="W73" s="606"/>
      <c r="X73" s="606"/>
      <c r="Y73" s="606"/>
      <c r="Z73" s="606"/>
      <c r="AA73" s="606"/>
      <c r="AB73" s="606"/>
      <c r="AC73" s="607"/>
      <c r="AD73" s="606"/>
      <c r="AE73" s="608"/>
      <c r="AF73" s="639">
        <v>134</v>
      </c>
      <c r="AG73" s="639">
        <f t="shared" si="9"/>
        <v>134</v>
      </c>
      <c r="AH73" s="639">
        <f t="shared" si="6"/>
        <v>0</v>
      </c>
      <c r="AI73" s="640"/>
      <c r="AJ73" s="641">
        <f t="shared" si="12"/>
        <v>0</v>
      </c>
      <c r="AK73" s="642"/>
      <c r="AL73" s="642" t="s">
        <v>364</v>
      </c>
      <c r="AM73" s="643"/>
      <c r="AN73" s="642"/>
      <c r="AO73" s="644">
        <v>65</v>
      </c>
      <c r="AP73" s="565"/>
      <c r="AQ73" s="566"/>
      <c r="AR73" s="566"/>
      <c r="AS73" s="566"/>
      <c r="AT73" s="566"/>
      <c r="AU73" s="566"/>
      <c r="AV73" s="566"/>
      <c r="AW73" s="566"/>
      <c r="AX73" s="566"/>
      <c r="AY73" s="566"/>
      <c r="AZ73" s="566"/>
      <c r="BA73" s="566"/>
      <c r="BB73" s="566"/>
      <c r="BC73" s="566"/>
      <c r="BD73" s="566"/>
      <c r="BE73" s="566"/>
      <c r="BF73" s="566"/>
      <c r="BG73" s="566"/>
    </row>
    <row r="74" spans="1:59">
      <c r="A74" s="591"/>
      <c r="B74" s="592"/>
      <c r="C74" s="593"/>
      <c r="D74" s="594">
        <v>1</v>
      </c>
      <c r="E74" s="595" t="s">
        <v>366</v>
      </c>
      <c r="F74" s="593" t="s">
        <v>367</v>
      </c>
      <c r="G74" s="596" t="s">
        <v>420</v>
      </c>
      <c r="H74" s="596"/>
      <c r="I74" s="596"/>
      <c r="J74" s="596"/>
      <c r="K74" s="596"/>
      <c r="L74" s="591" t="s">
        <v>786</v>
      </c>
      <c r="M74" s="597" t="str">
        <f t="shared" si="29"/>
        <v>Op afroep (in overleg)</v>
      </c>
      <c r="N74" s="591" t="s">
        <v>938</v>
      </c>
      <c r="O74" s="598"/>
      <c r="P74" s="599"/>
      <c r="Q74" s="600">
        <f t="shared" si="5"/>
        <v>0</v>
      </c>
      <c r="R74" s="601">
        <f>AF74</f>
        <v>7</v>
      </c>
      <c r="S74" s="603" t="s">
        <v>959</v>
      </c>
      <c r="T74" s="602"/>
      <c r="U74" s="603"/>
      <c r="V74" s="593">
        <f t="shared" si="2"/>
        <v>0</v>
      </c>
      <c r="W74" s="604">
        <f t="shared" ref="W74:W76" si="55">Z74*R74*U74</f>
        <v>0</v>
      </c>
      <c r="X74" s="604">
        <f t="shared" ref="X74:X76" si="56">AA74*R74</f>
        <v>0</v>
      </c>
      <c r="Y74" s="604">
        <f t="shared" ref="Y74:Y76" si="57">AB74*R74</f>
        <v>0</v>
      </c>
      <c r="Z74" s="605">
        <f>VLOOKUP(S74,Kengetal,6,FALSE)</f>
        <v>0</v>
      </c>
      <c r="AA74" s="751">
        <f>VLOOKUP(S74,Kengetal,7,FALSE)</f>
        <v>0</v>
      </c>
      <c r="AB74" s="605">
        <f>VLOOKUP(T74,Kengetal,6,FALSE)</f>
        <v>0</v>
      </c>
      <c r="AC74" s="607"/>
      <c r="AD74" s="591" t="str">
        <f>AL74</f>
        <v>Friesland College</v>
      </c>
      <c r="AE74" s="608"/>
      <c r="AF74" s="639">
        <v>7</v>
      </c>
      <c r="AG74" s="639">
        <f t="shared" si="9"/>
        <v>7</v>
      </c>
      <c r="AH74" s="639">
        <f t="shared" si="6"/>
        <v>0</v>
      </c>
      <c r="AI74" s="640"/>
      <c r="AJ74" s="641">
        <f t="shared" si="12"/>
        <v>0</v>
      </c>
      <c r="AK74" s="642"/>
      <c r="AL74" s="642" t="s">
        <v>364</v>
      </c>
      <c r="AM74" s="643"/>
      <c r="AN74" s="642"/>
      <c r="AO74" s="644">
        <v>66</v>
      </c>
      <c r="AP74" s="565"/>
      <c r="AQ74" s="566"/>
      <c r="AR74" s="566"/>
      <c r="AS74" s="566"/>
      <c r="AT74" s="566"/>
      <c r="AU74" s="566"/>
      <c r="AV74" s="566"/>
      <c r="AW74" s="566"/>
      <c r="AX74" s="566"/>
      <c r="AY74" s="566"/>
      <c r="AZ74" s="566"/>
      <c r="BA74" s="566"/>
      <c r="BB74" s="566"/>
      <c r="BC74" s="566"/>
      <c r="BD74" s="566"/>
      <c r="BE74" s="566"/>
      <c r="BF74" s="566"/>
      <c r="BG74" s="566"/>
    </row>
    <row r="75" spans="1:59">
      <c r="A75" s="591"/>
      <c r="B75" s="592"/>
      <c r="C75" s="593"/>
      <c r="D75" s="594">
        <v>1</v>
      </c>
      <c r="E75" s="595" t="s">
        <v>366</v>
      </c>
      <c r="F75" s="593" t="s">
        <v>367</v>
      </c>
      <c r="G75" s="596" t="s">
        <v>421</v>
      </c>
      <c r="H75" s="596"/>
      <c r="I75" s="596"/>
      <c r="J75" s="596"/>
      <c r="K75" s="596"/>
      <c r="L75" s="591" t="s">
        <v>763</v>
      </c>
      <c r="M75" s="597" t="str">
        <f t="shared" ref="M75:M107" si="58">VLOOKUP(S75,Kengetal,4,FALSE)</f>
        <v>Trappenhuis-bordes</v>
      </c>
      <c r="N75" s="591" t="s">
        <v>938</v>
      </c>
      <c r="O75" s="598"/>
      <c r="P75" s="599"/>
      <c r="Q75" s="600">
        <f t="shared" ref="Q75:Q138" si="59">AF75*P75/100</f>
        <v>0</v>
      </c>
      <c r="R75" s="601">
        <f>AF75</f>
        <v>25</v>
      </c>
      <c r="S75" s="647">
        <v>108200</v>
      </c>
      <c r="T75" s="602"/>
      <c r="U75" s="645">
        <v>1</v>
      </c>
      <c r="V75" s="593">
        <f t="shared" ref="V75:V76" si="60">VLOOKUP(S75,Kengetal,3,FALSE)+VLOOKUP(T75,Kengetal,3,FALSE)</f>
        <v>200</v>
      </c>
      <c r="W75" s="604">
        <f t="shared" si="55"/>
        <v>0</v>
      </c>
      <c r="X75" s="604">
        <f t="shared" si="56"/>
        <v>0</v>
      </c>
      <c r="Y75" s="604">
        <f t="shared" si="57"/>
        <v>0</v>
      </c>
      <c r="Z75" s="605">
        <f>VLOOKUP(S75,Kengetal,6,FALSE)</f>
        <v>0</v>
      </c>
      <c r="AA75" s="751">
        <f>VLOOKUP(S75,Kengetal,7,FALSE)</f>
        <v>0</v>
      </c>
      <c r="AB75" s="605">
        <f>VLOOKUP(T75,Kengetal,6,FALSE)</f>
        <v>0</v>
      </c>
      <c r="AC75" s="607"/>
      <c r="AD75" s="591" t="str">
        <f>AL75</f>
        <v>Friesland College</v>
      </c>
      <c r="AE75" s="608"/>
      <c r="AF75" s="639">
        <v>25</v>
      </c>
      <c r="AG75" s="639">
        <f t="shared" ref="AG75:AG138" si="61">IF(AND(C75="t"),-AF75,IF(AND(C75="v"),-AF75,IF(AND(C75="W"),-AF75,IF(AND(C75=""),AF75))))</f>
        <v>25</v>
      </c>
      <c r="AH75" s="639">
        <f t="shared" ref="AH75:AH138" si="62">IF(B75=0,0,MONTH(B75))</f>
        <v>0</v>
      </c>
      <c r="AI75" s="640"/>
      <c r="AJ75" s="641">
        <f t="shared" ref="AJ75:AJ138" si="63">W75+X75</f>
        <v>0</v>
      </c>
      <c r="AK75" s="642"/>
      <c r="AL75" s="642" t="s">
        <v>364</v>
      </c>
      <c r="AM75" s="643"/>
      <c r="AN75" s="642"/>
      <c r="AO75" s="644">
        <v>67</v>
      </c>
      <c r="AP75" s="565"/>
      <c r="AQ75" s="566"/>
      <c r="AR75" s="566"/>
      <c r="AS75" s="566"/>
      <c r="AT75" s="566"/>
      <c r="AU75" s="566"/>
      <c r="AV75" s="566"/>
      <c r="AW75" s="566"/>
      <c r="AX75" s="566"/>
      <c r="AY75" s="566"/>
      <c r="AZ75" s="566"/>
      <c r="BA75" s="566"/>
      <c r="BB75" s="566"/>
      <c r="BC75" s="566"/>
      <c r="BD75" s="566"/>
      <c r="BE75" s="566"/>
      <c r="BF75" s="566"/>
      <c r="BG75" s="566"/>
    </row>
    <row r="76" spans="1:59">
      <c r="A76" s="591"/>
      <c r="B76" s="592"/>
      <c r="C76" s="593"/>
      <c r="D76" s="594">
        <v>1</v>
      </c>
      <c r="E76" s="595" t="s">
        <v>366</v>
      </c>
      <c r="F76" s="593" t="s">
        <v>367</v>
      </c>
      <c r="G76" s="596" t="s">
        <v>422</v>
      </c>
      <c r="H76" s="596" t="s">
        <v>423</v>
      </c>
      <c r="I76" s="596"/>
      <c r="J76" s="596"/>
      <c r="K76" s="596"/>
      <c r="L76" s="591" t="s">
        <v>787</v>
      </c>
      <c r="M76" s="597" t="str">
        <f t="shared" si="58"/>
        <v>Onderwijsruimte (theorie)</v>
      </c>
      <c r="N76" s="591" t="s">
        <v>78</v>
      </c>
      <c r="O76" s="598"/>
      <c r="P76" s="599"/>
      <c r="Q76" s="600">
        <f t="shared" si="59"/>
        <v>0</v>
      </c>
      <c r="R76" s="601">
        <f>AF76</f>
        <v>76</v>
      </c>
      <c r="S76" s="647">
        <v>102200</v>
      </c>
      <c r="T76" s="602"/>
      <c r="U76" s="645">
        <v>1</v>
      </c>
      <c r="V76" s="593">
        <f t="shared" si="60"/>
        <v>200</v>
      </c>
      <c r="W76" s="604">
        <f t="shared" si="55"/>
        <v>0</v>
      </c>
      <c r="X76" s="604">
        <f t="shared" si="56"/>
        <v>0</v>
      </c>
      <c r="Y76" s="604">
        <f t="shared" si="57"/>
        <v>0</v>
      </c>
      <c r="Z76" s="605">
        <f>VLOOKUP(S76,Kengetal,6,FALSE)</f>
        <v>0</v>
      </c>
      <c r="AA76" s="751">
        <f>VLOOKUP(S76,Kengetal,7,FALSE)</f>
        <v>0</v>
      </c>
      <c r="AB76" s="605">
        <f>VLOOKUP(T76,Kengetal,6,FALSE)</f>
        <v>0</v>
      </c>
      <c r="AC76" s="607"/>
      <c r="AD76" s="591" t="str">
        <f>AL76</f>
        <v>Friesland College</v>
      </c>
      <c r="AE76" s="608"/>
      <c r="AF76" s="639">
        <v>76</v>
      </c>
      <c r="AG76" s="639">
        <f t="shared" si="61"/>
        <v>76</v>
      </c>
      <c r="AH76" s="639">
        <f t="shared" si="62"/>
        <v>0</v>
      </c>
      <c r="AI76" s="640"/>
      <c r="AJ76" s="641">
        <f t="shared" si="63"/>
        <v>0</v>
      </c>
      <c r="AK76" s="642"/>
      <c r="AL76" s="642" t="s">
        <v>364</v>
      </c>
      <c r="AM76" s="643"/>
      <c r="AN76" s="642"/>
      <c r="AO76" s="644">
        <v>68</v>
      </c>
      <c r="AP76" s="565"/>
      <c r="AQ76" s="566"/>
      <c r="AR76" s="566"/>
      <c r="AS76" s="566"/>
      <c r="AT76" s="566"/>
      <c r="AU76" s="566"/>
      <c r="AV76" s="566"/>
      <c r="AW76" s="566"/>
      <c r="AX76" s="566"/>
      <c r="AY76" s="566"/>
      <c r="AZ76" s="566"/>
      <c r="BA76" s="566"/>
      <c r="BB76" s="566"/>
      <c r="BC76" s="566"/>
      <c r="BD76" s="566"/>
      <c r="BE76" s="566"/>
      <c r="BF76" s="566"/>
      <c r="BG76" s="566"/>
    </row>
    <row r="77" spans="1:59">
      <c r="A77" s="591"/>
      <c r="B77" s="592"/>
      <c r="C77" s="593"/>
      <c r="D77" s="594">
        <v>1</v>
      </c>
      <c r="E77" s="595" t="s">
        <v>366</v>
      </c>
      <c r="F77" s="593" t="s">
        <v>367</v>
      </c>
      <c r="G77" s="610" t="s">
        <v>422</v>
      </c>
      <c r="H77" s="610" t="s">
        <v>423</v>
      </c>
      <c r="I77" s="610"/>
      <c r="J77" s="610"/>
      <c r="K77" s="610"/>
      <c r="L77" s="611" t="s">
        <v>787</v>
      </c>
      <c r="M77" s="612">
        <f t="shared" si="58"/>
        <v>0</v>
      </c>
      <c r="N77" s="613"/>
      <c r="O77" s="614" t="s">
        <v>987</v>
      </c>
      <c r="P77" s="615">
        <v>100</v>
      </c>
      <c r="Q77" s="616">
        <f t="shared" si="59"/>
        <v>76</v>
      </c>
      <c r="R77" s="613"/>
      <c r="S77" s="603"/>
      <c r="T77" s="606"/>
      <c r="U77" s="606"/>
      <c r="V77" s="593">
        <f t="shared" ref="V77:V138" si="64">VLOOKUP(S77,Kengetal,3,FALSE)+VLOOKUP(T77,Kengetal,3,FALSE)</f>
        <v>0</v>
      </c>
      <c r="W77" s="606"/>
      <c r="X77" s="606"/>
      <c r="Y77" s="606"/>
      <c r="Z77" s="606"/>
      <c r="AA77" s="606"/>
      <c r="AB77" s="606"/>
      <c r="AC77" s="607"/>
      <c r="AD77" s="606"/>
      <c r="AE77" s="608"/>
      <c r="AF77" s="639">
        <v>76</v>
      </c>
      <c r="AG77" s="639">
        <f t="shared" si="61"/>
        <v>76</v>
      </c>
      <c r="AH77" s="639">
        <f t="shared" si="62"/>
        <v>0</v>
      </c>
      <c r="AI77" s="640"/>
      <c r="AJ77" s="641">
        <f t="shared" si="63"/>
        <v>0</v>
      </c>
      <c r="AK77" s="642"/>
      <c r="AL77" s="642" t="s">
        <v>364</v>
      </c>
      <c r="AM77" s="643"/>
      <c r="AN77" s="642"/>
      <c r="AO77" s="644">
        <v>69</v>
      </c>
      <c r="AP77" s="565"/>
      <c r="AQ77" s="566"/>
      <c r="AR77" s="566"/>
      <c r="AS77" s="566"/>
      <c r="AT77" s="566"/>
      <c r="AU77" s="566"/>
      <c r="AV77" s="566"/>
      <c r="AW77" s="566"/>
      <c r="AX77" s="566"/>
      <c r="AY77" s="566"/>
      <c r="AZ77" s="566"/>
      <c r="BA77" s="566"/>
      <c r="BB77" s="566"/>
      <c r="BC77" s="566"/>
      <c r="BD77" s="566"/>
      <c r="BE77" s="566"/>
      <c r="BF77" s="566"/>
      <c r="BG77" s="566"/>
    </row>
    <row r="78" spans="1:59">
      <c r="A78" s="591"/>
      <c r="B78" s="592"/>
      <c r="C78" s="593"/>
      <c r="D78" s="594">
        <v>1</v>
      </c>
      <c r="E78" s="595" t="s">
        <v>366</v>
      </c>
      <c r="F78" s="593" t="s">
        <v>367</v>
      </c>
      <c r="G78" s="596" t="s">
        <v>424</v>
      </c>
      <c r="H78" s="596" t="s">
        <v>425</v>
      </c>
      <c r="I78" s="596"/>
      <c r="J78" s="596"/>
      <c r="K78" s="596"/>
      <c r="L78" s="591" t="s">
        <v>788</v>
      </c>
      <c r="M78" s="597" t="str">
        <f t="shared" si="58"/>
        <v>Onderwijsruimte (theorie)</v>
      </c>
      <c r="N78" s="591" t="s">
        <v>78</v>
      </c>
      <c r="O78" s="598"/>
      <c r="P78" s="599"/>
      <c r="Q78" s="600">
        <f t="shared" si="59"/>
        <v>0</v>
      </c>
      <c r="R78" s="601">
        <f>AF78</f>
        <v>35</v>
      </c>
      <c r="S78" s="647">
        <v>102200</v>
      </c>
      <c r="T78" s="602"/>
      <c r="U78" s="645">
        <v>1</v>
      </c>
      <c r="V78" s="593">
        <f t="shared" si="64"/>
        <v>200</v>
      </c>
      <c r="W78" s="604">
        <f>Z78*R78*U78</f>
        <v>0</v>
      </c>
      <c r="X78" s="604">
        <f>AA78*R78</f>
        <v>0</v>
      </c>
      <c r="Y78" s="604">
        <f>AB78*R78</f>
        <v>0</v>
      </c>
      <c r="Z78" s="605">
        <f>VLOOKUP(S78,Kengetal,6,FALSE)</f>
        <v>0</v>
      </c>
      <c r="AA78" s="751">
        <f>VLOOKUP(S78,Kengetal,7,FALSE)</f>
        <v>0</v>
      </c>
      <c r="AB78" s="605">
        <f>VLOOKUP(T78,Kengetal,6,FALSE)</f>
        <v>0</v>
      </c>
      <c r="AC78" s="607"/>
      <c r="AD78" s="591" t="str">
        <f>AL78</f>
        <v>Friesland College</v>
      </c>
      <c r="AE78" s="608"/>
      <c r="AF78" s="639">
        <v>35</v>
      </c>
      <c r="AG78" s="639">
        <f t="shared" si="61"/>
        <v>35</v>
      </c>
      <c r="AH78" s="639">
        <f t="shared" si="62"/>
        <v>0</v>
      </c>
      <c r="AI78" s="640"/>
      <c r="AJ78" s="641">
        <f t="shared" si="63"/>
        <v>0</v>
      </c>
      <c r="AK78" s="642"/>
      <c r="AL78" s="642" t="s">
        <v>364</v>
      </c>
      <c r="AM78" s="643"/>
      <c r="AN78" s="642"/>
      <c r="AO78" s="644">
        <v>70</v>
      </c>
      <c r="AP78" s="565"/>
      <c r="AQ78" s="566"/>
      <c r="AR78" s="566"/>
      <c r="AS78" s="566"/>
      <c r="AT78" s="566"/>
      <c r="AU78" s="566"/>
      <c r="AV78" s="566"/>
      <c r="AW78" s="566"/>
      <c r="AX78" s="566"/>
      <c r="AY78" s="566"/>
      <c r="AZ78" s="566"/>
      <c r="BA78" s="566"/>
      <c r="BB78" s="566"/>
      <c r="BC78" s="566"/>
      <c r="BD78" s="566"/>
      <c r="BE78" s="566"/>
      <c r="BF78" s="566"/>
      <c r="BG78" s="566"/>
    </row>
    <row r="79" spans="1:59">
      <c r="A79" s="591"/>
      <c r="B79" s="592"/>
      <c r="C79" s="593"/>
      <c r="D79" s="594">
        <v>1</v>
      </c>
      <c r="E79" s="595" t="s">
        <v>366</v>
      </c>
      <c r="F79" s="593" t="s">
        <v>367</v>
      </c>
      <c r="G79" s="610" t="s">
        <v>424</v>
      </c>
      <c r="H79" s="610" t="s">
        <v>425</v>
      </c>
      <c r="I79" s="610"/>
      <c r="J79" s="610"/>
      <c r="K79" s="610"/>
      <c r="L79" s="611" t="s">
        <v>788</v>
      </c>
      <c r="M79" s="612">
        <f t="shared" si="58"/>
        <v>0</v>
      </c>
      <c r="N79" s="613"/>
      <c r="O79" s="614" t="s">
        <v>987</v>
      </c>
      <c r="P79" s="615">
        <v>100</v>
      </c>
      <c r="Q79" s="616">
        <f t="shared" si="59"/>
        <v>35</v>
      </c>
      <c r="R79" s="613"/>
      <c r="S79" s="603"/>
      <c r="T79" s="606"/>
      <c r="U79" s="606"/>
      <c r="V79" s="593">
        <f t="shared" si="64"/>
        <v>0</v>
      </c>
      <c r="W79" s="606"/>
      <c r="X79" s="606"/>
      <c r="Y79" s="606"/>
      <c r="Z79" s="606"/>
      <c r="AA79" s="606"/>
      <c r="AB79" s="606"/>
      <c r="AC79" s="607"/>
      <c r="AD79" s="606"/>
      <c r="AE79" s="608"/>
      <c r="AF79" s="639">
        <v>35</v>
      </c>
      <c r="AG79" s="639">
        <f t="shared" si="61"/>
        <v>35</v>
      </c>
      <c r="AH79" s="639">
        <f t="shared" si="62"/>
        <v>0</v>
      </c>
      <c r="AI79" s="640"/>
      <c r="AJ79" s="641">
        <f t="shared" si="63"/>
        <v>0</v>
      </c>
      <c r="AK79" s="642"/>
      <c r="AL79" s="642" t="s">
        <v>364</v>
      </c>
      <c r="AM79" s="643"/>
      <c r="AN79" s="642"/>
      <c r="AO79" s="644">
        <v>71</v>
      </c>
      <c r="AP79" s="565"/>
      <c r="AQ79" s="566"/>
      <c r="AR79" s="566"/>
      <c r="AS79" s="566"/>
      <c r="AT79" s="566"/>
      <c r="AU79" s="566"/>
      <c r="AV79" s="566"/>
      <c r="AW79" s="566"/>
      <c r="AX79" s="566"/>
      <c r="AY79" s="566"/>
      <c r="AZ79" s="566"/>
      <c r="BA79" s="566"/>
      <c r="BB79" s="566"/>
      <c r="BC79" s="566"/>
      <c r="BD79" s="566"/>
      <c r="BE79" s="566"/>
      <c r="BF79" s="566"/>
      <c r="BG79" s="566"/>
    </row>
    <row r="80" spans="1:59">
      <c r="A80" s="591"/>
      <c r="B80" s="592"/>
      <c r="C80" s="593"/>
      <c r="D80" s="594">
        <v>1</v>
      </c>
      <c r="E80" s="595" t="s">
        <v>366</v>
      </c>
      <c r="F80" s="593" t="s">
        <v>367</v>
      </c>
      <c r="G80" s="596" t="s">
        <v>426</v>
      </c>
      <c r="H80" s="596" t="s">
        <v>427</v>
      </c>
      <c r="I80" s="596"/>
      <c r="J80" s="596"/>
      <c r="K80" s="596"/>
      <c r="L80" s="591" t="s">
        <v>789</v>
      </c>
      <c r="M80" s="597" t="str">
        <f t="shared" si="58"/>
        <v>Onderwijsruimte (theorie)</v>
      </c>
      <c r="N80" s="591" t="s">
        <v>78</v>
      </c>
      <c r="O80" s="598"/>
      <c r="P80" s="599"/>
      <c r="Q80" s="600">
        <f t="shared" si="59"/>
        <v>0</v>
      </c>
      <c r="R80" s="601">
        <f>AF80</f>
        <v>16</v>
      </c>
      <c r="S80" s="647">
        <v>102200</v>
      </c>
      <c r="T80" s="602"/>
      <c r="U80" s="645">
        <v>1</v>
      </c>
      <c r="V80" s="593">
        <f t="shared" si="64"/>
        <v>200</v>
      </c>
      <c r="W80" s="604">
        <f>Z80*R80*U80</f>
        <v>0</v>
      </c>
      <c r="X80" s="604">
        <f>AA80*R80</f>
        <v>0</v>
      </c>
      <c r="Y80" s="604">
        <f>AB80*R80</f>
        <v>0</v>
      </c>
      <c r="Z80" s="605">
        <f>VLOOKUP(S80,Kengetal,6,FALSE)</f>
        <v>0</v>
      </c>
      <c r="AA80" s="751">
        <f>VLOOKUP(S80,Kengetal,7,FALSE)</f>
        <v>0</v>
      </c>
      <c r="AB80" s="605">
        <f>VLOOKUP(T80,Kengetal,6,FALSE)</f>
        <v>0</v>
      </c>
      <c r="AC80" s="607"/>
      <c r="AD80" s="591" t="str">
        <f>AL80</f>
        <v>Friesland College</v>
      </c>
      <c r="AE80" s="608"/>
      <c r="AF80" s="639">
        <v>16</v>
      </c>
      <c r="AG80" s="639">
        <f t="shared" si="61"/>
        <v>16</v>
      </c>
      <c r="AH80" s="639">
        <f t="shared" si="62"/>
        <v>0</v>
      </c>
      <c r="AI80" s="640"/>
      <c r="AJ80" s="641">
        <f t="shared" si="63"/>
        <v>0</v>
      </c>
      <c r="AK80" s="642"/>
      <c r="AL80" s="642" t="s">
        <v>364</v>
      </c>
      <c r="AM80" s="643"/>
      <c r="AN80" s="642"/>
      <c r="AO80" s="644">
        <v>72</v>
      </c>
      <c r="AP80" s="565"/>
      <c r="AQ80" s="566"/>
      <c r="AR80" s="566"/>
      <c r="AS80" s="566"/>
      <c r="AT80" s="566"/>
      <c r="AU80" s="566"/>
      <c r="AV80" s="566"/>
      <c r="AW80" s="566"/>
      <c r="AX80" s="566"/>
      <c r="AY80" s="566"/>
      <c r="AZ80" s="566"/>
      <c r="BA80" s="566"/>
      <c r="BB80" s="566"/>
      <c r="BC80" s="566"/>
      <c r="BD80" s="566"/>
      <c r="BE80" s="566"/>
      <c r="BF80" s="566"/>
      <c r="BG80" s="566"/>
    </row>
    <row r="81" spans="1:59">
      <c r="A81" s="591"/>
      <c r="B81" s="592"/>
      <c r="C81" s="593"/>
      <c r="D81" s="594">
        <v>1</v>
      </c>
      <c r="E81" s="595" t="s">
        <v>366</v>
      </c>
      <c r="F81" s="593" t="s">
        <v>367</v>
      </c>
      <c r="G81" s="610" t="s">
        <v>426</v>
      </c>
      <c r="H81" s="610" t="s">
        <v>427</v>
      </c>
      <c r="I81" s="610"/>
      <c r="J81" s="610"/>
      <c r="K81" s="610"/>
      <c r="L81" s="611" t="s">
        <v>789</v>
      </c>
      <c r="M81" s="612">
        <f t="shared" si="58"/>
        <v>0</v>
      </c>
      <c r="N81" s="613"/>
      <c r="O81" s="614" t="s">
        <v>987</v>
      </c>
      <c r="P81" s="615">
        <v>100</v>
      </c>
      <c r="Q81" s="616">
        <f t="shared" si="59"/>
        <v>16</v>
      </c>
      <c r="R81" s="613"/>
      <c r="S81" s="603"/>
      <c r="T81" s="606"/>
      <c r="U81" s="606"/>
      <c r="V81" s="593">
        <f t="shared" si="64"/>
        <v>0</v>
      </c>
      <c r="W81" s="606"/>
      <c r="X81" s="606"/>
      <c r="Y81" s="606"/>
      <c r="Z81" s="606"/>
      <c r="AA81" s="606"/>
      <c r="AB81" s="606"/>
      <c r="AC81" s="607"/>
      <c r="AD81" s="606"/>
      <c r="AE81" s="608"/>
      <c r="AF81" s="639">
        <v>16</v>
      </c>
      <c r="AG81" s="639">
        <f t="shared" si="61"/>
        <v>16</v>
      </c>
      <c r="AH81" s="639">
        <f t="shared" si="62"/>
        <v>0</v>
      </c>
      <c r="AI81" s="640"/>
      <c r="AJ81" s="641">
        <f t="shared" si="63"/>
        <v>0</v>
      </c>
      <c r="AK81" s="642"/>
      <c r="AL81" s="642" t="s">
        <v>364</v>
      </c>
      <c r="AM81" s="643"/>
      <c r="AN81" s="642"/>
      <c r="AO81" s="644">
        <v>73</v>
      </c>
      <c r="AP81" s="565"/>
      <c r="AQ81" s="566"/>
      <c r="AR81" s="566"/>
      <c r="AS81" s="566"/>
      <c r="AT81" s="566"/>
      <c r="AU81" s="566"/>
      <c r="AV81" s="566"/>
      <c r="AW81" s="566"/>
      <c r="AX81" s="566"/>
      <c r="AY81" s="566"/>
      <c r="AZ81" s="566"/>
      <c r="BA81" s="566"/>
      <c r="BB81" s="566"/>
      <c r="BC81" s="566"/>
      <c r="BD81" s="566"/>
      <c r="BE81" s="566"/>
      <c r="BF81" s="566"/>
      <c r="BG81" s="566"/>
    </row>
    <row r="82" spans="1:59">
      <c r="A82" s="591"/>
      <c r="B82" s="592"/>
      <c r="C82" s="593"/>
      <c r="D82" s="594">
        <v>1</v>
      </c>
      <c r="E82" s="595" t="s">
        <v>366</v>
      </c>
      <c r="F82" s="593" t="s">
        <v>367</v>
      </c>
      <c r="G82" s="596" t="s">
        <v>428</v>
      </c>
      <c r="H82" s="596" t="s">
        <v>429</v>
      </c>
      <c r="I82" s="596"/>
      <c r="J82" s="596"/>
      <c r="K82" s="596"/>
      <c r="L82" s="591" t="s">
        <v>790</v>
      </c>
      <c r="M82" s="597" t="str">
        <f t="shared" si="58"/>
        <v>Onderwijsruimte (theorie)</v>
      </c>
      <c r="N82" s="591" t="s">
        <v>938</v>
      </c>
      <c r="O82" s="598"/>
      <c r="P82" s="599"/>
      <c r="Q82" s="600">
        <f t="shared" si="59"/>
        <v>0</v>
      </c>
      <c r="R82" s="601">
        <f>AF82</f>
        <v>18</v>
      </c>
      <c r="S82" s="647">
        <v>102200</v>
      </c>
      <c r="T82" s="602"/>
      <c r="U82" s="645">
        <v>1</v>
      </c>
      <c r="V82" s="593">
        <f t="shared" si="64"/>
        <v>200</v>
      </c>
      <c r="W82" s="604">
        <f>Z82*R82*U82</f>
        <v>0</v>
      </c>
      <c r="X82" s="604">
        <f>AA82*R82</f>
        <v>0</v>
      </c>
      <c r="Y82" s="604">
        <f>AB82*R82</f>
        <v>0</v>
      </c>
      <c r="Z82" s="605">
        <f>VLOOKUP(S82,Kengetal,6,FALSE)</f>
        <v>0</v>
      </c>
      <c r="AA82" s="751">
        <f>VLOOKUP(S82,Kengetal,7,FALSE)</f>
        <v>0</v>
      </c>
      <c r="AB82" s="605">
        <f>VLOOKUP(T82,Kengetal,6,FALSE)</f>
        <v>0</v>
      </c>
      <c r="AC82" s="607"/>
      <c r="AD82" s="591" t="str">
        <f>AL82</f>
        <v>Friesland College</v>
      </c>
      <c r="AE82" s="608"/>
      <c r="AF82" s="639">
        <v>18</v>
      </c>
      <c r="AG82" s="639">
        <f t="shared" si="61"/>
        <v>18</v>
      </c>
      <c r="AH82" s="639">
        <f t="shared" si="62"/>
        <v>0</v>
      </c>
      <c r="AI82" s="640"/>
      <c r="AJ82" s="641">
        <f t="shared" si="63"/>
        <v>0</v>
      </c>
      <c r="AK82" s="642"/>
      <c r="AL82" s="642" t="s">
        <v>364</v>
      </c>
      <c r="AM82" s="643"/>
      <c r="AN82" s="642"/>
      <c r="AO82" s="644">
        <v>74</v>
      </c>
      <c r="AP82" s="565"/>
      <c r="AQ82" s="566"/>
      <c r="AR82" s="566"/>
      <c r="AS82" s="566"/>
      <c r="AT82" s="566"/>
      <c r="AU82" s="566"/>
      <c r="AV82" s="566"/>
      <c r="AW82" s="566"/>
      <c r="AX82" s="566"/>
      <c r="AY82" s="566"/>
      <c r="AZ82" s="566"/>
      <c r="BA82" s="566"/>
      <c r="BB82" s="566"/>
      <c r="BC82" s="566"/>
      <c r="BD82" s="566"/>
      <c r="BE82" s="566"/>
      <c r="BF82" s="566"/>
      <c r="BG82" s="566"/>
    </row>
    <row r="83" spans="1:59">
      <c r="A83" s="591"/>
      <c r="B83" s="592"/>
      <c r="C83" s="593"/>
      <c r="D83" s="594">
        <v>1</v>
      </c>
      <c r="E83" s="595" t="s">
        <v>366</v>
      </c>
      <c r="F83" s="593" t="s">
        <v>367</v>
      </c>
      <c r="G83" s="610" t="s">
        <v>428</v>
      </c>
      <c r="H83" s="610" t="s">
        <v>429</v>
      </c>
      <c r="I83" s="610"/>
      <c r="J83" s="610"/>
      <c r="K83" s="610"/>
      <c r="L83" s="611" t="s">
        <v>790</v>
      </c>
      <c r="M83" s="612">
        <f t="shared" si="58"/>
        <v>0</v>
      </c>
      <c r="N83" s="613"/>
      <c r="O83" s="614" t="s">
        <v>987</v>
      </c>
      <c r="P83" s="615">
        <v>100</v>
      </c>
      <c r="Q83" s="616">
        <f t="shared" si="59"/>
        <v>18</v>
      </c>
      <c r="R83" s="613"/>
      <c r="S83" s="603"/>
      <c r="T83" s="606"/>
      <c r="U83" s="606"/>
      <c r="V83" s="593">
        <f t="shared" si="64"/>
        <v>0</v>
      </c>
      <c r="W83" s="606"/>
      <c r="X83" s="606"/>
      <c r="Y83" s="606"/>
      <c r="Z83" s="606"/>
      <c r="AA83" s="606"/>
      <c r="AB83" s="606"/>
      <c r="AC83" s="607"/>
      <c r="AD83" s="606"/>
      <c r="AE83" s="608"/>
      <c r="AF83" s="639">
        <v>18</v>
      </c>
      <c r="AG83" s="639">
        <f t="shared" si="61"/>
        <v>18</v>
      </c>
      <c r="AH83" s="639">
        <f t="shared" si="62"/>
        <v>0</v>
      </c>
      <c r="AI83" s="640"/>
      <c r="AJ83" s="641">
        <f t="shared" si="63"/>
        <v>0</v>
      </c>
      <c r="AK83" s="642"/>
      <c r="AL83" s="642" t="s">
        <v>364</v>
      </c>
      <c r="AM83" s="643"/>
      <c r="AN83" s="642"/>
      <c r="AO83" s="644">
        <v>75</v>
      </c>
      <c r="AP83" s="565"/>
      <c r="AQ83" s="566"/>
      <c r="AR83" s="566"/>
      <c r="AS83" s="566"/>
      <c r="AT83" s="566"/>
      <c r="AU83" s="566"/>
      <c r="AV83" s="566"/>
      <c r="AW83" s="566"/>
      <c r="AX83" s="566"/>
      <c r="AY83" s="566"/>
      <c r="AZ83" s="566"/>
      <c r="BA83" s="566"/>
      <c r="BB83" s="566"/>
      <c r="BC83" s="566"/>
      <c r="BD83" s="566"/>
      <c r="BE83" s="566"/>
      <c r="BF83" s="566"/>
      <c r="BG83" s="566"/>
    </row>
    <row r="84" spans="1:59">
      <c r="A84" s="591"/>
      <c r="B84" s="592"/>
      <c r="C84" s="593"/>
      <c r="D84" s="594">
        <v>1</v>
      </c>
      <c r="E84" s="595" t="s">
        <v>366</v>
      </c>
      <c r="F84" s="593" t="s">
        <v>367</v>
      </c>
      <c r="G84" s="596" t="s">
        <v>430</v>
      </c>
      <c r="H84" s="596" t="s">
        <v>431</v>
      </c>
      <c r="I84" s="596"/>
      <c r="J84" s="596"/>
      <c r="K84" s="596"/>
      <c r="L84" s="620" t="s">
        <v>791</v>
      </c>
      <c r="M84" s="597" t="str">
        <f t="shared" si="58"/>
        <v>Gang, hal, pantry, aula, repro, gardarobe</v>
      </c>
      <c r="N84" s="591" t="s">
        <v>938</v>
      </c>
      <c r="O84" s="598"/>
      <c r="P84" s="599"/>
      <c r="Q84" s="600">
        <f t="shared" si="59"/>
        <v>0</v>
      </c>
      <c r="R84" s="601">
        <f>AF84</f>
        <v>20</v>
      </c>
      <c r="S84" s="647">
        <v>104200</v>
      </c>
      <c r="T84" s="602"/>
      <c r="U84" s="645">
        <v>1</v>
      </c>
      <c r="V84" s="593">
        <f t="shared" si="64"/>
        <v>200</v>
      </c>
      <c r="W84" s="604">
        <f>Z84*R84*U84</f>
        <v>0</v>
      </c>
      <c r="X84" s="604">
        <f>AA84*R84</f>
        <v>0</v>
      </c>
      <c r="Y84" s="604">
        <f>AB84*R84</f>
        <v>0</v>
      </c>
      <c r="Z84" s="605">
        <f>VLOOKUP(S84,Kengetal,6,FALSE)</f>
        <v>0</v>
      </c>
      <c r="AA84" s="751">
        <f>VLOOKUP(S84,Kengetal,7,FALSE)</f>
        <v>0</v>
      </c>
      <c r="AB84" s="605">
        <f>VLOOKUP(T84,Kengetal,6,FALSE)</f>
        <v>0</v>
      </c>
      <c r="AC84" s="607"/>
      <c r="AD84" s="591" t="str">
        <f>AL84</f>
        <v>Friesland College</v>
      </c>
      <c r="AE84" s="608"/>
      <c r="AF84" s="639">
        <v>20</v>
      </c>
      <c r="AG84" s="639">
        <f t="shared" si="61"/>
        <v>20</v>
      </c>
      <c r="AH84" s="639">
        <f t="shared" si="62"/>
        <v>0</v>
      </c>
      <c r="AI84" s="640"/>
      <c r="AJ84" s="641">
        <f t="shared" si="63"/>
        <v>0</v>
      </c>
      <c r="AK84" s="642"/>
      <c r="AL84" s="642" t="s">
        <v>364</v>
      </c>
      <c r="AM84" s="643"/>
      <c r="AN84" s="642"/>
      <c r="AO84" s="644">
        <v>76</v>
      </c>
      <c r="AP84" s="565"/>
      <c r="AQ84" s="566"/>
      <c r="AR84" s="566"/>
      <c r="AS84" s="566"/>
      <c r="AT84" s="566"/>
      <c r="AU84" s="566"/>
      <c r="AV84" s="566"/>
      <c r="AW84" s="566"/>
      <c r="AX84" s="566"/>
      <c r="AY84" s="566"/>
      <c r="AZ84" s="566"/>
      <c r="BA84" s="566"/>
      <c r="BB84" s="566"/>
      <c r="BC84" s="566"/>
      <c r="BD84" s="566"/>
      <c r="BE84" s="566"/>
      <c r="BF84" s="566"/>
      <c r="BG84" s="566"/>
    </row>
    <row r="85" spans="1:59">
      <c r="A85" s="591"/>
      <c r="B85" s="592"/>
      <c r="C85" s="593"/>
      <c r="D85" s="594">
        <v>1</v>
      </c>
      <c r="E85" s="595" t="s">
        <v>366</v>
      </c>
      <c r="F85" s="593" t="s">
        <v>367</v>
      </c>
      <c r="G85" s="610" t="s">
        <v>430</v>
      </c>
      <c r="H85" s="610" t="s">
        <v>431</v>
      </c>
      <c r="I85" s="610"/>
      <c r="J85" s="610"/>
      <c r="K85" s="610"/>
      <c r="L85" s="611" t="s">
        <v>791</v>
      </c>
      <c r="M85" s="612">
        <f t="shared" si="58"/>
        <v>0</v>
      </c>
      <c r="N85" s="613"/>
      <c r="O85" s="614" t="s">
        <v>984</v>
      </c>
      <c r="P85" s="615">
        <v>100</v>
      </c>
      <c r="Q85" s="616">
        <f t="shared" si="59"/>
        <v>20</v>
      </c>
      <c r="R85" s="613"/>
      <c r="S85" s="603"/>
      <c r="T85" s="606"/>
      <c r="U85" s="606"/>
      <c r="V85" s="593">
        <f t="shared" si="64"/>
        <v>0</v>
      </c>
      <c r="W85" s="606"/>
      <c r="X85" s="606"/>
      <c r="Y85" s="606"/>
      <c r="Z85" s="606"/>
      <c r="AA85" s="606"/>
      <c r="AB85" s="606"/>
      <c r="AC85" s="607"/>
      <c r="AD85" s="606"/>
      <c r="AE85" s="608"/>
      <c r="AF85" s="639">
        <v>20</v>
      </c>
      <c r="AG85" s="639">
        <f t="shared" si="61"/>
        <v>20</v>
      </c>
      <c r="AH85" s="639">
        <f t="shared" si="62"/>
        <v>0</v>
      </c>
      <c r="AI85" s="640"/>
      <c r="AJ85" s="641">
        <f t="shared" si="63"/>
        <v>0</v>
      </c>
      <c r="AK85" s="642"/>
      <c r="AL85" s="642" t="s">
        <v>364</v>
      </c>
      <c r="AM85" s="643"/>
      <c r="AN85" s="642"/>
      <c r="AO85" s="644">
        <v>77</v>
      </c>
      <c r="AP85" s="565"/>
      <c r="AQ85" s="566"/>
      <c r="AR85" s="566"/>
      <c r="AS85" s="566"/>
      <c r="AT85" s="566"/>
      <c r="AU85" s="566"/>
      <c r="AV85" s="566"/>
      <c r="AW85" s="566"/>
      <c r="AX85" s="566"/>
      <c r="AY85" s="566"/>
      <c r="AZ85" s="566"/>
      <c r="BA85" s="566"/>
      <c r="BB85" s="566"/>
      <c r="BC85" s="566"/>
      <c r="BD85" s="566"/>
      <c r="BE85" s="566"/>
      <c r="BF85" s="566"/>
      <c r="BG85" s="566"/>
    </row>
    <row r="86" spans="1:59">
      <c r="A86" s="591"/>
      <c r="B86" s="592"/>
      <c r="C86" s="593"/>
      <c r="D86" s="594">
        <v>1</v>
      </c>
      <c r="E86" s="595" t="s">
        <v>366</v>
      </c>
      <c r="F86" s="593" t="s">
        <v>367</v>
      </c>
      <c r="G86" s="596" t="s">
        <v>432</v>
      </c>
      <c r="H86" s="596"/>
      <c r="I86" s="596"/>
      <c r="J86" s="596"/>
      <c r="K86" s="596"/>
      <c r="L86" s="591" t="s">
        <v>773</v>
      </c>
      <c r="M86" s="597" t="str">
        <f t="shared" si="58"/>
        <v>Sanitaire ruimte (toilet-/doucheruimte)</v>
      </c>
      <c r="N86" s="591" t="s">
        <v>85</v>
      </c>
      <c r="O86" s="598"/>
      <c r="P86" s="599"/>
      <c r="Q86" s="600">
        <f t="shared" si="59"/>
        <v>0</v>
      </c>
      <c r="R86" s="601">
        <f>AF86</f>
        <v>40</v>
      </c>
      <c r="S86" s="647">
        <v>103200</v>
      </c>
      <c r="T86" s="647">
        <v>103400</v>
      </c>
      <c r="U86" s="645">
        <v>1</v>
      </c>
      <c r="V86" s="593">
        <f t="shared" si="64"/>
        <v>400</v>
      </c>
      <c r="W86" s="604">
        <f t="shared" ref="W86:W89" si="65">Z86*R86*U86</f>
        <v>0</v>
      </c>
      <c r="X86" s="604">
        <f t="shared" ref="X86:X89" si="66">AA86*R86</f>
        <v>0</v>
      </c>
      <c r="Y86" s="604">
        <f t="shared" ref="Y86:Y89" si="67">AB86*R86</f>
        <v>0</v>
      </c>
      <c r="Z86" s="605">
        <f>VLOOKUP(S86,Kengetal,6,FALSE)</f>
        <v>0</v>
      </c>
      <c r="AA86" s="751">
        <f>VLOOKUP(S86,Kengetal,7,FALSE)</f>
        <v>0</v>
      </c>
      <c r="AB86" s="605">
        <f>VLOOKUP(T86,Kengetal,6,FALSE)</f>
        <v>0</v>
      </c>
      <c r="AC86" s="607"/>
      <c r="AD86" s="591" t="str">
        <f>AL86</f>
        <v>Friesland College</v>
      </c>
      <c r="AE86" s="608"/>
      <c r="AF86" s="639">
        <v>40</v>
      </c>
      <c r="AG86" s="639">
        <f t="shared" si="61"/>
        <v>40</v>
      </c>
      <c r="AH86" s="639">
        <f t="shared" si="62"/>
        <v>0</v>
      </c>
      <c r="AI86" s="640"/>
      <c r="AJ86" s="641">
        <f t="shared" si="63"/>
        <v>0</v>
      </c>
      <c r="AK86" s="642"/>
      <c r="AL86" s="642" t="s">
        <v>364</v>
      </c>
      <c r="AM86" s="643"/>
      <c r="AN86" s="642"/>
      <c r="AO86" s="644">
        <v>78</v>
      </c>
      <c r="AP86" s="565"/>
      <c r="AQ86" s="566"/>
      <c r="AR86" s="566"/>
      <c r="AS86" s="566"/>
      <c r="AT86" s="566"/>
      <c r="AU86" s="566"/>
      <c r="AV86" s="566"/>
      <c r="AW86" s="566"/>
      <c r="AX86" s="566"/>
      <c r="AY86" s="566"/>
      <c r="AZ86" s="566"/>
      <c r="BA86" s="566"/>
      <c r="BB86" s="566"/>
      <c r="BC86" s="566"/>
      <c r="BD86" s="566"/>
      <c r="BE86" s="566"/>
      <c r="BF86" s="566"/>
      <c r="BG86" s="566"/>
    </row>
    <row r="87" spans="1:59">
      <c r="A87" s="591"/>
      <c r="B87" s="592"/>
      <c r="C87" s="593"/>
      <c r="D87" s="594">
        <v>1</v>
      </c>
      <c r="E87" s="595" t="s">
        <v>366</v>
      </c>
      <c r="F87" s="593" t="s">
        <v>367</v>
      </c>
      <c r="G87" s="596" t="s">
        <v>433</v>
      </c>
      <c r="H87" s="596"/>
      <c r="I87" s="596"/>
      <c r="J87" s="596"/>
      <c r="K87" s="596"/>
      <c r="L87" s="591" t="s">
        <v>771</v>
      </c>
      <c r="M87" s="597" t="str">
        <f t="shared" si="58"/>
        <v>Niet van toepassing</v>
      </c>
      <c r="N87" s="591" t="s">
        <v>938</v>
      </c>
      <c r="O87" s="598"/>
      <c r="P87" s="599"/>
      <c r="Q87" s="600">
        <f t="shared" si="59"/>
        <v>0</v>
      </c>
      <c r="R87" s="601">
        <f>AF87</f>
        <v>5</v>
      </c>
      <c r="S87" s="603" t="s">
        <v>28</v>
      </c>
      <c r="T87" s="602"/>
      <c r="U87" s="603"/>
      <c r="V87" s="593">
        <f t="shared" si="64"/>
        <v>0</v>
      </c>
      <c r="W87" s="604">
        <f t="shared" si="65"/>
        <v>0</v>
      </c>
      <c r="X87" s="604">
        <f t="shared" si="66"/>
        <v>0</v>
      </c>
      <c r="Y87" s="604">
        <f t="shared" si="67"/>
        <v>0</v>
      </c>
      <c r="Z87" s="605">
        <f>VLOOKUP(S87,Kengetal,6,FALSE)</f>
        <v>0</v>
      </c>
      <c r="AA87" s="751">
        <f>VLOOKUP(S87,Kengetal,7,FALSE)</f>
        <v>0</v>
      </c>
      <c r="AB87" s="605">
        <f>VLOOKUP(T87,Kengetal,6,FALSE)</f>
        <v>0</v>
      </c>
      <c r="AC87" s="607"/>
      <c r="AD87" s="591" t="str">
        <f>AL87</f>
        <v>Friesland College</v>
      </c>
      <c r="AE87" s="608"/>
      <c r="AF87" s="639">
        <v>5</v>
      </c>
      <c r="AG87" s="639">
        <f t="shared" si="61"/>
        <v>5</v>
      </c>
      <c r="AH87" s="639">
        <f t="shared" si="62"/>
        <v>0</v>
      </c>
      <c r="AI87" s="640"/>
      <c r="AJ87" s="641">
        <f t="shared" si="63"/>
        <v>0</v>
      </c>
      <c r="AK87" s="642"/>
      <c r="AL87" s="642" t="s">
        <v>364</v>
      </c>
      <c r="AM87" s="643"/>
      <c r="AN87" s="642"/>
      <c r="AO87" s="644">
        <v>79</v>
      </c>
      <c r="AP87" s="565"/>
      <c r="AQ87" s="566"/>
      <c r="AR87" s="566"/>
      <c r="AS87" s="566"/>
      <c r="AT87" s="566"/>
      <c r="AU87" s="566"/>
      <c r="AV87" s="566"/>
      <c r="AW87" s="566"/>
      <c r="AX87" s="566"/>
      <c r="AY87" s="566"/>
      <c r="AZ87" s="566"/>
      <c r="BA87" s="566"/>
      <c r="BB87" s="566"/>
      <c r="BC87" s="566"/>
      <c r="BD87" s="566"/>
      <c r="BE87" s="566"/>
      <c r="BF87" s="566"/>
      <c r="BG87" s="566"/>
    </row>
    <row r="88" spans="1:59">
      <c r="A88" s="591"/>
      <c r="B88" s="592"/>
      <c r="C88" s="593"/>
      <c r="D88" s="594">
        <v>1</v>
      </c>
      <c r="E88" s="595" t="s">
        <v>366</v>
      </c>
      <c r="F88" s="593" t="s">
        <v>367</v>
      </c>
      <c r="G88" s="596" t="s">
        <v>434</v>
      </c>
      <c r="H88" s="596"/>
      <c r="I88" s="596"/>
      <c r="J88" s="596"/>
      <c r="K88" s="596"/>
      <c r="L88" s="591" t="s">
        <v>768</v>
      </c>
      <c r="M88" s="597" t="str">
        <f t="shared" si="58"/>
        <v>Niet van toepassing</v>
      </c>
      <c r="N88" s="591" t="s">
        <v>323</v>
      </c>
      <c r="O88" s="598"/>
      <c r="P88" s="599"/>
      <c r="Q88" s="600">
        <f t="shared" si="59"/>
        <v>0</v>
      </c>
      <c r="R88" s="601">
        <f>AF88</f>
        <v>3</v>
      </c>
      <c r="S88" s="603" t="s">
        <v>28</v>
      </c>
      <c r="T88" s="602"/>
      <c r="U88" s="603"/>
      <c r="V88" s="593">
        <f t="shared" si="64"/>
        <v>0</v>
      </c>
      <c r="W88" s="604">
        <f t="shared" si="65"/>
        <v>0</v>
      </c>
      <c r="X88" s="604">
        <f t="shared" si="66"/>
        <v>0</v>
      </c>
      <c r="Y88" s="604">
        <f t="shared" si="67"/>
        <v>0</v>
      </c>
      <c r="Z88" s="605">
        <f>VLOOKUP(S88,Kengetal,6,FALSE)</f>
        <v>0</v>
      </c>
      <c r="AA88" s="751">
        <f>VLOOKUP(S88,Kengetal,7,FALSE)</f>
        <v>0</v>
      </c>
      <c r="AB88" s="605">
        <f>VLOOKUP(T88,Kengetal,6,FALSE)</f>
        <v>0</v>
      </c>
      <c r="AC88" s="607"/>
      <c r="AD88" s="591" t="str">
        <f>AL88</f>
        <v>Friesland College</v>
      </c>
      <c r="AE88" s="608"/>
      <c r="AF88" s="639">
        <v>3</v>
      </c>
      <c r="AG88" s="639">
        <f t="shared" si="61"/>
        <v>3</v>
      </c>
      <c r="AH88" s="639">
        <f t="shared" si="62"/>
        <v>0</v>
      </c>
      <c r="AI88" s="640"/>
      <c r="AJ88" s="641">
        <f t="shared" si="63"/>
        <v>0</v>
      </c>
      <c r="AK88" s="642"/>
      <c r="AL88" s="642" t="s">
        <v>364</v>
      </c>
      <c r="AM88" s="643"/>
      <c r="AN88" s="642"/>
      <c r="AO88" s="644">
        <v>80</v>
      </c>
      <c r="AP88" s="565"/>
      <c r="AQ88" s="566"/>
      <c r="AR88" s="566"/>
      <c r="AS88" s="566"/>
      <c r="AT88" s="566"/>
      <c r="AU88" s="566"/>
      <c r="AV88" s="566"/>
      <c r="AW88" s="566"/>
      <c r="AX88" s="566"/>
      <c r="AY88" s="566"/>
      <c r="AZ88" s="566"/>
      <c r="BA88" s="566"/>
      <c r="BB88" s="566"/>
      <c r="BC88" s="566"/>
      <c r="BD88" s="566"/>
      <c r="BE88" s="566"/>
      <c r="BF88" s="566"/>
      <c r="BG88" s="566"/>
    </row>
    <row r="89" spans="1:59">
      <c r="A89" s="624"/>
      <c r="B89" s="592"/>
      <c r="C89" s="593"/>
      <c r="D89" s="594">
        <v>1</v>
      </c>
      <c r="E89" s="595" t="s">
        <v>366</v>
      </c>
      <c r="F89" s="593" t="s">
        <v>339</v>
      </c>
      <c r="G89" s="596">
        <v>102</v>
      </c>
      <c r="H89" s="596" t="s">
        <v>441</v>
      </c>
      <c r="I89" s="596"/>
      <c r="J89" s="596"/>
      <c r="K89" s="596"/>
      <c r="L89" s="591" t="s">
        <v>990</v>
      </c>
      <c r="M89" s="597" t="str">
        <f t="shared" si="58"/>
        <v>Onderwijsruimte (theorie)</v>
      </c>
      <c r="N89" s="591" t="s">
        <v>78</v>
      </c>
      <c r="O89" s="598"/>
      <c r="P89" s="599"/>
      <c r="Q89" s="600">
        <f t="shared" si="59"/>
        <v>0</v>
      </c>
      <c r="R89" s="601">
        <f>AF89</f>
        <v>20</v>
      </c>
      <c r="S89" s="647">
        <v>102200</v>
      </c>
      <c r="T89" s="602"/>
      <c r="U89" s="645">
        <v>1</v>
      </c>
      <c r="V89" s="593">
        <f t="shared" si="64"/>
        <v>200</v>
      </c>
      <c r="W89" s="604">
        <f t="shared" si="65"/>
        <v>0</v>
      </c>
      <c r="X89" s="604">
        <f t="shared" si="66"/>
        <v>0</v>
      </c>
      <c r="Y89" s="604">
        <f t="shared" si="67"/>
        <v>0</v>
      </c>
      <c r="Z89" s="605">
        <f>VLOOKUP(S89,Kengetal,6,FALSE)</f>
        <v>0</v>
      </c>
      <c r="AA89" s="751">
        <f>VLOOKUP(S89,Kengetal,7,FALSE)</f>
        <v>0</v>
      </c>
      <c r="AB89" s="605">
        <f>VLOOKUP(T89,Kengetal,6,FALSE)</f>
        <v>0</v>
      </c>
      <c r="AC89" s="607"/>
      <c r="AD89" s="591" t="str">
        <f>AL89</f>
        <v>Friesland College</v>
      </c>
      <c r="AE89" s="608"/>
      <c r="AF89" s="639">
        <v>20</v>
      </c>
      <c r="AG89" s="639">
        <f t="shared" si="61"/>
        <v>20</v>
      </c>
      <c r="AH89" s="639">
        <f t="shared" si="62"/>
        <v>0</v>
      </c>
      <c r="AI89" s="640"/>
      <c r="AJ89" s="641">
        <f t="shared" si="63"/>
        <v>0</v>
      </c>
      <c r="AK89" s="642"/>
      <c r="AL89" s="642" t="s">
        <v>364</v>
      </c>
      <c r="AM89" s="643"/>
      <c r="AN89" s="642"/>
      <c r="AO89" s="644">
        <v>81</v>
      </c>
      <c r="AP89" s="565"/>
      <c r="AQ89" s="566"/>
      <c r="AR89" s="566"/>
      <c r="AS89" s="566"/>
      <c r="AT89" s="566"/>
      <c r="AU89" s="566"/>
      <c r="AV89" s="567"/>
      <c r="AW89" s="567"/>
      <c r="AX89" s="567"/>
      <c r="AY89" s="567"/>
      <c r="AZ89" s="567"/>
      <c r="BA89" s="567"/>
      <c r="BB89" s="567"/>
      <c r="BC89" s="567"/>
      <c r="BD89" s="567"/>
      <c r="BE89" s="567"/>
      <c r="BF89" s="566"/>
      <c r="BG89" s="566"/>
    </row>
    <row r="90" spans="1:59">
      <c r="A90" s="591"/>
      <c r="B90" s="618"/>
      <c r="C90" s="609"/>
      <c r="D90" s="594">
        <v>1</v>
      </c>
      <c r="E90" s="595" t="s">
        <v>366</v>
      </c>
      <c r="F90" s="593" t="s">
        <v>339</v>
      </c>
      <c r="G90" s="610">
        <v>102</v>
      </c>
      <c r="H90" s="610" t="s">
        <v>441</v>
      </c>
      <c r="I90" s="610"/>
      <c r="J90" s="610"/>
      <c r="K90" s="610"/>
      <c r="L90" s="611" t="s">
        <v>990</v>
      </c>
      <c r="M90" s="612">
        <f t="shared" si="58"/>
        <v>0</v>
      </c>
      <c r="N90" s="613"/>
      <c r="O90" s="614" t="s">
        <v>991</v>
      </c>
      <c r="P90" s="615">
        <v>100</v>
      </c>
      <c r="Q90" s="616">
        <f t="shared" si="59"/>
        <v>20</v>
      </c>
      <c r="R90" s="613"/>
      <c r="S90" s="603"/>
      <c r="T90" s="606"/>
      <c r="U90" s="606"/>
      <c r="V90" s="593">
        <f t="shared" si="64"/>
        <v>0</v>
      </c>
      <c r="W90" s="606"/>
      <c r="X90" s="606"/>
      <c r="Y90" s="606"/>
      <c r="Z90" s="606"/>
      <c r="AA90" s="606"/>
      <c r="AB90" s="606"/>
      <c r="AC90" s="607"/>
      <c r="AD90" s="606"/>
      <c r="AE90" s="608"/>
      <c r="AF90" s="639">
        <v>20</v>
      </c>
      <c r="AG90" s="639">
        <f t="shared" si="61"/>
        <v>20</v>
      </c>
      <c r="AH90" s="639">
        <f t="shared" si="62"/>
        <v>0</v>
      </c>
      <c r="AI90" s="640"/>
      <c r="AJ90" s="641">
        <f t="shared" si="63"/>
        <v>0</v>
      </c>
      <c r="AK90" s="642"/>
      <c r="AL90" s="642" t="s">
        <v>364</v>
      </c>
      <c r="AM90" s="643"/>
      <c r="AN90" s="642"/>
      <c r="AO90" s="644">
        <v>82</v>
      </c>
      <c r="AP90" s="565"/>
      <c r="AQ90" s="566"/>
      <c r="AR90" s="566"/>
      <c r="AS90" s="566"/>
      <c r="AT90" s="566"/>
      <c r="AU90" s="566"/>
      <c r="AV90" s="566"/>
      <c r="AW90" s="566"/>
      <c r="AX90" s="566"/>
      <c r="AY90" s="566"/>
      <c r="AZ90" s="566"/>
      <c r="BA90" s="566"/>
      <c r="BB90" s="566"/>
      <c r="BC90" s="566"/>
      <c r="BD90" s="566"/>
      <c r="BE90" s="566"/>
      <c r="BF90" s="566"/>
      <c r="BG90" s="566"/>
    </row>
    <row r="91" spans="1:59">
      <c r="A91" s="591"/>
      <c r="B91" s="592"/>
      <c r="C91" s="593"/>
      <c r="D91" s="594">
        <v>1</v>
      </c>
      <c r="E91" s="595" t="s">
        <v>366</v>
      </c>
      <c r="F91" s="593" t="s">
        <v>339</v>
      </c>
      <c r="G91" s="596">
        <v>105</v>
      </c>
      <c r="H91" s="596" t="s">
        <v>442</v>
      </c>
      <c r="I91" s="596"/>
      <c r="J91" s="596"/>
      <c r="K91" s="596"/>
      <c r="L91" s="591" t="s">
        <v>794</v>
      </c>
      <c r="M91" s="597" t="str">
        <f t="shared" si="58"/>
        <v>Administratieve -, personeels- en vergaderruimte</v>
      </c>
      <c r="N91" s="591" t="s">
        <v>78</v>
      </c>
      <c r="O91" s="598"/>
      <c r="P91" s="599"/>
      <c r="Q91" s="600">
        <f t="shared" si="59"/>
        <v>0</v>
      </c>
      <c r="R91" s="601">
        <f>AF91</f>
        <v>18</v>
      </c>
      <c r="S91" s="647">
        <v>101120</v>
      </c>
      <c r="T91" s="602"/>
      <c r="U91" s="645">
        <v>1</v>
      </c>
      <c r="V91" s="593">
        <f t="shared" si="64"/>
        <v>120</v>
      </c>
      <c r="W91" s="604">
        <f>Z91*R91*U91</f>
        <v>0</v>
      </c>
      <c r="X91" s="604">
        <f>AA91*R91</f>
        <v>0</v>
      </c>
      <c r="Y91" s="604">
        <f>AB91*R91</f>
        <v>0</v>
      </c>
      <c r="Z91" s="605">
        <f>VLOOKUP(S91,Kengetal,6,FALSE)</f>
        <v>0</v>
      </c>
      <c r="AA91" s="751">
        <f>VLOOKUP(S91,Kengetal,7,FALSE)</f>
        <v>0</v>
      </c>
      <c r="AB91" s="605">
        <f>VLOOKUP(T91,Kengetal,6,FALSE)</f>
        <v>0</v>
      </c>
      <c r="AC91" s="607"/>
      <c r="AD91" s="591" t="str">
        <f>AL91</f>
        <v>Friesland College</v>
      </c>
      <c r="AE91" s="608"/>
      <c r="AF91" s="639">
        <v>18</v>
      </c>
      <c r="AG91" s="639">
        <f t="shared" si="61"/>
        <v>18</v>
      </c>
      <c r="AH91" s="639">
        <f t="shared" si="62"/>
        <v>0</v>
      </c>
      <c r="AI91" s="640"/>
      <c r="AJ91" s="641">
        <f t="shared" si="63"/>
        <v>0</v>
      </c>
      <c r="AK91" s="642"/>
      <c r="AL91" s="642" t="s">
        <v>364</v>
      </c>
      <c r="AM91" s="642"/>
      <c r="AN91" s="642"/>
      <c r="AO91" s="644">
        <v>84</v>
      </c>
      <c r="AP91" s="565"/>
      <c r="AQ91" s="566"/>
      <c r="AR91" s="566"/>
      <c r="AS91" s="566"/>
      <c r="AT91" s="566"/>
      <c r="AU91" s="566"/>
      <c r="AV91" s="566"/>
      <c r="AW91" s="566"/>
      <c r="AX91" s="566"/>
      <c r="AY91" s="566"/>
      <c r="AZ91" s="566"/>
      <c r="BA91" s="566"/>
      <c r="BB91" s="566"/>
      <c r="BC91" s="566"/>
      <c r="BD91" s="566"/>
      <c r="BE91" s="566"/>
      <c r="BF91" s="566"/>
      <c r="BG91" s="566"/>
    </row>
    <row r="92" spans="1:59">
      <c r="A92" s="591"/>
      <c r="B92" s="618"/>
      <c r="C92" s="609"/>
      <c r="D92" s="594">
        <v>1</v>
      </c>
      <c r="E92" s="595" t="s">
        <v>366</v>
      </c>
      <c r="F92" s="593" t="s">
        <v>339</v>
      </c>
      <c r="G92" s="610">
        <v>105</v>
      </c>
      <c r="H92" s="610" t="s">
        <v>442</v>
      </c>
      <c r="I92" s="610"/>
      <c r="J92" s="610"/>
      <c r="K92" s="610"/>
      <c r="L92" s="611" t="s">
        <v>794</v>
      </c>
      <c r="M92" s="612">
        <f t="shared" si="58"/>
        <v>0</v>
      </c>
      <c r="N92" s="613"/>
      <c r="O92" s="614" t="s">
        <v>984</v>
      </c>
      <c r="P92" s="615">
        <v>100</v>
      </c>
      <c r="Q92" s="616">
        <f>AF92*P92/100</f>
        <v>18</v>
      </c>
      <c r="R92" s="613"/>
      <c r="S92" s="603"/>
      <c r="T92" s="606"/>
      <c r="U92" s="606"/>
      <c r="V92" s="593">
        <f t="shared" si="64"/>
        <v>0</v>
      </c>
      <c r="W92" s="606"/>
      <c r="X92" s="606"/>
      <c r="Y92" s="606"/>
      <c r="Z92" s="606"/>
      <c r="AA92" s="606"/>
      <c r="AB92" s="606"/>
      <c r="AC92" s="607"/>
      <c r="AD92" s="606"/>
      <c r="AE92" s="608"/>
      <c r="AF92" s="639">
        <v>18</v>
      </c>
      <c r="AG92" s="639">
        <f t="shared" si="61"/>
        <v>18</v>
      </c>
      <c r="AH92" s="639">
        <f>IF(B92=0,0,MONTH(B92))</f>
        <v>0</v>
      </c>
      <c r="AI92" s="640"/>
      <c r="AJ92" s="641">
        <f>W92+X92</f>
        <v>0</v>
      </c>
      <c r="AK92" s="642"/>
      <c r="AL92" s="642" t="s">
        <v>364</v>
      </c>
      <c r="AM92" s="642"/>
      <c r="AN92" s="642"/>
      <c r="AO92" s="644">
        <v>83</v>
      </c>
      <c r="AP92" s="565"/>
      <c r="AQ92" s="566"/>
      <c r="AR92" s="566"/>
      <c r="AS92" s="566"/>
      <c r="AT92" s="566"/>
      <c r="AU92" s="566"/>
      <c r="AV92" s="566"/>
      <c r="AW92" s="566"/>
      <c r="AX92" s="566"/>
      <c r="AY92" s="566"/>
      <c r="AZ92" s="566"/>
      <c r="BA92" s="566"/>
      <c r="BB92" s="566"/>
      <c r="BC92" s="566"/>
      <c r="BD92" s="566"/>
      <c r="BE92" s="566"/>
      <c r="BF92" s="566"/>
      <c r="BG92" s="566"/>
    </row>
    <row r="93" spans="1:59">
      <c r="A93" s="624"/>
      <c r="B93" s="592"/>
      <c r="C93" s="593"/>
      <c r="D93" s="594">
        <v>1</v>
      </c>
      <c r="E93" s="595" t="s">
        <v>366</v>
      </c>
      <c r="F93" s="593" t="s">
        <v>339</v>
      </c>
      <c r="G93" s="596">
        <v>116</v>
      </c>
      <c r="H93" s="596" t="s">
        <v>443</v>
      </c>
      <c r="I93" s="596"/>
      <c r="J93" s="596"/>
      <c r="K93" s="596"/>
      <c r="L93" s="591" t="s">
        <v>785</v>
      </c>
      <c r="M93" s="597" t="str">
        <f t="shared" si="58"/>
        <v>Onderwijsruimte (praktijk)</v>
      </c>
      <c r="N93" s="625" t="s">
        <v>78</v>
      </c>
      <c r="O93" s="598"/>
      <c r="P93" s="599"/>
      <c r="Q93" s="600">
        <f t="shared" si="59"/>
        <v>0</v>
      </c>
      <c r="R93" s="601">
        <f>AF93</f>
        <v>9</v>
      </c>
      <c r="S93" s="647">
        <v>112200</v>
      </c>
      <c r="T93" s="602"/>
      <c r="U93" s="645">
        <v>1</v>
      </c>
      <c r="V93" s="593">
        <f t="shared" si="64"/>
        <v>200</v>
      </c>
      <c r="W93" s="604">
        <f>Z93*R93*U93</f>
        <v>0</v>
      </c>
      <c r="X93" s="604">
        <f>AA93*R93</f>
        <v>0</v>
      </c>
      <c r="Y93" s="604">
        <f>AB93*R93</f>
        <v>0</v>
      </c>
      <c r="Z93" s="605">
        <f>VLOOKUP(S93,Kengetal,6,FALSE)</f>
        <v>0</v>
      </c>
      <c r="AA93" s="751">
        <f>VLOOKUP(S93,Kengetal,7,FALSE)</f>
        <v>0</v>
      </c>
      <c r="AB93" s="605">
        <f>VLOOKUP(T93,Kengetal,6,FALSE)</f>
        <v>0</v>
      </c>
      <c r="AC93" s="607"/>
      <c r="AD93" s="591" t="str">
        <f>AL93</f>
        <v>Friesland College</v>
      </c>
      <c r="AE93" s="608"/>
      <c r="AF93" s="639">
        <v>9</v>
      </c>
      <c r="AG93" s="639">
        <f t="shared" si="61"/>
        <v>9</v>
      </c>
      <c r="AH93" s="639">
        <f t="shared" si="62"/>
        <v>0</v>
      </c>
      <c r="AI93" s="640"/>
      <c r="AJ93" s="641">
        <f t="shared" si="63"/>
        <v>0</v>
      </c>
      <c r="AK93" s="642"/>
      <c r="AL93" s="642" t="s">
        <v>364</v>
      </c>
      <c r="AM93" s="643"/>
      <c r="AN93" s="642"/>
      <c r="AO93" s="644">
        <v>85</v>
      </c>
      <c r="AP93" s="565"/>
      <c r="AQ93" s="566"/>
      <c r="AR93" s="566"/>
      <c r="AS93" s="566"/>
      <c r="AT93" s="566"/>
      <c r="AU93" s="566"/>
      <c r="AV93" s="566"/>
      <c r="AW93" s="566"/>
      <c r="AX93" s="566"/>
      <c r="AY93" s="566"/>
      <c r="AZ93" s="566"/>
      <c r="BA93" s="566"/>
      <c r="BB93" s="566"/>
      <c r="BC93" s="566"/>
      <c r="BD93" s="566"/>
      <c r="BE93" s="566"/>
      <c r="BF93" s="566"/>
      <c r="BG93" s="566"/>
    </row>
    <row r="94" spans="1:59">
      <c r="A94" s="624"/>
      <c r="B94" s="618"/>
      <c r="C94" s="609"/>
      <c r="D94" s="609">
        <v>1</v>
      </c>
      <c r="E94" s="595" t="s">
        <v>366</v>
      </c>
      <c r="F94" s="593" t="s">
        <v>339</v>
      </c>
      <c r="G94" s="610">
        <v>116</v>
      </c>
      <c r="H94" s="610" t="s">
        <v>443</v>
      </c>
      <c r="I94" s="610"/>
      <c r="J94" s="610"/>
      <c r="K94" s="610"/>
      <c r="L94" s="611" t="s">
        <v>785</v>
      </c>
      <c r="M94" s="612">
        <f t="shared" si="58"/>
        <v>0</v>
      </c>
      <c r="N94" s="613"/>
      <c r="O94" s="614" t="s">
        <v>991</v>
      </c>
      <c r="P94" s="615">
        <v>100</v>
      </c>
      <c r="Q94" s="616">
        <f t="shared" si="59"/>
        <v>9</v>
      </c>
      <c r="R94" s="613"/>
      <c r="S94" s="603"/>
      <c r="T94" s="606"/>
      <c r="U94" s="606"/>
      <c r="V94" s="593">
        <f t="shared" si="64"/>
        <v>0</v>
      </c>
      <c r="W94" s="606"/>
      <c r="X94" s="606"/>
      <c r="Y94" s="606"/>
      <c r="Z94" s="606"/>
      <c r="AA94" s="606"/>
      <c r="AB94" s="606"/>
      <c r="AC94" s="607"/>
      <c r="AD94" s="606"/>
      <c r="AE94" s="608"/>
      <c r="AF94" s="639">
        <v>9</v>
      </c>
      <c r="AG94" s="639">
        <f t="shared" si="61"/>
        <v>9</v>
      </c>
      <c r="AH94" s="639">
        <f t="shared" si="62"/>
        <v>0</v>
      </c>
      <c r="AI94" s="640"/>
      <c r="AJ94" s="641">
        <f t="shared" si="63"/>
        <v>0</v>
      </c>
      <c r="AK94" s="642"/>
      <c r="AL94" s="642" t="s">
        <v>364</v>
      </c>
      <c r="AM94" s="643"/>
      <c r="AN94" s="642"/>
      <c r="AO94" s="644">
        <v>86</v>
      </c>
      <c r="AP94" s="565"/>
      <c r="AQ94" s="566"/>
      <c r="AR94" s="566"/>
      <c r="AS94" s="566"/>
      <c r="AT94" s="566"/>
      <c r="AU94" s="566"/>
      <c r="AV94" s="566"/>
      <c r="AW94" s="566"/>
      <c r="AX94" s="566"/>
      <c r="AY94" s="566"/>
      <c r="AZ94" s="566"/>
      <c r="BA94" s="566"/>
      <c r="BB94" s="566"/>
      <c r="BC94" s="566"/>
      <c r="BD94" s="566"/>
      <c r="BE94" s="566"/>
      <c r="BF94" s="566"/>
      <c r="BG94" s="566"/>
    </row>
    <row r="95" spans="1:59">
      <c r="A95" s="591"/>
      <c r="B95" s="592"/>
      <c r="C95" s="593"/>
      <c r="D95" s="594">
        <v>1</v>
      </c>
      <c r="E95" s="595" t="s">
        <v>366</v>
      </c>
      <c r="F95" s="593" t="s">
        <v>339</v>
      </c>
      <c r="G95" s="596">
        <v>117</v>
      </c>
      <c r="H95" s="596" t="s">
        <v>992</v>
      </c>
      <c r="I95" s="596"/>
      <c r="J95" s="596"/>
      <c r="K95" s="596"/>
      <c r="L95" s="591" t="s">
        <v>800</v>
      </c>
      <c r="M95" s="597" t="str">
        <f t="shared" si="58"/>
        <v>Administratieve -, personeels- en vergaderruimte</v>
      </c>
      <c r="N95" s="591" t="s">
        <v>78</v>
      </c>
      <c r="O95" s="598"/>
      <c r="P95" s="599"/>
      <c r="Q95" s="600">
        <f t="shared" si="59"/>
        <v>0</v>
      </c>
      <c r="R95" s="601">
        <f>AF95</f>
        <v>9</v>
      </c>
      <c r="S95" s="647">
        <v>101100</v>
      </c>
      <c r="T95" s="602"/>
      <c r="U95" s="645">
        <v>1</v>
      </c>
      <c r="V95" s="593">
        <f t="shared" si="64"/>
        <v>100</v>
      </c>
      <c r="W95" s="604">
        <f>Z95*R95*U95</f>
        <v>0</v>
      </c>
      <c r="X95" s="604">
        <f>AA95*R95</f>
        <v>0</v>
      </c>
      <c r="Y95" s="604">
        <f>AB95*R95</f>
        <v>0</v>
      </c>
      <c r="Z95" s="605">
        <f>VLOOKUP(S95,Kengetal,6,FALSE)</f>
        <v>0</v>
      </c>
      <c r="AA95" s="751">
        <f>VLOOKUP(S95,Kengetal,7,FALSE)</f>
        <v>0</v>
      </c>
      <c r="AB95" s="605">
        <f>VLOOKUP(T95,Kengetal,6,FALSE)</f>
        <v>0</v>
      </c>
      <c r="AC95" s="607"/>
      <c r="AD95" s="591" t="str">
        <f>AL95</f>
        <v>Friesland College</v>
      </c>
      <c r="AE95" s="608"/>
      <c r="AF95" s="639">
        <v>9</v>
      </c>
      <c r="AG95" s="639">
        <f t="shared" si="61"/>
        <v>9</v>
      </c>
      <c r="AH95" s="639">
        <f t="shared" si="62"/>
        <v>0</v>
      </c>
      <c r="AI95" s="640"/>
      <c r="AJ95" s="641">
        <f t="shared" si="63"/>
        <v>0</v>
      </c>
      <c r="AK95" s="642"/>
      <c r="AL95" s="642" t="s">
        <v>364</v>
      </c>
      <c r="AM95" s="642"/>
      <c r="AN95" s="642"/>
      <c r="AO95" s="644">
        <v>87</v>
      </c>
      <c r="AP95" s="565"/>
      <c r="AQ95" s="566"/>
      <c r="AR95" s="566"/>
      <c r="AS95" s="566"/>
      <c r="AT95" s="566"/>
      <c r="AU95" s="566"/>
      <c r="AV95" s="566"/>
      <c r="AW95" s="566"/>
      <c r="AX95" s="566"/>
      <c r="AY95" s="566"/>
      <c r="AZ95" s="566"/>
      <c r="BA95" s="566"/>
      <c r="BB95" s="566"/>
      <c r="BC95" s="566"/>
      <c r="BD95" s="566"/>
      <c r="BE95" s="566"/>
      <c r="BF95" s="566"/>
      <c r="BG95" s="566"/>
    </row>
    <row r="96" spans="1:59">
      <c r="A96" s="591"/>
      <c r="B96" s="618"/>
      <c r="C96" s="609"/>
      <c r="D96" s="609">
        <v>1</v>
      </c>
      <c r="E96" s="595" t="s">
        <v>366</v>
      </c>
      <c r="F96" s="593" t="s">
        <v>339</v>
      </c>
      <c r="G96" s="610">
        <v>117</v>
      </c>
      <c r="H96" s="610" t="s">
        <v>992</v>
      </c>
      <c r="I96" s="610"/>
      <c r="J96" s="610"/>
      <c r="K96" s="610"/>
      <c r="L96" s="611" t="s">
        <v>800</v>
      </c>
      <c r="M96" s="612">
        <f t="shared" si="58"/>
        <v>0</v>
      </c>
      <c r="N96" s="613"/>
      <c r="O96" s="614" t="s">
        <v>991</v>
      </c>
      <c r="P96" s="615">
        <v>100</v>
      </c>
      <c r="Q96" s="616">
        <f t="shared" si="59"/>
        <v>9</v>
      </c>
      <c r="R96" s="613"/>
      <c r="S96" s="603"/>
      <c r="T96" s="606"/>
      <c r="U96" s="606"/>
      <c r="V96" s="593">
        <f t="shared" si="64"/>
        <v>0</v>
      </c>
      <c r="W96" s="606"/>
      <c r="X96" s="606"/>
      <c r="Y96" s="606"/>
      <c r="Z96" s="606"/>
      <c r="AA96" s="606"/>
      <c r="AB96" s="606"/>
      <c r="AC96" s="607"/>
      <c r="AD96" s="606"/>
      <c r="AE96" s="608"/>
      <c r="AF96" s="639">
        <v>9</v>
      </c>
      <c r="AG96" s="639">
        <f t="shared" si="61"/>
        <v>9</v>
      </c>
      <c r="AH96" s="639">
        <f t="shared" si="62"/>
        <v>0</v>
      </c>
      <c r="AI96" s="640"/>
      <c r="AJ96" s="641">
        <f t="shared" si="63"/>
        <v>0</v>
      </c>
      <c r="AK96" s="642"/>
      <c r="AL96" s="642" t="s">
        <v>364</v>
      </c>
      <c r="AM96" s="642"/>
      <c r="AN96" s="642"/>
      <c r="AO96" s="644">
        <v>88</v>
      </c>
      <c r="AP96" s="565"/>
      <c r="AQ96" s="566"/>
      <c r="AR96" s="566"/>
      <c r="AS96" s="566"/>
      <c r="AT96" s="566"/>
      <c r="AU96" s="566"/>
      <c r="AV96" s="566"/>
      <c r="AW96" s="566"/>
      <c r="AX96" s="566"/>
      <c r="AY96" s="566"/>
      <c r="AZ96" s="566"/>
      <c r="BA96" s="566"/>
      <c r="BB96" s="566"/>
      <c r="BC96" s="566"/>
      <c r="BD96" s="566"/>
      <c r="BE96" s="566"/>
      <c r="BF96" s="566"/>
      <c r="BG96" s="566"/>
    </row>
    <row r="97" spans="1:59">
      <c r="A97" s="591"/>
      <c r="B97" s="592"/>
      <c r="C97" s="593"/>
      <c r="D97" s="594">
        <v>1</v>
      </c>
      <c r="E97" s="595" t="s">
        <v>366</v>
      </c>
      <c r="F97" s="593" t="s">
        <v>339</v>
      </c>
      <c r="G97" s="596">
        <v>124</v>
      </c>
      <c r="H97" s="596" t="s">
        <v>468</v>
      </c>
      <c r="I97" s="596"/>
      <c r="J97" s="596"/>
      <c r="K97" s="596"/>
      <c r="L97" s="591" t="s">
        <v>795</v>
      </c>
      <c r="M97" s="597" t="str">
        <f t="shared" si="58"/>
        <v>Op afroep (in overleg)</v>
      </c>
      <c r="N97" s="591" t="s">
        <v>78</v>
      </c>
      <c r="O97" s="598"/>
      <c r="P97" s="599"/>
      <c r="Q97" s="600">
        <f>AF97*P97/100</f>
        <v>0</v>
      </c>
      <c r="R97" s="601">
        <f>AF97</f>
        <v>15</v>
      </c>
      <c r="S97" s="647" t="s">
        <v>959</v>
      </c>
      <c r="T97" s="602"/>
      <c r="U97" s="645">
        <v>1</v>
      </c>
      <c r="V97" s="593">
        <f t="shared" si="64"/>
        <v>0</v>
      </c>
      <c r="W97" s="604">
        <f>Z97*R97*U97</f>
        <v>0</v>
      </c>
      <c r="X97" s="604">
        <f>AA97*R97</f>
        <v>0</v>
      </c>
      <c r="Y97" s="604">
        <f>AB97*R97</f>
        <v>0</v>
      </c>
      <c r="Z97" s="605">
        <f>VLOOKUP(S97,Kengetal,6,FALSE)</f>
        <v>0</v>
      </c>
      <c r="AA97" s="751">
        <f>VLOOKUP(S97,Kengetal,7,FALSE)</f>
        <v>0</v>
      </c>
      <c r="AB97" s="605">
        <f>VLOOKUP(T97,Kengetal,6,FALSE)</f>
        <v>0</v>
      </c>
      <c r="AC97" s="607"/>
      <c r="AD97" s="591" t="str">
        <f>AL97</f>
        <v>Friesland College</v>
      </c>
      <c r="AE97" s="608"/>
      <c r="AF97" s="639">
        <v>15</v>
      </c>
      <c r="AG97" s="639">
        <f t="shared" si="61"/>
        <v>15</v>
      </c>
      <c r="AH97" s="639">
        <f>IF(B97=0,0,MONTH(B97))</f>
        <v>0</v>
      </c>
      <c r="AI97" s="640"/>
      <c r="AJ97" s="641">
        <f>W97+X97</f>
        <v>0</v>
      </c>
      <c r="AK97" s="642"/>
      <c r="AL97" s="642" t="s">
        <v>364</v>
      </c>
      <c r="AM97" s="642"/>
      <c r="AN97" s="642"/>
      <c r="AO97" s="644">
        <v>91</v>
      </c>
      <c r="AP97" s="565"/>
      <c r="AQ97" s="566"/>
      <c r="AR97" s="566"/>
      <c r="AS97" s="566"/>
      <c r="AT97" s="566"/>
      <c r="AU97" s="566"/>
      <c r="AV97" s="566"/>
      <c r="AW97" s="566"/>
      <c r="AX97" s="566"/>
      <c r="AY97" s="566"/>
      <c r="AZ97" s="566"/>
      <c r="BA97" s="566"/>
      <c r="BB97" s="566"/>
      <c r="BC97" s="566"/>
      <c r="BD97" s="566"/>
      <c r="BE97" s="566"/>
      <c r="BF97" s="566"/>
      <c r="BG97" s="566"/>
    </row>
    <row r="98" spans="1:59">
      <c r="A98" s="624"/>
      <c r="B98" s="618"/>
      <c r="C98" s="609"/>
      <c r="D98" s="594">
        <v>1</v>
      </c>
      <c r="E98" s="595" t="s">
        <v>366</v>
      </c>
      <c r="F98" s="593" t="s">
        <v>339</v>
      </c>
      <c r="G98" s="610">
        <v>124</v>
      </c>
      <c r="H98" s="610" t="s">
        <v>468</v>
      </c>
      <c r="I98" s="610"/>
      <c r="J98" s="610"/>
      <c r="K98" s="610"/>
      <c r="L98" s="611" t="s">
        <v>795</v>
      </c>
      <c r="M98" s="612">
        <f t="shared" si="58"/>
        <v>0</v>
      </c>
      <c r="N98" s="613"/>
      <c r="O98" s="614" t="s">
        <v>993</v>
      </c>
      <c r="P98" s="615">
        <v>100</v>
      </c>
      <c r="Q98" s="616">
        <f t="shared" si="59"/>
        <v>15</v>
      </c>
      <c r="R98" s="613"/>
      <c r="S98" s="603"/>
      <c r="T98" s="606"/>
      <c r="U98" s="606"/>
      <c r="V98" s="593">
        <f t="shared" si="64"/>
        <v>0</v>
      </c>
      <c r="W98" s="606"/>
      <c r="X98" s="606"/>
      <c r="Y98" s="606"/>
      <c r="Z98" s="606"/>
      <c r="AA98" s="606"/>
      <c r="AB98" s="606"/>
      <c r="AC98" s="607"/>
      <c r="AD98" s="606"/>
      <c r="AE98" s="608"/>
      <c r="AF98" s="639">
        <v>15</v>
      </c>
      <c r="AG98" s="639">
        <f t="shared" si="61"/>
        <v>15</v>
      </c>
      <c r="AH98" s="639">
        <f t="shared" si="62"/>
        <v>0</v>
      </c>
      <c r="AI98" s="640"/>
      <c r="AJ98" s="641">
        <f t="shared" si="63"/>
        <v>0</v>
      </c>
      <c r="AK98" s="642"/>
      <c r="AL98" s="642" t="s">
        <v>364</v>
      </c>
      <c r="AM98" s="643"/>
      <c r="AN98" s="642"/>
      <c r="AO98" s="644">
        <v>90</v>
      </c>
      <c r="AP98" s="565"/>
      <c r="AQ98" s="566"/>
      <c r="AR98" s="566"/>
      <c r="AS98" s="566"/>
      <c r="AT98" s="566"/>
      <c r="AU98" s="566"/>
      <c r="AV98" s="566"/>
      <c r="AW98" s="566"/>
      <c r="AX98" s="566"/>
      <c r="AY98" s="566"/>
      <c r="AZ98" s="566"/>
      <c r="BA98" s="566"/>
      <c r="BB98" s="566"/>
      <c r="BC98" s="566"/>
      <c r="BD98" s="566"/>
      <c r="BE98" s="566"/>
      <c r="BF98" s="566"/>
      <c r="BG98" s="566"/>
    </row>
    <row r="99" spans="1:59">
      <c r="A99" s="591"/>
      <c r="B99" s="592"/>
      <c r="C99" s="593"/>
      <c r="D99" s="594">
        <v>1</v>
      </c>
      <c r="E99" s="595" t="s">
        <v>366</v>
      </c>
      <c r="F99" s="593" t="s">
        <v>339</v>
      </c>
      <c r="G99" s="596">
        <v>125</v>
      </c>
      <c r="H99" s="596" t="s">
        <v>435</v>
      </c>
      <c r="I99" s="596"/>
      <c r="J99" s="596"/>
      <c r="K99" s="596"/>
      <c r="L99" s="591" t="s">
        <v>792</v>
      </c>
      <c r="M99" s="597" t="str">
        <f t="shared" si="58"/>
        <v>Onderwijsruimte (theorie)</v>
      </c>
      <c r="N99" s="591" t="s">
        <v>78</v>
      </c>
      <c r="O99" s="598"/>
      <c r="P99" s="599"/>
      <c r="Q99" s="600">
        <f>AF99*P99/100</f>
        <v>0</v>
      </c>
      <c r="R99" s="601">
        <f>AF99</f>
        <v>93</v>
      </c>
      <c r="S99" s="647">
        <v>102200</v>
      </c>
      <c r="T99" s="602"/>
      <c r="U99" s="645">
        <v>1</v>
      </c>
      <c r="V99" s="593">
        <f t="shared" si="64"/>
        <v>200</v>
      </c>
      <c r="W99" s="604">
        <f>Z99*R99*U99</f>
        <v>0</v>
      </c>
      <c r="X99" s="604">
        <f>AA99*R99</f>
        <v>0</v>
      </c>
      <c r="Y99" s="604">
        <f>AB99*R99</f>
        <v>0</v>
      </c>
      <c r="Z99" s="605">
        <f>VLOOKUP(S99,Kengetal,6,FALSE)</f>
        <v>0</v>
      </c>
      <c r="AA99" s="751">
        <f>VLOOKUP(S99,Kengetal,7,FALSE)</f>
        <v>0</v>
      </c>
      <c r="AB99" s="605">
        <f>VLOOKUP(T99,Kengetal,6,FALSE)</f>
        <v>0</v>
      </c>
      <c r="AC99" s="607"/>
      <c r="AD99" s="591" t="str">
        <f>AL99</f>
        <v>Friesland College</v>
      </c>
      <c r="AE99" s="608"/>
      <c r="AF99" s="639">
        <v>93</v>
      </c>
      <c r="AG99" s="639">
        <f t="shared" si="61"/>
        <v>93</v>
      </c>
      <c r="AH99" s="639">
        <f>IF(B99=0,0,MONTH(B99))</f>
        <v>0</v>
      </c>
      <c r="AI99" s="640"/>
      <c r="AJ99" s="641">
        <f>W99+X99</f>
        <v>0</v>
      </c>
      <c r="AK99" s="642"/>
      <c r="AL99" s="642" t="s">
        <v>364</v>
      </c>
      <c r="AM99" s="642"/>
      <c r="AN99" s="642"/>
      <c r="AO99" s="644">
        <v>93</v>
      </c>
      <c r="AP99" s="565"/>
      <c r="AQ99" s="566"/>
      <c r="AR99" s="566"/>
      <c r="AS99" s="566"/>
      <c r="AT99" s="566"/>
      <c r="AU99" s="566"/>
      <c r="AV99" s="566"/>
      <c r="AW99" s="566"/>
      <c r="AX99" s="566"/>
      <c r="AY99" s="566"/>
      <c r="AZ99" s="566"/>
      <c r="BA99" s="566"/>
      <c r="BB99" s="566"/>
      <c r="BC99" s="566"/>
      <c r="BD99" s="566"/>
      <c r="BE99" s="566"/>
      <c r="BF99" s="566"/>
      <c r="BG99" s="566"/>
    </row>
    <row r="100" spans="1:59">
      <c r="A100" s="591"/>
      <c r="B100" s="618"/>
      <c r="C100" s="609"/>
      <c r="D100" s="594">
        <v>1</v>
      </c>
      <c r="E100" s="595" t="s">
        <v>366</v>
      </c>
      <c r="F100" s="593" t="s">
        <v>339</v>
      </c>
      <c r="G100" s="610">
        <v>125</v>
      </c>
      <c r="H100" s="610" t="s">
        <v>435</v>
      </c>
      <c r="I100" s="610"/>
      <c r="J100" s="610"/>
      <c r="K100" s="610"/>
      <c r="L100" s="611" t="s">
        <v>792</v>
      </c>
      <c r="M100" s="612">
        <f t="shared" si="58"/>
        <v>0</v>
      </c>
      <c r="N100" s="613"/>
      <c r="O100" s="614" t="s">
        <v>986</v>
      </c>
      <c r="P100" s="615">
        <v>100</v>
      </c>
      <c r="Q100" s="616">
        <f t="shared" si="59"/>
        <v>93</v>
      </c>
      <c r="R100" s="613"/>
      <c r="S100" s="603"/>
      <c r="T100" s="606"/>
      <c r="U100" s="606"/>
      <c r="V100" s="593">
        <f t="shared" si="64"/>
        <v>0</v>
      </c>
      <c r="W100" s="606"/>
      <c r="X100" s="606"/>
      <c r="Y100" s="606"/>
      <c r="Z100" s="606"/>
      <c r="AA100" s="606"/>
      <c r="AB100" s="606"/>
      <c r="AC100" s="607"/>
      <c r="AD100" s="606"/>
      <c r="AE100" s="608"/>
      <c r="AF100" s="639">
        <v>93</v>
      </c>
      <c r="AG100" s="639">
        <f t="shared" si="61"/>
        <v>93</v>
      </c>
      <c r="AH100" s="639">
        <f t="shared" si="62"/>
        <v>0</v>
      </c>
      <c r="AI100" s="640"/>
      <c r="AJ100" s="641">
        <f t="shared" si="63"/>
        <v>0</v>
      </c>
      <c r="AK100" s="642"/>
      <c r="AL100" s="642" t="s">
        <v>364</v>
      </c>
      <c r="AM100" s="643"/>
      <c r="AN100" s="642"/>
      <c r="AO100" s="644">
        <v>92</v>
      </c>
      <c r="AP100" s="565"/>
      <c r="AQ100" s="566"/>
      <c r="AR100" s="566"/>
      <c r="AS100" s="566"/>
      <c r="AT100" s="566"/>
      <c r="AU100" s="566"/>
      <c r="AV100" s="566"/>
      <c r="AW100" s="566"/>
      <c r="AX100" s="566"/>
      <c r="AY100" s="566"/>
      <c r="AZ100" s="566"/>
      <c r="BA100" s="566"/>
      <c r="BB100" s="566"/>
      <c r="BC100" s="566"/>
      <c r="BD100" s="566"/>
      <c r="BE100" s="566"/>
      <c r="BF100" s="566"/>
      <c r="BG100" s="566"/>
    </row>
    <row r="101" spans="1:59">
      <c r="A101" s="591"/>
      <c r="B101" s="592"/>
      <c r="C101" s="593"/>
      <c r="D101" s="594">
        <v>1</v>
      </c>
      <c r="E101" s="595" t="s">
        <v>366</v>
      </c>
      <c r="F101" s="593" t="s">
        <v>339</v>
      </c>
      <c r="G101" s="596">
        <v>125</v>
      </c>
      <c r="H101" s="596" t="s">
        <v>436</v>
      </c>
      <c r="I101" s="596"/>
      <c r="J101" s="596"/>
      <c r="K101" s="596"/>
      <c r="L101" s="591" t="s">
        <v>792</v>
      </c>
      <c r="M101" s="597" t="str">
        <f t="shared" si="58"/>
        <v>Onderwijsruimte (theorie)</v>
      </c>
      <c r="N101" s="591" t="s">
        <v>78</v>
      </c>
      <c r="O101" s="598"/>
      <c r="P101" s="599"/>
      <c r="Q101" s="600">
        <f t="shared" si="59"/>
        <v>0</v>
      </c>
      <c r="R101" s="601">
        <f>AF101</f>
        <v>52</v>
      </c>
      <c r="S101" s="647">
        <v>102200</v>
      </c>
      <c r="T101" s="602"/>
      <c r="U101" s="645">
        <v>1</v>
      </c>
      <c r="V101" s="593">
        <f t="shared" si="64"/>
        <v>200</v>
      </c>
      <c r="W101" s="604">
        <f>Z101*R101*U101</f>
        <v>0</v>
      </c>
      <c r="X101" s="604">
        <f>AA101*R101</f>
        <v>0</v>
      </c>
      <c r="Y101" s="604">
        <f>AB101*R101</f>
        <v>0</v>
      </c>
      <c r="Z101" s="605">
        <f>VLOOKUP(S101,Kengetal,6,FALSE)</f>
        <v>0</v>
      </c>
      <c r="AA101" s="751">
        <f>VLOOKUP(S101,Kengetal,7,FALSE)</f>
        <v>0</v>
      </c>
      <c r="AB101" s="605">
        <f>VLOOKUP(T101,Kengetal,6,FALSE)</f>
        <v>0</v>
      </c>
      <c r="AC101" s="607"/>
      <c r="AD101" s="591" t="str">
        <f>AL101</f>
        <v>Friesland College</v>
      </c>
      <c r="AE101" s="608"/>
      <c r="AF101" s="639">
        <v>52</v>
      </c>
      <c r="AG101" s="639">
        <f t="shared" si="61"/>
        <v>52</v>
      </c>
      <c r="AH101" s="639">
        <f t="shared" si="62"/>
        <v>0</v>
      </c>
      <c r="AI101" s="640"/>
      <c r="AJ101" s="641">
        <f t="shared" si="63"/>
        <v>0</v>
      </c>
      <c r="AK101" s="642"/>
      <c r="AL101" s="642" t="s">
        <v>364</v>
      </c>
      <c r="AM101" s="642"/>
      <c r="AN101" s="642"/>
      <c r="AO101" s="644">
        <v>94</v>
      </c>
      <c r="AP101" s="565"/>
      <c r="AQ101" s="566"/>
      <c r="AR101" s="566"/>
      <c r="AS101" s="566"/>
      <c r="AT101" s="566"/>
      <c r="AU101" s="566"/>
      <c r="AV101" s="566"/>
      <c r="AW101" s="566"/>
      <c r="AX101" s="566"/>
      <c r="AY101" s="566"/>
      <c r="AZ101" s="566"/>
      <c r="BA101" s="566"/>
      <c r="BB101" s="566"/>
      <c r="BC101" s="566"/>
      <c r="BD101" s="566"/>
      <c r="BE101" s="566"/>
      <c r="BF101" s="566"/>
      <c r="BG101" s="566"/>
    </row>
    <row r="102" spans="1:59">
      <c r="A102" s="591"/>
      <c r="B102" s="618"/>
      <c r="C102" s="609"/>
      <c r="D102" s="594">
        <v>1</v>
      </c>
      <c r="E102" s="595" t="s">
        <v>366</v>
      </c>
      <c r="F102" s="593" t="s">
        <v>339</v>
      </c>
      <c r="G102" s="610">
        <v>125</v>
      </c>
      <c r="H102" s="610" t="s">
        <v>436</v>
      </c>
      <c r="I102" s="610"/>
      <c r="J102" s="610"/>
      <c r="K102" s="610"/>
      <c r="L102" s="611" t="s">
        <v>792</v>
      </c>
      <c r="M102" s="612">
        <f t="shared" si="58"/>
        <v>0</v>
      </c>
      <c r="N102" s="613"/>
      <c r="O102" s="614" t="s">
        <v>986</v>
      </c>
      <c r="P102" s="615">
        <v>100</v>
      </c>
      <c r="Q102" s="616">
        <f t="shared" si="59"/>
        <v>52</v>
      </c>
      <c r="R102" s="613"/>
      <c r="S102" s="603"/>
      <c r="T102" s="606"/>
      <c r="U102" s="606"/>
      <c r="V102" s="593">
        <f t="shared" si="64"/>
        <v>0</v>
      </c>
      <c r="W102" s="606"/>
      <c r="X102" s="606"/>
      <c r="Y102" s="606"/>
      <c r="Z102" s="606"/>
      <c r="AA102" s="606"/>
      <c r="AB102" s="606"/>
      <c r="AC102" s="607"/>
      <c r="AD102" s="606"/>
      <c r="AE102" s="608"/>
      <c r="AF102" s="639">
        <v>52</v>
      </c>
      <c r="AG102" s="639">
        <f t="shared" si="61"/>
        <v>52</v>
      </c>
      <c r="AH102" s="639">
        <f t="shared" si="62"/>
        <v>0</v>
      </c>
      <c r="AI102" s="640"/>
      <c r="AJ102" s="641">
        <f t="shared" si="63"/>
        <v>0</v>
      </c>
      <c r="AK102" s="642"/>
      <c r="AL102" s="642" t="s">
        <v>364</v>
      </c>
      <c r="AM102" s="642"/>
      <c r="AN102" s="642"/>
      <c r="AO102" s="644">
        <v>95</v>
      </c>
      <c r="AP102" s="565"/>
      <c r="AQ102" s="566"/>
      <c r="AR102" s="566"/>
      <c r="AS102" s="566"/>
      <c r="AT102" s="566"/>
      <c r="AU102" s="566"/>
      <c r="AV102" s="566"/>
      <c r="AW102" s="566"/>
      <c r="AX102" s="566"/>
      <c r="AY102" s="566"/>
      <c r="AZ102" s="566"/>
      <c r="BA102" s="566"/>
      <c r="BB102" s="566"/>
      <c r="BC102" s="566"/>
      <c r="BD102" s="566"/>
      <c r="BE102" s="566"/>
      <c r="BF102" s="566"/>
      <c r="BG102" s="566"/>
    </row>
    <row r="103" spans="1:59">
      <c r="A103" s="591"/>
      <c r="B103" s="592"/>
      <c r="C103" s="593"/>
      <c r="D103" s="594">
        <v>1</v>
      </c>
      <c r="E103" s="595" t="s">
        <v>366</v>
      </c>
      <c r="F103" s="593" t="s">
        <v>339</v>
      </c>
      <c r="G103" s="596">
        <v>125</v>
      </c>
      <c r="H103" s="596" t="s">
        <v>437</v>
      </c>
      <c r="I103" s="596"/>
      <c r="J103" s="596"/>
      <c r="K103" s="596"/>
      <c r="L103" s="591" t="s">
        <v>792</v>
      </c>
      <c r="M103" s="597" t="str">
        <f t="shared" si="58"/>
        <v>Onderwijsruimte (theorie)</v>
      </c>
      <c r="N103" s="591" t="s">
        <v>78</v>
      </c>
      <c r="O103" s="598"/>
      <c r="P103" s="599"/>
      <c r="Q103" s="600">
        <f t="shared" si="59"/>
        <v>0</v>
      </c>
      <c r="R103" s="601">
        <f>AF103</f>
        <v>52</v>
      </c>
      <c r="S103" s="647">
        <v>102200</v>
      </c>
      <c r="T103" s="602"/>
      <c r="U103" s="645">
        <v>1</v>
      </c>
      <c r="V103" s="593">
        <f t="shared" si="64"/>
        <v>200</v>
      </c>
      <c r="W103" s="604">
        <f>Z103*R103*U103</f>
        <v>0</v>
      </c>
      <c r="X103" s="604">
        <f>AA103*R103</f>
        <v>0</v>
      </c>
      <c r="Y103" s="604">
        <f>AB103*R103</f>
        <v>0</v>
      </c>
      <c r="Z103" s="605">
        <f>VLOOKUP(S103,Kengetal,6,FALSE)</f>
        <v>0</v>
      </c>
      <c r="AA103" s="751">
        <f>VLOOKUP(S103,Kengetal,7,FALSE)</f>
        <v>0</v>
      </c>
      <c r="AB103" s="605">
        <f>VLOOKUP(T103,Kengetal,6,FALSE)</f>
        <v>0</v>
      </c>
      <c r="AC103" s="607"/>
      <c r="AD103" s="591" t="str">
        <f>AL103</f>
        <v>Friesland College</v>
      </c>
      <c r="AE103" s="608"/>
      <c r="AF103" s="639">
        <v>52</v>
      </c>
      <c r="AG103" s="639">
        <f t="shared" si="61"/>
        <v>52</v>
      </c>
      <c r="AH103" s="639">
        <f t="shared" si="62"/>
        <v>0</v>
      </c>
      <c r="AI103" s="640"/>
      <c r="AJ103" s="641">
        <f t="shared" si="63"/>
        <v>0</v>
      </c>
      <c r="AK103" s="642"/>
      <c r="AL103" s="642" t="s">
        <v>364</v>
      </c>
      <c r="AM103" s="642"/>
      <c r="AN103" s="642"/>
      <c r="AO103" s="644">
        <v>96</v>
      </c>
      <c r="AP103" s="565"/>
      <c r="AQ103" s="566"/>
      <c r="AR103" s="566"/>
      <c r="AS103" s="566"/>
      <c r="AT103" s="566"/>
      <c r="AU103" s="566"/>
      <c r="AV103" s="566"/>
      <c r="AW103" s="566"/>
      <c r="AX103" s="566"/>
      <c r="AY103" s="566"/>
      <c r="AZ103" s="566"/>
      <c r="BA103" s="566"/>
      <c r="BB103" s="566"/>
      <c r="BC103" s="566"/>
      <c r="BD103" s="566"/>
      <c r="BE103" s="566"/>
      <c r="BF103" s="566"/>
      <c r="BG103" s="566"/>
    </row>
    <row r="104" spans="1:59">
      <c r="A104" s="591"/>
      <c r="B104" s="618"/>
      <c r="C104" s="609"/>
      <c r="D104" s="594">
        <v>1</v>
      </c>
      <c r="E104" s="595" t="s">
        <v>366</v>
      </c>
      <c r="F104" s="593" t="s">
        <v>339</v>
      </c>
      <c r="G104" s="610">
        <v>125</v>
      </c>
      <c r="H104" s="610" t="s">
        <v>437</v>
      </c>
      <c r="I104" s="610"/>
      <c r="J104" s="610"/>
      <c r="K104" s="610"/>
      <c r="L104" s="611" t="s">
        <v>792</v>
      </c>
      <c r="M104" s="612">
        <f t="shared" si="58"/>
        <v>0</v>
      </c>
      <c r="N104" s="613"/>
      <c r="O104" s="614" t="s">
        <v>986</v>
      </c>
      <c r="P104" s="615">
        <v>100</v>
      </c>
      <c r="Q104" s="616">
        <f t="shared" si="59"/>
        <v>52</v>
      </c>
      <c r="R104" s="613"/>
      <c r="S104" s="603"/>
      <c r="T104" s="606"/>
      <c r="U104" s="606"/>
      <c r="V104" s="593">
        <f t="shared" si="64"/>
        <v>0</v>
      </c>
      <c r="W104" s="606"/>
      <c r="X104" s="606"/>
      <c r="Y104" s="606"/>
      <c r="Z104" s="606"/>
      <c r="AA104" s="606"/>
      <c r="AB104" s="606"/>
      <c r="AC104" s="607"/>
      <c r="AD104" s="606"/>
      <c r="AE104" s="608"/>
      <c r="AF104" s="639">
        <v>52</v>
      </c>
      <c r="AG104" s="639">
        <f t="shared" si="61"/>
        <v>52</v>
      </c>
      <c r="AH104" s="639">
        <f t="shared" si="62"/>
        <v>0</v>
      </c>
      <c r="AI104" s="640"/>
      <c r="AJ104" s="641">
        <f t="shared" si="63"/>
        <v>0</v>
      </c>
      <c r="AK104" s="642"/>
      <c r="AL104" s="642" t="s">
        <v>364</v>
      </c>
      <c r="AM104" s="642"/>
      <c r="AN104" s="642"/>
      <c r="AO104" s="644">
        <v>97</v>
      </c>
      <c r="AP104" s="565"/>
      <c r="AQ104" s="566"/>
      <c r="AR104" s="566"/>
      <c r="AS104" s="566"/>
      <c r="AT104" s="566"/>
      <c r="AU104" s="566"/>
      <c r="AV104" s="566"/>
      <c r="AW104" s="566"/>
      <c r="AX104" s="566"/>
      <c r="AY104" s="566"/>
      <c r="AZ104" s="566"/>
      <c r="BA104" s="566"/>
      <c r="BB104" s="566"/>
      <c r="BC104" s="566"/>
      <c r="BD104" s="566"/>
      <c r="BE104" s="566"/>
      <c r="BF104" s="566"/>
      <c r="BG104" s="566"/>
    </row>
    <row r="105" spans="1:59">
      <c r="A105" s="591"/>
      <c r="B105" s="592"/>
      <c r="C105" s="593"/>
      <c r="D105" s="594">
        <v>1</v>
      </c>
      <c r="E105" s="595" t="s">
        <v>366</v>
      </c>
      <c r="F105" s="593" t="s">
        <v>339</v>
      </c>
      <c r="G105" s="596">
        <v>125</v>
      </c>
      <c r="H105" s="596" t="s">
        <v>438</v>
      </c>
      <c r="I105" s="596"/>
      <c r="J105" s="596"/>
      <c r="K105" s="596"/>
      <c r="L105" s="591" t="s">
        <v>793</v>
      </c>
      <c r="M105" s="597" t="str">
        <f t="shared" si="58"/>
        <v>Administratieve -, personeels- en vergaderruimte</v>
      </c>
      <c r="N105" s="591" t="s">
        <v>78</v>
      </c>
      <c r="O105" s="598"/>
      <c r="P105" s="599"/>
      <c r="Q105" s="600">
        <f t="shared" si="59"/>
        <v>0</v>
      </c>
      <c r="R105" s="601">
        <f>AF105</f>
        <v>25</v>
      </c>
      <c r="S105" s="647">
        <v>101120</v>
      </c>
      <c r="T105" s="602"/>
      <c r="U105" s="645">
        <v>1</v>
      </c>
      <c r="V105" s="593">
        <f t="shared" si="64"/>
        <v>120</v>
      </c>
      <c r="W105" s="604">
        <f>Z105*R105*U105</f>
        <v>0</v>
      </c>
      <c r="X105" s="604">
        <f>AA105*R105</f>
        <v>0</v>
      </c>
      <c r="Y105" s="604">
        <f>AB105*R105</f>
        <v>0</v>
      </c>
      <c r="Z105" s="605">
        <f>VLOOKUP(S105,Kengetal,6,FALSE)</f>
        <v>0</v>
      </c>
      <c r="AA105" s="751">
        <f>VLOOKUP(S105,Kengetal,7,FALSE)</f>
        <v>0</v>
      </c>
      <c r="AB105" s="605">
        <f>VLOOKUP(T105,Kengetal,6,FALSE)</f>
        <v>0</v>
      </c>
      <c r="AC105" s="607"/>
      <c r="AD105" s="591" t="str">
        <f>AL105</f>
        <v>Friesland College</v>
      </c>
      <c r="AE105" s="608"/>
      <c r="AF105" s="639">
        <v>25</v>
      </c>
      <c r="AG105" s="639">
        <f t="shared" si="61"/>
        <v>25</v>
      </c>
      <c r="AH105" s="639">
        <f t="shared" si="62"/>
        <v>0</v>
      </c>
      <c r="AI105" s="640"/>
      <c r="AJ105" s="641">
        <f t="shared" si="63"/>
        <v>0</v>
      </c>
      <c r="AK105" s="642"/>
      <c r="AL105" s="642" t="s">
        <v>364</v>
      </c>
      <c r="AM105" s="642"/>
      <c r="AN105" s="642"/>
      <c r="AO105" s="644">
        <v>98</v>
      </c>
      <c r="AP105" s="565"/>
      <c r="AQ105" s="566"/>
      <c r="AR105" s="566"/>
      <c r="AS105" s="566"/>
      <c r="AT105" s="566"/>
      <c r="AU105" s="566"/>
      <c r="AV105" s="566"/>
      <c r="AW105" s="566"/>
      <c r="AX105" s="566"/>
      <c r="AY105" s="566"/>
      <c r="AZ105" s="566"/>
      <c r="BA105" s="566"/>
      <c r="BB105" s="566"/>
      <c r="BC105" s="566"/>
      <c r="BD105" s="566"/>
      <c r="BE105" s="566"/>
      <c r="BF105" s="566"/>
      <c r="BG105" s="566"/>
    </row>
    <row r="106" spans="1:59">
      <c r="A106" s="591"/>
      <c r="B106" s="618"/>
      <c r="C106" s="609"/>
      <c r="D106" s="594">
        <v>1</v>
      </c>
      <c r="E106" s="595" t="s">
        <v>366</v>
      </c>
      <c r="F106" s="593" t="s">
        <v>339</v>
      </c>
      <c r="G106" s="610">
        <v>125</v>
      </c>
      <c r="H106" s="610" t="s">
        <v>438</v>
      </c>
      <c r="I106" s="610"/>
      <c r="J106" s="610"/>
      <c r="K106" s="610"/>
      <c r="L106" s="611" t="s">
        <v>793</v>
      </c>
      <c r="M106" s="612">
        <f t="shared" si="58"/>
        <v>0</v>
      </c>
      <c r="N106" s="613"/>
      <c r="O106" s="614" t="s">
        <v>986</v>
      </c>
      <c r="P106" s="615">
        <v>100</v>
      </c>
      <c r="Q106" s="616">
        <f t="shared" si="59"/>
        <v>25</v>
      </c>
      <c r="R106" s="613"/>
      <c r="S106" s="603"/>
      <c r="T106" s="606"/>
      <c r="U106" s="606"/>
      <c r="V106" s="593">
        <f t="shared" si="64"/>
        <v>0</v>
      </c>
      <c r="W106" s="606"/>
      <c r="X106" s="606"/>
      <c r="Y106" s="606"/>
      <c r="Z106" s="606"/>
      <c r="AA106" s="606"/>
      <c r="AB106" s="606"/>
      <c r="AC106" s="607"/>
      <c r="AD106" s="606"/>
      <c r="AE106" s="608"/>
      <c r="AF106" s="639">
        <v>25</v>
      </c>
      <c r="AG106" s="639">
        <f t="shared" si="61"/>
        <v>25</v>
      </c>
      <c r="AH106" s="639">
        <f t="shared" si="62"/>
        <v>0</v>
      </c>
      <c r="AI106" s="640"/>
      <c r="AJ106" s="641">
        <f t="shared" si="63"/>
        <v>0</v>
      </c>
      <c r="AK106" s="642"/>
      <c r="AL106" s="642" t="s">
        <v>364</v>
      </c>
      <c r="AM106" s="642"/>
      <c r="AN106" s="642"/>
      <c r="AO106" s="644">
        <v>99</v>
      </c>
      <c r="AP106" s="565"/>
      <c r="AQ106" s="566"/>
      <c r="AR106" s="566"/>
      <c r="AS106" s="566"/>
      <c r="AT106" s="566"/>
      <c r="AU106" s="566"/>
      <c r="AV106" s="566"/>
      <c r="AW106" s="566"/>
      <c r="AX106" s="566"/>
      <c r="AY106" s="566"/>
      <c r="AZ106" s="566"/>
      <c r="BA106" s="566"/>
      <c r="BB106" s="566"/>
      <c r="BC106" s="566"/>
      <c r="BD106" s="566"/>
      <c r="BE106" s="566"/>
      <c r="BF106" s="566"/>
      <c r="BG106" s="566"/>
    </row>
    <row r="107" spans="1:59">
      <c r="A107" s="591"/>
      <c r="B107" s="592"/>
      <c r="C107" s="593"/>
      <c r="D107" s="594">
        <v>1</v>
      </c>
      <c r="E107" s="595" t="s">
        <v>366</v>
      </c>
      <c r="F107" s="593" t="s">
        <v>339</v>
      </c>
      <c r="G107" s="596">
        <v>125</v>
      </c>
      <c r="H107" s="596" t="s">
        <v>439</v>
      </c>
      <c r="I107" s="596"/>
      <c r="J107" s="596"/>
      <c r="K107" s="596"/>
      <c r="L107" s="591" t="s">
        <v>793</v>
      </c>
      <c r="M107" s="597" t="str">
        <f t="shared" si="58"/>
        <v>Administratieve -, personeels- en vergaderruimte</v>
      </c>
      <c r="N107" s="591" t="s">
        <v>78</v>
      </c>
      <c r="O107" s="598"/>
      <c r="P107" s="599"/>
      <c r="Q107" s="600">
        <f t="shared" si="59"/>
        <v>0</v>
      </c>
      <c r="R107" s="601">
        <f>AF107</f>
        <v>52</v>
      </c>
      <c r="S107" s="647">
        <v>101120</v>
      </c>
      <c r="T107" s="602"/>
      <c r="U107" s="645">
        <v>1</v>
      </c>
      <c r="V107" s="593">
        <f t="shared" si="64"/>
        <v>120</v>
      </c>
      <c r="W107" s="604">
        <f>Z107*R107*U107</f>
        <v>0</v>
      </c>
      <c r="X107" s="604">
        <f>AA107*R107</f>
        <v>0</v>
      </c>
      <c r="Y107" s="604">
        <f>AB107*R107</f>
        <v>0</v>
      </c>
      <c r="Z107" s="605">
        <f>VLOOKUP(S107,Kengetal,6,FALSE)</f>
        <v>0</v>
      </c>
      <c r="AA107" s="751">
        <f>VLOOKUP(S107,Kengetal,7,FALSE)</f>
        <v>0</v>
      </c>
      <c r="AB107" s="605">
        <f>VLOOKUP(T107,Kengetal,6,FALSE)</f>
        <v>0</v>
      </c>
      <c r="AC107" s="607"/>
      <c r="AD107" s="591" t="str">
        <f>AL107</f>
        <v>Friesland College</v>
      </c>
      <c r="AE107" s="608"/>
      <c r="AF107" s="639">
        <v>52</v>
      </c>
      <c r="AG107" s="639">
        <f t="shared" si="61"/>
        <v>52</v>
      </c>
      <c r="AH107" s="639">
        <f t="shared" si="62"/>
        <v>0</v>
      </c>
      <c r="AI107" s="640"/>
      <c r="AJ107" s="641">
        <f t="shared" si="63"/>
        <v>0</v>
      </c>
      <c r="AK107" s="642"/>
      <c r="AL107" s="642" t="s">
        <v>364</v>
      </c>
      <c r="AM107" s="642"/>
      <c r="AN107" s="642"/>
      <c r="AO107" s="644">
        <v>100</v>
      </c>
      <c r="AP107" s="565"/>
      <c r="AQ107" s="566"/>
      <c r="AR107" s="566"/>
      <c r="AS107" s="566"/>
      <c r="AT107" s="566"/>
      <c r="AU107" s="566"/>
      <c r="AV107" s="566"/>
      <c r="AW107" s="566"/>
      <c r="AX107" s="566"/>
      <c r="AY107" s="566"/>
      <c r="AZ107" s="566"/>
      <c r="BA107" s="566"/>
      <c r="BB107" s="566"/>
      <c r="BC107" s="566"/>
      <c r="BD107" s="566"/>
      <c r="BE107" s="566"/>
      <c r="BF107" s="566"/>
      <c r="BG107" s="566"/>
    </row>
    <row r="108" spans="1:59">
      <c r="A108" s="591"/>
      <c r="B108" s="618"/>
      <c r="C108" s="609"/>
      <c r="D108" s="594">
        <v>1</v>
      </c>
      <c r="E108" s="595" t="s">
        <v>366</v>
      </c>
      <c r="F108" s="593" t="s">
        <v>339</v>
      </c>
      <c r="G108" s="610">
        <v>125</v>
      </c>
      <c r="H108" s="610" t="s">
        <v>439</v>
      </c>
      <c r="I108" s="610"/>
      <c r="J108" s="610"/>
      <c r="K108" s="610"/>
      <c r="L108" s="611" t="s">
        <v>793</v>
      </c>
      <c r="M108" s="612">
        <f t="shared" ref="M108:M139" si="68">VLOOKUP(S108,Kengetal,4,FALSE)</f>
        <v>0</v>
      </c>
      <c r="N108" s="613"/>
      <c r="O108" s="614" t="s">
        <v>986</v>
      </c>
      <c r="P108" s="615">
        <v>100</v>
      </c>
      <c r="Q108" s="616">
        <f t="shared" si="59"/>
        <v>52</v>
      </c>
      <c r="R108" s="613"/>
      <c r="S108" s="603"/>
      <c r="T108" s="606"/>
      <c r="U108" s="606"/>
      <c r="V108" s="593">
        <f t="shared" si="64"/>
        <v>0</v>
      </c>
      <c r="W108" s="606"/>
      <c r="X108" s="606"/>
      <c r="Y108" s="606"/>
      <c r="Z108" s="606"/>
      <c r="AA108" s="606"/>
      <c r="AB108" s="606"/>
      <c r="AC108" s="607"/>
      <c r="AD108" s="606"/>
      <c r="AE108" s="608"/>
      <c r="AF108" s="639">
        <v>52</v>
      </c>
      <c r="AG108" s="639">
        <f t="shared" si="61"/>
        <v>52</v>
      </c>
      <c r="AH108" s="639">
        <f t="shared" si="62"/>
        <v>0</v>
      </c>
      <c r="AI108" s="640"/>
      <c r="AJ108" s="641">
        <f t="shared" si="63"/>
        <v>0</v>
      </c>
      <c r="AK108" s="642"/>
      <c r="AL108" s="642" t="s">
        <v>364</v>
      </c>
      <c r="AM108" s="642"/>
      <c r="AN108" s="642"/>
      <c r="AO108" s="644">
        <v>101</v>
      </c>
      <c r="AP108" s="565"/>
      <c r="AQ108" s="566"/>
      <c r="AR108" s="566"/>
      <c r="AS108" s="566"/>
      <c r="AT108" s="566"/>
      <c r="AU108" s="566"/>
      <c r="AV108" s="566"/>
      <c r="AW108" s="566"/>
      <c r="AX108" s="566"/>
      <c r="AY108" s="566"/>
      <c r="AZ108" s="566"/>
      <c r="BA108" s="566"/>
      <c r="BB108" s="566"/>
      <c r="BC108" s="566"/>
      <c r="BD108" s="566"/>
      <c r="BE108" s="566"/>
      <c r="BF108" s="566"/>
      <c r="BG108" s="566"/>
    </row>
    <row r="109" spans="1:59">
      <c r="A109" s="591"/>
      <c r="B109" s="592"/>
      <c r="C109" s="593"/>
      <c r="D109" s="594">
        <v>1</v>
      </c>
      <c r="E109" s="595" t="s">
        <v>366</v>
      </c>
      <c r="F109" s="593" t="s">
        <v>339</v>
      </c>
      <c r="G109" s="596">
        <v>126</v>
      </c>
      <c r="H109" s="596" t="s">
        <v>440</v>
      </c>
      <c r="I109" s="596"/>
      <c r="J109" s="596"/>
      <c r="K109" s="596"/>
      <c r="L109" s="591" t="s">
        <v>793</v>
      </c>
      <c r="M109" s="597" t="str">
        <f t="shared" si="68"/>
        <v>Administratieve -, personeels- en vergaderruimte</v>
      </c>
      <c r="N109" s="591" t="s">
        <v>78</v>
      </c>
      <c r="O109" s="598"/>
      <c r="P109" s="599"/>
      <c r="Q109" s="600">
        <f t="shared" si="59"/>
        <v>0</v>
      </c>
      <c r="R109" s="601">
        <f>AF109</f>
        <v>30</v>
      </c>
      <c r="S109" s="647">
        <v>101120</v>
      </c>
      <c r="T109" s="602"/>
      <c r="U109" s="645">
        <v>1</v>
      </c>
      <c r="V109" s="593">
        <f t="shared" si="64"/>
        <v>120</v>
      </c>
      <c r="W109" s="604">
        <f>Z109*R109*U109</f>
        <v>0</v>
      </c>
      <c r="X109" s="604">
        <f>AA109*R109</f>
        <v>0</v>
      </c>
      <c r="Y109" s="604">
        <f>AB109*R109</f>
        <v>0</v>
      </c>
      <c r="Z109" s="605">
        <f>VLOOKUP(S109,Kengetal,6,FALSE)</f>
        <v>0</v>
      </c>
      <c r="AA109" s="751">
        <f>VLOOKUP(S109,Kengetal,7,FALSE)</f>
        <v>0</v>
      </c>
      <c r="AB109" s="605">
        <f>VLOOKUP(T109,Kengetal,6,FALSE)</f>
        <v>0</v>
      </c>
      <c r="AC109" s="607"/>
      <c r="AD109" s="591" t="str">
        <f>AL109</f>
        <v>Friesland College</v>
      </c>
      <c r="AE109" s="608"/>
      <c r="AF109" s="639">
        <v>30</v>
      </c>
      <c r="AG109" s="639">
        <f t="shared" si="61"/>
        <v>30</v>
      </c>
      <c r="AH109" s="639">
        <f t="shared" si="62"/>
        <v>0</v>
      </c>
      <c r="AI109" s="640"/>
      <c r="AJ109" s="641">
        <f t="shared" si="63"/>
        <v>0</v>
      </c>
      <c r="AK109" s="642"/>
      <c r="AL109" s="642" t="s">
        <v>364</v>
      </c>
      <c r="AM109" s="642"/>
      <c r="AN109" s="642"/>
      <c r="AO109" s="644">
        <v>102</v>
      </c>
      <c r="AP109" s="565"/>
      <c r="AQ109" s="566"/>
      <c r="AR109" s="566"/>
      <c r="AS109" s="566"/>
      <c r="AT109" s="566"/>
      <c r="AU109" s="566"/>
      <c r="AV109" s="566"/>
      <c r="AW109" s="566"/>
      <c r="AX109" s="566"/>
      <c r="AY109" s="566"/>
      <c r="AZ109" s="566"/>
      <c r="BA109" s="566"/>
      <c r="BB109" s="566"/>
      <c r="BC109" s="566"/>
      <c r="BD109" s="566"/>
      <c r="BE109" s="566"/>
      <c r="BF109" s="566"/>
      <c r="BG109" s="566"/>
    </row>
    <row r="110" spans="1:59">
      <c r="A110" s="591"/>
      <c r="B110" s="618"/>
      <c r="C110" s="609"/>
      <c r="D110" s="594">
        <v>1</v>
      </c>
      <c r="E110" s="595" t="s">
        <v>366</v>
      </c>
      <c r="F110" s="593" t="s">
        <v>339</v>
      </c>
      <c r="G110" s="610">
        <v>126</v>
      </c>
      <c r="H110" s="610" t="s">
        <v>440</v>
      </c>
      <c r="I110" s="610"/>
      <c r="J110" s="610"/>
      <c r="K110" s="610"/>
      <c r="L110" s="611" t="s">
        <v>793</v>
      </c>
      <c r="M110" s="612">
        <f t="shared" si="68"/>
        <v>0</v>
      </c>
      <c r="N110" s="613"/>
      <c r="O110" s="614" t="s">
        <v>986</v>
      </c>
      <c r="P110" s="615">
        <v>100</v>
      </c>
      <c r="Q110" s="616">
        <f t="shared" si="59"/>
        <v>30</v>
      </c>
      <c r="R110" s="613"/>
      <c r="S110" s="603"/>
      <c r="T110" s="606"/>
      <c r="U110" s="606"/>
      <c r="V110" s="593">
        <f t="shared" si="64"/>
        <v>0</v>
      </c>
      <c r="W110" s="606"/>
      <c r="X110" s="606"/>
      <c r="Y110" s="606"/>
      <c r="Z110" s="606"/>
      <c r="AA110" s="606"/>
      <c r="AB110" s="606"/>
      <c r="AC110" s="607"/>
      <c r="AD110" s="606"/>
      <c r="AE110" s="608"/>
      <c r="AF110" s="639">
        <v>30</v>
      </c>
      <c r="AG110" s="639">
        <f t="shared" si="61"/>
        <v>30</v>
      </c>
      <c r="AH110" s="639">
        <f t="shared" si="62"/>
        <v>0</v>
      </c>
      <c r="AI110" s="640"/>
      <c r="AJ110" s="641">
        <f t="shared" si="63"/>
        <v>0</v>
      </c>
      <c r="AK110" s="642"/>
      <c r="AL110" s="642" t="s">
        <v>364</v>
      </c>
      <c r="AM110" s="642"/>
      <c r="AN110" s="642"/>
      <c r="AO110" s="644">
        <v>103</v>
      </c>
      <c r="AP110" s="565"/>
      <c r="AQ110" s="566"/>
      <c r="AR110" s="566"/>
      <c r="AS110" s="566"/>
      <c r="AT110" s="566"/>
      <c r="AU110" s="566"/>
      <c r="AV110" s="566"/>
      <c r="AW110" s="566"/>
      <c r="AX110" s="566"/>
      <c r="AY110" s="566"/>
      <c r="AZ110" s="566"/>
      <c r="BA110" s="566"/>
      <c r="BB110" s="566"/>
      <c r="BC110" s="566"/>
      <c r="BD110" s="566"/>
      <c r="BE110" s="566"/>
      <c r="BF110" s="566"/>
      <c r="BG110" s="566"/>
    </row>
    <row r="111" spans="1:59">
      <c r="A111" s="624"/>
      <c r="B111" s="592"/>
      <c r="C111" s="593"/>
      <c r="D111" s="594">
        <v>1</v>
      </c>
      <c r="E111" s="595" t="s">
        <v>366</v>
      </c>
      <c r="F111" s="593" t="s">
        <v>339</v>
      </c>
      <c r="G111" s="596">
        <v>128</v>
      </c>
      <c r="H111" s="596" t="s">
        <v>445</v>
      </c>
      <c r="I111" s="596"/>
      <c r="J111" s="596"/>
      <c r="K111" s="596"/>
      <c r="L111" s="591" t="s">
        <v>793</v>
      </c>
      <c r="M111" s="597" t="str">
        <f t="shared" si="68"/>
        <v>Administratieve -, personeels- en vergaderruimte</v>
      </c>
      <c r="N111" s="591" t="s">
        <v>938</v>
      </c>
      <c r="O111" s="598"/>
      <c r="P111" s="599"/>
      <c r="Q111" s="600">
        <f t="shared" si="59"/>
        <v>0</v>
      </c>
      <c r="R111" s="601">
        <f>AF111</f>
        <v>20</v>
      </c>
      <c r="S111" s="647">
        <v>101120</v>
      </c>
      <c r="T111" s="602"/>
      <c r="U111" s="645">
        <v>1</v>
      </c>
      <c r="V111" s="593">
        <f t="shared" si="64"/>
        <v>120</v>
      </c>
      <c r="W111" s="604">
        <f>Z111*R111*U111</f>
        <v>0</v>
      </c>
      <c r="X111" s="604">
        <f>AA111*R111</f>
        <v>0</v>
      </c>
      <c r="Y111" s="604">
        <f>AB111*R111</f>
        <v>0</v>
      </c>
      <c r="Z111" s="605">
        <f>VLOOKUP(S111,Kengetal,6,FALSE)</f>
        <v>0</v>
      </c>
      <c r="AA111" s="751">
        <f>VLOOKUP(S111,Kengetal,7,FALSE)</f>
        <v>0</v>
      </c>
      <c r="AB111" s="605">
        <f>VLOOKUP(T111,Kengetal,6,FALSE)</f>
        <v>0</v>
      </c>
      <c r="AC111" s="607"/>
      <c r="AD111" s="591" t="str">
        <f>AL111</f>
        <v>Friesland College</v>
      </c>
      <c r="AE111" s="608"/>
      <c r="AF111" s="639">
        <v>20</v>
      </c>
      <c r="AG111" s="639">
        <f t="shared" si="61"/>
        <v>20</v>
      </c>
      <c r="AH111" s="639">
        <f t="shared" si="62"/>
        <v>0</v>
      </c>
      <c r="AI111" s="640"/>
      <c r="AJ111" s="641">
        <f t="shared" si="63"/>
        <v>0</v>
      </c>
      <c r="AK111" s="642"/>
      <c r="AL111" s="642" t="s">
        <v>364</v>
      </c>
      <c r="AM111" s="643"/>
      <c r="AN111" s="642"/>
      <c r="AO111" s="644">
        <v>104</v>
      </c>
      <c r="AP111" s="565"/>
      <c r="AQ111" s="566"/>
      <c r="AR111" s="566"/>
      <c r="AS111" s="566"/>
      <c r="AT111" s="566"/>
      <c r="AU111" s="566"/>
      <c r="AV111" s="566"/>
      <c r="AW111" s="566"/>
      <c r="AX111" s="566"/>
      <c r="AY111" s="566"/>
      <c r="AZ111" s="566"/>
      <c r="BA111" s="566"/>
      <c r="BB111" s="566"/>
      <c r="BC111" s="566"/>
      <c r="BD111" s="566"/>
      <c r="BE111" s="566"/>
      <c r="BF111" s="566"/>
      <c r="BG111" s="566"/>
    </row>
    <row r="112" spans="1:59">
      <c r="A112" s="591"/>
      <c r="B112" s="609"/>
      <c r="C112" s="609"/>
      <c r="D112" s="594">
        <v>1</v>
      </c>
      <c r="E112" s="595" t="s">
        <v>366</v>
      </c>
      <c r="F112" s="593" t="s">
        <v>339</v>
      </c>
      <c r="G112" s="610">
        <v>128</v>
      </c>
      <c r="H112" s="610" t="s">
        <v>445</v>
      </c>
      <c r="I112" s="610"/>
      <c r="J112" s="610"/>
      <c r="K112" s="610"/>
      <c r="L112" s="611" t="s">
        <v>793</v>
      </c>
      <c r="M112" s="612">
        <f t="shared" si="68"/>
        <v>0</v>
      </c>
      <c r="N112" s="613"/>
      <c r="O112" s="614" t="s">
        <v>987</v>
      </c>
      <c r="P112" s="615">
        <v>50</v>
      </c>
      <c r="Q112" s="616">
        <f t="shared" si="59"/>
        <v>10</v>
      </c>
      <c r="R112" s="613"/>
      <c r="S112" s="603"/>
      <c r="T112" s="606"/>
      <c r="U112" s="606"/>
      <c r="V112" s="593">
        <f t="shared" si="64"/>
        <v>0</v>
      </c>
      <c r="W112" s="606"/>
      <c r="X112" s="606"/>
      <c r="Y112" s="606"/>
      <c r="Z112" s="606"/>
      <c r="AA112" s="606"/>
      <c r="AB112" s="606"/>
      <c r="AC112" s="607"/>
      <c r="AD112" s="606"/>
      <c r="AE112" s="608"/>
      <c r="AF112" s="639">
        <v>20</v>
      </c>
      <c r="AG112" s="639">
        <f t="shared" si="61"/>
        <v>20</v>
      </c>
      <c r="AH112" s="639">
        <f t="shared" si="62"/>
        <v>0</v>
      </c>
      <c r="AI112" s="640"/>
      <c r="AJ112" s="641">
        <f t="shared" si="63"/>
        <v>0</v>
      </c>
      <c r="AK112" s="642"/>
      <c r="AL112" s="642" t="s">
        <v>364</v>
      </c>
      <c r="AM112" s="643"/>
      <c r="AN112" s="642"/>
      <c r="AO112" s="644">
        <v>105</v>
      </c>
      <c r="AP112" s="565"/>
      <c r="AQ112" s="566"/>
      <c r="AR112" s="566"/>
      <c r="AS112" s="566"/>
      <c r="AT112" s="566"/>
      <c r="AU112" s="566"/>
      <c r="AV112" s="566"/>
      <c r="AW112" s="566"/>
      <c r="AX112" s="566"/>
      <c r="AY112" s="566"/>
      <c r="AZ112" s="566"/>
      <c r="BA112" s="566"/>
      <c r="BB112" s="566"/>
      <c r="BC112" s="566"/>
      <c r="BD112" s="566"/>
      <c r="BE112" s="566"/>
      <c r="BF112" s="566"/>
      <c r="BG112" s="566"/>
    </row>
    <row r="113" spans="1:59">
      <c r="A113" s="591"/>
      <c r="B113" s="609"/>
      <c r="C113" s="609"/>
      <c r="D113" s="594">
        <v>1</v>
      </c>
      <c r="E113" s="595" t="s">
        <v>366</v>
      </c>
      <c r="F113" s="593" t="s">
        <v>339</v>
      </c>
      <c r="G113" s="610">
        <v>128</v>
      </c>
      <c r="H113" s="610" t="s">
        <v>445</v>
      </c>
      <c r="I113" s="610"/>
      <c r="J113" s="610"/>
      <c r="K113" s="610"/>
      <c r="L113" s="611" t="s">
        <v>793</v>
      </c>
      <c r="M113" s="612">
        <f t="shared" si="68"/>
        <v>0</v>
      </c>
      <c r="N113" s="613"/>
      <c r="O113" s="614" t="s">
        <v>984</v>
      </c>
      <c r="P113" s="615">
        <v>50</v>
      </c>
      <c r="Q113" s="616">
        <f t="shared" si="59"/>
        <v>10</v>
      </c>
      <c r="R113" s="613"/>
      <c r="S113" s="603"/>
      <c r="T113" s="606"/>
      <c r="U113" s="606"/>
      <c r="V113" s="593">
        <f t="shared" si="64"/>
        <v>0</v>
      </c>
      <c r="W113" s="606"/>
      <c r="X113" s="606"/>
      <c r="Y113" s="606"/>
      <c r="Z113" s="606"/>
      <c r="AA113" s="606"/>
      <c r="AB113" s="606"/>
      <c r="AC113" s="607"/>
      <c r="AD113" s="606"/>
      <c r="AE113" s="608"/>
      <c r="AF113" s="639">
        <v>20</v>
      </c>
      <c r="AG113" s="639">
        <f t="shared" si="61"/>
        <v>20</v>
      </c>
      <c r="AH113" s="639">
        <f t="shared" si="62"/>
        <v>0</v>
      </c>
      <c r="AI113" s="640"/>
      <c r="AJ113" s="641">
        <f t="shared" si="63"/>
        <v>0</v>
      </c>
      <c r="AK113" s="642"/>
      <c r="AL113" s="642" t="s">
        <v>364</v>
      </c>
      <c r="AM113" s="643"/>
      <c r="AN113" s="642"/>
      <c r="AO113" s="644">
        <v>106</v>
      </c>
      <c r="AP113" s="565"/>
      <c r="AQ113" s="566"/>
      <c r="AR113" s="566"/>
      <c r="AS113" s="566"/>
      <c r="AT113" s="566"/>
      <c r="AU113" s="566"/>
      <c r="AV113" s="566"/>
      <c r="AW113" s="566"/>
      <c r="AX113" s="566"/>
      <c r="AY113" s="566"/>
      <c r="AZ113" s="566"/>
      <c r="BA113" s="566"/>
      <c r="BB113" s="566"/>
      <c r="BC113" s="566"/>
      <c r="BD113" s="566"/>
      <c r="BE113" s="566"/>
      <c r="BF113" s="566"/>
      <c r="BG113" s="566"/>
    </row>
    <row r="114" spans="1:59">
      <c r="A114" s="591"/>
      <c r="B114" s="592"/>
      <c r="C114" s="593"/>
      <c r="D114" s="594">
        <v>1</v>
      </c>
      <c r="E114" s="595" t="s">
        <v>366</v>
      </c>
      <c r="F114" s="593" t="s">
        <v>339</v>
      </c>
      <c r="G114" s="596">
        <v>129</v>
      </c>
      <c r="H114" s="596"/>
      <c r="I114" s="596"/>
      <c r="J114" s="596"/>
      <c r="K114" s="596"/>
      <c r="L114" s="591" t="s">
        <v>773</v>
      </c>
      <c r="M114" s="597" t="str">
        <f t="shared" si="68"/>
        <v>Sanitaire ruimte (toilet-/doucheruimte)</v>
      </c>
      <c r="N114" s="591" t="s">
        <v>85</v>
      </c>
      <c r="O114" s="598"/>
      <c r="P114" s="599"/>
      <c r="Q114" s="600">
        <f t="shared" si="59"/>
        <v>0</v>
      </c>
      <c r="R114" s="601">
        <f t="shared" ref="R114:R119" si="69">AF114</f>
        <v>40</v>
      </c>
      <c r="S114" s="647">
        <v>103200</v>
      </c>
      <c r="T114" s="647">
        <v>103400</v>
      </c>
      <c r="U114" s="645">
        <v>1</v>
      </c>
      <c r="V114" s="593">
        <f t="shared" si="64"/>
        <v>400</v>
      </c>
      <c r="W114" s="604">
        <f t="shared" ref="W114:W119" si="70">Z114*R114*U114</f>
        <v>0</v>
      </c>
      <c r="X114" s="604">
        <f t="shared" ref="X114:X119" si="71">AA114*R114</f>
        <v>0</v>
      </c>
      <c r="Y114" s="604">
        <f t="shared" ref="Y114:Y119" si="72">AB114*R114</f>
        <v>0</v>
      </c>
      <c r="Z114" s="605">
        <f t="shared" ref="Z114:Z119" si="73">VLOOKUP(S114,Kengetal,6,FALSE)</f>
        <v>0</v>
      </c>
      <c r="AA114" s="751">
        <f t="shared" ref="AA114:AA119" si="74">VLOOKUP(S114,Kengetal,7,FALSE)</f>
        <v>0</v>
      </c>
      <c r="AB114" s="605">
        <f t="shared" ref="AB114:AB119" si="75">VLOOKUP(T114,Kengetal,6,FALSE)</f>
        <v>0</v>
      </c>
      <c r="AC114" s="607"/>
      <c r="AD114" s="591" t="str">
        <f t="shared" ref="AD114:AD119" si="76">AL114</f>
        <v>Friesland College</v>
      </c>
      <c r="AE114" s="608"/>
      <c r="AF114" s="639">
        <v>40</v>
      </c>
      <c r="AG114" s="639">
        <f t="shared" si="61"/>
        <v>40</v>
      </c>
      <c r="AH114" s="639">
        <f t="shared" si="62"/>
        <v>0</v>
      </c>
      <c r="AI114" s="640"/>
      <c r="AJ114" s="641">
        <f t="shared" si="63"/>
        <v>0</v>
      </c>
      <c r="AK114" s="642"/>
      <c r="AL114" s="642" t="s">
        <v>364</v>
      </c>
      <c r="AM114" s="642"/>
      <c r="AN114" s="642"/>
      <c r="AO114" s="644">
        <v>107</v>
      </c>
      <c r="AP114" s="565"/>
      <c r="AQ114" s="566"/>
      <c r="AR114" s="566"/>
      <c r="AS114" s="566"/>
      <c r="AT114" s="566"/>
      <c r="AU114" s="566"/>
      <c r="AV114" s="566"/>
      <c r="AW114" s="566"/>
      <c r="AX114" s="566"/>
      <c r="AY114" s="566"/>
      <c r="AZ114" s="566"/>
      <c r="BA114" s="566"/>
      <c r="BB114" s="566"/>
      <c r="BC114" s="566"/>
      <c r="BD114" s="566"/>
      <c r="BE114" s="566"/>
      <c r="BF114" s="566"/>
      <c r="BG114" s="566"/>
    </row>
    <row r="115" spans="1:59">
      <c r="A115" s="591"/>
      <c r="B115" s="592"/>
      <c r="C115" s="593"/>
      <c r="D115" s="594">
        <v>1</v>
      </c>
      <c r="E115" s="595" t="s">
        <v>366</v>
      </c>
      <c r="F115" s="593" t="s">
        <v>339</v>
      </c>
      <c r="G115" s="596">
        <v>130</v>
      </c>
      <c r="H115" s="596"/>
      <c r="I115" s="596"/>
      <c r="J115" s="596"/>
      <c r="K115" s="596"/>
      <c r="L115" s="591" t="s">
        <v>796</v>
      </c>
      <c r="M115" s="597" t="str">
        <f t="shared" si="68"/>
        <v>Niet van toepassing</v>
      </c>
      <c r="N115" s="591" t="s">
        <v>323</v>
      </c>
      <c r="O115" s="598"/>
      <c r="P115" s="599"/>
      <c r="Q115" s="600">
        <f t="shared" si="59"/>
        <v>0</v>
      </c>
      <c r="R115" s="601">
        <f t="shared" si="69"/>
        <v>3</v>
      </c>
      <c r="S115" s="603" t="s">
        <v>28</v>
      </c>
      <c r="T115" s="602"/>
      <c r="U115" s="603"/>
      <c r="V115" s="593">
        <f t="shared" si="64"/>
        <v>0</v>
      </c>
      <c r="W115" s="604">
        <f t="shared" si="70"/>
        <v>0</v>
      </c>
      <c r="X115" s="604">
        <f t="shared" si="71"/>
        <v>0</v>
      </c>
      <c r="Y115" s="604">
        <f t="shared" si="72"/>
        <v>0</v>
      </c>
      <c r="Z115" s="605">
        <f t="shared" si="73"/>
        <v>0</v>
      </c>
      <c r="AA115" s="751">
        <f t="shared" si="74"/>
        <v>0</v>
      </c>
      <c r="AB115" s="605">
        <f t="shared" si="75"/>
        <v>0</v>
      </c>
      <c r="AC115" s="607"/>
      <c r="AD115" s="591" t="str">
        <f t="shared" si="76"/>
        <v>Friesland College</v>
      </c>
      <c r="AE115" s="608"/>
      <c r="AF115" s="639">
        <v>3</v>
      </c>
      <c r="AG115" s="639">
        <f t="shared" si="61"/>
        <v>3</v>
      </c>
      <c r="AH115" s="639">
        <f t="shared" si="62"/>
        <v>0</v>
      </c>
      <c r="AI115" s="640"/>
      <c r="AJ115" s="641">
        <f t="shared" si="63"/>
        <v>0</v>
      </c>
      <c r="AK115" s="642"/>
      <c r="AL115" s="642" t="s">
        <v>364</v>
      </c>
      <c r="AM115" s="642"/>
      <c r="AN115" s="642"/>
      <c r="AO115" s="644">
        <v>108</v>
      </c>
      <c r="AP115" s="565"/>
      <c r="AQ115" s="566"/>
      <c r="AR115" s="566"/>
      <c r="AS115" s="566"/>
      <c r="AT115" s="566"/>
      <c r="AU115" s="566"/>
      <c r="AV115" s="566"/>
      <c r="AW115" s="566"/>
      <c r="AX115" s="566"/>
      <c r="AY115" s="566"/>
      <c r="AZ115" s="566"/>
      <c r="BA115" s="566"/>
      <c r="BB115" s="566"/>
      <c r="BC115" s="566"/>
      <c r="BD115" s="566"/>
      <c r="BE115" s="566"/>
      <c r="BF115" s="566"/>
      <c r="BG115" s="566"/>
    </row>
    <row r="116" spans="1:59">
      <c r="A116" s="591"/>
      <c r="B116" s="592"/>
      <c r="C116" s="593"/>
      <c r="D116" s="594">
        <v>1</v>
      </c>
      <c r="E116" s="595" t="s">
        <v>366</v>
      </c>
      <c r="F116" s="593" t="s">
        <v>339</v>
      </c>
      <c r="G116" s="596">
        <v>131</v>
      </c>
      <c r="H116" s="596"/>
      <c r="I116" s="596"/>
      <c r="J116" s="596"/>
      <c r="K116" s="596"/>
      <c r="L116" s="591" t="s">
        <v>771</v>
      </c>
      <c r="M116" s="597" t="str">
        <f t="shared" si="68"/>
        <v>Niet van toepassing</v>
      </c>
      <c r="N116" s="591" t="s">
        <v>323</v>
      </c>
      <c r="O116" s="598"/>
      <c r="P116" s="599"/>
      <c r="Q116" s="600">
        <f t="shared" si="59"/>
        <v>0</v>
      </c>
      <c r="R116" s="601">
        <f t="shared" si="69"/>
        <v>5</v>
      </c>
      <c r="S116" s="603" t="s">
        <v>28</v>
      </c>
      <c r="T116" s="602"/>
      <c r="U116" s="603"/>
      <c r="V116" s="593">
        <f t="shared" si="64"/>
        <v>0</v>
      </c>
      <c r="W116" s="604">
        <f t="shared" si="70"/>
        <v>0</v>
      </c>
      <c r="X116" s="604">
        <f t="shared" si="71"/>
        <v>0</v>
      </c>
      <c r="Y116" s="604">
        <f t="shared" si="72"/>
        <v>0</v>
      </c>
      <c r="Z116" s="605">
        <f t="shared" si="73"/>
        <v>0</v>
      </c>
      <c r="AA116" s="751">
        <f t="shared" si="74"/>
        <v>0</v>
      </c>
      <c r="AB116" s="605">
        <f t="shared" si="75"/>
        <v>0</v>
      </c>
      <c r="AC116" s="607"/>
      <c r="AD116" s="591" t="str">
        <f t="shared" si="76"/>
        <v>Friesland College</v>
      </c>
      <c r="AE116" s="608"/>
      <c r="AF116" s="639">
        <v>5</v>
      </c>
      <c r="AG116" s="639">
        <f t="shared" si="61"/>
        <v>5</v>
      </c>
      <c r="AH116" s="639">
        <f t="shared" si="62"/>
        <v>0</v>
      </c>
      <c r="AI116" s="640"/>
      <c r="AJ116" s="641">
        <f t="shared" si="63"/>
        <v>0</v>
      </c>
      <c r="AK116" s="642"/>
      <c r="AL116" s="642" t="s">
        <v>364</v>
      </c>
      <c r="AM116" s="642"/>
      <c r="AN116" s="642"/>
      <c r="AO116" s="644">
        <v>109</v>
      </c>
      <c r="AP116" s="565"/>
      <c r="AQ116" s="566"/>
      <c r="AR116" s="566"/>
      <c r="AS116" s="566"/>
      <c r="AT116" s="566"/>
      <c r="AU116" s="566"/>
      <c r="AV116" s="566"/>
      <c r="AW116" s="566"/>
      <c r="AX116" s="566"/>
      <c r="AY116" s="566"/>
      <c r="AZ116" s="566"/>
      <c r="BA116" s="566"/>
      <c r="BB116" s="566"/>
      <c r="BC116" s="566"/>
      <c r="BD116" s="566"/>
      <c r="BE116" s="566"/>
      <c r="BF116" s="566"/>
      <c r="BG116" s="566"/>
    </row>
    <row r="117" spans="1:59">
      <c r="A117" s="591"/>
      <c r="B117" s="592"/>
      <c r="C117" s="593"/>
      <c r="D117" s="594">
        <v>1</v>
      </c>
      <c r="E117" s="595" t="s">
        <v>366</v>
      </c>
      <c r="F117" s="593" t="s">
        <v>339</v>
      </c>
      <c r="G117" s="596">
        <v>132</v>
      </c>
      <c r="H117" s="596"/>
      <c r="I117" s="596"/>
      <c r="J117" s="596"/>
      <c r="K117" s="596"/>
      <c r="L117" s="591" t="s">
        <v>797</v>
      </c>
      <c r="M117" s="597" t="str">
        <f t="shared" si="68"/>
        <v>Niet van toepassing</v>
      </c>
      <c r="N117" s="591" t="s">
        <v>323</v>
      </c>
      <c r="O117" s="598"/>
      <c r="P117" s="599"/>
      <c r="Q117" s="600">
        <f t="shared" si="59"/>
        <v>0</v>
      </c>
      <c r="R117" s="601">
        <f t="shared" si="69"/>
        <v>15</v>
      </c>
      <c r="S117" s="603" t="s">
        <v>28</v>
      </c>
      <c r="T117" s="602"/>
      <c r="U117" s="603"/>
      <c r="V117" s="593">
        <f t="shared" si="64"/>
        <v>0</v>
      </c>
      <c r="W117" s="604">
        <f t="shared" si="70"/>
        <v>0</v>
      </c>
      <c r="X117" s="604">
        <f t="shared" si="71"/>
        <v>0</v>
      </c>
      <c r="Y117" s="604">
        <f t="shared" si="72"/>
        <v>0</v>
      </c>
      <c r="Z117" s="605">
        <f t="shared" si="73"/>
        <v>0</v>
      </c>
      <c r="AA117" s="751">
        <f t="shared" si="74"/>
        <v>0</v>
      </c>
      <c r="AB117" s="605">
        <f t="shared" si="75"/>
        <v>0</v>
      </c>
      <c r="AC117" s="607"/>
      <c r="AD117" s="591" t="str">
        <f t="shared" si="76"/>
        <v>Friesland College</v>
      </c>
      <c r="AE117" s="608"/>
      <c r="AF117" s="639">
        <v>15</v>
      </c>
      <c r="AG117" s="639">
        <f t="shared" si="61"/>
        <v>15</v>
      </c>
      <c r="AH117" s="639">
        <f t="shared" si="62"/>
        <v>0</v>
      </c>
      <c r="AI117" s="640"/>
      <c r="AJ117" s="641">
        <f t="shared" si="63"/>
        <v>0</v>
      </c>
      <c r="AK117" s="642"/>
      <c r="AL117" s="642" t="s">
        <v>364</v>
      </c>
      <c r="AM117" s="642"/>
      <c r="AN117" s="642"/>
      <c r="AO117" s="644">
        <v>110</v>
      </c>
      <c r="AP117" s="565"/>
      <c r="AQ117" s="566"/>
      <c r="AR117" s="566"/>
      <c r="AS117" s="566"/>
      <c r="AT117" s="566"/>
      <c r="AU117" s="566"/>
      <c r="AV117" s="566"/>
      <c r="AW117" s="566"/>
      <c r="AX117" s="566"/>
      <c r="AY117" s="566"/>
      <c r="AZ117" s="566"/>
      <c r="BA117" s="566"/>
      <c r="BB117" s="566"/>
      <c r="BC117" s="566"/>
      <c r="BD117" s="566"/>
      <c r="BE117" s="566"/>
      <c r="BF117" s="566"/>
      <c r="BG117" s="566"/>
    </row>
    <row r="118" spans="1:59">
      <c r="A118" s="591"/>
      <c r="B118" s="592"/>
      <c r="C118" s="593"/>
      <c r="D118" s="594">
        <v>1</v>
      </c>
      <c r="E118" s="595" t="s">
        <v>366</v>
      </c>
      <c r="F118" s="593" t="s">
        <v>339</v>
      </c>
      <c r="G118" s="596" t="s">
        <v>446</v>
      </c>
      <c r="H118" s="596"/>
      <c r="I118" s="596"/>
      <c r="J118" s="596"/>
      <c r="K118" s="596"/>
      <c r="L118" s="591" t="s">
        <v>319</v>
      </c>
      <c r="M118" s="597" t="str">
        <f t="shared" si="68"/>
        <v>Gang, hal, pantry, aula, repro, gardarobe</v>
      </c>
      <c r="N118" s="591" t="s">
        <v>78</v>
      </c>
      <c r="O118" s="598"/>
      <c r="P118" s="599"/>
      <c r="Q118" s="600">
        <f t="shared" si="59"/>
        <v>0</v>
      </c>
      <c r="R118" s="601">
        <f t="shared" si="69"/>
        <v>90</v>
      </c>
      <c r="S118" s="647">
        <v>104200</v>
      </c>
      <c r="T118" s="602"/>
      <c r="U118" s="645">
        <v>1</v>
      </c>
      <c r="V118" s="593">
        <f t="shared" si="64"/>
        <v>200</v>
      </c>
      <c r="W118" s="604">
        <f t="shared" si="70"/>
        <v>0</v>
      </c>
      <c r="X118" s="604">
        <f t="shared" si="71"/>
        <v>0</v>
      </c>
      <c r="Y118" s="604">
        <f t="shared" si="72"/>
        <v>0</v>
      </c>
      <c r="Z118" s="605">
        <f t="shared" si="73"/>
        <v>0</v>
      </c>
      <c r="AA118" s="751">
        <f t="shared" si="74"/>
        <v>0</v>
      </c>
      <c r="AB118" s="605">
        <f t="shared" si="75"/>
        <v>0</v>
      </c>
      <c r="AC118" s="607"/>
      <c r="AD118" s="591" t="str">
        <f t="shared" si="76"/>
        <v>Friesland College</v>
      </c>
      <c r="AE118" s="608"/>
      <c r="AF118" s="639">
        <v>90</v>
      </c>
      <c r="AG118" s="639">
        <f t="shared" si="61"/>
        <v>90</v>
      </c>
      <c r="AH118" s="639">
        <f t="shared" si="62"/>
        <v>0</v>
      </c>
      <c r="AI118" s="640"/>
      <c r="AJ118" s="641">
        <f t="shared" si="63"/>
        <v>0</v>
      </c>
      <c r="AK118" s="642"/>
      <c r="AL118" s="642" t="s">
        <v>364</v>
      </c>
      <c r="AM118" s="643"/>
      <c r="AN118" s="642"/>
      <c r="AO118" s="644">
        <v>111</v>
      </c>
      <c r="AP118" s="565"/>
      <c r="AQ118" s="566"/>
      <c r="AR118" s="566"/>
      <c r="AS118" s="566"/>
      <c r="AT118" s="566"/>
      <c r="AU118" s="566"/>
      <c r="AV118" s="566"/>
      <c r="AW118" s="566"/>
      <c r="AX118" s="566"/>
      <c r="AY118" s="566"/>
      <c r="AZ118" s="566"/>
      <c r="BA118" s="566"/>
      <c r="BB118" s="566"/>
      <c r="BC118" s="566"/>
      <c r="BD118" s="566"/>
      <c r="BE118" s="566"/>
      <c r="BF118" s="566"/>
      <c r="BG118" s="566"/>
    </row>
    <row r="119" spans="1:59">
      <c r="A119" s="591"/>
      <c r="B119" s="592"/>
      <c r="C119" s="593"/>
      <c r="D119" s="594">
        <v>1</v>
      </c>
      <c r="E119" s="595" t="s">
        <v>366</v>
      </c>
      <c r="F119" s="593" t="s">
        <v>339</v>
      </c>
      <c r="G119" s="596" t="s">
        <v>446</v>
      </c>
      <c r="H119" s="596" t="s">
        <v>447</v>
      </c>
      <c r="I119" s="596"/>
      <c r="J119" s="596"/>
      <c r="K119" s="596"/>
      <c r="L119" s="591" t="s">
        <v>798</v>
      </c>
      <c r="M119" s="597" t="str">
        <f t="shared" si="68"/>
        <v>Onderwijsruimte (theorie)</v>
      </c>
      <c r="N119" s="591" t="s">
        <v>78</v>
      </c>
      <c r="O119" s="598"/>
      <c r="P119" s="599"/>
      <c r="Q119" s="600">
        <f t="shared" si="59"/>
        <v>0</v>
      </c>
      <c r="R119" s="601">
        <f t="shared" si="69"/>
        <v>120</v>
      </c>
      <c r="S119" s="647">
        <v>102200</v>
      </c>
      <c r="T119" s="602"/>
      <c r="U119" s="645">
        <v>1</v>
      </c>
      <c r="V119" s="593">
        <f t="shared" si="64"/>
        <v>200</v>
      </c>
      <c r="W119" s="604">
        <f t="shared" si="70"/>
        <v>0</v>
      </c>
      <c r="X119" s="604">
        <f t="shared" si="71"/>
        <v>0</v>
      </c>
      <c r="Y119" s="604">
        <f t="shared" si="72"/>
        <v>0</v>
      </c>
      <c r="Z119" s="605">
        <f t="shared" si="73"/>
        <v>0</v>
      </c>
      <c r="AA119" s="751">
        <f t="shared" si="74"/>
        <v>0</v>
      </c>
      <c r="AB119" s="605">
        <f t="shared" si="75"/>
        <v>0</v>
      </c>
      <c r="AC119" s="607"/>
      <c r="AD119" s="591" t="str">
        <f t="shared" si="76"/>
        <v>Friesland College</v>
      </c>
      <c r="AE119" s="608"/>
      <c r="AF119" s="639">
        <v>120</v>
      </c>
      <c r="AG119" s="639">
        <f t="shared" si="61"/>
        <v>120</v>
      </c>
      <c r="AH119" s="639">
        <f t="shared" si="62"/>
        <v>0</v>
      </c>
      <c r="AI119" s="640"/>
      <c r="AJ119" s="641">
        <f t="shared" si="63"/>
        <v>0</v>
      </c>
      <c r="AK119" s="642"/>
      <c r="AL119" s="642" t="s">
        <v>364</v>
      </c>
      <c r="AM119" s="643"/>
      <c r="AN119" s="642"/>
      <c r="AO119" s="644">
        <v>112</v>
      </c>
      <c r="AP119" s="565"/>
      <c r="AQ119" s="566"/>
      <c r="AR119" s="566"/>
      <c r="AS119" s="566"/>
      <c r="AT119" s="566"/>
      <c r="AU119" s="566"/>
      <c r="AV119" s="566"/>
      <c r="AW119" s="566"/>
      <c r="AX119" s="566"/>
      <c r="AY119" s="566"/>
      <c r="AZ119" s="566"/>
      <c r="BA119" s="566"/>
      <c r="BB119" s="566"/>
      <c r="BC119" s="566"/>
      <c r="BD119" s="566"/>
      <c r="BE119" s="566"/>
      <c r="BF119" s="566"/>
      <c r="BG119" s="566"/>
    </row>
    <row r="120" spans="1:59">
      <c r="A120" s="591"/>
      <c r="B120" s="592"/>
      <c r="C120" s="593"/>
      <c r="D120" s="594">
        <v>1</v>
      </c>
      <c r="E120" s="595" t="s">
        <v>366</v>
      </c>
      <c r="F120" s="593" t="s">
        <v>339</v>
      </c>
      <c r="G120" s="610" t="s">
        <v>446</v>
      </c>
      <c r="H120" s="610" t="s">
        <v>447</v>
      </c>
      <c r="I120" s="610"/>
      <c r="J120" s="610"/>
      <c r="K120" s="610"/>
      <c r="L120" s="611" t="s">
        <v>798</v>
      </c>
      <c r="M120" s="612">
        <f t="shared" si="68"/>
        <v>0</v>
      </c>
      <c r="N120" s="613"/>
      <c r="O120" s="614" t="s">
        <v>991</v>
      </c>
      <c r="P120" s="615">
        <v>100</v>
      </c>
      <c r="Q120" s="616">
        <f t="shared" si="59"/>
        <v>120</v>
      </c>
      <c r="R120" s="613"/>
      <c r="S120" s="603"/>
      <c r="T120" s="606"/>
      <c r="U120" s="606"/>
      <c r="V120" s="593">
        <f t="shared" si="64"/>
        <v>0</v>
      </c>
      <c r="W120" s="606"/>
      <c r="X120" s="606"/>
      <c r="Y120" s="606"/>
      <c r="Z120" s="606"/>
      <c r="AA120" s="606"/>
      <c r="AB120" s="606"/>
      <c r="AC120" s="607"/>
      <c r="AD120" s="606"/>
      <c r="AE120" s="608"/>
      <c r="AF120" s="639">
        <v>120</v>
      </c>
      <c r="AG120" s="639">
        <f t="shared" si="61"/>
        <v>120</v>
      </c>
      <c r="AH120" s="639">
        <f t="shared" si="62"/>
        <v>0</v>
      </c>
      <c r="AI120" s="640"/>
      <c r="AJ120" s="641">
        <f t="shared" si="63"/>
        <v>0</v>
      </c>
      <c r="AK120" s="642"/>
      <c r="AL120" s="642" t="s">
        <v>364</v>
      </c>
      <c r="AM120" s="643"/>
      <c r="AN120" s="642"/>
      <c r="AO120" s="644">
        <v>113</v>
      </c>
      <c r="AP120" s="565"/>
      <c r="AQ120" s="566"/>
      <c r="AR120" s="566"/>
      <c r="AS120" s="566"/>
      <c r="AT120" s="566"/>
      <c r="AU120" s="566"/>
      <c r="AV120" s="566"/>
      <c r="AW120" s="566"/>
      <c r="AX120" s="566"/>
      <c r="AY120" s="566"/>
      <c r="AZ120" s="566"/>
      <c r="BA120" s="566"/>
      <c r="BB120" s="566"/>
      <c r="BC120" s="566"/>
      <c r="BD120" s="566"/>
      <c r="BE120" s="566"/>
      <c r="BF120" s="566"/>
      <c r="BG120" s="566"/>
    </row>
    <row r="121" spans="1:59">
      <c r="A121" s="591"/>
      <c r="B121" s="592"/>
      <c r="C121" s="593"/>
      <c r="D121" s="594">
        <v>1</v>
      </c>
      <c r="E121" s="595" t="s">
        <v>366</v>
      </c>
      <c r="F121" s="593" t="s">
        <v>339</v>
      </c>
      <c r="G121" s="596" t="s">
        <v>448</v>
      </c>
      <c r="H121" s="596"/>
      <c r="I121" s="596"/>
      <c r="J121" s="596"/>
      <c r="K121" s="596"/>
      <c r="L121" s="591" t="s">
        <v>763</v>
      </c>
      <c r="M121" s="597" t="str">
        <f t="shared" si="68"/>
        <v>Trappenhuis-bordes</v>
      </c>
      <c r="N121" s="591" t="s">
        <v>940</v>
      </c>
      <c r="O121" s="598"/>
      <c r="P121" s="599"/>
      <c r="Q121" s="600">
        <f t="shared" si="59"/>
        <v>0</v>
      </c>
      <c r="R121" s="601">
        <f>AF121</f>
        <v>15</v>
      </c>
      <c r="S121" s="647">
        <v>108200</v>
      </c>
      <c r="T121" s="602"/>
      <c r="U121" s="645">
        <v>1</v>
      </c>
      <c r="V121" s="593">
        <f t="shared" si="64"/>
        <v>200</v>
      </c>
      <c r="W121" s="604">
        <f t="shared" ref="W121:W125" si="77">Z121*R121*U121</f>
        <v>0</v>
      </c>
      <c r="X121" s="604">
        <f t="shared" ref="X121:X125" si="78">AA121*R121</f>
        <v>0</v>
      </c>
      <c r="Y121" s="604">
        <f t="shared" ref="Y121:Y125" si="79">AB121*R121</f>
        <v>0</v>
      </c>
      <c r="Z121" s="605">
        <f>VLOOKUP(S121,Kengetal,6,FALSE)</f>
        <v>0</v>
      </c>
      <c r="AA121" s="751">
        <f>VLOOKUP(S121,Kengetal,7,FALSE)</f>
        <v>0</v>
      </c>
      <c r="AB121" s="605">
        <f>VLOOKUP(T121,Kengetal,6,FALSE)</f>
        <v>0</v>
      </c>
      <c r="AC121" s="607"/>
      <c r="AD121" s="591" t="str">
        <f>AL121</f>
        <v>Friesland College</v>
      </c>
      <c r="AE121" s="608"/>
      <c r="AF121" s="639">
        <v>15</v>
      </c>
      <c r="AG121" s="639">
        <f t="shared" si="61"/>
        <v>15</v>
      </c>
      <c r="AH121" s="639">
        <f t="shared" si="62"/>
        <v>0</v>
      </c>
      <c r="AI121" s="640"/>
      <c r="AJ121" s="641">
        <f t="shared" si="63"/>
        <v>0</v>
      </c>
      <c r="AK121" s="642"/>
      <c r="AL121" s="642" t="s">
        <v>364</v>
      </c>
      <c r="AM121" s="643"/>
      <c r="AN121" s="642"/>
      <c r="AO121" s="644">
        <v>114</v>
      </c>
      <c r="AP121" s="565"/>
      <c r="AQ121" s="566"/>
      <c r="AR121" s="566"/>
      <c r="AS121" s="566"/>
      <c r="AT121" s="566"/>
      <c r="AU121" s="566"/>
      <c r="AV121" s="566"/>
      <c r="AW121" s="566"/>
      <c r="AX121" s="566"/>
      <c r="AY121" s="566"/>
      <c r="AZ121" s="566"/>
      <c r="BA121" s="566"/>
      <c r="BB121" s="566"/>
      <c r="BC121" s="566"/>
      <c r="BD121" s="566"/>
      <c r="BE121" s="566"/>
      <c r="BF121" s="566"/>
      <c r="BG121" s="566"/>
    </row>
    <row r="122" spans="1:59">
      <c r="A122" s="591"/>
      <c r="B122" s="592"/>
      <c r="C122" s="593"/>
      <c r="D122" s="594">
        <v>1</v>
      </c>
      <c r="E122" s="595" t="s">
        <v>366</v>
      </c>
      <c r="F122" s="593" t="s">
        <v>339</v>
      </c>
      <c r="G122" s="596" t="s">
        <v>448</v>
      </c>
      <c r="H122" s="596"/>
      <c r="I122" s="596"/>
      <c r="J122" s="596"/>
      <c r="K122" s="596"/>
      <c r="L122" s="591" t="s">
        <v>801</v>
      </c>
      <c r="M122" s="597" t="str">
        <f t="shared" si="68"/>
        <v>Onderwijsruimte (theorie)</v>
      </c>
      <c r="N122" s="591" t="s">
        <v>78</v>
      </c>
      <c r="O122" s="598"/>
      <c r="P122" s="599"/>
      <c r="Q122" s="600">
        <f t="shared" si="59"/>
        <v>0</v>
      </c>
      <c r="R122" s="601">
        <f>AF122</f>
        <v>20</v>
      </c>
      <c r="S122" s="647">
        <v>102200</v>
      </c>
      <c r="T122" s="602"/>
      <c r="U122" s="645">
        <v>1</v>
      </c>
      <c r="V122" s="593">
        <f t="shared" si="64"/>
        <v>200</v>
      </c>
      <c r="W122" s="604">
        <f t="shared" si="77"/>
        <v>0</v>
      </c>
      <c r="X122" s="604">
        <f t="shared" si="78"/>
        <v>0</v>
      </c>
      <c r="Y122" s="604">
        <f t="shared" si="79"/>
        <v>0</v>
      </c>
      <c r="Z122" s="605">
        <f>VLOOKUP(S122,Kengetal,6,FALSE)</f>
        <v>0</v>
      </c>
      <c r="AA122" s="751">
        <f>VLOOKUP(S122,Kengetal,7,FALSE)</f>
        <v>0</v>
      </c>
      <c r="AB122" s="605">
        <f>VLOOKUP(T122,Kengetal,6,FALSE)</f>
        <v>0</v>
      </c>
      <c r="AC122" s="607"/>
      <c r="AD122" s="591" t="str">
        <f>AL122</f>
        <v>Friesland College</v>
      </c>
      <c r="AE122" s="608"/>
      <c r="AF122" s="639">
        <v>20</v>
      </c>
      <c r="AG122" s="639">
        <f t="shared" si="61"/>
        <v>20</v>
      </c>
      <c r="AH122" s="639">
        <f t="shared" si="62"/>
        <v>0</v>
      </c>
      <c r="AI122" s="640"/>
      <c r="AJ122" s="641">
        <f t="shared" si="63"/>
        <v>0</v>
      </c>
      <c r="AK122" s="642"/>
      <c r="AL122" s="642" t="s">
        <v>364</v>
      </c>
      <c r="AM122" s="643"/>
      <c r="AN122" s="642"/>
      <c r="AO122" s="644">
        <v>115</v>
      </c>
      <c r="AP122" s="565"/>
      <c r="AQ122" s="566"/>
      <c r="AR122" s="566"/>
      <c r="AS122" s="566"/>
      <c r="AT122" s="566"/>
      <c r="AU122" s="566"/>
      <c r="AV122" s="566"/>
      <c r="AW122" s="566"/>
      <c r="AX122" s="566"/>
      <c r="AY122" s="566"/>
      <c r="AZ122" s="566"/>
      <c r="BA122" s="566"/>
      <c r="BB122" s="566"/>
      <c r="BC122" s="566"/>
      <c r="BD122" s="566"/>
      <c r="BE122" s="566"/>
      <c r="BF122" s="566"/>
      <c r="BG122" s="566"/>
    </row>
    <row r="123" spans="1:59">
      <c r="A123" s="591"/>
      <c r="B123" s="592"/>
      <c r="C123" s="593"/>
      <c r="D123" s="594">
        <v>1</v>
      </c>
      <c r="E123" s="595" t="s">
        <v>366</v>
      </c>
      <c r="F123" s="593" t="s">
        <v>339</v>
      </c>
      <c r="G123" s="596" t="s">
        <v>449</v>
      </c>
      <c r="H123" s="596"/>
      <c r="I123" s="596"/>
      <c r="J123" s="596"/>
      <c r="K123" s="596"/>
      <c r="L123" s="591" t="s">
        <v>319</v>
      </c>
      <c r="M123" s="597" t="str">
        <f t="shared" si="68"/>
        <v>Gang, hal, pantry, aula, repro, gardarobe</v>
      </c>
      <c r="N123" s="591" t="s">
        <v>938</v>
      </c>
      <c r="O123" s="598"/>
      <c r="P123" s="599"/>
      <c r="Q123" s="600">
        <f t="shared" si="59"/>
        <v>0</v>
      </c>
      <c r="R123" s="601">
        <f>AF123</f>
        <v>9</v>
      </c>
      <c r="S123" s="647">
        <v>104200</v>
      </c>
      <c r="T123" s="602"/>
      <c r="U123" s="645">
        <v>1</v>
      </c>
      <c r="V123" s="593">
        <f t="shared" si="64"/>
        <v>200</v>
      </c>
      <c r="W123" s="604">
        <f t="shared" si="77"/>
        <v>0</v>
      </c>
      <c r="X123" s="604">
        <f t="shared" si="78"/>
        <v>0</v>
      </c>
      <c r="Y123" s="604">
        <f t="shared" si="79"/>
        <v>0</v>
      </c>
      <c r="Z123" s="605">
        <f>VLOOKUP(S123,Kengetal,6,FALSE)</f>
        <v>0</v>
      </c>
      <c r="AA123" s="751">
        <f>VLOOKUP(S123,Kengetal,7,FALSE)</f>
        <v>0</v>
      </c>
      <c r="AB123" s="605">
        <f>VLOOKUP(T123,Kengetal,6,FALSE)</f>
        <v>0</v>
      </c>
      <c r="AC123" s="607"/>
      <c r="AD123" s="591" t="str">
        <f>AL123</f>
        <v>Friesland College</v>
      </c>
      <c r="AE123" s="608"/>
      <c r="AF123" s="639">
        <v>9</v>
      </c>
      <c r="AG123" s="639">
        <f t="shared" si="61"/>
        <v>9</v>
      </c>
      <c r="AH123" s="639">
        <f t="shared" si="62"/>
        <v>0</v>
      </c>
      <c r="AI123" s="640"/>
      <c r="AJ123" s="641">
        <f t="shared" si="63"/>
        <v>0</v>
      </c>
      <c r="AK123" s="642"/>
      <c r="AL123" s="642" t="s">
        <v>364</v>
      </c>
      <c r="AM123" s="643"/>
      <c r="AN123" s="642"/>
      <c r="AO123" s="644">
        <v>116</v>
      </c>
      <c r="AP123" s="565"/>
      <c r="AQ123" s="566"/>
      <c r="AR123" s="566"/>
      <c r="AS123" s="566"/>
      <c r="AT123" s="566"/>
      <c r="AU123" s="566"/>
      <c r="AV123" s="566"/>
      <c r="AW123" s="566"/>
      <c r="AX123" s="566"/>
      <c r="AY123" s="566"/>
      <c r="AZ123" s="566"/>
      <c r="BA123" s="566"/>
      <c r="BB123" s="566"/>
      <c r="BC123" s="566"/>
      <c r="BD123" s="566"/>
      <c r="BE123" s="566"/>
      <c r="BF123" s="566"/>
      <c r="BG123" s="566"/>
    </row>
    <row r="124" spans="1:59">
      <c r="A124" s="591"/>
      <c r="B124" s="592"/>
      <c r="C124" s="593"/>
      <c r="D124" s="594">
        <v>1</v>
      </c>
      <c r="E124" s="595" t="s">
        <v>366</v>
      </c>
      <c r="F124" s="593" t="s">
        <v>339</v>
      </c>
      <c r="G124" s="596" t="s">
        <v>450</v>
      </c>
      <c r="H124" s="596"/>
      <c r="I124" s="596"/>
      <c r="J124" s="596"/>
      <c r="K124" s="596"/>
      <c r="L124" s="591" t="s">
        <v>799</v>
      </c>
      <c r="M124" s="597" t="str">
        <f t="shared" si="68"/>
        <v>Op afroep (in overleg)</v>
      </c>
      <c r="N124" s="591" t="s">
        <v>323</v>
      </c>
      <c r="O124" s="598"/>
      <c r="P124" s="599"/>
      <c r="Q124" s="600">
        <f t="shared" si="59"/>
        <v>0</v>
      </c>
      <c r="R124" s="601">
        <f>AF124</f>
        <v>13</v>
      </c>
      <c r="S124" s="603" t="s">
        <v>959</v>
      </c>
      <c r="T124" s="602"/>
      <c r="U124" s="603"/>
      <c r="V124" s="593">
        <f t="shared" si="64"/>
        <v>0</v>
      </c>
      <c r="W124" s="604">
        <f t="shared" si="77"/>
        <v>0</v>
      </c>
      <c r="X124" s="604">
        <f t="shared" si="78"/>
        <v>0</v>
      </c>
      <c r="Y124" s="604">
        <f t="shared" si="79"/>
        <v>0</v>
      </c>
      <c r="Z124" s="605">
        <f>VLOOKUP(S124,Kengetal,6,FALSE)</f>
        <v>0</v>
      </c>
      <c r="AA124" s="751">
        <f>VLOOKUP(S124,Kengetal,7,FALSE)</f>
        <v>0</v>
      </c>
      <c r="AB124" s="605">
        <f>VLOOKUP(T124,Kengetal,6,FALSE)</f>
        <v>0</v>
      </c>
      <c r="AC124" s="607"/>
      <c r="AD124" s="591" t="str">
        <f>AL124</f>
        <v>Friesland College</v>
      </c>
      <c r="AE124" s="608"/>
      <c r="AF124" s="639">
        <v>13</v>
      </c>
      <c r="AG124" s="639">
        <f t="shared" si="61"/>
        <v>13</v>
      </c>
      <c r="AH124" s="639">
        <f t="shared" si="62"/>
        <v>0</v>
      </c>
      <c r="AI124" s="640"/>
      <c r="AJ124" s="641">
        <f t="shared" si="63"/>
        <v>0</v>
      </c>
      <c r="AK124" s="642"/>
      <c r="AL124" s="642" t="s">
        <v>364</v>
      </c>
      <c r="AM124" s="643"/>
      <c r="AN124" s="642"/>
      <c r="AO124" s="644">
        <v>117</v>
      </c>
      <c r="AP124" s="565"/>
      <c r="AQ124" s="566"/>
      <c r="AR124" s="566"/>
      <c r="AS124" s="566"/>
      <c r="AT124" s="566"/>
      <c r="AU124" s="566"/>
      <c r="AV124" s="566"/>
      <c r="AW124" s="566"/>
      <c r="AX124" s="566"/>
      <c r="AY124" s="566"/>
      <c r="AZ124" s="566"/>
      <c r="BA124" s="566"/>
      <c r="BB124" s="566"/>
      <c r="BC124" s="566"/>
      <c r="BD124" s="566"/>
      <c r="BE124" s="566"/>
      <c r="BF124" s="566"/>
      <c r="BG124" s="566"/>
    </row>
    <row r="125" spans="1:59">
      <c r="A125" s="591"/>
      <c r="B125" s="592"/>
      <c r="C125" s="593"/>
      <c r="D125" s="594">
        <v>1</v>
      </c>
      <c r="E125" s="595" t="s">
        <v>366</v>
      </c>
      <c r="F125" s="593" t="s">
        <v>339</v>
      </c>
      <c r="G125" s="596" t="s">
        <v>450</v>
      </c>
      <c r="H125" s="596" t="s">
        <v>451</v>
      </c>
      <c r="I125" s="596"/>
      <c r="J125" s="596"/>
      <c r="K125" s="596"/>
      <c r="L125" s="591" t="s">
        <v>994</v>
      </c>
      <c r="M125" s="597" t="str">
        <f t="shared" si="68"/>
        <v>Administratieve -, personeels- en vergaderruimte</v>
      </c>
      <c r="N125" s="591" t="s">
        <v>78</v>
      </c>
      <c r="O125" s="598"/>
      <c r="P125" s="599"/>
      <c r="Q125" s="600">
        <f t="shared" si="59"/>
        <v>0</v>
      </c>
      <c r="R125" s="601">
        <f>AF125</f>
        <v>20</v>
      </c>
      <c r="S125" s="647">
        <v>101100</v>
      </c>
      <c r="T125" s="602"/>
      <c r="U125" s="645">
        <v>1</v>
      </c>
      <c r="V125" s="593">
        <f t="shared" si="64"/>
        <v>100</v>
      </c>
      <c r="W125" s="604">
        <f t="shared" si="77"/>
        <v>0</v>
      </c>
      <c r="X125" s="604">
        <f t="shared" si="78"/>
        <v>0</v>
      </c>
      <c r="Y125" s="604">
        <f t="shared" si="79"/>
        <v>0</v>
      </c>
      <c r="Z125" s="605">
        <f>VLOOKUP(S125,Kengetal,6,FALSE)</f>
        <v>0</v>
      </c>
      <c r="AA125" s="751">
        <f>VLOOKUP(S125,Kengetal,7,FALSE)</f>
        <v>0</v>
      </c>
      <c r="AB125" s="605">
        <f>VLOOKUP(T125,Kengetal,6,FALSE)</f>
        <v>0</v>
      </c>
      <c r="AC125" s="607"/>
      <c r="AD125" s="591" t="str">
        <f>AL125</f>
        <v>Friesland College</v>
      </c>
      <c r="AE125" s="608"/>
      <c r="AF125" s="639">
        <v>20</v>
      </c>
      <c r="AG125" s="639">
        <f t="shared" si="61"/>
        <v>20</v>
      </c>
      <c r="AH125" s="639">
        <f t="shared" si="62"/>
        <v>0</v>
      </c>
      <c r="AI125" s="640"/>
      <c r="AJ125" s="641">
        <f t="shared" si="63"/>
        <v>0</v>
      </c>
      <c r="AK125" s="642"/>
      <c r="AL125" s="642" t="s">
        <v>364</v>
      </c>
      <c r="AM125" s="643"/>
      <c r="AN125" s="642"/>
      <c r="AO125" s="644">
        <v>118</v>
      </c>
      <c r="AP125" s="565"/>
      <c r="AQ125" s="566"/>
      <c r="AR125" s="566"/>
      <c r="AS125" s="566"/>
      <c r="AT125" s="566"/>
      <c r="AU125" s="566"/>
      <c r="AV125" s="566"/>
      <c r="AW125" s="566"/>
      <c r="AX125" s="566"/>
      <c r="AY125" s="566"/>
      <c r="AZ125" s="566"/>
      <c r="BA125" s="566"/>
      <c r="BB125" s="566"/>
      <c r="BC125" s="566"/>
      <c r="BD125" s="566"/>
      <c r="BE125" s="566"/>
      <c r="BF125" s="566"/>
      <c r="BG125" s="566"/>
    </row>
    <row r="126" spans="1:59">
      <c r="A126" s="591"/>
      <c r="B126" s="618"/>
      <c r="C126" s="609"/>
      <c r="D126" s="594">
        <v>1</v>
      </c>
      <c r="E126" s="595" t="s">
        <v>366</v>
      </c>
      <c r="F126" s="593" t="s">
        <v>339</v>
      </c>
      <c r="G126" s="610" t="s">
        <v>450</v>
      </c>
      <c r="H126" s="610" t="s">
        <v>451</v>
      </c>
      <c r="I126" s="610"/>
      <c r="J126" s="610"/>
      <c r="K126" s="610"/>
      <c r="L126" s="611" t="s">
        <v>994</v>
      </c>
      <c r="M126" s="612">
        <f t="shared" si="68"/>
        <v>0</v>
      </c>
      <c r="N126" s="613"/>
      <c r="O126" s="614"/>
      <c r="P126" s="615">
        <v>100</v>
      </c>
      <c r="Q126" s="616">
        <f t="shared" si="59"/>
        <v>20</v>
      </c>
      <c r="R126" s="613"/>
      <c r="S126" s="603"/>
      <c r="T126" s="606"/>
      <c r="U126" s="606"/>
      <c r="V126" s="593">
        <f t="shared" si="64"/>
        <v>0</v>
      </c>
      <c r="W126" s="606"/>
      <c r="X126" s="606"/>
      <c r="Y126" s="606"/>
      <c r="Z126" s="606"/>
      <c r="AA126" s="606"/>
      <c r="AB126" s="606"/>
      <c r="AC126" s="607"/>
      <c r="AD126" s="606"/>
      <c r="AE126" s="608"/>
      <c r="AF126" s="639">
        <v>20</v>
      </c>
      <c r="AG126" s="639">
        <f t="shared" si="61"/>
        <v>20</v>
      </c>
      <c r="AH126" s="639">
        <f t="shared" si="62"/>
        <v>0</v>
      </c>
      <c r="AI126" s="640"/>
      <c r="AJ126" s="641">
        <f t="shared" si="63"/>
        <v>0</v>
      </c>
      <c r="AK126" s="642"/>
      <c r="AL126" s="642" t="s">
        <v>364</v>
      </c>
      <c r="AM126" s="643"/>
      <c r="AN126" s="642"/>
      <c r="AO126" s="644">
        <v>119</v>
      </c>
      <c r="AP126" s="565"/>
      <c r="AQ126" s="566"/>
      <c r="AR126" s="566"/>
      <c r="AS126" s="566"/>
      <c r="AT126" s="566"/>
      <c r="AU126" s="566"/>
      <c r="AV126" s="566"/>
      <c r="AW126" s="566"/>
      <c r="AX126" s="566"/>
      <c r="AY126" s="566"/>
      <c r="AZ126" s="566"/>
      <c r="BA126" s="566"/>
      <c r="BB126" s="566"/>
      <c r="BC126" s="566"/>
      <c r="BD126" s="566"/>
      <c r="BE126" s="566"/>
      <c r="BF126" s="566"/>
      <c r="BG126" s="566"/>
    </row>
    <row r="127" spans="1:59">
      <c r="A127" s="591"/>
      <c r="B127" s="592"/>
      <c r="C127" s="593"/>
      <c r="D127" s="594">
        <v>1</v>
      </c>
      <c r="E127" s="595" t="s">
        <v>366</v>
      </c>
      <c r="F127" s="593" t="s">
        <v>339</v>
      </c>
      <c r="G127" s="596" t="s">
        <v>452</v>
      </c>
      <c r="H127" s="596"/>
      <c r="I127" s="596"/>
      <c r="J127" s="596"/>
      <c r="K127" s="596"/>
      <c r="L127" s="591" t="s">
        <v>771</v>
      </c>
      <c r="M127" s="597" t="str">
        <f t="shared" si="68"/>
        <v>Niet van toepassing</v>
      </c>
      <c r="N127" s="591" t="s">
        <v>938</v>
      </c>
      <c r="O127" s="598"/>
      <c r="P127" s="599"/>
      <c r="Q127" s="600">
        <f t="shared" si="59"/>
        <v>0</v>
      </c>
      <c r="R127" s="601">
        <f>AF127</f>
        <v>9</v>
      </c>
      <c r="S127" s="603" t="s">
        <v>28</v>
      </c>
      <c r="T127" s="602"/>
      <c r="U127" s="603"/>
      <c r="V127" s="593">
        <f t="shared" si="64"/>
        <v>0</v>
      </c>
      <c r="W127" s="604">
        <f t="shared" ref="W127:W128" si="80">Z127*R127*U127</f>
        <v>0</v>
      </c>
      <c r="X127" s="604">
        <f t="shared" ref="X127:X128" si="81">AA127*R127</f>
        <v>0</v>
      </c>
      <c r="Y127" s="604">
        <f t="shared" ref="Y127:Y128" si="82">AB127*R127</f>
        <v>0</v>
      </c>
      <c r="Z127" s="605">
        <f>VLOOKUP(S127,Kengetal,6,FALSE)</f>
        <v>0</v>
      </c>
      <c r="AA127" s="751">
        <f>VLOOKUP(S127,Kengetal,7,FALSE)</f>
        <v>0</v>
      </c>
      <c r="AB127" s="605">
        <f>VLOOKUP(T127,Kengetal,6,FALSE)</f>
        <v>0</v>
      </c>
      <c r="AC127" s="607"/>
      <c r="AD127" s="591" t="str">
        <f>AL127</f>
        <v>Friesland College</v>
      </c>
      <c r="AE127" s="608"/>
      <c r="AF127" s="639">
        <v>9</v>
      </c>
      <c r="AG127" s="639">
        <f t="shared" si="61"/>
        <v>9</v>
      </c>
      <c r="AH127" s="639">
        <f t="shared" si="62"/>
        <v>0</v>
      </c>
      <c r="AI127" s="640"/>
      <c r="AJ127" s="641">
        <f t="shared" si="63"/>
        <v>0</v>
      </c>
      <c r="AK127" s="642"/>
      <c r="AL127" s="642" t="s">
        <v>364</v>
      </c>
      <c r="AM127" s="643"/>
      <c r="AN127" s="642"/>
      <c r="AO127" s="644">
        <v>120</v>
      </c>
      <c r="AP127" s="565"/>
      <c r="AQ127" s="566"/>
      <c r="AR127" s="566"/>
      <c r="AS127" s="566"/>
      <c r="AT127" s="566"/>
      <c r="AU127" s="566"/>
      <c r="AV127" s="566"/>
      <c r="AW127" s="566"/>
      <c r="AX127" s="566"/>
      <c r="AY127" s="566"/>
      <c r="AZ127" s="566"/>
      <c r="BA127" s="566"/>
      <c r="BB127" s="566"/>
      <c r="BC127" s="566"/>
      <c r="BD127" s="566"/>
      <c r="BE127" s="566"/>
      <c r="BF127" s="566"/>
      <c r="BG127" s="566"/>
    </row>
    <row r="128" spans="1:59">
      <c r="A128" s="591"/>
      <c r="B128" s="592"/>
      <c r="C128" s="593"/>
      <c r="D128" s="594">
        <v>1</v>
      </c>
      <c r="E128" s="595" t="s">
        <v>366</v>
      </c>
      <c r="F128" s="593" t="s">
        <v>339</v>
      </c>
      <c r="G128" s="596" t="s">
        <v>452</v>
      </c>
      <c r="H128" s="596" t="s">
        <v>453</v>
      </c>
      <c r="I128" s="596"/>
      <c r="J128" s="596"/>
      <c r="K128" s="596"/>
      <c r="L128" s="591" t="s">
        <v>801</v>
      </c>
      <c r="M128" s="597" t="str">
        <f t="shared" si="68"/>
        <v>Onderwijsruimte (theorie)</v>
      </c>
      <c r="N128" s="591" t="s">
        <v>78</v>
      </c>
      <c r="O128" s="598"/>
      <c r="P128" s="599"/>
      <c r="Q128" s="600">
        <f t="shared" si="59"/>
        <v>0</v>
      </c>
      <c r="R128" s="601">
        <f>AF128</f>
        <v>18</v>
      </c>
      <c r="S128" s="647">
        <v>102200</v>
      </c>
      <c r="T128" s="602"/>
      <c r="U128" s="645">
        <v>1</v>
      </c>
      <c r="V128" s="593">
        <f t="shared" si="64"/>
        <v>200</v>
      </c>
      <c r="W128" s="604">
        <f t="shared" si="80"/>
        <v>0</v>
      </c>
      <c r="X128" s="604">
        <f t="shared" si="81"/>
        <v>0</v>
      </c>
      <c r="Y128" s="604">
        <f t="shared" si="82"/>
        <v>0</v>
      </c>
      <c r="Z128" s="605">
        <f>VLOOKUP(S128,Kengetal,6,FALSE)</f>
        <v>0</v>
      </c>
      <c r="AA128" s="751">
        <f>VLOOKUP(S128,Kengetal,7,FALSE)</f>
        <v>0</v>
      </c>
      <c r="AB128" s="605">
        <f>VLOOKUP(T128,Kengetal,6,FALSE)</f>
        <v>0</v>
      </c>
      <c r="AC128" s="607"/>
      <c r="AD128" s="591" t="str">
        <f>AL128</f>
        <v>Friesland College</v>
      </c>
      <c r="AE128" s="608"/>
      <c r="AF128" s="639">
        <v>18</v>
      </c>
      <c r="AG128" s="639">
        <f t="shared" si="61"/>
        <v>18</v>
      </c>
      <c r="AH128" s="639">
        <f t="shared" si="62"/>
        <v>0</v>
      </c>
      <c r="AI128" s="640"/>
      <c r="AJ128" s="641">
        <f t="shared" si="63"/>
        <v>0</v>
      </c>
      <c r="AK128" s="642"/>
      <c r="AL128" s="642" t="s">
        <v>364</v>
      </c>
      <c r="AM128" s="643"/>
      <c r="AN128" s="642"/>
      <c r="AO128" s="644">
        <v>121</v>
      </c>
      <c r="AP128" s="565"/>
      <c r="AQ128" s="566"/>
      <c r="AR128" s="566"/>
      <c r="AS128" s="566"/>
      <c r="AT128" s="566"/>
      <c r="AU128" s="566"/>
      <c r="AV128" s="566"/>
      <c r="AW128" s="566"/>
      <c r="AX128" s="566"/>
      <c r="AY128" s="566"/>
      <c r="AZ128" s="566"/>
      <c r="BA128" s="566"/>
      <c r="BB128" s="566"/>
      <c r="BC128" s="566"/>
      <c r="BD128" s="566"/>
      <c r="BE128" s="566"/>
      <c r="BF128" s="566"/>
      <c r="BG128" s="566"/>
    </row>
    <row r="129" spans="1:59">
      <c r="A129" s="591"/>
      <c r="B129" s="618"/>
      <c r="C129" s="609"/>
      <c r="D129" s="594">
        <v>1</v>
      </c>
      <c r="E129" s="595" t="s">
        <v>366</v>
      </c>
      <c r="F129" s="593" t="s">
        <v>339</v>
      </c>
      <c r="G129" s="610" t="s">
        <v>452</v>
      </c>
      <c r="H129" s="610" t="s">
        <v>453</v>
      </c>
      <c r="I129" s="610"/>
      <c r="J129" s="610"/>
      <c r="K129" s="610"/>
      <c r="L129" s="611" t="s">
        <v>801</v>
      </c>
      <c r="M129" s="612">
        <f t="shared" si="68"/>
        <v>0</v>
      </c>
      <c r="N129" s="613"/>
      <c r="O129" s="614" t="s">
        <v>991</v>
      </c>
      <c r="P129" s="615">
        <v>100</v>
      </c>
      <c r="Q129" s="616">
        <f t="shared" si="59"/>
        <v>18</v>
      </c>
      <c r="R129" s="613"/>
      <c r="S129" s="603"/>
      <c r="T129" s="606"/>
      <c r="U129" s="606"/>
      <c r="V129" s="593">
        <f t="shared" si="64"/>
        <v>0</v>
      </c>
      <c r="W129" s="606"/>
      <c r="X129" s="606"/>
      <c r="Y129" s="606"/>
      <c r="Z129" s="606"/>
      <c r="AA129" s="606"/>
      <c r="AB129" s="606"/>
      <c r="AC129" s="607"/>
      <c r="AD129" s="606"/>
      <c r="AE129" s="608"/>
      <c r="AF129" s="639">
        <v>18</v>
      </c>
      <c r="AG129" s="639">
        <f t="shared" si="61"/>
        <v>18</v>
      </c>
      <c r="AH129" s="639">
        <f t="shared" si="62"/>
        <v>0</v>
      </c>
      <c r="AI129" s="640"/>
      <c r="AJ129" s="641">
        <f t="shared" si="63"/>
        <v>0</v>
      </c>
      <c r="AK129" s="642"/>
      <c r="AL129" s="642" t="s">
        <v>364</v>
      </c>
      <c r="AM129" s="643"/>
      <c r="AN129" s="642"/>
      <c r="AO129" s="644">
        <v>122</v>
      </c>
      <c r="AP129" s="565"/>
      <c r="AQ129" s="566"/>
      <c r="AR129" s="566"/>
      <c r="AS129" s="566"/>
      <c r="AT129" s="566"/>
      <c r="AU129" s="566"/>
      <c r="AV129" s="566"/>
      <c r="AW129" s="566"/>
      <c r="AX129" s="566"/>
      <c r="AY129" s="566"/>
      <c r="AZ129" s="566"/>
      <c r="BA129" s="566"/>
      <c r="BB129" s="566"/>
      <c r="BC129" s="566"/>
      <c r="BD129" s="566"/>
      <c r="BE129" s="566"/>
      <c r="BF129" s="566"/>
      <c r="BG129" s="566"/>
    </row>
    <row r="130" spans="1:59">
      <c r="A130" s="591"/>
      <c r="B130" s="592"/>
      <c r="C130" s="593"/>
      <c r="D130" s="594">
        <v>1</v>
      </c>
      <c r="E130" s="595" t="s">
        <v>366</v>
      </c>
      <c r="F130" s="593" t="s">
        <v>339</v>
      </c>
      <c r="G130" s="596" t="s">
        <v>454</v>
      </c>
      <c r="H130" s="596"/>
      <c r="I130" s="596"/>
      <c r="J130" s="596"/>
      <c r="K130" s="596"/>
      <c r="L130" s="591" t="s">
        <v>773</v>
      </c>
      <c r="M130" s="597" t="str">
        <f t="shared" si="68"/>
        <v>Sanitaire ruimte (toilet-/doucheruimte)</v>
      </c>
      <c r="N130" s="591" t="s">
        <v>85</v>
      </c>
      <c r="O130" s="598"/>
      <c r="P130" s="599"/>
      <c r="Q130" s="600">
        <f t="shared" si="59"/>
        <v>0</v>
      </c>
      <c r="R130" s="601">
        <f t="shared" ref="R130:R146" si="83">AF130</f>
        <v>20</v>
      </c>
      <c r="S130" s="647">
        <v>103200</v>
      </c>
      <c r="T130" s="647">
        <v>103400</v>
      </c>
      <c r="U130" s="645">
        <v>1</v>
      </c>
      <c r="V130" s="593">
        <f t="shared" si="64"/>
        <v>400</v>
      </c>
      <c r="W130" s="604">
        <f t="shared" ref="W130:W146" si="84">Z130*R130*U130</f>
        <v>0</v>
      </c>
      <c r="X130" s="604">
        <f t="shared" ref="X130:X146" si="85">AA130*R130</f>
        <v>0</v>
      </c>
      <c r="Y130" s="604">
        <f t="shared" ref="Y130:Y146" si="86">AB130*R130</f>
        <v>0</v>
      </c>
      <c r="Z130" s="605">
        <f t="shared" ref="Z130:Z146" si="87">VLOOKUP(S130,Kengetal,6,FALSE)</f>
        <v>0</v>
      </c>
      <c r="AA130" s="751">
        <f t="shared" ref="AA130:AA146" si="88">VLOOKUP(S130,Kengetal,7,FALSE)</f>
        <v>0</v>
      </c>
      <c r="AB130" s="605">
        <f t="shared" ref="AB130:AB146" si="89">VLOOKUP(T130,Kengetal,6,FALSE)</f>
        <v>0</v>
      </c>
      <c r="AC130" s="607"/>
      <c r="AD130" s="591" t="str">
        <f t="shared" ref="AD130:AD146" si="90">AL130</f>
        <v>Friesland College</v>
      </c>
      <c r="AE130" s="608"/>
      <c r="AF130" s="639">
        <v>20</v>
      </c>
      <c r="AG130" s="639">
        <f t="shared" si="61"/>
        <v>20</v>
      </c>
      <c r="AH130" s="639">
        <f t="shared" si="62"/>
        <v>0</v>
      </c>
      <c r="AI130" s="640"/>
      <c r="AJ130" s="641">
        <f t="shared" si="63"/>
        <v>0</v>
      </c>
      <c r="AK130" s="642"/>
      <c r="AL130" s="642" t="s">
        <v>364</v>
      </c>
      <c r="AM130" s="643"/>
      <c r="AN130" s="642"/>
      <c r="AO130" s="644">
        <v>123</v>
      </c>
      <c r="AP130" s="565"/>
      <c r="AQ130" s="566"/>
      <c r="AR130" s="566"/>
      <c r="AS130" s="566"/>
      <c r="AT130" s="566"/>
      <c r="AU130" s="566"/>
      <c r="AV130" s="566"/>
      <c r="AW130" s="566"/>
      <c r="AX130" s="566"/>
      <c r="AY130" s="566"/>
      <c r="AZ130" s="566"/>
      <c r="BA130" s="566"/>
      <c r="BB130" s="566"/>
      <c r="BC130" s="566"/>
      <c r="BD130" s="566"/>
      <c r="BE130" s="566"/>
      <c r="BF130" s="566"/>
      <c r="BG130" s="566"/>
    </row>
    <row r="131" spans="1:59">
      <c r="A131" s="591"/>
      <c r="B131" s="592"/>
      <c r="C131" s="593"/>
      <c r="D131" s="594">
        <v>1</v>
      </c>
      <c r="E131" s="595" t="s">
        <v>366</v>
      </c>
      <c r="F131" s="593" t="s">
        <v>339</v>
      </c>
      <c r="G131" s="596" t="s">
        <v>455</v>
      </c>
      <c r="H131" s="596"/>
      <c r="I131" s="596"/>
      <c r="J131" s="596"/>
      <c r="K131" s="596"/>
      <c r="L131" s="591" t="s">
        <v>995</v>
      </c>
      <c r="M131" s="597" t="str">
        <f t="shared" si="68"/>
        <v>Pantry</v>
      </c>
      <c r="N131" s="591" t="s">
        <v>938</v>
      </c>
      <c r="O131" s="598"/>
      <c r="P131" s="599"/>
      <c r="Q131" s="600">
        <f t="shared" si="59"/>
        <v>0</v>
      </c>
      <c r="R131" s="601">
        <f t="shared" si="83"/>
        <v>30</v>
      </c>
      <c r="S131" s="647">
        <v>110200</v>
      </c>
      <c r="T131" s="602"/>
      <c r="U131" s="645">
        <v>1</v>
      </c>
      <c r="V131" s="593">
        <f t="shared" si="64"/>
        <v>200</v>
      </c>
      <c r="W131" s="604">
        <f t="shared" si="84"/>
        <v>0</v>
      </c>
      <c r="X131" s="604">
        <f t="shared" si="85"/>
        <v>0</v>
      </c>
      <c r="Y131" s="604">
        <f t="shared" si="86"/>
        <v>0</v>
      </c>
      <c r="Z131" s="605">
        <f t="shared" si="87"/>
        <v>0</v>
      </c>
      <c r="AA131" s="751">
        <f t="shared" si="88"/>
        <v>0</v>
      </c>
      <c r="AB131" s="605">
        <f t="shared" si="89"/>
        <v>0</v>
      </c>
      <c r="AC131" s="607"/>
      <c r="AD131" s="591" t="str">
        <f t="shared" si="90"/>
        <v>Friesland College</v>
      </c>
      <c r="AE131" s="608"/>
      <c r="AF131" s="639">
        <v>30</v>
      </c>
      <c r="AG131" s="639">
        <f t="shared" si="61"/>
        <v>30</v>
      </c>
      <c r="AH131" s="639">
        <f t="shared" si="62"/>
        <v>0</v>
      </c>
      <c r="AI131" s="640"/>
      <c r="AJ131" s="641">
        <f t="shared" si="63"/>
        <v>0</v>
      </c>
      <c r="AK131" s="642"/>
      <c r="AL131" s="642" t="s">
        <v>364</v>
      </c>
      <c r="AM131" s="643"/>
      <c r="AN131" s="642"/>
      <c r="AO131" s="644">
        <v>124</v>
      </c>
      <c r="AP131" s="565"/>
      <c r="AQ131" s="566"/>
      <c r="AR131" s="566"/>
      <c r="AS131" s="566"/>
      <c r="AT131" s="566"/>
      <c r="AU131" s="566"/>
      <c r="AV131" s="566"/>
      <c r="AW131" s="566"/>
      <c r="AX131" s="566"/>
      <c r="AY131" s="566"/>
      <c r="AZ131" s="566"/>
      <c r="BA131" s="566"/>
      <c r="BB131" s="566"/>
      <c r="BC131" s="566"/>
      <c r="BD131" s="566"/>
      <c r="BE131" s="566"/>
      <c r="BF131" s="566"/>
      <c r="BG131" s="566"/>
    </row>
    <row r="132" spans="1:59">
      <c r="A132" s="591"/>
      <c r="B132" s="592"/>
      <c r="C132" s="593"/>
      <c r="D132" s="594">
        <v>1</v>
      </c>
      <c r="E132" s="595" t="s">
        <v>366</v>
      </c>
      <c r="F132" s="593" t="s">
        <v>339</v>
      </c>
      <c r="G132" s="596" t="s">
        <v>455</v>
      </c>
      <c r="H132" s="596"/>
      <c r="I132" s="596"/>
      <c r="J132" s="596"/>
      <c r="K132" s="596"/>
      <c r="L132" s="591" t="s">
        <v>319</v>
      </c>
      <c r="M132" s="597" t="str">
        <f t="shared" si="68"/>
        <v>Gang, hal, pantry, aula, repro, gardarobe</v>
      </c>
      <c r="N132" s="591" t="s">
        <v>78</v>
      </c>
      <c r="O132" s="598"/>
      <c r="P132" s="599"/>
      <c r="Q132" s="600">
        <f t="shared" si="59"/>
        <v>0</v>
      </c>
      <c r="R132" s="601">
        <f t="shared" si="83"/>
        <v>48</v>
      </c>
      <c r="S132" s="647">
        <v>104200</v>
      </c>
      <c r="T132" s="602"/>
      <c r="U132" s="645">
        <v>1</v>
      </c>
      <c r="V132" s="593">
        <f t="shared" si="64"/>
        <v>200</v>
      </c>
      <c r="W132" s="604">
        <f t="shared" si="84"/>
        <v>0</v>
      </c>
      <c r="X132" s="604">
        <f t="shared" si="85"/>
        <v>0</v>
      </c>
      <c r="Y132" s="604">
        <f t="shared" si="86"/>
        <v>0</v>
      </c>
      <c r="Z132" s="605">
        <f t="shared" si="87"/>
        <v>0</v>
      </c>
      <c r="AA132" s="751">
        <f t="shared" si="88"/>
        <v>0</v>
      </c>
      <c r="AB132" s="605">
        <f t="shared" si="89"/>
        <v>0</v>
      </c>
      <c r="AC132" s="607"/>
      <c r="AD132" s="591" t="str">
        <f t="shared" si="90"/>
        <v>Friesland College</v>
      </c>
      <c r="AE132" s="608"/>
      <c r="AF132" s="639">
        <v>48</v>
      </c>
      <c r="AG132" s="639">
        <f t="shared" si="61"/>
        <v>48</v>
      </c>
      <c r="AH132" s="639">
        <f t="shared" si="62"/>
        <v>0</v>
      </c>
      <c r="AI132" s="640"/>
      <c r="AJ132" s="641">
        <f t="shared" si="63"/>
        <v>0</v>
      </c>
      <c r="AK132" s="642"/>
      <c r="AL132" s="642" t="s">
        <v>364</v>
      </c>
      <c r="AM132" s="643"/>
      <c r="AN132" s="642"/>
      <c r="AO132" s="644">
        <v>125</v>
      </c>
      <c r="AP132" s="565"/>
      <c r="AQ132" s="566"/>
      <c r="AR132" s="566"/>
      <c r="AS132" s="566"/>
      <c r="AT132" s="566"/>
      <c r="AU132" s="566"/>
      <c r="AV132" s="566"/>
      <c r="AW132" s="566"/>
      <c r="AX132" s="566"/>
      <c r="AY132" s="566"/>
      <c r="AZ132" s="566"/>
      <c r="BA132" s="566"/>
      <c r="BB132" s="566"/>
      <c r="BC132" s="566"/>
      <c r="BD132" s="566"/>
      <c r="BE132" s="566"/>
      <c r="BF132" s="566"/>
      <c r="BG132" s="566"/>
    </row>
    <row r="133" spans="1:59">
      <c r="A133" s="591"/>
      <c r="B133" s="592"/>
      <c r="C133" s="593"/>
      <c r="D133" s="594">
        <v>1</v>
      </c>
      <c r="E133" s="595" t="s">
        <v>366</v>
      </c>
      <c r="F133" s="593" t="s">
        <v>339</v>
      </c>
      <c r="G133" s="596" t="s">
        <v>456</v>
      </c>
      <c r="H133" s="596"/>
      <c r="I133" s="596"/>
      <c r="J133" s="596"/>
      <c r="K133" s="596"/>
      <c r="L133" s="591" t="s">
        <v>802</v>
      </c>
      <c r="M133" s="597" t="str">
        <f t="shared" si="68"/>
        <v>Administratieve -, personeels- en vergaderruimte</v>
      </c>
      <c r="N133" s="591" t="s">
        <v>78</v>
      </c>
      <c r="O133" s="598"/>
      <c r="P133" s="599"/>
      <c r="Q133" s="600">
        <f t="shared" si="59"/>
        <v>0</v>
      </c>
      <c r="R133" s="601">
        <f t="shared" si="83"/>
        <v>52</v>
      </c>
      <c r="S133" s="647">
        <v>101100</v>
      </c>
      <c r="T133" s="602"/>
      <c r="U133" s="645">
        <v>1</v>
      </c>
      <c r="V133" s="593">
        <f t="shared" si="64"/>
        <v>100</v>
      </c>
      <c r="W133" s="604">
        <f t="shared" si="84"/>
        <v>0</v>
      </c>
      <c r="X133" s="604">
        <f t="shared" si="85"/>
        <v>0</v>
      </c>
      <c r="Y133" s="604">
        <f t="shared" si="86"/>
        <v>0</v>
      </c>
      <c r="Z133" s="605">
        <f t="shared" si="87"/>
        <v>0</v>
      </c>
      <c r="AA133" s="751">
        <f t="shared" si="88"/>
        <v>0</v>
      </c>
      <c r="AB133" s="605">
        <f t="shared" si="89"/>
        <v>0</v>
      </c>
      <c r="AC133" s="607"/>
      <c r="AD133" s="591" t="str">
        <f t="shared" si="90"/>
        <v>Friesland College</v>
      </c>
      <c r="AE133" s="608"/>
      <c r="AF133" s="639">
        <v>52</v>
      </c>
      <c r="AG133" s="639">
        <f t="shared" si="61"/>
        <v>52</v>
      </c>
      <c r="AH133" s="639">
        <f t="shared" si="62"/>
        <v>0</v>
      </c>
      <c r="AI133" s="640"/>
      <c r="AJ133" s="641">
        <f t="shared" si="63"/>
        <v>0</v>
      </c>
      <c r="AK133" s="642"/>
      <c r="AL133" s="642" t="s">
        <v>364</v>
      </c>
      <c r="AM133" s="643"/>
      <c r="AN133" s="642"/>
      <c r="AO133" s="644">
        <v>126</v>
      </c>
      <c r="AP133" s="565"/>
      <c r="AQ133" s="566"/>
      <c r="AR133" s="566"/>
      <c r="AS133" s="566"/>
      <c r="AT133" s="566"/>
      <c r="AU133" s="566"/>
      <c r="AV133" s="566"/>
      <c r="AW133" s="566"/>
      <c r="AX133" s="566"/>
      <c r="AY133" s="566"/>
      <c r="AZ133" s="566"/>
      <c r="BA133" s="566"/>
      <c r="BB133" s="566"/>
      <c r="BC133" s="566"/>
      <c r="BD133" s="566"/>
      <c r="BE133" s="566"/>
      <c r="BF133" s="566"/>
      <c r="BG133" s="566"/>
    </row>
    <row r="134" spans="1:59">
      <c r="A134" s="591"/>
      <c r="B134" s="592"/>
      <c r="C134" s="593"/>
      <c r="D134" s="594">
        <v>1</v>
      </c>
      <c r="E134" s="595" t="s">
        <v>366</v>
      </c>
      <c r="F134" s="593" t="s">
        <v>339</v>
      </c>
      <c r="G134" s="596" t="s">
        <v>456</v>
      </c>
      <c r="H134" s="596"/>
      <c r="I134" s="596"/>
      <c r="J134" s="596"/>
      <c r="K134" s="596"/>
      <c r="L134" s="591" t="s">
        <v>319</v>
      </c>
      <c r="M134" s="597" t="str">
        <f t="shared" si="68"/>
        <v>Gang, hal, pantry, aula, repro, gardarobe</v>
      </c>
      <c r="N134" s="591" t="s">
        <v>938</v>
      </c>
      <c r="O134" s="598"/>
      <c r="P134" s="599"/>
      <c r="Q134" s="600">
        <f t="shared" si="59"/>
        <v>0</v>
      </c>
      <c r="R134" s="601">
        <f t="shared" si="83"/>
        <v>32</v>
      </c>
      <c r="S134" s="647">
        <v>104200</v>
      </c>
      <c r="T134" s="602"/>
      <c r="U134" s="645">
        <v>1</v>
      </c>
      <c r="V134" s="593">
        <f t="shared" si="64"/>
        <v>200</v>
      </c>
      <c r="W134" s="604">
        <f t="shared" si="84"/>
        <v>0</v>
      </c>
      <c r="X134" s="604">
        <f t="shared" si="85"/>
        <v>0</v>
      </c>
      <c r="Y134" s="604">
        <f t="shared" si="86"/>
        <v>0</v>
      </c>
      <c r="Z134" s="605">
        <f t="shared" si="87"/>
        <v>0</v>
      </c>
      <c r="AA134" s="751">
        <f t="shared" si="88"/>
        <v>0</v>
      </c>
      <c r="AB134" s="605">
        <f t="shared" si="89"/>
        <v>0</v>
      </c>
      <c r="AC134" s="607"/>
      <c r="AD134" s="591" t="str">
        <f t="shared" si="90"/>
        <v>Friesland College</v>
      </c>
      <c r="AE134" s="608"/>
      <c r="AF134" s="639">
        <v>32</v>
      </c>
      <c r="AG134" s="639">
        <f t="shared" si="61"/>
        <v>32</v>
      </c>
      <c r="AH134" s="639">
        <f t="shared" si="62"/>
        <v>0</v>
      </c>
      <c r="AI134" s="640"/>
      <c r="AJ134" s="641">
        <f t="shared" si="63"/>
        <v>0</v>
      </c>
      <c r="AK134" s="642"/>
      <c r="AL134" s="642" t="s">
        <v>364</v>
      </c>
      <c r="AM134" s="643"/>
      <c r="AN134" s="642"/>
      <c r="AO134" s="644">
        <v>127</v>
      </c>
      <c r="AP134" s="565"/>
      <c r="AQ134" s="566"/>
      <c r="AR134" s="566"/>
      <c r="AS134" s="566"/>
      <c r="AT134" s="566"/>
      <c r="AU134" s="566"/>
      <c r="AV134" s="566"/>
      <c r="AW134" s="566"/>
      <c r="AX134" s="566"/>
      <c r="AY134" s="566"/>
      <c r="AZ134" s="566"/>
      <c r="BA134" s="566"/>
      <c r="BB134" s="566"/>
      <c r="BC134" s="566"/>
      <c r="BD134" s="566"/>
      <c r="BE134" s="566"/>
      <c r="BF134" s="566"/>
      <c r="BG134" s="566"/>
    </row>
    <row r="135" spans="1:59">
      <c r="A135" s="591"/>
      <c r="B135" s="592"/>
      <c r="C135" s="593"/>
      <c r="D135" s="594">
        <v>1</v>
      </c>
      <c r="E135" s="595" t="s">
        <v>366</v>
      </c>
      <c r="F135" s="593" t="s">
        <v>339</v>
      </c>
      <c r="G135" s="596" t="s">
        <v>457</v>
      </c>
      <c r="H135" s="596"/>
      <c r="I135" s="596"/>
      <c r="J135" s="596"/>
      <c r="K135" s="596"/>
      <c r="L135" s="591" t="s">
        <v>996</v>
      </c>
      <c r="M135" s="597" t="str">
        <f t="shared" si="68"/>
        <v>Administratieve -, personeels- en vergaderruimte</v>
      </c>
      <c r="N135" s="591" t="s">
        <v>78</v>
      </c>
      <c r="O135" s="598"/>
      <c r="P135" s="599"/>
      <c r="Q135" s="600">
        <f t="shared" si="59"/>
        <v>0</v>
      </c>
      <c r="R135" s="601">
        <f t="shared" si="83"/>
        <v>13</v>
      </c>
      <c r="S135" s="647">
        <v>101100</v>
      </c>
      <c r="T135" s="602"/>
      <c r="U135" s="645">
        <v>1</v>
      </c>
      <c r="V135" s="593">
        <f t="shared" si="64"/>
        <v>100</v>
      </c>
      <c r="W135" s="604">
        <f t="shared" si="84"/>
        <v>0</v>
      </c>
      <c r="X135" s="604">
        <f t="shared" si="85"/>
        <v>0</v>
      </c>
      <c r="Y135" s="604">
        <f t="shared" si="86"/>
        <v>0</v>
      </c>
      <c r="Z135" s="605">
        <f t="shared" si="87"/>
        <v>0</v>
      </c>
      <c r="AA135" s="751">
        <f t="shared" si="88"/>
        <v>0</v>
      </c>
      <c r="AB135" s="605">
        <f t="shared" si="89"/>
        <v>0</v>
      </c>
      <c r="AC135" s="607"/>
      <c r="AD135" s="591" t="str">
        <f t="shared" si="90"/>
        <v>Friesland College</v>
      </c>
      <c r="AE135" s="608"/>
      <c r="AF135" s="639">
        <v>13</v>
      </c>
      <c r="AG135" s="639">
        <f t="shared" si="61"/>
        <v>13</v>
      </c>
      <c r="AH135" s="639">
        <f t="shared" si="62"/>
        <v>0</v>
      </c>
      <c r="AI135" s="640"/>
      <c r="AJ135" s="641">
        <f t="shared" si="63"/>
        <v>0</v>
      </c>
      <c r="AK135" s="642"/>
      <c r="AL135" s="642" t="s">
        <v>364</v>
      </c>
      <c r="AM135" s="643"/>
      <c r="AN135" s="642"/>
      <c r="AO135" s="644">
        <v>128</v>
      </c>
      <c r="AP135" s="565"/>
      <c r="AQ135" s="566"/>
      <c r="AR135" s="566"/>
      <c r="AS135" s="566"/>
      <c r="AT135" s="566"/>
      <c r="AU135" s="566"/>
      <c r="AV135" s="566"/>
      <c r="AW135" s="566"/>
      <c r="AX135" s="566"/>
      <c r="AY135" s="566"/>
      <c r="AZ135" s="566"/>
      <c r="BA135" s="566"/>
      <c r="BB135" s="566"/>
      <c r="BC135" s="566"/>
      <c r="BD135" s="566"/>
      <c r="BE135" s="566"/>
      <c r="BF135" s="566"/>
      <c r="BG135" s="566"/>
    </row>
    <row r="136" spans="1:59">
      <c r="A136" s="591"/>
      <c r="B136" s="592"/>
      <c r="C136" s="593"/>
      <c r="D136" s="594">
        <v>1</v>
      </c>
      <c r="E136" s="595" t="s">
        <v>366</v>
      </c>
      <c r="F136" s="593" t="s">
        <v>339</v>
      </c>
      <c r="G136" s="596" t="s">
        <v>457</v>
      </c>
      <c r="H136" s="596"/>
      <c r="I136" s="596"/>
      <c r="J136" s="596"/>
      <c r="K136" s="596"/>
      <c r="L136" s="591" t="s">
        <v>777</v>
      </c>
      <c r="M136" s="597" t="str">
        <f t="shared" si="68"/>
        <v>Trappenhuis-bordes</v>
      </c>
      <c r="N136" s="591" t="s">
        <v>942</v>
      </c>
      <c r="O136" s="598"/>
      <c r="P136" s="599"/>
      <c r="Q136" s="600">
        <f t="shared" si="59"/>
        <v>0</v>
      </c>
      <c r="R136" s="601">
        <f t="shared" si="83"/>
        <v>13</v>
      </c>
      <c r="S136" s="647">
        <v>108200</v>
      </c>
      <c r="T136" s="602"/>
      <c r="U136" s="645">
        <v>1</v>
      </c>
      <c r="V136" s="593">
        <f t="shared" si="64"/>
        <v>200</v>
      </c>
      <c r="W136" s="604">
        <f t="shared" si="84"/>
        <v>0</v>
      </c>
      <c r="X136" s="604">
        <f t="shared" si="85"/>
        <v>0</v>
      </c>
      <c r="Y136" s="604">
        <f t="shared" si="86"/>
        <v>0</v>
      </c>
      <c r="Z136" s="605">
        <f t="shared" si="87"/>
        <v>0</v>
      </c>
      <c r="AA136" s="751">
        <f t="shared" si="88"/>
        <v>0</v>
      </c>
      <c r="AB136" s="605">
        <f t="shared" si="89"/>
        <v>0</v>
      </c>
      <c r="AC136" s="607"/>
      <c r="AD136" s="591" t="str">
        <f t="shared" si="90"/>
        <v>Friesland College</v>
      </c>
      <c r="AE136" s="608"/>
      <c r="AF136" s="639">
        <v>13</v>
      </c>
      <c r="AG136" s="639">
        <f t="shared" si="61"/>
        <v>13</v>
      </c>
      <c r="AH136" s="639">
        <f t="shared" si="62"/>
        <v>0</v>
      </c>
      <c r="AI136" s="640"/>
      <c r="AJ136" s="641">
        <f t="shared" si="63"/>
        <v>0</v>
      </c>
      <c r="AK136" s="642"/>
      <c r="AL136" s="642" t="s">
        <v>364</v>
      </c>
      <c r="AM136" s="643"/>
      <c r="AN136" s="642"/>
      <c r="AO136" s="644">
        <v>129</v>
      </c>
      <c r="AP136" s="565"/>
      <c r="AQ136" s="566"/>
      <c r="AR136" s="566"/>
      <c r="AS136" s="566"/>
      <c r="AT136" s="566"/>
      <c r="AU136" s="566"/>
      <c r="AV136" s="566"/>
      <c r="AW136" s="566"/>
      <c r="AX136" s="566"/>
      <c r="AY136" s="566"/>
      <c r="AZ136" s="566"/>
      <c r="BA136" s="566"/>
      <c r="BB136" s="566"/>
      <c r="BC136" s="566"/>
      <c r="BD136" s="566"/>
      <c r="BE136" s="566"/>
      <c r="BF136" s="566"/>
      <c r="BG136" s="566"/>
    </row>
    <row r="137" spans="1:59">
      <c r="A137" s="591"/>
      <c r="B137" s="592"/>
      <c r="C137" s="593"/>
      <c r="D137" s="594">
        <v>1</v>
      </c>
      <c r="E137" s="595" t="s">
        <v>366</v>
      </c>
      <c r="F137" s="593" t="s">
        <v>339</v>
      </c>
      <c r="G137" s="596" t="s">
        <v>458</v>
      </c>
      <c r="H137" s="596"/>
      <c r="I137" s="596"/>
      <c r="J137" s="596"/>
      <c r="K137" s="596"/>
      <c r="L137" s="591" t="s">
        <v>997</v>
      </c>
      <c r="M137" s="597" t="str">
        <f t="shared" si="68"/>
        <v>Administratieve -, personeels- en vergaderruimte</v>
      </c>
      <c r="N137" s="591" t="s">
        <v>78</v>
      </c>
      <c r="O137" s="621"/>
      <c r="P137" s="622"/>
      <c r="Q137" s="600">
        <f t="shared" si="59"/>
        <v>0</v>
      </c>
      <c r="R137" s="601">
        <f t="shared" si="83"/>
        <v>13</v>
      </c>
      <c r="S137" s="647">
        <v>101100</v>
      </c>
      <c r="T137" s="602"/>
      <c r="U137" s="645">
        <v>1</v>
      </c>
      <c r="V137" s="593">
        <f t="shared" si="64"/>
        <v>100</v>
      </c>
      <c r="W137" s="604">
        <f t="shared" si="84"/>
        <v>0</v>
      </c>
      <c r="X137" s="604">
        <f t="shared" si="85"/>
        <v>0</v>
      </c>
      <c r="Y137" s="604">
        <f t="shared" si="86"/>
        <v>0</v>
      </c>
      <c r="Z137" s="605">
        <f t="shared" si="87"/>
        <v>0</v>
      </c>
      <c r="AA137" s="751">
        <f t="shared" si="88"/>
        <v>0</v>
      </c>
      <c r="AB137" s="605">
        <f t="shared" si="89"/>
        <v>0</v>
      </c>
      <c r="AC137" s="607"/>
      <c r="AD137" s="591" t="str">
        <f t="shared" si="90"/>
        <v>Friesland College</v>
      </c>
      <c r="AE137" s="608"/>
      <c r="AF137" s="639">
        <v>13</v>
      </c>
      <c r="AG137" s="639">
        <f t="shared" si="61"/>
        <v>13</v>
      </c>
      <c r="AH137" s="639">
        <f t="shared" si="62"/>
        <v>0</v>
      </c>
      <c r="AI137" s="640"/>
      <c r="AJ137" s="641">
        <f t="shared" si="63"/>
        <v>0</v>
      </c>
      <c r="AK137" s="642"/>
      <c r="AL137" s="642" t="s">
        <v>364</v>
      </c>
      <c r="AM137" s="643"/>
      <c r="AN137" s="642"/>
      <c r="AO137" s="644">
        <v>130</v>
      </c>
      <c r="AP137" s="565"/>
      <c r="AQ137" s="566"/>
      <c r="AR137" s="566"/>
      <c r="AS137" s="566"/>
      <c r="AT137" s="566"/>
      <c r="AU137" s="566"/>
      <c r="AV137" s="566"/>
      <c r="AW137" s="566"/>
      <c r="AX137" s="566"/>
      <c r="AY137" s="566"/>
      <c r="AZ137" s="566"/>
      <c r="BA137" s="566"/>
      <c r="BB137" s="566"/>
      <c r="BC137" s="566"/>
      <c r="BD137" s="566"/>
      <c r="BE137" s="566"/>
      <c r="BF137" s="566"/>
      <c r="BG137" s="566"/>
    </row>
    <row r="138" spans="1:59">
      <c r="A138" s="591"/>
      <c r="B138" s="592"/>
      <c r="C138" s="593"/>
      <c r="D138" s="594">
        <v>1</v>
      </c>
      <c r="E138" s="595" t="s">
        <v>366</v>
      </c>
      <c r="F138" s="593" t="s">
        <v>339</v>
      </c>
      <c r="G138" s="596" t="s">
        <v>458</v>
      </c>
      <c r="H138" s="596"/>
      <c r="I138" s="596"/>
      <c r="J138" s="596"/>
      <c r="K138" s="596"/>
      <c r="L138" s="591" t="s">
        <v>763</v>
      </c>
      <c r="M138" s="597" t="str">
        <f t="shared" si="68"/>
        <v>Trappenhuis-bordes</v>
      </c>
      <c r="N138" s="591" t="s">
        <v>940</v>
      </c>
      <c r="O138" s="621"/>
      <c r="P138" s="622"/>
      <c r="Q138" s="600">
        <f t="shared" si="59"/>
        <v>0</v>
      </c>
      <c r="R138" s="601">
        <f t="shared" si="83"/>
        <v>15</v>
      </c>
      <c r="S138" s="647">
        <v>108200</v>
      </c>
      <c r="T138" s="602"/>
      <c r="U138" s="645">
        <v>1</v>
      </c>
      <c r="V138" s="593">
        <f t="shared" si="64"/>
        <v>200</v>
      </c>
      <c r="W138" s="604">
        <f t="shared" si="84"/>
        <v>0</v>
      </c>
      <c r="X138" s="604">
        <f t="shared" si="85"/>
        <v>0</v>
      </c>
      <c r="Y138" s="604">
        <f t="shared" si="86"/>
        <v>0</v>
      </c>
      <c r="Z138" s="605">
        <f t="shared" si="87"/>
        <v>0</v>
      </c>
      <c r="AA138" s="751">
        <f t="shared" si="88"/>
        <v>0</v>
      </c>
      <c r="AB138" s="605">
        <f t="shared" si="89"/>
        <v>0</v>
      </c>
      <c r="AC138" s="607"/>
      <c r="AD138" s="591" t="str">
        <f t="shared" si="90"/>
        <v>Friesland College</v>
      </c>
      <c r="AE138" s="608"/>
      <c r="AF138" s="639">
        <v>15</v>
      </c>
      <c r="AG138" s="639">
        <f t="shared" si="61"/>
        <v>15</v>
      </c>
      <c r="AH138" s="639">
        <f t="shared" si="62"/>
        <v>0</v>
      </c>
      <c r="AI138" s="640"/>
      <c r="AJ138" s="641">
        <f t="shared" si="63"/>
        <v>0</v>
      </c>
      <c r="AK138" s="642"/>
      <c r="AL138" s="642" t="s">
        <v>364</v>
      </c>
      <c r="AM138" s="643"/>
      <c r="AN138" s="642"/>
      <c r="AO138" s="644">
        <v>131</v>
      </c>
      <c r="AP138" s="565"/>
      <c r="AQ138" s="566"/>
      <c r="AR138" s="566"/>
      <c r="AS138" s="566"/>
      <c r="AT138" s="566"/>
      <c r="AU138" s="566"/>
      <c r="AV138" s="566"/>
      <c r="AW138" s="566"/>
      <c r="AX138" s="566"/>
      <c r="AY138" s="566"/>
      <c r="AZ138" s="566"/>
      <c r="BA138" s="566"/>
      <c r="BB138" s="566"/>
      <c r="BC138" s="566"/>
      <c r="BD138" s="566"/>
      <c r="BE138" s="566"/>
      <c r="BF138" s="566"/>
      <c r="BG138" s="566"/>
    </row>
    <row r="139" spans="1:59">
      <c r="A139" s="591"/>
      <c r="B139" s="592"/>
      <c r="C139" s="593"/>
      <c r="D139" s="594">
        <v>1</v>
      </c>
      <c r="E139" s="595" t="s">
        <v>366</v>
      </c>
      <c r="F139" s="593" t="s">
        <v>339</v>
      </c>
      <c r="G139" s="596" t="s">
        <v>459</v>
      </c>
      <c r="H139" s="596"/>
      <c r="I139" s="596"/>
      <c r="J139" s="596"/>
      <c r="K139" s="596"/>
      <c r="L139" s="591" t="s">
        <v>998</v>
      </c>
      <c r="M139" s="597" t="str">
        <f t="shared" si="68"/>
        <v>Administratieve -, personeels- en vergaderruimte</v>
      </c>
      <c r="N139" s="591" t="s">
        <v>78</v>
      </c>
      <c r="O139" s="621"/>
      <c r="P139" s="622"/>
      <c r="Q139" s="600">
        <f t="shared" ref="Q139:Q180" si="91">AF139*P139/100</f>
        <v>0</v>
      </c>
      <c r="R139" s="601">
        <f t="shared" si="83"/>
        <v>52</v>
      </c>
      <c r="S139" s="647">
        <v>101100</v>
      </c>
      <c r="T139" s="602"/>
      <c r="U139" s="645">
        <v>1</v>
      </c>
      <c r="V139" s="593">
        <f t="shared" ref="V139" si="92">VLOOKUP(S139,Kengetal,3,FALSE)+VLOOKUP(T139,Kengetal,3,FALSE)</f>
        <v>100</v>
      </c>
      <c r="W139" s="604">
        <f t="shared" si="84"/>
        <v>0</v>
      </c>
      <c r="X139" s="604">
        <f t="shared" si="85"/>
        <v>0</v>
      </c>
      <c r="Y139" s="604">
        <f t="shared" si="86"/>
        <v>0</v>
      </c>
      <c r="Z139" s="605">
        <f t="shared" si="87"/>
        <v>0</v>
      </c>
      <c r="AA139" s="751">
        <f t="shared" si="88"/>
        <v>0</v>
      </c>
      <c r="AB139" s="605">
        <f t="shared" si="89"/>
        <v>0</v>
      </c>
      <c r="AC139" s="607"/>
      <c r="AD139" s="591" t="str">
        <f t="shared" si="90"/>
        <v>Friesland College</v>
      </c>
      <c r="AE139" s="608"/>
      <c r="AF139" s="639">
        <v>52</v>
      </c>
      <c r="AG139" s="639">
        <f t="shared" ref="AG139:AG202" si="93">IF(AND(C139="t"),-AF139,IF(AND(C139="v"),-AF139,IF(AND(C139="W"),-AF139,IF(AND(C139=""),AF139))))</f>
        <v>52</v>
      </c>
      <c r="AH139" s="639">
        <f t="shared" ref="AH139:AH178" si="94">IF(B139=0,0,MONTH(B139))</f>
        <v>0</v>
      </c>
      <c r="AI139" s="640"/>
      <c r="AJ139" s="641">
        <f t="shared" ref="AJ139:AJ178" si="95">W139+X139</f>
        <v>0</v>
      </c>
      <c r="AK139" s="642"/>
      <c r="AL139" s="642" t="s">
        <v>364</v>
      </c>
      <c r="AM139" s="643"/>
      <c r="AN139" s="642"/>
      <c r="AO139" s="644">
        <v>132</v>
      </c>
      <c r="AP139" s="565"/>
      <c r="AQ139" s="566"/>
      <c r="AR139" s="566"/>
      <c r="AS139" s="566"/>
      <c r="AT139" s="566"/>
      <c r="AU139" s="566"/>
      <c r="AV139" s="566"/>
      <c r="AW139" s="566"/>
      <c r="AX139" s="566"/>
      <c r="AY139" s="566"/>
      <c r="AZ139" s="566"/>
      <c r="BA139" s="566"/>
      <c r="BB139" s="566"/>
      <c r="BC139" s="566"/>
      <c r="BD139" s="566"/>
      <c r="BE139" s="566"/>
      <c r="BF139" s="566"/>
      <c r="BG139" s="566"/>
    </row>
    <row r="140" spans="1:59">
      <c r="A140" s="591"/>
      <c r="B140" s="592"/>
      <c r="C140" s="593"/>
      <c r="D140" s="594">
        <v>1</v>
      </c>
      <c r="E140" s="595" t="s">
        <v>366</v>
      </c>
      <c r="F140" s="593" t="s">
        <v>339</v>
      </c>
      <c r="G140" s="596" t="s">
        <v>459</v>
      </c>
      <c r="H140" s="596"/>
      <c r="I140" s="596"/>
      <c r="J140" s="596"/>
      <c r="K140" s="596"/>
      <c r="L140" s="591" t="s">
        <v>799</v>
      </c>
      <c r="M140" s="597" t="str">
        <f t="shared" ref="M140:M168" si="96">VLOOKUP(S140,Kengetal,4,FALSE)</f>
        <v>Op afroep (in overleg)</v>
      </c>
      <c r="N140" s="591" t="s">
        <v>938</v>
      </c>
      <c r="O140" s="621"/>
      <c r="P140" s="622"/>
      <c r="Q140" s="600">
        <f t="shared" si="91"/>
        <v>0</v>
      </c>
      <c r="R140" s="601">
        <f t="shared" si="83"/>
        <v>7</v>
      </c>
      <c r="S140" s="603" t="s">
        <v>959</v>
      </c>
      <c r="T140" s="602"/>
      <c r="U140" s="603"/>
      <c r="V140" s="593">
        <f t="shared" ref="V140:V202" si="97">VLOOKUP(S140,Kengetal,3,FALSE)+VLOOKUP(T140,Kengetal,3,FALSE)</f>
        <v>0</v>
      </c>
      <c r="W140" s="604">
        <f t="shared" si="84"/>
        <v>0</v>
      </c>
      <c r="X140" s="604">
        <f t="shared" si="85"/>
        <v>0</v>
      </c>
      <c r="Y140" s="604">
        <f t="shared" si="86"/>
        <v>0</v>
      </c>
      <c r="Z140" s="605">
        <f t="shared" si="87"/>
        <v>0</v>
      </c>
      <c r="AA140" s="751">
        <f t="shared" si="88"/>
        <v>0</v>
      </c>
      <c r="AB140" s="605">
        <f t="shared" si="89"/>
        <v>0</v>
      </c>
      <c r="AC140" s="607"/>
      <c r="AD140" s="591" t="str">
        <f t="shared" si="90"/>
        <v>Friesland College</v>
      </c>
      <c r="AE140" s="608"/>
      <c r="AF140" s="639">
        <v>7</v>
      </c>
      <c r="AG140" s="639">
        <f t="shared" si="93"/>
        <v>7</v>
      </c>
      <c r="AH140" s="639">
        <f t="shared" si="94"/>
        <v>0</v>
      </c>
      <c r="AI140" s="640"/>
      <c r="AJ140" s="641">
        <f t="shared" si="95"/>
        <v>0</v>
      </c>
      <c r="AK140" s="642"/>
      <c r="AL140" s="642" t="s">
        <v>364</v>
      </c>
      <c r="AM140" s="643"/>
      <c r="AN140" s="642"/>
      <c r="AO140" s="644">
        <v>133</v>
      </c>
      <c r="AP140" s="565"/>
      <c r="AQ140" s="566"/>
      <c r="AR140" s="566"/>
      <c r="AS140" s="566"/>
      <c r="AT140" s="566"/>
      <c r="AU140" s="566"/>
      <c r="AV140" s="566"/>
      <c r="AW140" s="566"/>
      <c r="AX140" s="566"/>
      <c r="AY140" s="566"/>
      <c r="AZ140" s="566"/>
      <c r="BA140" s="566"/>
      <c r="BB140" s="566"/>
      <c r="BC140" s="566"/>
      <c r="BD140" s="566"/>
      <c r="BE140" s="566"/>
      <c r="BF140" s="566"/>
      <c r="BG140" s="566"/>
    </row>
    <row r="141" spans="1:59">
      <c r="A141" s="591"/>
      <c r="B141" s="592"/>
      <c r="C141" s="593"/>
      <c r="D141" s="594">
        <v>1</v>
      </c>
      <c r="E141" s="595" t="s">
        <v>366</v>
      </c>
      <c r="F141" s="593" t="s">
        <v>339</v>
      </c>
      <c r="G141" s="596" t="s">
        <v>460</v>
      </c>
      <c r="H141" s="596"/>
      <c r="I141" s="596"/>
      <c r="J141" s="596"/>
      <c r="K141" s="596"/>
      <c r="L141" s="591" t="s">
        <v>801</v>
      </c>
      <c r="M141" s="597" t="str">
        <f t="shared" si="96"/>
        <v>Onderwijsruimte (theorie)</v>
      </c>
      <c r="N141" s="591" t="s">
        <v>78</v>
      </c>
      <c r="O141" s="621"/>
      <c r="P141" s="622"/>
      <c r="Q141" s="600">
        <f t="shared" si="91"/>
        <v>0</v>
      </c>
      <c r="R141" s="601">
        <f t="shared" si="83"/>
        <v>52</v>
      </c>
      <c r="S141" s="647">
        <v>102200</v>
      </c>
      <c r="T141" s="602"/>
      <c r="U141" s="645">
        <v>1</v>
      </c>
      <c r="V141" s="593">
        <f t="shared" si="97"/>
        <v>200</v>
      </c>
      <c r="W141" s="604">
        <f t="shared" si="84"/>
        <v>0</v>
      </c>
      <c r="X141" s="604">
        <f t="shared" si="85"/>
        <v>0</v>
      </c>
      <c r="Y141" s="604">
        <f t="shared" si="86"/>
        <v>0</v>
      </c>
      <c r="Z141" s="605">
        <f t="shared" si="87"/>
        <v>0</v>
      </c>
      <c r="AA141" s="751">
        <f t="shared" si="88"/>
        <v>0</v>
      </c>
      <c r="AB141" s="605">
        <f t="shared" si="89"/>
        <v>0</v>
      </c>
      <c r="AC141" s="607"/>
      <c r="AD141" s="591" t="str">
        <f t="shared" si="90"/>
        <v>Friesland College</v>
      </c>
      <c r="AE141" s="608"/>
      <c r="AF141" s="639">
        <v>52</v>
      </c>
      <c r="AG141" s="639">
        <f t="shared" si="93"/>
        <v>52</v>
      </c>
      <c r="AH141" s="639">
        <f t="shared" si="94"/>
        <v>0</v>
      </c>
      <c r="AI141" s="640"/>
      <c r="AJ141" s="641">
        <f t="shared" si="95"/>
        <v>0</v>
      </c>
      <c r="AK141" s="642"/>
      <c r="AL141" s="642" t="s">
        <v>364</v>
      </c>
      <c r="AM141" s="643"/>
      <c r="AN141" s="642"/>
      <c r="AO141" s="644">
        <v>134</v>
      </c>
      <c r="AP141" s="565"/>
      <c r="AQ141" s="566"/>
      <c r="AR141" s="566"/>
      <c r="AS141" s="566"/>
      <c r="AT141" s="566"/>
      <c r="AU141" s="566"/>
      <c r="AV141" s="566"/>
      <c r="AW141" s="566"/>
      <c r="AX141" s="566"/>
      <c r="AY141" s="566"/>
      <c r="AZ141" s="566"/>
      <c r="BA141" s="566"/>
      <c r="BB141" s="566"/>
      <c r="BC141" s="566"/>
      <c r="BD141" s="566"/>
      <c r="BE141" s="566"/>
      <c r="BF141" s="566"/>
      <c r="BG141" s="566"/>
    </row>
    <row r="142" spans="1:59">
      <c r="A142" s="591"/>
      <c r="B142" s="592"/>
      <c r="C142" s="593"/>
      <c r="D142" s="594">
        <v>1</v>
      </c>
      <c r="E142" s="595" t="s">
        <v>366</v>
      </c>
      <c r="F142" s="593" t="s">
        <v>339</v>
      </c>
      <c r="G142" s="596" t="s">
        <v>460</v>
      </c>
      <c r="H142" s="596"/>
      <c r="I142" s="596"/>
      <c r="J142" s="596"/>
      <c r="K142" s="596"/>
      <c r="L142" s="591" t="s">
        <v>779</v>
      </c>
      <c r="M142" s="597" t="str">
        <f t="shared" si="96"/>
        <v>Sanitaire ruimte (toilet-/doucheruimte)</v>
      </c>
      <c r="N142" s="591" t="s">
        <v>85</v>
      </c>
      <c r="O142" s="621"/>
      <c r="P142" s="622"/>
      <c r="Q142" s="600">
        <f t="shared" si="91"/>
        <v>0</v>
      </c>
      <c r="R142" s="601">
        <f t="shared" si="83"/>
        <v>22</v>
      </c>
      <c r="S142" s="647">
        <v>103200</v>
      </c>
      <c r="T142" s="647">
        <v>103400</v>
      </c>
      <c r="U142" s="645">
        <v>1</v>
      </c>
      <c r="V142" s="593">
        <f t="shared" si="97"/>
        <v>400</v>
      </c>
      <c r="W142" s="604">
        <f t="shared" si="84"/>
        <v>0</v>
      </c>
      <c r="X142" s="604">
        <f t="shared" si="85"/>
        <v>0</v>
      </c>
      <c r="Y142" s="604">
        <f t="shared" si="86"/>
        <v>0</v>
      </c>
      <c r="Z142" s="605">
        <f t="shared" si="87"/>
        <v>0</v>
      </c>
      <c r="AA142" s="751">
        <f t="shared" si="88"/>
        <v>0</v>
      </c>
      <c r="AB142" s="605">
        <f t="shared" si="89"/>
        <v>0</v>
      </c>
      <c r="AC142" s="607"/>
      <c r="AD142" s="591" t="str">
        <f t="shared" si="90"/>
        <v>Friesland College</v>
      </c>
      <c r="AE142" s="608"/>
      <c r="AF142" s="639">
        <v>22</v>
      </c>
      <c r="AG142" s="639">
        <f t="shared" si="93"/>
        <v>22</v>
      </c>
      <c r="AH142" s="639">
        <f t="shared" si="94"/>
        <v>0</v>
      </c>
      <c r="AI142" s="640"/>
      <c r="AJ142" s="641">
        <f t="shared" si="95"/>
        <v>0</v>
      </c>
      <c r="AK142" s="642"/>
      <c r="AL142" s="642" t="s">
        <v>364</v>
      </c>
      <c r="AM142" s="643"/>
      <c r="AN142" s="642"/>
      <c r="AO142" s="644">
        <v>135</v>
      </c>
      <c r="AP142" s="565"/>
      <c r="AQ142" s="566"/>
      <c r="AR142" s="566"/>
      <c r="AS142" s="566"/>
      <c r="AT142" s="566"/>
      <c r="AU142" s="566"/>
      <c r="AV142" s="566"/>
      <c r="AW142" s="566"/>
      <c r="AX142" s="566"/>
      <c r="AY142" s="566"/>
      <c r="AZ142" s="566"/>
      <c r="BA142" s="566"/>
      <c r="BB142" s="566"/>
      <c r="BC142" s="566"/>
      <c r="BD142" s="566"/>
      <c r="BE142" s="566"/>
      <c r="BF142" s="566"/>
      <c r="BG142" s="566"/>
    </row>
    <row r="143" spans="1:59">
      <c r="A143" s="591"/>
      <c r="B143" s="592"/>
      <c r="C143" s="593"/>
      <c r="D143" s="594">
        <v>1</v>
      </c>
      <c r="E143" s="595" t="s">
        <v>366</v>
      </c>
      <c r="F143" s="593" t="s">
        <v>339</v>
      </c>
      <c r="G143" s="596" t="s">
        <v>461</v>
      </c>
      <c r="H143" s="596"/>
      <c r="I143" s="596"/>
      <c r="J143" s="596"/>
      <c r="K143" s="596"/>
      <c r="L143" s="591" t="s">
        <v>999</v>
      </c>
      <c r="M143" s="597" t="str">
        <f t="shared" si="96"/>
        <v>Onderwijsruimte (theorie)</v>
      </c>
      <c r="N143" s="591" t="s">
        <v>78</v>
      </c>
      <c r="O143" s="621"/>
      <c r="P143" s="622"/>
      <c r="Q143" s="600">
        <f t="shared" si="91"/>
        <v>0</v>
      </c>
      <c r="R143" s="601">
        <f t="shared" si="83"/>
        <v>96</v>
      </c>
      <c r="S143" s="647">
        <v>102200</v>
      </c>
      <c r="T143" s="602"/>
      <c r="U143" s="645">
        <v>1</v>
      </c>
      <c r="V143" s="593">
        <f t="shared" si="97"/>
        <v>200</v>
      </c>
      <c r="W143" s="604">
        <f t="shared" si="84"/>
        <v>0</v>
      </c>
      <c r="X143" s="604">
        <f t="shared" si="85"/>
        <v>0</v>
      </c>
      <c r="Y143" s="604">
        <f t="shared" si="86"/>
        <v>0</v>
      </c>
      <c r="Z143" s="605">
        <f t="shared" si="87"/>
        <v>0</v>
      </c>
      <c r="AA143" s="751">
        <f t="shared" si="88"/>
        <v>0</v>
      </c>
      <c r="AB143" s="605">
        <f t="shared" si="89"/>
        <v>0</v>
      </c>
      <c r="AC143" s="607"/>
      <c r="AD143" s="591" t="str">
        <f t="shared" si="90"/>
        <v>Friesland College</v>
      </c>
      <c r="AE143" s="608"/>
      <c r="AF143" s="639">
        <v>96</v>
      </c>
      <c r="AG143" s="639">
        <f t="shared" si="93"/>
        <v>96</v>
      </c>
      <c r="AH143" s="639">
        <f t="shared" si="94"/>
        <v>0</v>
      </c>
      <c r="AI143" s="640"/>
      <c r="AJ143" s="641">
        <f t="shared" si="95"/>
        <v>0</v>
      </c>
      <c r="AK143" s="642"/>
      <c r="AL143" s="642" t="s">
        <v>364</v>
      </c>
      <c r="AM143" s="643"/>
      <c r="AN143" s="642"/>
      <c r="AO143" s="644">
        <v>136</v>
      </c>
      <c r="AP143" s="565"/>
      <c r="AQ143" s="566"/>
      <c r="AR143" s="566"/>
      <c r="AS143" s="566"/>
      <c r="AT143" s="566"/>
      <c r="AU143" s="566"/>
      <c r="AV143" s="566"/>
      <c r="AW143" s="566"/>
      <c r="AX143" s="566"/>
      <c r="AY143" s="566"/>
      <c r="AZ143" s="566"/>
      <c r="BA143" s="566"/>
      <c r="BB143" s="566"/>
      <c r="BC143" s="566"/>
      <c r="BD143" s="566"/>
      <c r="BE143" s="566"/>
      <c r="BF143" s="566"/>
      <c r="BG143" s="566"/>
    </row>
    <row r="144" spans="1:59">
      <c r="A144" s="591"/>
      <c r="B144" s="592"/>
      <c r="C144" s="593"/>
      <c r="D144" s="594">
        <v>1</v>
      </c>
      <c r="E144" s="595" t="s">
        <v>366</v>
      </c>
      <c r="F144" s="593" t="s">
        <v>339</v>
      </c>
      <c r="G144" s="596" t="s">
        <v>461</v>
      </c>
      <c r="H144" s="596"/>
      <c r="I144" s="596"/>
      <c r="J144" s="596"/>
      <c r="K144" s="596"/>
      <c r="L144" s="591" t="s">
        <v>319</v>
      </c>
      <c r="M144" s="597" t="str">
        <f t="shared" si="96"/>
        <v>Gang, hal, pantry, aula, repro, gardarobe</v>
      </c>
      <c r="N144" s="591" t="s">
        <v>78</v>
      </c>
      <c r="O144" s="598"/>
      <c r="P144" s="599"/>
      <c r="Q144" s="600">
        <f t="shared" si="91"/>
        <v>0</v>
      </c>
      <c r="R144" s="601">
        <f t="shared" si="83"/>
        <v>65</v>
      </c>
      <c r="S144" s="647">
        <v>104200</v>
      </c>
      <c r="T144" s="602"/>
      <c r="U144" s="645">
        <v>1</v>
      </c>
      <c r="V144" s="593">
        <f t="shared" si="97"/>
        <v>200</v>
      </c>
      <c r="W144" s="604">
        <f t="shared" si="84"/>
        <v>0</v>
      </c>
      <c r="X144" s="604">
        <f t="shared" si="85"/>
        <v>0</v>
      </c>
      <c r="Y144" s="604">
        <f t="shared" si="86"/>
        <v>0</v>
      </c>
      <c r="Z144" s="605">
        <f t="shared" si="87"/>
        <v>0</v>
      </c>
      <c r="AA144" s="751">
        <f t="shared" si="88"/>
        <v>0</v>
      </c>
      <c r="AB144" s="605">
        <f t="shared" si="89"/>
        <v>0</v>
      </c>
      <c r="AC144" s="607"/>
      <c r="AD144" s="591" t="str">
        <f t="shared" si="90"/>
        <v>Friesland College</v>
      </c>
      <c r="AE144" s="608"/>
      <c r="AF144" s="639">
        <v>65</v>
      </c>
      <c r="AG144" s="639">
        <f t="shared" si="93"/>
        <v>65</v>
      </c>
      <c r="AH144" s="639">
        <f t="shared" si="94"/>
        <v>0</v>
      </c>
      <c r="AI144" s="640"/>
      <c r="AJ144" s="641">
        <f t="shared" si="95"/>
        <v>0</v>
      </c>
      <c r="AK144" s="642"/>
      <c r="AL144" s="642" t="s">
        <v>364</v>
      </c>
      <c r="AM144" s="643"/>
      <c r="AN144" s="642"/>
      <c r="AO144" s="644">
        <v>137</v>
      </c>
      <c r="AP144" s="565"/>
      <c r="AQ144" s="566"/>
      <c r="AR144" s="566"/>
      <c r="AS144" s="566"/>
      <c r="AT144" s="566"/>
      <c r="AU144" s="566"/>
      <c r="AV144" s="566"/>
      <c r="AW144" s="566"/>
      <c r="AX144" s="566"/>
      <c r="AY144" s="566"/>
      <c r="AZ144" s="566"/>
      <c r="BA144" s="566"/>
      <c r="BB144" s="566"/>
      <c r="BC144" s="566"/>
      <c r="BD144" s="566"/>
      <c r="BE144" s="566"/>
      <c r="BF144" s="566"/>
      <c r="BG144" s="566"/>
    </row>
    <row r="145" spans="1:59">
      <c r="A145" s="591"/>
      <c r="B145" s="592"/>
      <c r="C145" s="593"/>
      <c r="D145" s="594">
        <v>1</v>
      </c>
      <c r="E145" s="595" t="s">
        <v>366</v>
      </c>
      <c r="F145" s="593" t="s">
        <v>339</v>
      </c>
      <c r="G145" s="596" t="s">
        <v>462</v>
      </c>
      <c r="H145" s="596"/>
      <c r="I145" s="596"/>
      <c r="J145" s="596"/>
      <c r="K145" s="596"/>
      <c r="L145" s="591" t="s">
        <v>778</v>
      </c>
      <c r="M145" s="597" t="str">
        <f t="shared" si="96"/>
        <v>Op afroep (in overleg)</v>
      </c>
      <c r="N145" s="591" t="s">
        <v>938</v>
      </c>
      <c r="O145" s="598"/>
      <c r="P145" s="599"/>
      <c r="Q145" s="600">
        <f t="shared" si="91"/>
        <v>0</v>
      </c>
      <c r="R145" s="601">
        <f t="shared" si="83"/>
        <v>16</v>
      </c>
      <c r="S145" s="603" t="s">
        <v>959</v>
      </c>
      <c r="T145" s="602"/>
      <c r="U145" s="603"/>
      <c r="V145" s="593">
        <f t="shared" si="97"/>
        <v>0</v>
      </c>
      <c r="W145" s="604">
        <f t="shared" si="84"/>
        <v>0</v>
      </c>
      <c r="X145" s="604">
        <f t="shared" si="85"/>
        <v>0</v>
      </c>
      <c r="Y145" s="604">
        <f t="shared" si="86"/>
        <v>0</v>
      </c>
      <c r="Z145" s="605">
        <f t="shared" si="87"/>
        <v>0</v>
      </c>
      <c r="AA145" s="751">
        <f t="shared" si="88"/>
        <v>0</v>
      </c>
      <c r="AB145" s="605">
        <f t="shared" si="89"/>
        <v>0</v>
      </c>
      <c r="AC145" s="607"/>
      <c r="AD145" s="591" t="str">
        <f t="shared" si="90"/>
        <v>Friesland College</v>
      </c>
      <c r="AE145" s="608"/>
      <c r="AF145" s="639">
        <v>16</v>
      </c>
      <c r="AG145" s="639">
        <f t="shared" si="93"/>
        <v>16</v>
      </c>
      <c r="AH145" s="639">
        <f t="shared" si="94"/>
        <v>0</v>
      </c>
      <c r="AI145" s="640"/>
      <c r="AJ145" s="641">
        <f t="shared" si="95"/>
        <v>0</v>
      </c>
      <c r="AK145" s="642"/>
      <c r="AL145" s="642" t="s">
        <v>364</v>
      </c>
      <c r="AM145" s="643"/>
      <c r="AN145" s="642"/>
      <c r="AO145" s="644">
        <v>138</v>
      </c>
      <c r="AP145" s="565"/>
      <c r="AQ145" s="566"/>
      <c r="AR145" s="566"/>
      <c r="AS145" s="566"/>
      <c r="AT145" s="566"/>
      <c r="AU145" s="566"/>
      <c r="AV145" s="566"/>
      <c r="AW145" s="566"/>
      <c r="AX145" s="566"/>
      <c r="AY145" s="566"/>
      <c r="AZ145" s="566"/>
      <c r="BA145" s="566"/>
      <c r="BB145" s="566"/>
      <c r="BC145" s="566"/>
      <c r="BD145" s="566"/>
      <c r="BE145" s="566"/>
      <c r="BF145" s="566"/>
      <c r="BG145" s="566"/>
    </row>
    <row r="146" spans="1:59">
      <c r="A146" s="591"/>
      <c r="B146" s="592"/>
      <c r="C146" s="593"/>
      <c r="D146" s="594">
        <v>1</v>
      </c>
      <c r="E146" s="595" t="s">
        <v>366</v>
      </c>
      <c r="F146" s="593" t="s">
        <v>339</v>
      </c>
      <c r="G146" s="596" t="s">
        <v>462</v>
      </c>
      <c r="H146" s="596" t="s">
        <v>463</v>
      </c>
      <c r="I146" s="596"/>
      <c r="J146" s="596"/>
      <c r="K146" s="596"/>
      <c r="L146" s="591" t="s">
        <v>1000</v>
      </c>
      <c r="M146" s="597" t="str">
        <f t="shared" si="96"/>
        <v>Onderwijsruimte (theorie)</v>
      </c>
      <c r="N146" s="591" t="s">
        <v>78</v>
      </c>
      <c r="O146" s="598"/>
      <c r="P146" s="599"/>
      <c r="Q146" s="600">
        <f t="shared" si="91"/>
        <v>0</v>
      </c>
      <c r="R146" s="601">
        <f t="shared" si="83"/>
        <v>19</v>
      </c>
      <c r="S146" s="647">
        <v>102200</v>
      </c>
      <c r="T146" s="602"/>
      <c r="U146" s="645">
        <v>1</v>
      </c>
      <c r="V146" s="593">
        <f t="shared" si="97"/>
        <v>200</v>
      </c>
      <c r="W146" s="604">
        <f t="shared" si="84"/>
        <v>0</v>
      </c>
      <c r="X146" s="604">
        <f t="shared" si="85"/>
        <v>0</v>
      </c>
      <c r="Y146" s="604">
        <f t="shared" si="86"/>
        <v>0</v>
      </c>
      <c r="Z146" s="605">
        <f t="shared" si="87"/>
        <v>0</v>
      </c>
      <c r="AA146" s="751">
        <f t="shared" si="88"/>
        <v>0</v>
      </c>
      <c r="AB146" s="605">
        <f t="shared" si="89"/>
        <v>0</v>
      </c>
      <c r="AC146" s="607"/>
      <c r="AD146" s="591" t="str">
        <f t="shared" si="90"/>
        <v>Friesland College</v>
      </c>
      <c r="AE146" s="608"/>
      <c r="AF146" s="639">
        <v>19</v>
      </c>
      <c r="AG146" s="639">
        <f t="shared" si="93"/>
        <v>19</v>
      </c>
      <c r="AH146" s="639">
        <f t="shared" si="94"/>
        <v>0</v>
      </c>
      <c r="AI146" s="640"/>
      <c r="AJ146" s="641">
        <f t="shared" si="95"/>
        <v>0</v>
      </c>
      <c r="AK146" s="642"/>
      <c r="AL146" s="642" t="s">
        <v>364</v>
      </c>
      <c r="AM146" s="643"/>
      <c r="AN146" s="642"/>
      <c r="AO146" s="644">
        <v>139</v>
      </c>
      <c r="AP146" s="565"/>
      <c r="AQ146" s="566"/>
      <c r="AR146" s="566"/>
      <c r="AS146" s="566"/>
      <c r="AT146" s="566"/>
      <c r="AU146" s="566"/>
      <c r="AV146" s="566"/>
      <c r="AW146" s="566"/>
      <c r="AX146" s="566"/>
      <c r="AY146" s="566"/>
      <c r="AZ146" s="566"/>
      <c r="BA146" s="566"/>
      <c r="BB146" s="566"/>
      <c r="BC146" s="566"/>
      <c r="BD146" s="566"/>
      <c r="BE146" s="566"/>
      <c r="BF146" s="566"/>
      <c r="BG146" s="566"/>
    </row>
    <row r="147" spans="1:59">
      <c r="A147" s="591"/>
      <c r="B147" s="592"/>
      <c r="C147" s="593"/>
      <c r="D147" s="594">
        <v>1</v>
      </c>
      <c r="E147" s="595" t="s">
        <v>366</v>
      </c>
      <c r="F147" s="593" t="s">
        <v>339</v>
      </c>
      <c r="G147" s="610" t="s">
        <v>462</v>
      </c>
      <c r="H147" s="610" t="s">
        <v>463</v>
      </c>
      <c r="I147" s="610"/>
      <c r="J147" s="610"/>
      <c r="K147" s="610"/>
      <c r="L147" s="611" t="s">
        <v>1000</v>
      </c>
      <c r="M147" s="612">
        <f t="shared" si="96"/>
        <v>0</v>
      </c>
      <c r="N147" s="613"/>
      <c r="O147" s="614" t="s">
        <v>993</v>
      </c>
      <c r="P147" s="615">
        <v>100</v>
      </c>
      <c r="Q147" s="616">
        <f t="shared" si="91"/>
        <v>19</v>
      </c>
      <c r="R147" s="613"/>
      <c r="S147" s="603"/>
      <c r="T147" s="606"/>
      <c r="U147" s="606"/>
      <c r="V147" s="593">
        <f t="shared" si="97"/>
        <v>0</v>
      </c>
      <c r="W147" s="606"/>
      <c r="X147" s="606"/>
      <c r="Y147" s="606"/>
      <c r="Z147" s="606"/>
      <c r="AA147" s="606"/>
      <c r="AB147" s="606"/>
      <c r="AC147" s="607"/>
      <c r="AD147" s="606"/>
      <c r="AE147" s="608"/>
      <c r="AF147" s="639">
        <v>19</v>
      </c>
      <c r="AG147" s="639">
        <f t="shared" si="93"/>
        <v>19</v>
      </c>
      <c r="AH147" s="639">
        <f t="shared" si="94"/>
        <v>0</v>
      </c>
      <c r="AI147" s="640"/>
      <c r="AJ147" s="641">
        <f t="shared" si="95"/>
        <v>0</v>
      </c>
      <c r="AK147" s="642"/>
      <c r="AL147" s="642" t="s">
        <v>364</v>
      </c>
      <c r="AM147" s="643"/>
      <c r="AN147" s="642"/>
      <c r="AO147" s="644">
        <v>140</v>
      </c>
      <c r="AP147" s="565"/>
      <c r="AQ147" s="566"/>
      <c r="AR147" s="566"/>
      <c r="AS147" s="566"/>
      <c r="AT147" s="566"/>
      <c r="AU147" s="566"/>
      <c r="AV147" s="566"/>
      <c r="AW147" s="566"/>
      <c r="AX147" s="566"/>
      <c r="AY147" s="566"/>
      <c r="AZ147" s="566"/>
      <c r="BA147" s="566"/>
      <c r="BB147" s="566"/>
      <c r="BC147" s="566"/>
      <c r="BD147" s="566"/>
      <c r="BE147" s="566"/>
      <c r="BF147" s="566"/>
      <c r="BG147" s="566"/>
    </row>
    <row r="148" spans="1:59">
      <c r="A148" s="591"/>
      <c r="B148" s="592"/>
      <c r="C148" s="593"/>
      <c r="D148" s="594">
        <v>1</v>
      </c>
      <c r="E148" s="595" t="s">
        <v>366</v>
      </c>
      <c r="F148" s="593" t="s">
        <v>339</v>
      </c>
      <c r="G148" s="596" t="s">
        <v>464</v>
      </c>
      <c r="H148" s="596"/>
      <c r="I148" s="596"/>
      <c r="J148" s="596"/>
      <c r="K148" s="596"/>
      <c r="L148" s="591" t="s">
        <v>777</v>
      </c>
      <c r="M148" s="597" t="str">
        <f t="shared" si="96"/>
        <v>Trappenhuis-bordes</v>
      </c>
      <c r="N148" s="591" t="s">
        <v>78</v>
      </c>
      <c r="O148" s="598"/>
      <c r="P148" s="599"/>
      <c r="Q148" s="600">
        <f t="shared" si="91"/>
        <v>0</v>
      </c>
      <c r="R148" s="601">
        <f>AF148</f>
        <v>18</v>
      </c>
      <c r="S148" s="647">
        <v>108200</v>
      </c>
      <c r="T148" s="602"/>
      <c r="U148" s="645">
        <v>1</v>
      </c>
      <c r="V148" s="593">
        <f t="shared" si="97"/>
        <v>200</v>
      </c>
      <c r="W148" s="604">
        <f t="shared" ref="W148:W149" si="98">Z148*R148*U148</f>
        <v>0</v>
      </c>
      <c r="X148" s="604">
        <f t="shared" ref="X148:X149" si="99">AA148*R148</f>
        <v>0</v>
      </c>
      <c r="Y148" s="604">
        <f t="shared" ref="Y148:Y149" si="100">AB148*R148</f>
        <v>0</v>
      </c>
      <c r="Z148" s="605">
        <f>VLOOKUP(S148,Kengetal,6,FALSE)</f>
        <v>0</v>
      </c>
      <c r="AA148" s="751">
        <f>VLOOKUP(S148,Kengetal,7,FALSE)</f>
        <v>0</v>
      </c>
      <c r="AB148" s="605">
        <f>VLOOKUP(T148,Kengetal,6,FALSE)</f>
        <v>0</v>
      </c>
      <c r="AC148" s="607"/>
      <c r="AD148" s="591" t="str">
        <f>AL148</f>
        <v>Friesland College</v>
      </c>
      <c r="AE148" s="608"/>
      <c r="AF148" s="639">
        <v>18</v>
      </c>
      <c r="AG148" s="639">
        <f t="shared" si="93"/>
        <v>18</v>
      </c>
      <c r="AH148" s="639">
        <f t="shared" si="94"/>
        <v>0</v>
      </c>
      <c r="AI148" s="640"/>
      <c r="AJ148" s="641">
        <f t="shared" si="95"/>
        <v>0</v>
      </c>
      <c r="AK148" s="642"/>
      <c r="AL148" s="642" t="s">
        <v>364</v>
      </c>
      <c r="AM148" s="643"/>
      <c r="AN148" s="642"/>
      <c r="AO148" s="644">
        <v>141</v>
      </c>
      <c r="AP148" s="565"/>
      <c r="AQ148" s="566"/>
      <c r="AR148" s="566"/>
      <c r="AS148" s="566"/>
      <c r="AT148" s="566"/>
      <c r="AU148" s="566"/>
      <c r="AV148" s="566"/>
      <c r="AW148" s="566"/>
      <c r="AX148" s="566"/>
      <c r="AY148" s="566"/>
      <c r="AZ148" s="566"/>
      <c r="BA148" s="566"/>
      <c r="BB148" s="566"/>
      <c r="BC148" s="566"/>
      <c r="BD148" s="566"/>
      <c r="BE148" s="566"/>
      <c r="BF148" s="566"/>
      <c r="BG148" s="566"/>
    </row>
    <row r="149" spans="1:59">
      <c r="A149" s="591"/>
      <c r="B149" s="592"/>
      <c r="C149" s="593"/>
      <c r="D149" s="594">
        <v>1</v>
      </c>
      <c r="E149" s="595" t="s">
        <v>366</v>
      </c>
      <c r="F149" s="593" t="s">
        <v>339</v>
      </c>
      <c r="G149" s="596" t="s">
        <v>464</v>
      </c>
      <c r="H149" s="596" t="s">
        <v>480</v>
      </c>
      <c r="I149" s="596"/>
      <c r="J149" s="596"/>
      <c r="K149" s="596"/>
      <c r="L149" s="591" t="s">
        <v>1001</v>
      </c>
      <c r="M149" s="597" t="str">
        <f t="shared" si="96"/>
        <v>Onderwijsruimte (theorie)</v>
      </c>
      <c r="N149" s="591" t="s">
        <v>78</v>
      </c>
      <c r="O149" s="598"/>
      <c r="P149" s="599"/>
      <c r="Q149" s="600">
        <f t="shared" si="91"/>
        <v>0</v>
      </c>
      <c r="R149" s="601">
        <f>AF149</f>
        <v>42</v>
      </c>
      <c r="S149" s="647">
        <v>102200</v>
      </c>
      <c r="T149" s="602"/>
      <c r="U149" s="645">
        <v>1</v>
      </c>
      <c r="V149" s="593">
        <f t="shared" si="97"/>
        <v>200</v>
      </c>
      <c r="W149" s="604">
        <f t="shared" si="98"/>
        <v>0</v>
      </c>
      <c r="X149" s="604">
        <f t="shared" si="99"/>
        <v>0</v>
      </c>
      <c r="Y149" s="604">
        <f t="shared" si="100"/>
        <v>0</v>
      </c>
      <c r="Z149" s="605">
        <f>VLOOKUP(S149,Kengetal,6,FALSE)</f>
        <v>0</v>
      </c>
      <c r="AA149" s="751">
        <f>VLOOKUP(S149,Kengetal,7,FALSE)</f>
        <v>0</v>
      </c>
      <c r="AB149" s="605">
        <f>VLOOKUP(T149,Kengetal,6,FALSE)</f>
        <v>0</v>
      </c>
      <c r="AC149" s="607"/>
      <c r="AD149" s="591" t="str">
        <f>AL149</f>
        <v>Friesland College</v>
      </c>
      <c r="AE149" s="608"/>
      <c r="AF149" s="639">
        <v>42</v>
      </c>
      <c r="AG149" s="639">
        <f t="shared" si="93"/>
        <v>42</v>
      </c>
      <c r="AH149" s="639">
        <f t="shared" si="94"/>
        <v>0</v>
      </c>
      <c r="AI149" s="640"/>
      <c r="AJ149" s="641">
        <f t="shared" si="95"/>
        <v>0</v>
      </c>
      <c r="AK149" s="642"/>
      <c r="AL149" s="642" t="s">
        <v>364</v>
      </c>
      <c r="AM149" s="643"/>
      <c r="AN149" s="642"/>
      <c r="AO149" s="644">
        <v>142</v>
      </c>
      <c r="AP149" s="565"/>
      <c r="AQ149" s="566"/>
      <c r="AR149" s="566"/>
      <c r="AS149" s="566"/>
      <c r="AT149" s="566"/>
      <c r="AU149" s="566"/>
      <c r="AV149" s="566"/>
      <c r="AW149" s="566"/>
      <c r="AX149" s="566"/>
      <c r="AY149" s="566"/>
      <c r="AZ149" s="566"/>
      <c r="BA149" s="566"/>
      <c r="BB149" s="566"/>
      <c r="BC149" s="566"/>
      <c r="BD149" s="566"/>
      <c r="BE149" s="566"/>
      <c r="BF149" s="566"/>
      <c r="BG149" s="566"/>
    </row>
    <row r="150" spans="1:59">
      <c r="A150" s="591"/>
      <c r="B150" s="592"/>
      <c r="C150" s="593"/>
      <c r="D150" s="594">
        <v>1</v>
      </c>
      <c r="E150" s="595" t="s">
        <v>366</v>
      </c>
      <c r="F150" s="593" t="s">
        <v>339</v>
      </c>
      <c r="G150" s="610" t="s">
        <v>464</v>
      </c>
      <c r="H150" s="610" t="s">
        <v>480</v>
      </c>
      <c r="I150" s="610"/>
      <c r="J150" s="610"/>
      <c r="K150" s="610"/>
      <c r="L150" s="611" t="s">
        <v>1001</v>
      </c>
      <c r="M150" s="612">
        <f t="shared" si="96"/>
        <v>0</v>
      </c>
      <c r="N150" s="613"/>
      <c r="O150" s="614" t="s">
        <v>993</v>
      </c>
      <c r="P150" s="615">
        <v>100</v>
      </c>
      <c r="Q150" s="616">
        <f t="shared" si="91"/>
        <v>42</v>
      </c>
      <c r="R150" s="613"/>
      <c r="S150" s="603"/>
      <c r="T150" s="606"/>
      <c r="U150" s="606"/>
      <c r="V150" s="593">
        <f t="shared" si="97"/>
        <v>0</v>
      </c>
      <c r="W150" s="606"/>
      <c r="X150" s="606"/>
      <c r="Y150" s="606"/>
      <c r="Z150" s="606"/>
      <c r="AA150" s="606"/>
      <c r="AB150" s="606"/>
      <c r="AC150" s="607"/>
      <c r="AD150" s="606"/>
      <c r="AE150" s="608"/>
      <c r="AF150" s="639">
        <v>42</v>
      </c>
      <c r="AG150" s="639">
        <f t="shared" si="93"/>
        <v>42</v>
      </c>
      <c r="AH150" s="639">
        <f t="shared" si="94"/>
        <v>0</v>
      </c>
      <c r="AI150" s="640"/>
      <c r="AJ150" s="641">
        <f t="shared" si="95"/>
        <v>0</v>
      </c>
      <c r="AK150" s="642"/>
      <c r="AL150" s="642" t="s">
        <v>364</v>
      </c>
      <c r="AM150" s="643"/>
      <c r="AN150" s="642"/>
      <c r="AO150" s="644">
        <v>143</v>
      </c>
      <c r="AP150" s="565"/>
      <c r="AQ150" s="566"/>
      <c r="AR150" s="566"/>
      <c r="AS150" s="566"/>
      <c r="AT150" s="566"/>
      <c r="AU150" s="566"/>
      <c r="AV150" s="566"/>
      <c r="AW150" s="566"/>
      <c r="AX150" s="566"/>
      <c r="AY150" s="566"/>
      <c r="AZ150" s="566"/>
      <c r="BA150" s="566"/>
      <c r="BB150" s="566"/>
      <c r="BC150" s="566"/>
      <c r="BD150" s="566"/>
      <c r="BE150" s="566"/>
      <c r="BF150" s="566"/>
      <c r="BG150" s="566"/>
    </row>
    <row r="151" spans="1:59">
      <c r="A151" s="591"/>
      <c r="B151" s="592"/>
      <c r="C151" s="593"/>
      <c r="D151" s="594">
        <v>1</v>
      </c>
      <c r="E151" s="595" t="s">
        <v>366</v>
      </c>
      <c r="F151" s="593" t="s">
        <v>339</v>
      </c>
      <c r="G151" s="596" t="s">
        <v>465</v>
      </c>
      <c r="H151" s="596"/>
      <c r="I151" s="596"/>
      <c r="J151" s="596"/>
      <c r="K151" s="596"/>
      <c r="L151" s="591" t="s">
        <v>777</v>
      </c>
      <c r="M151" s="597" t="str">
        <f t="shared" si="96"/>
        <v>Trappenhuis-bordes</v>
      </c>
      <c r="N151" s="625" t="s">
        <v>941</v>
      </c>
      <c r="O151" s="598"/>
      <c r="P151" s="599"/>
      <c r="Q151" s="600">
        <f t="shared" si="91"/>
        <v>0</v>
      </c>
      <c r="R151" s="601">
        <f>AF151</f>
        <v>16</v>
      </c>
      <c r="S151" s="647">
        <v>108200</v>
      </c>
      <c r="T151" s="602"/>
      <c r="U151" s="645">
        <v>1</v>
      </c>
      <c r="V151" s="593">
        <f t="shared" si="97"/>
        <v>200</v>
      </c>
      <c r="W151" s="604">
        <f t="shared" ref="W151:W152" si="101">Z151*R151*U151</f>
        <v>0</v>
      </c>
      <c r="X151" s="604">
        <f t="shared" ref="X151:X152" si="102">AA151*R151</f>
        <v>0</v>
      </c>
      <c r="Y151" s="604">
        <f t="shared" ref="Y151:Y152" si="103">AB151*R151</f>
        <v>0</v>
      </c>
      <c r="Z151" s="605">
        <f>VLOOKUP(S151,Kengetal,6,FALSE)</f>
        <v>0</v>
      </c>
      <c r="AA151" s="751">
        <f>VLOOKUP(S151,Kengetal,7,FALSE)</f>
        <v>0</v>
      </c>
      <c r="AB151" s="605">
        <f>VLOOKUP(T151,Kengetal,6,FALSE)</f>
        <v>0</v>
      </c>
      <c r="AC151" s="607"/>
      <c r="AD151" s="591" t="str">
        <f>AL151</f>
        <v>Friesland College</v>
      </c>
      <c r="AE151" s="608"/>
      <c r="AF151" s="639">
        <v>16</v>
      </c>
      <c r="AG151" s="639">
        <f t="shared" si="93"/>
        <v>16</v>
      </c>
      <c r="AH151" s="639">
        <f t="shared" si="94"/>
        <v>0</v>
      </c>
      <c r="AI151" s="640"/>
      <c r="AJ151" s="641">
        <f t="shared" si="95"/>
        <v>0</v>
      </c>
      <c r="AK151" s="642"/>
      <c r="AL151" s="642" t="s">
        <v>364</v>
      </c>
      <c r="AM151" s="643"/>
      <c r="AN151" s="642"/>
      <c r="AO151" s="644">
        <v>144</v>
      </c>
      <c r="AP151" s="565"/>
      <c r="AQ151" s="566"/>
      <c r="AR151" s="566"/>
      <c r="AS151" s="566"/>
      <c r="AT151" s="566"/>
      <c r="AU151" s="566"/>
      <c r="AV151" s="566"/>
      <c r="AW151" s="566"/>
      <c r="AX151" s="566"/>
      <c r="AY151" s="566"/>
      <c r="AZ151" s="566"/>
      <c r="BA151" s="566"/>
      <c r="BB151" s="566"/>
      <c r="BC151" s="566"/>
      <c r="BD151" s="566"/>
      <c r="BE151" s="566"/>
      <c r="BF151" s="566"/>
      <c r="BG151" s="566"/>
    </row>
    <row r="152" spans="1:59">
      <c r="A152" s="591"/>
      <c r="B152" s="592"/>
      <c r="C152" s="593"/>
      <c r="D152" s="594">
        <v>1</v>
      </c>
      <c r="E152" s="595" t="s">
        <v>366</v>
      </c>
      <c r="F152" s="593" t="s">
        <v>339</v>
      </c>
      <c r="G152" s="596" t="s">
        <v>465</v>
      </c>
      <c r="H152" s="596" t="s">
        <v>466</v>
      </c>
      <c r="I152" s="596"/>
      <c r="J152" s="596"/>
      <c r="K152" s="596"/>
      <c r="L152" s="591" t="s">
        <v>1002</v>
      </c>
      <c r="M152" s="597" t="str">
        <f t="shared" si="96"/>
        <v>Onderwijsruimte (theorie)</v>
      </c>
      <c r="N152" s="591" t="s">
        <v>78</v>
      </c>
      <c r="O152" s="598"/>
      <c r="P152" s="599"/>
      <c r="Q152" s="600">
        <f t="shared" si="91"/>
        <v>0</v>
      </c>
      <c r="R152" s="601">
        <f>AF152</f>
        <v>20</v>
      </c>
      <c r="S152" s="647">
        <v>102200</v>
      </c>
      <c r="T152" s="602"/>
      <c r="U152" s="645">
        <v>1</v>
      </c>
      <c r="V152" s="593">
        <f t="shared" si="97"/>
        <v>200</v>
      </c>
      <c r="W152" s="604">
        <f t="shared" si="101"/>
        <v>0</v>
      </c>
      <c r="X152" s="604">
        <f t="shared" si="102"/>
        <v>0</v>
      </c>
      <c r="Y152" s="604">
        <f t="shared" si="103"/>
        <v>0</v>
      </c>
      <c r="Z152" s="605">
        <f>VLOOKUP(S152,Kengetal,6,FALSE)</f>
        <v>0</v>
      </c>
      <c r="AA152" s="751">
        <f>VLOOKUP(S152,Kengetal,7,FALSE)</f>
        <v>0</v>
      </c>
      <c r="AB152" s="605">
        <f>VLOOKUP(T152,Kengetal,6,FALSE)</f>
        <v>0</v>
      </c>
      <c r="AC152" s="607"/>
      <c r="AD152" s="591" t="str">
        <f>AL152</f>
        <v>Friesland College</v>
      </c>
      <c r="AE152" s="608"/>
      <c r="AF152" s="639">
        <v>20</v>
      </c>
      <c r="AG152" s="639">
        <f t="shared" si="93"/>
        <v>20</v>
      </c>
      <c r="AH152" s="639">
        <f t="shared" si="94"/>
        <v>0</v>
      </c>
      <c r="AI152" s="640"/>
      <c r="AJ152" s="641">
        <f t="shared" si="95"/>
        <v>0</v>
      </c>
      <c r="AK152" s="642"/>
      <c r="AL152" s="642" t="s">
        <v>364</v>
      </c>
      <c r="AM152" s="643"/>
      <c r="AN152" s="642"/>
      <c r="AO152" s="644">
        <v>145</v>
      </c>
      <c r="AP152" s="565"/>
      <c r="AQ152" s="566"/>
      <c r="AR152" s="566"/>
      <c r="AS152" s="566"/>
      <c r="AT152" s="566"/>
      <c r="AU152" s="566"/>
      <c r="AV152" s="566"/>
      <c r="AW152" s="566"/>
      <c r="AX152" s="566"/>
      <c r="AY152" s="566"/>
      <c r="AZ152" s="566"/>
      <c r="BA152" s="566"/>
      <c r="BB152" s="566"/>
      <c r="BC152" s="566"/>
      <c r="BD152" s="566"/>
      <c r="BE152" s="566"/>
      <c r="BF152" s="566"/>
      <c r="BG152" s="566"/>
    </row>
    <row r="153" spans="1:59">
      <c r="A153" s="591"/>
      <c r="B153" s="592"/>
      <c r="C153" s="593"/>
      <c r="D153" s="594">
        <v>1</v>
      </c>
      <c r="E153" s="595" t="s">
        <v>366</v>
      </c>
      <c r="F153" s="593" t="s">
        <v>339</v>
      </c>
      <c r="G153" s="610" t="s">
        <v>465</v>
      </c>
      <c r="H153" s="610" t="s">
        <v>466</v>
      </c>
      <c r="I153" s="610"/>
      <c r="J153" s="610"/>
      <c r="K153" s="610"/>
      <c r="L153" s="611" t="s">
        <v>1002</v>
      </c>
      <c r="M153" s="612">
        <f t="shared" si="96"/>
        <v>0</v>
      </c>
      <c r="N153" s="613"/>
      <c r="O153" s="614" t="s">
        <v>993</v>
      </c>
      <c r="P153" s="615">
        <v>100</v>
      </c>
      <c r="Q153" s="616">
        <f t="shared" si="91"/>
        <v>20</v>
      </c>
      <c r="R153" s="613"/>
      <c r="S153" s="603"/>
      <c r="T153" s="606"/>
      <c r="U153" s="606"/>
      <c r="V153" s="593">
        <f t="shared" si="97"/>
        <v>0</v>
      </c>
      <c r="W153" s="606"/>
      <c r="X153" s="606"/>
      <c r="Y153" s="606"/>
      <c r="Z153" s="606"/>
      <c r="AA153" s="606"/>
      <c r="AB153" s="606"/>
      <c r="AC153" s="607"/>
      <c r="AD153" s="606"/>
      <c r="AE153" s="608"/>
      <c r="AF153" s="639">
        <v>20</v>
      </c>
      <c r="AG153" s="639">
        <f t="shared" si="93"/>
        <v>20</v>
      </c>
      <c r="AH153" s="639">
        <f t="shared" si="94"/>
        <v>0</v>
      </c>
      <c r="AI153" s="640"/>
      <c r="AJ153" s="641">
        <f t="shared" si="95"/>
        <v>0</v>
      </c>
      <c r="AK153" s="642"/>
      <c r="AL153" s="642" t="s">
        <v>364</v>
      </c>
      <c r="AM153" s="643"/>
      <c r="AN153" s="642"/>
      <c r="AO153" s="644">
        <v>146</v>
      </c>
      <c r="AP153" s="565"/>
      <c r="AQ153" s="566"/>
      <c r="AR153" s="566"/>
      <c r="AS153" s="566"/>
      <c r="AT153" s="566"/>
      <c r="AU153" s="566"/>
      <c r="AV153" s="566"/>
      <c r="AW153" s="566"/>
      <c r="AX153" s="566"/>
      <c r="AY153" s="566"/>
      <c r="AZ153" s="566"/>
      <c r="BA153" s="566"/>
      <c r="BB153" s="566"/>
      <c r="BC153" s="566"/>
      <c r="BD153" s="566"/>
      <c r="BE153" s="566"/>
      <c r="BF153" s="566"/>
      <c r="BG153" s="566"/>
    </row>
    <row r="154" spans="1:59">
      <c r="A154" s="591"/>
      <c r="B154" s="592"/>
      <c r="C154" s="593"/>
      <c r="D154" s="594">
        <v>1</v>
      </c>
      <c r="E154" s="595" t="s">
        <v>366</v>
      </c>
      <c r="F154" s="593" t="s">
        <v>339</v>
      </c>
      <c r="G154" s="596" t="s">
        <v>467</v>
      </c>
      <c r="H154" s="596" t="s">
        <v>444</v>
      </c>
      <c r="I154" s="596"/>
      <c r="J154" s="596"/>
      <c r="K154" s="596"/>
      <c r="L154" s="591" t="s">
        <v>803</v>
      </c>
      <c r="M154" s="597" t="str">
        <f t="shared" si="96"/>
        <v>Onderwijsruimte (theorie)</v>
      </c>
      <c r="N154" s="591" t="s">
        <v>938</v>
      </c>
      <c r="O154" s="598"/>
      <c r="P154" s="599"/>
      <c r="Q154" s="600">
        <f t="shared" si="91"/>
        <v>0</v>
      </c>
      <c r="R154" s="601">
        <f>AF154</f>
        <v>42</v>
      </c>
      <c r="S154" s="647">
        <v>102200</v>
      </c>
      <c r="T154" s="602"/>
      <c r="U154" s="645">
        <v>1</v>
      </c>
      <c r="V154" s="593">
        <f t="shared" si="97"/>
        <v>200</v>
      </c>
      <c r="W154" s="604">
        <f>Z154*R154*U154</f>
        <v>0</v>
      </c>
      <c r="X154" s="604">
        <f>AA154*R154</f>
        <v>0</v>
      </c>
      <c r="Y154" s="604">
        <f>AB154*R154</f>
        <v>0</v>
      </c>
      <c r="Z154" s="605">
        <f>VLOOKUP(S154,Kengetal,6,FALSE)</f>
        <v>0</v>
      </c>
      <c r="AA154" s="751">
        <f>VLOOKUP(S154,Kengetal,7,FALSE)</f>
        <v>0</v>
      </c>
      <c r="AB154" s="605">
        <f>VLOOKUP(T154,Kengetal,6,FALSE)</f>
        <v>0</v>
      </c>
      <c r="AC154" s="607"/>
      <c r="AD154" s="591" t="str">
        <f>AL154</f>
        <v>Friesland College</v>
      </c>
      <c r="AE154" s="608"/>
      <c r="AF154" s="639">
        <v>42</v>
      </c>
      <c r="AG154" s="639">
        <f t="shared" si="93"/>
        <v>42</v>
      </c>
      <c r="AH154" s="639">
        <f t="shared" si="94"/>
        <v>0</v>
      </c>
      <c r="AI154" s="640"/>
      <c r="AJ154" s="641">
        <f t="shared" si="95"/>
        <v>0</v>
      </c>
      <c r="AK154" s="642"/>
      <c r="AL154" s="642" t="s">
        <v>364</v>
      </c>
      <c r="AM154" s="643"/>
      <c r="AN154" s="642"/>
      <c r="AO154" s="644">
        <v>147</v>
      </c>
      <c r="AP154" s="565"/>
      <c r="AQ154" s="566"/>
      <c r="AR154" s="566"/>
      <c r="AS154" s="566"/>
      <c r="AT154" s="566"/>
      <c r="AU154" s="566"/>
      <c r="AV154" s="566"/>
      <c r="AW154" s="566"/>
      <c r="AX154" s="566"/>
      <c r="AY154" s="566"/>
      <c r="AZ154" s="566"/>
      <c r="BA154" s="566"/>
      <c r="BB154" s="566"/>
      <c r="BC154" s="566"/>
      <c r="BD154" s="566"/>
      <c r="BE154" s="566"/>
      <c r="BF154" s="566"/>
      <c r="BG154" s="566"/>
    </row>
    <row r="155" spans="1:59">
      <c r="A155" s="591"/>
      <c r="B155" s="618"/>
      <c r="C155" s="609"/>
      <c r="D155" s="609">
        <v>1</v>
      </c>
      <c r="E155" s="595" t="s">
        <v>366</v>
      </c>
      <c r="F155" s="593" t="s">
        <v>339</v>
      </c>
      <c r="G155" s="610" t="s">
        <v>467</v>
      </c>
      <c r="H155" s="610" t="s">
        <v>444</v>
      </c>
      <c r="I155" s="610"/>
      <c r="J155" s="610"/>
      <c r="K155" s="610"/>
      <c r="L155" s="611" t="s">
        <v>803</v>
      </c>
      <c r="M155" s="612">
        <f t="shared" si="96"/>
        <v>0</v>
      </c>
      <c r="N155" s="613"/>
      <c r="O155" s="614" t="s">
        <v>993</v>
      </c>
      <c r="P155" s="615">
        <v>100</v>
      </c>
      <c r="Q155" s="616">
        <f t="shared" si="91"/>
        <v>42</v>
      </c>
      <c r="R155" s="613"/>
      <c r="S155" s="603"/>
      <c r="T155" s="606"/>
      <c r="U155" s="606"/>
      <c r="V155" s="593">
        <f t="shared" si="97"/>
        <v>0</v>
      </c>
      <c r="W155" s="606"/>
      <c r="X155" s="606"/>
      <c r="Y155" s="606"/>
      <c r="Z155" s="606"/>
      <c r="AA155" s="606"/>
      <c r="AB155" s="606"/>
      <c r="AC155" s="607"/>
      <c r="AD155" s="606"/>
      <c r="AE155" s="608"/>
      <c r="AF155" s="639">
        <v>42</v>
      </c>
      <c r="AG155" s="639">
        <f t="shared" si="93"/>
        <v>42</v>
      </c>
      <c r="AH155" s="639">
        <f t="shared" si="94"/>
        <v>0</v>
      </c>
      <c r="AI155" s="640"/>
      <c r="AJ155" s="641">
        <f t="shared" si="95"/>
        <v>0</v>
      </c>
      <c r="AK155" s="642"/>
      <c r="AL155" s="642" t="s">
        <v>364</v>
      </c>
      <c r="AM155" s="643"/>
      <c r="AN155" s="642"/>
      <c r="AO155" s="644">
        <v>148</v>
      </c>
      <c r="AP155" s="565"/>
      <c r="AQ155" s="566"/>
      <c r="AR155" s="566"/>
      <c r="AS155" s="566"/>
      <c r="AT155" s="566"/>
      <c r="AU155" s="566"/>
      <c r="AV155" s="566"/>
      <c r="AW155" s="566"/>
      <c r="AX155" s="566"/>
      <c r="AY155" s="566"/>
      <c r="AZ155" s="566"/>
      <c r="BA155" s="566"/>
      <c r="BB155" s="566"/>
      <c r="BC155" s="566"/>
      <c r="BD155" s="566"/>
      <c r="BE155" s="566"/>
      <c r="BF155" s="566"/>
      <c r="BG155" s="566"/>
    </row>
    <row r="156" spans="1:59">
      <c r="A156" s="591"/>
      <c r="B156" s="592"/>
      <c r="C156" s="593"/>
      <c r="D156" s="594">
        <v>1</v>
      </c>
      <c r="E156" s="595" t="s">
        <v>366</v>
      </c>
      <c r="F156" s="593" t="s">
        <v>339</v>
      </c>
      <c r="G156" s="596" t="s">
        <v>469</v>
      </c>
      <c r="H156" s="596" t="s">
        <v>470</v>
      </c>
      <c r="I156" s="596"/>
      <c r="J156" s="596"/>
      <c r="K156" s="596"/>
      <c r="L156" s="591" t="s">
        <v>1003</v>
      </c>
      <c r="M156" s="597" t="str">
        <f t="shared" si="96"/>
        <v>Onderwijsruimte (praktijk)</v>
      </c>
      <c r="N156" s="591" t="s">
        <v>938</v>
      </c>
      <c r="O156" s="598"/>
      <c r="P156" s="599"/>
      <c r="Q156" s="600">
        <f t="shared" si="91"/>
        <v>0</v>
      </c>
      <c r="R156" s="601">
        <f>AF156</f>
        <v>44</v>
      </c>
      <c r="S156" s="647">
        <v>112200</v>
      </c>
      <c r="T156" s="602"/>
      <c r="U156" s="645">
        <v>1</v>
      </c>
      <c r="V156" s="593">
        <f t="shared" si="97"/>
        <v>200</v>
      </c>
      <c r="W156" s="604">
        <f>Z156*R156*U156</f>
        <v>0</v>
      </c>
      <c r="X156" s="604">
        <f>AA156*R156</f>
        <v>0</v>
      </c>
      <c r="Y156" s="604">
        <f>AB156*R156</f>
        <v>0</v>
      </c>
      <c r="Z156" s="605">
        <f>VLOOKUP(S156,Kengetal,6,FALSE)</f>
        <v>0</v>
      </c>
      <c r="AA156" s="751">
        <f>VLOOKUP(S156,Kengetal,7,FALSE)</f>
        <v>0</v>
      </c>
      <c r="AB156" s="605">
        <f>VLOOKUP(T156,Kengetal,6,FALSE)</f>
        <v>0</v>
      </c>
      <c r="AC156" s="607"/>
      <c r="AD156" s="591" t="str">
        <f>AL156</f>
        <v>Friesland College</v>
      </c>
      <c r="AE156" s="608"/>
      <c r="AF156" s="639">
        <v>44</v>
      </c>
      <c r="AG156" s="639">
        <f t="shared" si="93"/>
        <v>44</v>
      </c>
      <c r="AH156" s="639">
        <f t="shared" si="94"/>
        <v>0</v>
      </c>
      <c r="AI156" s="640"/>
      <c r="AJ156" s="641">
        <f t="shared" si="95"/>
        <v>0</v>
      </c>
      <c r="AK156" s="642"/>
      <c r="AL156" s="642" t="s">
        <v>364</v>
      </c>
      <c r="AM156" s="643"/>
      <c r="AN156" s="642"/>
      <c r="AO156" s="644">
        <v>149</v>
      </c>
      <c r="AP156" s="565"/>
      <c r="AQ156" s="566"/>
      <c r="AR156" s="566"/>
      <c r="AS156" s="566"/>
      <c r="AT156" s="566"/>
      <c r="AU156" s="566"/>
      <c r="AV156" s="566"/>
      <c r="AW156" s="566"/>
      <c r="AX156" s="566"/>
      <c r="AY156" s="566"/>
      <c r="AZ156" s="566"/>
      <c r="BA156" s="566"/>
      <c r="BB156" s="566"/>
      <c r="BC156" s="566"/>
      <c r="BD156" s="566"/>
      <c r="BE156" s="566"/>
      <c r="BF156" s="566"/>
      <c r="BG156" s="566"/>
    </row>
    <row r="157" spans="1:59">
      <c r="A157" s="591"/>
      <c r="B157" s="618"/>
      <c r="C157" s="609"/>
      <c r="D157" s="609">
        <v>1</v>
      </c>
      <c r="E157" s="595" t="s">
        <v>366</v>
      </c>
      <c r="F157" s="593" t="s">
        <v>339</v>
      </c>
      <c r="G157" s="610" t="s">
        <v>469</v>
      </c>
      <c r="H157" s="610" t="s">
        <v>470</v>
      </c>
      <c r="I157" s="610"/>
      <c r="J157" s="610"/>
      <c r="K157" s="610"/>
      <c r="L157" s="611" t="s">
        <v>1003</v>
      </c>
      <c r="M157" s="612">
        <f t="shared" si="96"/>
        <v>0</v>
      </c>
      <c r="N157" s="613"/>
      <c r="O157" s="614" t="s">
        <v>993</v>
      </c>
      <c r="P157" s="615">
        <v>100</v>
      </c>
      <c r="Q157" s="616">
        <f t="shared" si="91"/>
        <v>44</v>
      </c>
      <c r="R157" s="613"/>
      <c r="S157" s="603"/>
      <c r="T157" s="606"/>
      <c r="U157" s="606"/>
      <c r="V157" s="593">
        <f t="shared" si="97"/>
        <v>0</v>
      </c>
      <c r="W157" s="606"/>
      <c r="X157" s="606"/>
      <c r="Y157" s="606"/>
      <c r="Z157" s="606"/>
      <c r="AA157" s="606"/>
      <c r="AB157" s="606"/>
      <c r="AC157" s="607"/>
      <c r="AD157" s="606"/>
      <c r="AE157" s="608"/>
      <c r="AF157" s="639">
        <v>44</v>
      </c>
      <c r="AG157" s="639">
        <f t="shared" si="93"/>
        <v>44</v>
      </c>
      <c r="AH157" s="639">
        <f t="shared" si="94"/>
        <v>0</v>
      </c>
      <c r="AI157" s="640"/>
      <c r="AJ157" s="641">
        <f t="shared" si="95"/>
        <v>0</v>
      </c>
      <c r="AK157" s="642"/>
      <c r="AL157" s="642" t="s">
        <v>364</v>
      </c>
      <c r="AM157" s="643"/>
      <c r="AN157" s="642"/>
      <c r="AO157" s="644">
        <v>150</v>
      </c>
      <c r="AP157" s="565"/>
      <c r="AQ157" s="566"/>
      <c r="AR157" s="566"/>
      <c r="AS157" s="566"/>
      <c r="AT157" s="566"/>
      <c r="AU157" s="566"/>
      <c r="AV157" s="566"/>
      <c r="AW157" s="566"/>
      <c r="AX157" s="566"/>
      <c r="AY157" s="566"/>
      <c r="AZ157" s="566"/>
      <c r="BA157" s="566"/>
      <c r="BB157" s="566"/>
      <c r="BC157" s="566"/>
      <c r="BD157" s="566"/>
      <c r="BE157" s="566"/>
      <c r="BF157" s="566"/>
      <c r="BG157" s="566"/>
    </row>
    <row r="158" spans="1:59">
      <c r="A158" s="591"/>
      <c r="B158" s="592"/>
      <c r="C158" s="593"/>
      <c r="D158" s="594">
        <v>1</v>
      </c>
      <c r="E158" s="595" t="s">
        <v>366</v>
      </c>
      <c r="F158" s="593" t="s">
        <v>339</v>
      </c>
      <c r="G158" s="596" t="s">
        <v>471</v>
      </c>
      <c r="H158" s="596" t="s">
        <v>472</v>
      </c>
      <c r="I158" s="596"/>
      <c r="J158" s="596"/>
      <c r="K158" s="596"/>
      <c r="L158" s="591" t="s">
        <v>786</v>
      </c>
      <c r="M158" s="597" t="str">
        <f t="shared" si="96"/>
        <v>Op afroep (in overleg)</v>
      </c>
      <c r="N158" s="591" t="s">
        <v>938</v>
      </c>
      <c r="O158" s="598"/>
      <c r="P158" s="599"/>
      <c r="Q158" s="600">
        <f t="shared" si="91"/>
        <v>0</v>
      </c>
      <c r="R158" s="601">
        <f>AF158</f>
        <v>7</v>
      </c>
      <c r="S158" s="603" t="s">
        <v>959</v>
      </c>
      <c r="T158" s="602"/>
      <c r="U158" s="603"/>
      <c r="V158" s="593">
        <f t="shared" si="97"/>
        <v>0</v>
      </c>
      <c r="W158" s="604">
        <f t="shared" ref="W158:W160" si="104">Z158*R158*U158</f>
        <v>0</v>
      </c>
      <c r="X158" s="604">
        <f t="shared" ref="X158:X160" si="105">AA158*R158</f>
        <v>0</v>
      </c>
      <c r="Y158" s="604">
        <f t="shared" ref="Y158:Y160" si="106">AB158*R158</f>
        <v>0</v>
      </c>
      <c r="Z158" s="605">
        <f>VLOOKUP(S158,Kengetal,6,FALSE)</f>
        <v>0</v>
      </c>
      <c r="AA158" s="751">
        <f>VLOOKUP(S158,Kengetal,7,FALSE)</f>
        <v>0</v>
      </c>
      <c r="AB158" s="605">
        <f>VLOOKUP(T158,Kengetal,6,FALSE)</f>
        <v>0</v>
      </c>
      <c r="AC158" s="607"/>
      <c r="AD158" s="591" t="str">
        <f>AL158</f>
        <v>Friesland College</v>
      </c>
      <c r="AE158" s="608"/>
      <c r="AF158" s="639">
        <v>7</v>
      </c>
      <c r="AG158" s="639">
        <f t="shared" si="93"/>
        <v>7</v>
      </c>
      <c r="AH158" s="639">
        <f t="shared" si="94"/>
        <v>0</v>
      </c>
      <c r="AI158" s="640"/>
      <c r="AJ158" s="641">
        <f t="shared" si="95"/>
        <v>0</v>
      </c>
      <c r="AK158" s="642"/>
      <c r="AL158" s="642" t="s">
        <v>364</v>
      </c>
      <c r="AM158" s="643"/>
      <c r="AN158" s="642"/>
      <c r="AO158" s="644">
        <v>151</v>
      </c>
      <c r="AP158" s="565"/>
      <c r="AQ158" s="566"/>
      <c r="AR158" s="566"/>
      <c r="AS158" s="566"/>
      <c r="AT158" s="566"/>
      <c r="AU158" s="566"/>
      <c r="AV158" s="566"/>
      <c r="AW158" s="566"/>
      <c r="AX158" s="566"/>
      <c r="AY158" s="566"/>
      <c r="AZ158" s="566"/>
      <c r="BA158" s="566"/>
      <c r="BB158" s="566"/>
      <c r="BC158" s="566"/>
      <c r="BD158" s="566"/>
      <c r="BE158" s="566"/>
      <c r="BF158" s="566"/>
      <c r="BG158" s="566"/>
    </row>
    <row r="159" spans="1:59">
      <c r="A159" s="591"/>
      <c r="B159" s="592"/>
      <c r="C159" s="593"/>
      <c r="D159" s="594">
        <v>1</v>
      </c>
      <c r="E159" s="595" t="s">
        <v>366</v>
      </c>
      <c r="F159" s="593" t="s">
        <v>339</v>
      </c>
      <c r="G159" s="596" t="s">
        <v>473</v>
      </c>
      <c r="H159" s="596"/>
      <c r="I159" s="596"/>
      <c r="J159" s="596"/>
      <c r="K159" s="596"/>
      <c r="L159" s="591" t="s">
        <v>763</v>
      </c>
      <c r="M159" s="597" t="str">
        <f t="shared" si="96"/>
        <v>Trappenhuis-bordes</v>
      </c>
      <c r="N159" s="591" t="s">
        <v>938</v>
      </c>
      <c r="O159" s="598"/>
      <c r="P159" s="599"/>
      <c r="Q159" s="600">
        <f t="shared" si="91"/>
        <v>0</v>
      </c>
      <c r="R159" s="601">
        <f>AF159</f>
        <v>16</v>
      </c>
      <c r="S159" s="647">
        <v>108200</v>
      </c>
      <c r="T159" s="602"/>
      <c r="U159" s="645">
        <v>1</v>
      </c>
      <c r="V159" s="593">
        <f t="shared" si="97"/>
        <v>200</v>
      </c>
      <c r="W159" s="604">
        <f t="shared" si="104"/>
        <v>0</v>
      </c>
      <c r="X159" s="604">
        <f t="shared" si="105"/>
        <v>0</v>
      </c>
      <c r="Y159" s="604">
        <f t="shared" si="106"/>
        <v>0</v>
      </c>
      <c r="Z159" s="605">
        <f>VLOOKUP(S159,Kengetal,6,FALSE)</f>
        <v>0</v>
      </c>
      <c r="AA159" s="751">
        <f>VLOOKUP(S159,Kengetal,7,FALSE)</f>
        <v>0</v>
      </c>
      <c r="AB159" s="605">
        <f>VLOOKUP(T159,Kengetal,6,FALSE)</f>
        <v>0</v>
      </c>
      <c r="AC159" s="607"/>
      <c r="AD159" s="591" t="str">
        <f>AL159</f>
        <v>Friesland College</v>
      </c>
      <c r="AE159" s="608"/>
      <c r="AF159" s="639">
        <v>16</v>
      </c>
      <c r="AG159" s="639">
        <f t="shared" si="93"/>
        <v>16</v>
      </c>
      <c r="AH159" s="639">
        <f t="shared" si="94"/>
        <v>0</v>
      </c>
      <c r="AI159" s="640"/>
      <c r="AJ159" s="641">
        <f t="shared" si="95"/>
        <v>0</v>
      </c>
      <c r="AK159" s="642"/>
      <c r="AL159" s="642" t="s">
        <v>364</v>
      </c>
      <c r="AM159" s="643"/>
      <c r="AN159" s="642"/>
      <c r="AO159" s="644">
        <v>152</v>
      </c>
      <c r="AP159" s="565"/>
      <c r="AQ159" s="566"/>
      <c r="AR159" s="566"/>
      <c r="AS159" s="566"/>
      <c r="AT159" s="566"/>
      <c r="AU159" s="566"/>
      <c r="AV159" s="566"/>
      <c r="AW159" s="566"/>
      <c r="AX159" s="566"/>
      <c r="AY159" s="566"/>
      <c r="AZ159" s="566"/>
      <c r="BA159" s="566"/>
      <c r="BB159" s="566"/>
      <c r="BC159" s="566"/>
      <c r="BD159" s="566"/>
      <c r="BE159" s="566"/>
      <c r="BF159" s="566"/>
      <c r="BG159" s="566"/>
    </row>
    <row r="160" spans="1:59">
      <c r="A160" s="591"/>
      <c r="B160" s="592"/>
      <c r="C160" s="593"/>
      <c r="D160" s="594">
        <v>1</v>
      </c>
      <c r="E160" s="595" t="s">
        <v>366</v>
      </c>
      <c r="F160" s="593" t="s">
        <v>339</v>
      </c>
      <c r="G160" s="596" t="s">
        <v>474</v>
      </c>
      <c r="H160" s="596" t="s">
        <v>475</v>
      </c>
      <c r="I160" s="596"/>
      <c r="J160" s="596"/>
      <c r="K160" s="596"/>
      <c r="L160" s="591" t="s">
        <v>795</v>
      </c>
      <c r="M160" s="597" t="str">
        <f t="shared" si="96"/>
        <v>Op afroep (in overleg)</v>
      </c>
      <c r="N160" s="591" t="s">
        <v>938</v>
      </c>
      <c r="O160" s="598"/>
      <c r="P160" s="599"/>
      <c r="Q160" s="600">
        <f t="shared" si="91"/>
        <v>0</v>
      </c>
      <c r="R160" s="601">
        <f>AF160</f>
        <v>15</v>
      </c>
      <c r="S160" s="603" t="s">
        <v>959</v>
      </c>
      <c r="T160" s="602"/>
      <c r="U160" s="603"/>
      <c r="V160" s="593">
        <f t="shared" si="97"/>
        <v>0</v>
      </c>
      <c r="W160" s="604">
        <f t="shared" si="104"/>
        <v>0</v>
      </c>
      <c r="X160" s="604">
        <f t="shared" si="105"/>
        <v>0</v>
      </c>
      <c r="Y160" s="604">
        <f t="shared" si="106"/>
        <v>0</v>
      </c>
      <c r="Z160" s="605">
        <f>VLOOKUP(S160,Kengetal,6,FALSE)</f>
        <v>0</v>
      </c>
      <c r="AA160" s="751">
        <f>VLOOKUP(S160,Kengetal,7,FALSE)</f>
        <v>0</v>
      </c>
      <c r="AB160" s="605">
        <f>VLOOKUP(T160,Kengetal,6,FALSE)</f>
        <v>0</v>
      </c>
      <c r="AC160" s="607"/>
      <c r="AD160" s="591" t="str">
        <f>AL160</f>
        <v>Friesland College</v>
      </c>
      <c r="AE160" s="608"/>
      <c r="AF160" s="639">
        <v>15</v>
      </c>
      <c r="AG160" s="639">
        <f t="shared" si="93"/>
        <v>15</v>
      </c>
      <c r="AH160" s="639">
        <f t="shared" si="94"/>
        <v>0</v>
      </c>
      <c r="AI160" s="640"/>
      <c r="AJ160" s="641">
        <f t="shared" si="95"/>
        <v>0</v>
      </c>
      <c r="AK160" s="642"/>
      <c r="AL160" s="642" t="s">
        <v>364</v>
      </c>
      <c r="AM160" s="643"/>
      <c r="AN160" s="642"/>
      <c r="AO160" s="644">
        <v>153</v>
      </c>
      <c r="AP160" s="565"/>
      <c r="AQ160" s="566"/>
      <c r="AR160" s="566"/>
      <c r="AS160" s="566"/>
      <c r="AT160" s="566"/>
      <c r="AU160" s="566"/>
      <c r="AV160" s="566"/>
      <c r="AW160" s="566"/>
      <c r="AX160" s="566"/>
      <c r="AY160" s="566"/>
      <c r="AZ160" s="566"/>
      <c r="BA160" s="566"/>
      <c r="BB160" s="566"/>
      <c r="BC160" s="566"/>
      <c r="BD160" s="566"/>
      <c r="BE160" s="566"/>
      <c r="BF160" s="566"/>
      <c r="BG160" s="566"/>
    </row>
    <row r="161" spans="1:59">
      <c r="A161" s="624"/>
      <c r="B161" s="618"/>
      <c r="C161" s="609"/>
      <c r="D161" s="594">
        <v>1</v>
      </c>
      <c r="E161" s="595" t="s">
        <v>366</v>
      </c>
      <c r="F161" s="593" t="s">
        <v>339</v>
      </c>
      <c r="G161" s="610">
        <v>122</v>
      </c>
      <c r="H161" s="610" t="s">
        <v>475</v>
      </c>
      <c r="I161" s="610"/>
      <c r="J161" s="610"/>
      <c r="K161" s="610"/>
      <c r="L161" s="611" t="s">
        <v>795</v>
      </c>
      <c r="M161" s="612">
        <f t="shared" si="96"/>
        <v>0</v>
      </c>
      <c r="N161" s="613"/>
      <c r="O161" s="614" t="s">
        <v>993</v>
      </c>
      <c r="P161" s="615">
        <v>100</v>
      </c>
      <c r="Q161" s="616">
        <f>AF161*P161/100</f>
        <v>15</v>
      </c>
      <c r="R161" s="613"/>
      <c r="S161" s="603"/>
      <c r="T161" s="606"/>
      <c r="U161" s="606"/>
      <c r="V161" s="593">
        <f t="shared" si="97"/>
        <v>0</v>
      </c>
      <c r="W161" s="606"/>
      <c r="X161" s="606"/>
      <c r="Y161" s="606"/>
      <c r="Z161" s="606"/>
      <c r="AA161" s="606"/>
      <c r="AB161" s="606"/>
      <c r="AC161" s="607"/>
      <c r="AD161" s="606"/>
      <c r="AE161" s="608"/>
      <c r="AF161" s="639">
        <v>15</v>
      </c>
      <c r="AG161" s="639">
        <f t="shared" si="93"/>
        <v>15</v>
      </c>
      <c r="AH161" s="639">
        <f>IF(B161=0,0,MONTH(B161))</f>
        <v>0</v>
      </c>
      <c r="AI161" s="640"/>
      <c r="AJ161" s="641">
        <f>W161+X161</f>
        <v>0</v>
      </c>
      <c r="AK161" s="642"/>
      <c r="AL161" s="642" t="s">
        <v>364</v>
      </c>
      <c r="AM161" s="643"/>
      <c r="AN161" s="642"/>
      <c r="AO161" s="644">
        <v>89</v>
      </c>
      <c r="AP161" s="565"/>
      <c r="AQ161" s="566"/>
      <c r="AR161" s="566"/>
      <c r="AS161" s="566"/>
      <c r="AT161" s="566"/>
      <c r="AU161" s="566"/>
      <c r="AV161" s="566"/>
      <c r="AW161" s="566"/>
      <c r="AX161" s="566"/>
      <c r="AY161" s="566"/>
      <c r="AZ161" s="566"/>
      <c r="BA161" s="566"/>
      <c r="BB161" s="566"/>
      <c r="BC161" s="566"/>
      <c r="BD161" s="566"/>
      <c r="BE161" s="566"/>
      <c r="BF161" s="566"/>
      <c r="BG161" s="566"/>
    </row>
    <row r="162" spans="1:59">
      <c r="A162" s="591"/>
      <c r="B162" s="592"/>
      <c r="C162" s="593"/>
      <c r="D162" s="594">
        <v>1</v>
      </c>
      <c r="E162" s="595" t="s">
        <v>366</v>
      </c>
      <c r="F162" s="593" t="s">
        <v>339</v>
      </c>
      <c r="G162" s="596">
        <v>123</v>
      </c>
      <c r="H162" s="596" t="s">
        <v>1004</v>
      </c>
      <c r="I162" s="596"/>
      <c r="J162" s="596"/>
      <c r="K162" s="596"/>
      <c r="L162" s="591" t="s">
        <v>805</v>
      </c>
      <c r="M162" s="597" t="str">
        <f t="shared" si="96"/>
        <v>Onderwijsruimte (theorie)</v>
      </c>
      <c r="N162" s="626" t="s">
        <v>938</v>
      </c>
      <c r="O162" s="598"/>
      <c r="P162" s="599"/>
      <c r="Q162" s="600">
        <f t="shared" si="91"/>
        <v>0</v>
      </c>
      <c r="R162" s="601">
        <f>AF162</f>
        <v>15</v>
      </c>
      <c r="S162" s="647">
        <v>102200</v>
      </c>
      <c r="T162" s="602"/>
      <c r="U162" s="645">
        <v>1</v>
      </c>
      <c r="V162" s="593">
        <f t="shared" si="97"/>
        <v>200</v>
      </c>
      <c r="W162" s="604">
        <f>Z162*R162*U162</f>
        <v>0</v>
      </c>
      <c r="X162" s="604">
        <f>AA162*R162</f>
        <v>0</v>
      </c>
      <c r="Y162" s="604">
        <f>AB162*R162</f>
        <v>0</v>
      </c>
      <c r="Z162" s="605">
        <f>VLOOKUP(S162,Kengetal,6,FALSE)</f>
        <v>0</v>
      </c>
      <c r="AA162" s="751">
        <f>VLOOKUP(S162,Kengetal,7,FALSE)</f>
        <v>0</v>
      </c>
      <c r="AB162" s="605">
        <f>VLOOKUP(T162,Kengetal,6,FALSE)</f>
        <v>0</v>
      </c>
      <c r="AC162" s="607"/>
      <c r="AD162" s="591" t="str">
        <f>AL162</f>
        <v>Friesland College</v>
      </c>
      <c r="AE162" s="608"/>
      <c r="AF162" s="639">
        <v>15</v>
      </c>
      <c r="AG162" s="639">
        <f t="shared" si="93"/>
        <v>15</v>
      </c>
      <c r="AH162" s="639">
        <f t="shared" si="94"/>
        <v>0</v>
      </c>
      <c r="AI162" s="640"/>
      <c r="AJ162" s="641">
        <f t="shared" si="95"/>
        <v>0</v>
      </c>
      <c r="AK162" s="642"/>
      <c r="AL162" s="642" t="s">
        <v>364</v>
      </c>
      <c r="AM162" s="643"/>
      <c r="AN162" s="642"/>
      <c r="AO162" s="644">
        <v>154</v>
      </c>
      <c r="AP162" s="565"/>
      <c r="AQ162" s="566"/>
      <c r="AR162" s="566"/>
      <c r="AS162" s="566"/>
      <c r="AT162" s="566"/>
      <c r="AU162" s="566"/>
      <c r="AV162" s="566"/>
      <c r="AW162" s="566"/>
      <c r="AX162" s="566"/>
      <c r="AY162" s="566"/>
      <c r="AZ162" s="566"/>
      <c r="BA162" s="566"/>
      <c r="BB162" s="566"/>
      <c r="BC162" s="566"/>
      <c r="BD162" s="566"/>
      <c r="BE162" s="566"/>
      <c r="BF162" s="566"/>
      <c r="BG162" s="566"/>
    </row>
    <row r="163" spans="1:59">
      <c r="A163" s="591"/>
      <c r="B163" s="618"/>
      <c r="C163" s="609"/>
      <c r="D163" s="594">
        <v>1</v>
      </c>
      <c r="E163" s="595" t="s">
        <v>366</v>
      </c>
      <c r="F163" s="593" t="s">
        <v>339</v>
      </c>
      <c r="G163" s="610">
        <v>123</v>
      </c>
      <c r="H163" s="610" t="s">
        <v>1004</v>
      </c>
      <c r="I163" s="610"/>
      <c r="J163" s="610"/>
      <c r="K163" s="610"/>
      <c r="L163" s="611" t="s">
        <v>805</v>
      </c>
      <c r="M163" s="612">
        <f t="shared" si="96"/>
        <v>0</v>
      </c>
      <c r="N163" s="613"/>
      <c r="O163" s="614" t="s">
        <v>991</v>
      </c>
      <c r="P163" s="615">
        <v>100</v>
      </c>
      <c r="Q163" s="616">
        <f t="shared" si="91"/>
        <v>15</v>
      </c>
      <c r="R163" s="613"/>
      <c r="S163" s="603"/>
      <c r="T163" s="606"/>
      <c r="U163" s="606"/>
      <c r="V163" s="593">
        <f t="shared" si="97"/>
        <v>0</v>
      </c>
      <c r="W163" s="606"/>
      <c r="X163" s="606"/>
      <c r="Y163" s="606"/>
      <c r="Z163" s="606"/>
      <c r="AA163" s="606"/>
      <c r="AB163" s="606"/>
      <c r="AC163" s="607"/>
      <c r="AD163" s="606"/>
      <c r="AE163" s="608"/>
      <c r="AF163" s="639">
        <v>15</v>
      </c>
      <c r="AG163" s="639">
        <f t="shared" si="93"/>
        <v>15</v>
      </c>
      <c r="AH163" s="639">
        <f t="shared" si="94"/>
        <v>0</v>
      </c>
      <c r="AI163" s="640"/>
      <c r="AJ163" s="641">
        <f t="shared" si="95"/>
        <v>0</v>
      </c>
      <c r="AK163" s="642"/>
      <c r="AL163" s="642" t="s">
        <v>364</v>
      </c>
      <c r="AM163" s="643"/>
      <c r="AN163" s="642"/>
      <c r="AO163" s="644">
        <v>155</v>
      </c>
      <c r="AP163" s="565"/>
      <c r="AQ163" s="566"/>
      <c r="AR163" s="566"/>
      <c r="AS163" s="566"/>
      <c r="AT163" s="566"/>
      <c r="AU163" s="566"/>
      <c r="AV163" s="566"/>
      <c r="AW163" s="566"/>
      <c r="AX163" s="566"/>
      <c r="AY163" s="566"/>
      <c r="AZ163" s="566"/>
      <c r="BA163" s="566"/>
      <c r="BB163" s="566"/>
      <c r="BC163" s="566"/>
      <c r="BD163" s="566"/>
      <c r="BE163" s="566"/>
      <c r="BF163" s="566"/>
      <c r="BG163" s="566"/>
    </row>
    <row r="164" spans="1:59">
      <c r="A164" s="591"/>
      <c r="B164" s="592"/>
      <c r="C164" s="593"/>
      <c r="D164" s="594">
        <v>1</v>
      </c>
      <c r="E164" s="595" t="s">
        <v>366</v>
      </c>
      <c r="F164" s="593" t="s">
        <v>339</v>
      </c>
      <c r="G164" s="596" t="s">
        <v>477</v>
      </c>
      <c r="H164" s="596" t="s">
        <v>476</v>
      </c>
      <c r="I164" s="596"/>
      <c r="J164" s="596"/>
      <c r="K164" s="596"/>
      <c r="L164" s="591" t="s">
        <v>806</v>
      </c>
      <c r="M164" s="597" t="str">
        <f t="shared" si="96"/>
        <v>Onderwijsruimte (theorie)</v>
      </c>
      <c r="N164" s="591" t="s">
        <v>78</v>
      </c>
      <c r="O164" s="598"/>
      <c r="P164" s="599"/>
      <c r="Q164" s="600">
        <f t="shared" si="91"/>
        <v>0</v>
      </c>
      <c r="R164" s="601">
        <f>AF164</f>
        <v>120</v>
      </c>
      <c r="S164" s="647">
        <v>102200</v>
      </c>
      <c r="T164" s="602"/>
      <c r="U164" s="645">
        <v>1</v>
      </c>
      <c r="V164" s="593">
        <f t="shared" si="97"/>
        <v>200</v>
      </c>
      <c r="W164" s="604">
        <f>Z164*R164*U164</f>
        <v>0</v>
      </c>
      <c r="X164" s="604">
        <f>AA164*R164</f>
        <v>0</v>
      </c>
      <c r="Y164" s="604">
        <f>AB164*R164</f>
        <v>0</v>
      </c>
      <c r="Z164" s="605">
        <f>VLOOKUP(S164,Kengetal,6,FALSE)</f>
        <v>0</v>
      </c>
      <c r="AA164" s="751">
        <f>VLOOKUP(S164,Kengetal,7,FALSE)</f>
        <v>0</v>
      </c>
      <c r="AB164" s="605">
        <f>VLOOKUP(T164,Kengetal,6,FALSE)</f>
        <v>0</v>
      </c>
      <c r="AC164" s="607"/>
      <c r="AD164" s="591" t="str">
        <f>AL164</f>
        <v>Friesland College</v>
      </c>
      <c r="AE164" s="608"/>
      <c r="AF164" s="639">
        <v>120</v>
      </c>
      <c r="AG164" s="639">
        <f t="shared" si="93"/>
        <v>120</v>
      </c>
      <c r="AH164" s="639">
        <f t="shared" si="94"/>
        <v>0</v>
      </c>
      <c r="AI164" s="640"/>
      <c r="AJ164" s="641">
        <f t="shared" si="95"/>
        <v>0</v>
      </c>
      <c r="AK164" s="642"/>
      <c r="AL164" s="642" t="s">
        <v>364</v>
      </c>
      <c r="AM164" s="643"/>
      <c r="AN164" s="642"/>
      <c r="AO164" s="644">
        <v>156</v>
      </c>
      <c r="AP164" s="565"/>
      <c r="AQ164" s="566"/>
      <c r="AR164" s="566"/>
      <c r="AS164" s="566"/>
      <c r="AT164" s="566"/>
      <c r="AU164" s="566"/>
      <c r="AV164" s="566"/>
      <c r="AW164" s="566"/>
      <c r="AX164" s="566"/>
      <c r="AY164" s="566"/>
      <c r="AZ164" s="566"/>
      <c r="BA164" s="566"/>
      <c r="BB164" s="566"/>
      <c r="BC164" s="566"/>
      <c r="BD164" s="566"/>
      <c r="BE164" s="566"/>
      <c r="BF164" s="566"/>
      <c r="BG164" s="566"/>
    </row>
    <row r="165" spans="1:59">
      <c r="A165" s="591"/>
      <c r="B165" s="618"/>
      <c r="C165" s="609"/>
      <c r="D165" s="594">
        <v>1</v>
      </c>
      <c r="E165" s="595" t="s">
        <v>366</v>
      </c>
      <c r="F165" s="593" t="s">
        <v>339</v>
      </c>
      <c r="G165" s="610" t="s">
        <v>477</v>
      </c>
      <c r="H165" s="610" t="s">
        <v>476</v>
      </c>
      <c r="I165" s="610"/>
      <c r="J165" s="610"/>
      <c r="K165" s="610"/>
      <c r="L165" s="611" t="s">
        <v>806</v>
      </c>
      <c r="M165" s="612">
        <f t="shared" si="96"/>
        <v>0</v>
      </c>
      <c r="N165" s="613"/>
      <c r="O165" s="614" t="s">
        <v>993</v>
      </c>
      <c r="P165" s="615">
        <v>20</v>
      </c>
      <c r="Q165" s="616">
        <f t="shared" si="91"/>
        <v>24</v>
      </c>
      <c r="R165" s="613"/>
      <c r="S165" s="603"/>
      <c r="T165" s="606"/>
      <c r="U165" s="606"/>
      <c r="V165" s="593">
        <f t="shared" si="97"/>
        <v>0</v>
      </c>
      <c r="W165" s="606"/>
      <c r="X165" s="606"/>
      <c r="Y165" s="606"/>
      <c r="Z165" s="606"/>
      <c r="AA165" s="606"/>
      <c r="AB165" s="606"/>
      <c r="AC165" s="607"/>
      <c r="AD165" s="606"/>
      <c r="AE165" s="608"/>
      <c r="AF165" s="639">
        <v>120</v>
      </c>
      <c r="AG165" s="639">
        <f t="shared" si="93"/>
        <v>120</v>
      </c>
      <c r="AH165" s="639">
        <f t="shared" si="94"/>
        <v>0</v>
      </c>
      <c r="AI165" s="640"/>
      <c r="AJ165" s="641">
        <f t="shared" si="95"/>
        <v>0</v>
      </c>
      <c r="AK165" s="642"/>
      <c r="AL165" s="642" t="s">
        <v>364</v>
      </c>
      <c r="AM165" s="643"/>
      <c r="AN165" s="642"/>
      <c r="AO165" s="644">
        <v>157</v>
      </c>
      <c r="AP165" s="565"/>
      <c r="AQ165" s="566"/>
      <c r="AR165" s="566"/>
      <c r="AS165" s="566"/>
      <c r="AT165" s="566"/>
      <c r="AU165" s="566"/>
      <c r="AV165" s="566"/>
      <c r="AW165" s="566"/>
      <c r="AX165" s="566"/>
      <c r="AY165" s="566"/>
      <c r="AZ165" s="566"/>
      <c r="BA165" s="566"/>
      <c r="BB165" s="566"/>
      <c r="BC165" s="566"/>
      <c r="BD165" s="566"/>
      <c r="BE165" s="566"/>
      <c r="BF165" s="566"/>
      <c r="BG165" s="566"/>
    </row>
    <row r="166" spans="1:59">
      <c r="A166" s="591"/>
      <c r="B166" s="618"/>
      <c r="C166" s="609"/>
      <c r="D166" s="594">
        <v>1</v>
      </c>
      <c r="E166" s="595" t="s">
        <v>366</v>
      </c>
      <c r="F166" s="593" t="s">
        <v>339</v>
      </c>
      <c r="G166" s="610" t="s">
        <v>477</v>
      </c>
      <c r="H166" s="610" t="s">
        <v>476</v>
      </c>
      <c r="I166" s="610"/>
      <c r="J166" s="610"/>
      <c r="K166" s="610"/>
      <c r="L166" s="611" t="s">
        <v>806</v>
      </c>
      <c r="M166" s="612">
        <f t="shared" si="96"/>
        <v>0</v>
      </c>
      <c r="N166" s="613"/>
      <c r="O166" s="614" t="s">
        <v>1005</v>
      </c>
      <c r="P166" s="615">
        <v>30</v>
      </c>
      <c r="Q166" s="616">
        <f t="shared" si="91"/>
        <v>36</v>
      </c>
      <c r="R166" s="613"/>
      <c r="S166" s="603"/>
      <c r="T166" s="606"/>
      <c r="U166" s="606"/>
      <c r="V166" s="593">
        <f t="shared" si="97"/>
        <v>0</v>
      </c>
      <c r="W166" s="606"/>
      <c r="X166" s="606"/>
      <c r="Y166" s="606"/>
      <c r="Z166" s="606"/>
      <c r="AA166" s="606"/>
      <c r="AB166" s="606"/>
      <c r="AC166" s="607"/>
      <c r="AD166" s="606"/>
      <c r="AE166" s="608"/>
      <c r="AF166" s="639">
        <v>120</v>
      </c>
      <c r="AG166" s="639">
        <f t="shared" si="93"/>
        <v>120</v>
      </c>
      <c r="AH166" s="639">
        <f t="shared" si="94"/>
        <v>0</v>
      </c>
      <c r="AI166" s="640"/>
      <c r="AJ166" s="641">
        <f t="shared" si="95"/>
        <v>0</v>
      </c>
      <c r="AK166" s="642"/>
      <c r="AL166" s="642" t="s">
        <v>364</v>
      </c>
      <c r="AM166" s="643"/>
      <c r="AN166" s="642"/>
      <c r="AO166" s="644">
        <v>158</v>
      </c>
      <c r="AP166" s="565"/>
      <c r="AQ166" s="566"/>
      <c r="AR166" s="566"/>
      <c r="AS166" s="566"/>
      <c r="AT166" s="566"/>
      <c r="AU166" s="566"/>
      <c r="AV166" s="566"/>
      <c r="AW166" s="566"/>
      <c r="AX166" s="566"/>
      <c r="AY166" s="566"/>
      <c r="AZ166" s="566"/>
      <c r="BA166" s="566"/>
      <c r="BB166" s="566"/>
      <c r="BC166" s="566"/>
      <c r="BD166" s="566"/>
      <c r="BE166" s="566"/>
      <c r="BF166" s="566"/>
      <c r="BG166" s="566"/>
    </row>
    <row r="167" spans="1:59">
      <c r="A167" s="591"/>
      <c r="B167" s="609"/>
      <c r="C167" s="609"/>
      <c r="D167" s="594">
        <v>1</v>
      </c>
      <c r="E167" s="595" t="s">
        <v>366</v>
      </c>
      <c r="F167" s="593" t="s">
        <v>339</v>
      </c>
      <c r="G167" s="610" t="s">
        <v>477</v>
      </c>
      <c r="H167" s="610" t="s">
        <v>476</v>
      </c>
      <c r="I167" s="610"/>
      <c r="J167" s="610"/>
      <c r="K167" s="610"/>
      <c r="L167" s="611" t="s">
        <v>806</v>
      </c>
      <c r="M167" s="612">
        <f t="shared" si="96"/>
        <v>0</v>
      </c>
      <c r="N167" s="613"/>
      <c r="O167" s="614" t="s">
        <v>987</v>
      </c>
      <c r="P167" s="615">
        <v>50</v>
      </c>
      <c r="Q167" s="616">
        <f t="shared" si="91"/>
        <v>60</v>
      </c>
      <c r="R167" s="613"/>
      <c r="S167" s="603"/>
      <c r="T167" s="606"/>
      <c r="U167" s="606"/>
      <c r="V167" s="593">
        <f t="shared" si="97"/>
        <v>0</v>
      </c>
      <c r="W167" s="606"/>
      <c r="X167" s="606"/>
      <c r="Y167" s="606"/>
      <c r="Z167" s="606"/>
      <c r="AA167" s="606"/>
      <c r="AB167" s="606"/>
      <c r="AC167" s="607"/>
      <c r="AD167" s="606"/>
      <c r="AE167" s="608"/>
      <c r="AF167" s="639">
        <v>120</v>
      </c>
      <c r="AG167" s="639">
        <f t="shared" si="93"/>
        <v>120</v>
      </c>
      <c r="AH167" s="639">
        <f t="shared" si="94"/>
        <v>0</v>
      </c>
      <c r="AI167" s="640"/>
      <c r="AJ167" s="641">
        <f t="shared" si="95"/>
        <v>0</v>
      </c>
      <c r="AK167" s="642"/>
      <c r="AL167" s="642" t="s">
        <v>364</v>
      </c>
      <c r="AM167" s="643"/>
      <c r="AN167" s="642"/>
      <c r="AO167" s="644">
        <v>159</v>
      </c>
      <c r="AP167" s="565"/>
      <c r="AQ167" s="566"/>
      <c r="AR167" s="566"/>
      <c r="AS167" s="566"/>
      <c r="AT167" s="566"/>
      <c r="AU167" s="566"/>
      <c r="AV167" s="566"/>
      <c r="AW167" s="566"/>
      <c r="AX167" s="566"/>
      <c r="AY167" s="566"/>
      <c r="AZ167" s="566"/>
      <c r="BA167" s="566"/>
      <c r="BB167" s="566"/>
      <c r="BC167" s="566"/>
      <c r="BD167" s="566"/>
      <c r="BE167" s="566"/>
      <c r="BF167" s="566"/>
      <c r="BG167" s="566"/>
    </row>
    <row r="168" spans="1:59">
      <c r="A168" s="591"/>
      <c r="B168" s="592"/>
      <c r="C168" s="593"/>
      <c r="D168" s="594">
        <v>1</v>
      </c>
      <c r="E168" s="595" t="s">
        <v>366</v>
      </c>
      <c r="F168" s="593" t="s">
        <v>339</v>
      </c>
      <c r="G168" s="596" t="s">
        <v>479</v>
      </c>
      <c r="H168" s="596" t="s">
        <v>478</v>
      </c>
      <c r="I168" s="596"/>
      <c r="J168" s="596"/>
      <c r="K168" s="596"/>
      <c r="L168" s="591" t="s">
        <v>1006</v>
      </c>
      <c r="M168" s="597" t="str">
        <f t="shared" si="96"/>
        <v>Administratieve -, personeels- en vergaderruimte</v>
      </c>
      <c r="N168" s="591" t="s">
        <v>78</v>
      </c>
      <c r="O168" s="598"/>
      <c r="P168" s="599"/>
      <c r="Q168" s="600">
        <f t="shared" si="91"/>
        <v>0</v>
      </c>
      <c r="R168" s="601">
        <f>AF168</f>
        <v>35</v>
      </c>
      <c r="S168" s="647">
        <v>101100</v>
      </c>
      <c r="T168" s="602"/>
      <c r="U168" s="645">
        <v>1</v>
      </c>
      <c r="V168" s="593">
        <f t="shared" si="97"/>
        <v>100</v>
      </c>
      <c r="W168" s="604">
        <f>Z168*R168*U168</f>
        <v>0</v>
      </c>
      <c r="X168" s="604">
        <f>AA168*R168</f>
        <v>0</v>
      </c>
      <c r="Y168" s="604">
        <f>AB168*R168</f>
        <v>0</v>
      </c>
      <c r="Z168" s="605">
        <f>VLOOKUP(S168,Kengetal,6,FALSE)</f>
        <v>0</v>
      </c>
      <c r="AA168" s="751">
        <f>VLOOKUP(S168,Kengetal,7,FALSE)</f>
        <v>0</v>
      </c>
      <c r="AB168" s="605">
        <f>VLOOKUP(T168,Kengetal,6,FALSE)</f>
        <v>0</v>
      </c>
      <c r="AC168" s="607"/>
      <c r="AD168" s="591" t="str">
        <f>AL168</f>
        <v>Friesland College</v>
      </c>
      <c r="AE168" s="608"/>
      <c r="AF168" s="639">
        <v>35</v>
      </c>
      <c r="AG168" s="639">
        <f t="shared" si="93"/>
        <v>35</v>
      </c>
      <c r="AH168" s="639">
        <f t="shared" si="94"/>
        <v>0</v>
      </c>
      <c r="AI168" s="640"/>
      <c r="AJ168" s="641">
        <f t="shared" si="95"/>
        <v>0</v>
      </c>
      <c r="AK168" s="642"/>
      <c r="AL168" s="642" t="s">
        <v>364</v>
      </c>
      <c r="AM168" s="643"/>
      <c r="AN168" s="642"/>
      <c r="AO168" s="644">
        <v>160</v>
      </c>
      <c r="AP168" s="565"/>
      <c r="AQ168" s="566"/>
      <c r="AR168" s="566"/>
      <c r="AS168" s="566"/>
      <c r="AT168" s="566"/>
      <c r="AU168" s="566"/>
      <c r="AV168" s="566"/>
      <c r="AW168" s="566"/>
      <c r="AX168" s="566"/>
      <c r="AY168" s="566"/>
      <c r="AZ168" s="566"/>
      <c r="BA168" s="566"/>
      <c r="BB168" s="566"/>
      <c r="BC168" s="566"/>
      <c r="BD168" s="566"/>
      <c r="BE168" s="566"/>
      <c r="BF168" s="566"/>
      <c r="BG168" s="566"/>
    </row>
    <row r="169" spans="1:59">
      <c r="A169" s="591"/>
      <c r="B169" s="609"/>
      <c r="C169" s="609"/>
      <c r="D169" s="594">
        <v>1</v>
      </c>
      <c r="E169" s="595" t="s">
        <v>366</v>
      </c>
      <c r="F169" s="593" t="s">
        <v>339</v>
      </c>
      <c r="G169" s="610" t="s">
        <v>479</v>
      </c>
      <c r="H169" s="610" t="s">
        <v>478</v>
      </c>
      <c r="I169" s="610"/>
      <c r="J169" s="610"/>
      <c r="K169" s="610"/>
      <c r="L169" s="611" t="s">
        <v>1006</v>
      </c>
      <c r="M169" s="612">
        <f t="shared" ref="M169:M202" si="107">VLOOKUP(S169,Kengetal,4,FALSE)</f>
        <v>0</v>
      </c>
      <c r="N169" s="613"/>
      <c r="O169" s="614" t="s">
        <v>993</v>
      </c>
      <c r="P169" s="615">
        <v>100</v>
      </c>
      <c r="Q169" s="616">
        <f t="shared" si="91"/>
        <v>35</v>
      </c>
      <c r="R169" s="613"/>
      <c r="S169" s="603"/>
      <c r="T169" s="606"/>
      <c r="U169" s="606"/>
      <c r="V169" s="593">
        <f t="shared" si="97"/>
        <v>0</v>
      </c>
      <c r="W169" s="606"/>
      <c r="X169" s="606"/>
      <c r="Y169" s="606"/>
      <c r="Z169" s="606"/>
      <c r="AA169" s="606"/>
      <c r="AB169" s="606"/>
      <c r="AC169" s="607"/>
      <c r="AD169" s="606"/>
      <c r="AE169" s="608"/>
      <c r="AF169" s="639">
        <v>35</v>
      </c>
      <c r="AG169" s="639">
        <f t="shared" si="93"/>
        <v>35</v>
      </c>
      <c r="AH169" s="639">
        <f t="shared" si="94"/>
        <v>0</v>
      </c>
      <c r="AI169" s="640"/>
      <c r="AJ169" s="641">
        <f t="shared" si="95"/>
        <v>0</v>
      </c>
      <c r="AK169" s="642"/>
      <c r="AL169" s="642" t="s">
        <v>364</v>
      </c>
      <c r="AM169" s="643"/>
      <c r="AN169" s="642"/>
      <c r="AO169" s="644">
        <v>161</v>
      </c>
      <c r="AP169" s="565"/>
      <c r="AQ169" s="566"/>
      <c r="AR169" s="566"/>
      <c r="AS169" s="566"/>
      <c r="AT169" s="566"/>
      <c r="AU169" s="566"/>
      <c r="AV169" s="566"/>
      <c r="AW169" s="566"/>
      <c r="AX169" s="566"/>
      <c r="AY169" s="566"/>
      <c r="AZ169" s="566"/>
      <c r="BA169" s="566"/>
      <c r="BB169" s="566"/>
      <c r="BC169" s="566"/>
      <c r="BD169" s="566"/>
      <c r="BE169" s="566"/>
      <c r="BF169" s="566"/>
      <c r="BG169" s="566"/>
    </row>
    <row r="170" spans="1:59">
      <c r="A170" s="591"/>
      <c r="B170" s="592"/>
      <c r="C170" s="593"/>
      <c r="D170" s="594">
        <v>1</v>
      </c>
      <c r="E170" s="595" t="s">
        <v>366</v>
      </c>
      <c r="F170" s="593" t="s">
        <v>339</v>
      </c>
      <c r="G170" s="596" t="s">
        <v>481</v>
      </c>
      <c r="H170" s="596" t="s">
        <v>482</v>
      </c>
      <c r="I170" s="596"/>
      <c r="J170" s="596"/>
      <c r="K170" s="596"/>
      <c r="L170" s="591" t="s">
        <v>1008</v>
      </c>
      <c r="M170" s="597" t="str">
        <f t="shared" si="107"/>
        <v>Onderwijsruimte (theorie)</v>
      </c>
      <c r="N170" s="591" t="s">
        <v>938</v>
      </c>
      <c r="O170" s="598"/>
      <c r="P170" s="599"/>
      <c r="Q170" s="600">
        <f t="shared" si="91"/>
        <v>0</v>
      </c>
      <c r="R170" s="601">
        <f>AF170</f>
        <v>19</v>
      </c>
      <c r="S170" s="647">
        <v>102200</v>
      </c>
      <c r="T170" s="602"/>
      <c r="U170" s="645">
        <v>1</v>
      </c>
      <c r="V170" s="593">
        <f t="shared" si="97"/>
        <v>200</v>
      </c>
      <c r="W170" s="604">
        <f>Z170*R170*U170</f>
        <v>0</v>
      </c>
      <c r="X170" s="604">
        <f>AA170*R170</f>
        <v>0</v>
      </c>
      <c r="Y170" s="604">
        <f>AB170*R170</f>
        <v>0</v>
      </c>
      <c r="Z170" s="605">
        <f>VLOOKUP(S170,Kengetal,6,FALSE)</f>
        <v>0</v>
      </c>
      <c r="AA170" s="751">
        <f>VLOOKUP(S170,Kengetal,7,FALSE)</f>
        <v>0</v>
      </c>
      <c r="AB170" s="605">
        <f>VLOOKUP(T170,Kengetal,6,FALSE)</f>
        <v>0</v>
      </c>
      <c r="AC170" s="607"/>
      <c r="AD170" s="591" t="str">
        <f>AL170</f>
        <v>Friesland College</v>
      </c>
      <c r="AE170" s="608"/>
      <c r="AF170" s="639">
        <v>19</v>
      </c>
      <c r="AG170" s="639">
        <f t="shared" si="93"/>
        <v>19</v>
      </c>
      <c r="AH170" s="639">
        <f t="shared" si="94"/>
        <v>0</v>
      </c>
      <c r="AI170" s="640"/>
      <c r="AJ170" s="641">
        <f t="shared" si="95"/>
        <v>0</v>
      </c>
      <c r="AK170" s="642"/>
      <c r="AL170" s="642" t="s">
        <v>364</v>
      </c>
      <c r="AM170" s="643"/>
      <c r="AN170" s="642"/>
      <c r="AO170" s="644">
        <v>162</v>
      </c>
      <c r="AP170" s="565"/>
      <c r="AQ170" s="566"/>
      <c r="AR170" s="566"/>
      <c r="AS170" s="566"/>
      <c r="AT170" s="566"/>
      <c r="AU170" s="566"/>
      <c r="AV170" s="566"/>
      <c r="AW170" s="566"/>
      <c r="AX170" s="566"/>
      <c r="AY170" s="566"/>
      <c r="AZ170" s="566"/>
      <c r="BA170" s="566"/>
      <c r="BB170" s="566"/>
      <c r="BC170" s="566"/>
      <c r="BD170" s="566"/>
      <c r="BE170" s="566"/>
      <c r="BF170" s="566"/>
      <c r="BG170" s="566"/>
    </row>
    <row r="171" spans="1:59">
      <c r="A171" s="591"/>
      <c r="B171" s="618"/>
      <c r="C171" s="609"/>
      <c r="D171" s="594">
        <v>1</v>
      </c>
      <c r="E171" s="595" t="s">
        <v>366</v>
      </c>
      <c r="F171" s="593" t="s">
        <v>339</v>
      </c>
      <c r="G171" s="610" t="s">
        <v>481</v>
      </c>
      <c r="H171" s="610" t="s">
        <v>482</v>
      </c>
      <c r="I171" s="610"/>
      <c r="J171" s="610"/>
      <c r="K171" s="610"/>
      <c r="L171" s="611" t="s">
        <v>1008</v>
      </c>
      <c r="M171" s="612">
        <f t="shared" si="107"/>
        <v>0</v>
      </c>
      <c r="N171" s="613"/>
      <c r="O171" s="614" t="s">
        <v>987</v>
      </c>
      <c r="P171" s="615">
        <v>100</v>
      </c>
      <c r="Q171" s="616">
        <f t="shared" si="91"/>
        <v>19</v>
      </c>
      <c r="R171" s="613"/>
      <c r="S171" s="603"/>
      <c r="T171" s="606"/>
      <c r="U171" s="606"/>
      <c r="V171" s="593">
        <f t="shared" si="97"/>
        <v>0</v>
      </c>
      <c r="W171" s="606"/>
      <c r="X171" s="606"/>
      <c r="Y171" s="606"/>
      <c r="Z171" s="606"/>
      <c r="AA171" s="606"/>
      <c r="AB171" s="606"/>
      <c r="AC171" s="607"/>
      <c r="AD171" s="606"/>
      <c r="AE171" s="608"/>
      <c r="AF171" s="639">
        <v>19</v>
      </c>
      <c r="AG171" s="639">
        <f t="shared" si="93"/>
        <v>19</v>
      </c>
      <c r="AH171" s="639">
        <f t="shared" si="94"/>
        <v>0</v>
      </c>
      <c r="AI171" s="640"/>
      <c r="AJ171" s="641">
        <f t="shared" si="95"/>
        <v>0</v>
      </c>
      <c r="AK171" s="642"/>
      <c r="AL171" s="642" t="s">
        <v>364</v>
      </c>
      <c r="AM171" s="643"/>
      <c r="AN171" s="642"/>
      <c r="AO171" s="644">
        <v>163</v>
      </c>
      <c r="AP171" s="565"/>
      <c r="AQ171" s="566"/>
      <c r="AR171" s="566"/>
      <c r="AS171" s="566"/>
      <c r="AT171" s="566"/>
      <c r="AU171" s="566"/>
      <c r="AV171" s="566"/>
      <c r="AW171" s="566"/>
      <c r="AX171" s="566"/>
      <c r="AY171" s="566"/>
      <c r="AZ171" s="566"/>
      <c r="BA171" s="566"/>
      <c r="BB171" s="566"/>
      <c r="BC171" s="566"/>
      <c r="BD171" s="566"/>
      <c r="BE171" s="566"/>
      <c r="BF171" s="566"/>
      <c r="BG171" s="566"/>
    </row>
    <row r="172" spans="1:59">
      <c r="A172" s="591"/>
      <c r="B172" s="592"/>
      <c r="C172" s="593"/>
      <c r="D172" s="594">
        <v>1</v>
      </c>
      <c r="E172" s="595" t="s">
        <v>366</v>
      </c>
      <c r="F172" s="593" t="s">
        <v>339</v>
      </c>
      <c r="G172" s="596" t="s">
        <v>483</v>
      </c>
      <c r="H172" s="596"/>
      <c r="I172" s="596"/>
      <c r="J172" s="596"/>
      <c r="K172" s="596"/>
      <c r="L172" s="591" t="s">
        <v>773</v>
      </c>
      <c r="M172" s="597" t="str">
        <f t="shared" si="107"/>
        <v>Sanitaire ruimte (toilet-/doucheruimte)</v>
      </c>
      <c r="N172" s="591" t="s">
        <v>85</v>
      </c>
      <c r="O172" s="598"/>
      <c r="P172" s="599"/>
      <c r="Q172" s="600">
        <f t="shared" si="91"/>
        <v>0</v>
      </c>
      <c r="R172" s="601">
        <f t="shared" ref="R172:R177" si="108">AF172</f>
        <v>40</v>
      </c>
      <c r="S172" s="647">
        <v>103200</v>
      </c>
      <c r="T172" s="647">
        <v>103400</v>
      </c>
      <c r="U172" s="645">
        <v>1</v>
      </c>
      <c r="V172" s="593">
        <f t="shared" si="97"/>
        <v>400</v>
      </c>
      <c r="W172" s="604">
        <f t="shared" ref="W172:W177" si="109">Z172*R172*U172</f>
        <v>0</v>
      </c>
      <c r="X172" s="604">
        <f t="shared" ref="X172:X177" si="110">AA172*R172</f>
        <v>0</v>
      </c>
      <c r="Y172" s="604">
        <f t="shared" ref="Y172:Y177" si="111">AB172*R172</f>
        <v>0</v>
      </c>
      <c r="Z172" s="605">
        <f t="shared" ref="Z172:Z177" si="112">VLOOKUP(S172,Kengetal,6,FALSE)</f>
        <v>0</v>
      </c>
      <c r="AA172" s="751">
        <f t="shared" ref="AA172:AA177" si="113">VLOOKUP(S172,Kengetal,7,FALSE)</f>
        <v>0</v>
      </c>
      <c r="AB172" s="605">
        <f t="shared" ref="AB172:AB177" si="114">VLOOKUP(T172,Kengetal,6,FALSE)</f>
        <v>0</v>
      </c>
      <c r="AC172" s="607"/>
      <c r="AD172" s="591" t="str">
        <f t="shared" ref="AD172:AD177" si="115">AL172</f>
        <v>Friesland College</v>
      </c>
      <c r="AE172" s="608"/>
      <c r="AF172" s="639">
        <v>40</v>
      </c>
      <c r="AG172" s="639">
        <f t="shared" si="93"/>
        <v>40</v>
      </c>
      <c r="AH172" s="639">
        <f t="shared" si="94"/>
        <v>0</v>
      </c>
      <c r="AI172" s="640"/>
      <c r="AJ172" s="641">
        <f t="shared" si="95"/>
        <v>0</v>
      </c>
      <c r="AK172" s="642"/>
      <c r="AL172" s="642" t="s">
        <v>364</v>
      </c>
      <c r="AM172" s="643"/>
      <c r="AN172" s="642"/>
      <c r="AO172" s="644">
        <v>164</v>
      </c>
      <c r="AP172" s="565"/>
      <c r="AQ172" s="566"/>
      <c r="AR172" s="566"/>
      <c r="AS172" s="566"/>
      <c r="AT172" s="566"/>
      <c r="AU172" s="566"/>
      <c r="AV172" s="566"/>
      <c r="AW172" s="566"/>
      <c r="AX172" s="566"/>
      <c r="AY172" s="566"/>
      <c r="AZ172" s="566"/>
      <c r="BA172" s="566"/>
      <c r="BB172" s="566"/>
      <c r="BC172" s="566"/>
      <c r="BD172" s="566"/>
      <c r="BE172" s="566"/>
      <c r="BF172" s="566"/>
      <c r="BG172" s="566"/>
    </row>
    <row r="173" spans="1:59">
      <c r="A173" s="591"/>
      <c r="B173" s="592"/>
      <c r="C173" s="593"/>
      <c r="D173" s="594">
        <v>1</v>
      </c>
      <c r="E173" s="595" t="s">
        <v>366</v>
      </c>
      <c r="F173" s="593" t="s">
        <v>339</v>
      </c>
      <c r="G173" s="596" t="s">
        <v>484</v>
      </c>
      <c r="H173" s="596"/>
      <c r="I173" s="596"/>
      <c r="J173" s="596"/>
      <c r="K173" s="596"/>
      <c r="L173" s="591" t="s">
        <v>796</v>
      </c>
      <c r="M173" s="597" t="str">
        <f t="shared" si="107"/>
        <v>Niet van toepassing</v>
      </c>
      <c r="N173" s="591" t="s">
        <v>323</v>
      </c>
      <c r="O173" s="598"/>
      <c r="P173" s="599"/>
      <c r="Q173" s="600">
        <f t="shared" si="91"/>
        <v>0</v>
      </c>
      <c r="R173" s="601">
        <f t="shared" si="108"/>
        <v>3</v>
      </c>
      <c r="S173" s="603" t="s">
        <v>28</v>
      </c>
      <c r="T173" s="602"/>
      <c r="U173" s="603"/>
      <c r="V173" s="593">
        <f t="shared" si="97"/>
        <v>0</v>
      </c>
      <c r="W173" s="604">
        <f t="shared" si="109"/>
        <v>0</v>
      </c>
      <c r="X173" s="604">
        <f t="shared" si="110"/>
        <v>0</v>
      </c>
      <c r="Y173" s="604">
        <f t="shared" si="111"/>
        <v>0</v>
      </c>
      <c r="Z173" s="605">
        <f t="shared" si="112"/>
        <v>0</v>
      </c>
      <c r="AA173" s="751">
        <f t="shared" si="113"/>
        <v>0</v>
      </c>
      <c r="AB173" s="605">
        <f t="shared" si="114"/>
        <v>0</v>
      </c>
      <c r="AC173" s="607"/>
      <c r="AD173" s="591" t="str">
        <f t="shared" si="115"/>
        <v>Friesland College</v>
      </c>
      <c r="AE173" s="608"/>
      <c r="AF173" s="639">
        <v>3</v>
      </c>
      <c r="AG173" s="639">
        <f t="shared" si="93"/>
        <v>3</v>
      </c>
      <c r="AH173" s="639">
        <f t="shared" si="94"/>
        <v>0</v>
      </c>
      <c r="AI173" s="640"/>
      <c r="AJ173" s="641">
        <f t="shared" si="95"/>
        <v>0</v>
      </c>
      <c r="AK173" s="642"/>
      <c r="AL173" s="642" t="s">
        <v>364</v>
      </c>
      <c r="AM173" s="643"/>
      <c r="AN173" s="642"/>
      <c r="AO173" s="644">
        <v>165</v>
      </c>
      <c r="AP173" s="565"/>
      <c r="AQ173" s="566"/>
      <c r="AR173" s="566"/>
      <c r="AS173" s="566"/>
      <c r="AT173" s="566"/>
      <c r="AU173" s="566"/>
      <c r="AV173" s="566"/>
      <c r="AW173" s="566"/>
      <c r="AX173" s="566"/>
      <c r="AY173" s="566"/>
      <c r="AZ173" s="566"/>
      <c r="BA173" s="566"/>
      <c r="BB173" s="566"/>
      <c r="BC173" s="566"/>
      <c r="BD173" s="566"/>
      <c r="BE173" s="566"/>
      <c r="BF173" s="566"/>
      <c r="BG173" s="566"/>
    </row>
    <row r="174" spans="1:59">
      <c r="A174" s="591"/>
      <c r="B174" s="592"/>
      <c r="C174" s="593"/>
      <c r="D174" s="594">
        <v>1</v>
      </c>
      <c r="E174" s="595" t="s">
        <v>366</v>
      </c>
      <c r="F174" s="593" t="s">
        <v>339</v>
      </c>
      <c r="G174" s="596" t="s">
        <v>485</v>
      </c>
      <c r="H174" s="596"/>
      <c r="I174" s="596"/>
      <c r="J174" s="596"/>
      <c r="K174" s="596"/>
      <c r="L174" s="591" t="s">
        <v>771</v>
      </c>
      <c r="M174" s="597" t="str">
        <f t="shared" si="107"/>
        <v>Niet van toepassing</v>
      </c>
      <c r="N174" s="591" t="s">
        <v>323</v>
      </c>
      <c r="O174" s="598"/>
      <c r="P174" s="599"/>
      <c r="Q174" s="600">
        <f t="shared" si="91"/>
        <v>0</v>
      </c>
      <c r="R174" s="601">
        <f t="shared" si="108"/>
        <v>5</v>
      </c>
      <c r="S174" s="603" t="s">
        <v>28</v>
      </c>
      <c r="T174" s="602"/>
      <c r="U174" s="603"/>
      <c r="V174" s="593">
        <f t="shared" si="97"/>
        <v>0</v>
      </c>
      <c r="W174" s="604">
        <f t="shared" si="109"/>
        <v>0</v>
      </c>
      <c r="X174" s="604">
        <f t="shared" si="110"/>
        <v>0</v>
      </c>
      <c r="Y174" s="604">
        <f t="shared" si="111"/>
        <v>0</v>
      </c>
      <c r="Z174" s="605">
        <f t="shared" si="112"/>
        <v>0</v>
      </c>
      <c r="AA174" s="751">
        <f t="shared" si="113"/>
        <v>0</v>
      </c>
      <c r="AB174" s="605">
        <f t="shared" si="114"/>
        <v>0</v>
      </c>
      <c r="AC174" s="607"/>
      <c r="AD174" s="591" t="str">
        <f t="shared" si="115"/>
        <v>Friesland College</v>
      </c>
      <c r="AE174" s="608"/>
      <c r="AF174" s="639">
        <v>5</v>
      </c>
      <c r="AG174" s="639">
        <f t="shared" si="93"/>
        <v>5</v>
      </c>
      <c r="AH174" s="639">
        <f t="shared" si="94"/>
        <v>0</v>
      </c>
      <c r="AI174" s="640"/>
      <c r="AJ174" s="641">
        <f t="shared" si="95"/>
        <v>0</v>
      </c>
      <c r="AK174" s="642"/>
      <c r="AL174" s="642" t="s">
        <v>364</v>
      </c>
      <c r="AM174" s="643"/>
      <c r="AN174" s="642"/>
      <c r="AO174" s="644">
        <v>166</v>
      </c>
      <c r="AP174" s="565"/>
      <c r="AQ174" s="566"/>
      <c r="AR174" s="566"/>
      <c r="AS174" s="566"/>
      <c r="AT174" s="566"/>
      <c r="AU174" s="566"/>
      <c r="AV174" s="566"/>
      <c r="AW174" s="566"/>
      <c r="AX174" s="566"/>
      <c r="AY174" s="566"/>
      <c r="AZ174" s="566"/>
      <c r="BA174" s="566"/>
      <c r="BB174" s="566"/>
      <c r="BC174" s="566"/>
      <c r="BD174" s="566"/>
      <c r="BE174" s="566"/>
      <c r="BF174" s="566"/>
      <c r="BG174" s="566"/>
    </row>
    <row r="175" spans="1:59">
      <c r="A175" s="591"/>
      <c r="B175" s="592"/>
      <c r="C175" s="593"/>
      <c r="D175" s="594">
        <v>1</v>
      </c>
      <c r="E175" s="595" t="s">
        <v>366</v>
      </c>
      <c r="F175" s="593" t="s">
        <v>339</v>
      </c>
      <c r="G175" s="596" t="s">
        <v>486</v>
      </c>
      <c r="H175" s="596"/>
      <c r="I175" s="596"/>
      <c r="J175" s="596"/>
      <c r="K175" s="596"/>
      <c r="L175" s="591" t="s">
        <v>796</v>
      </c>
      <c r="M175" s="597" t="str">
        <f t="shared" si="107"/>
        <v>Niet van toepassing</v>
      </c>
      <c r="N175" s="591" t="s">
        <v>323</v>
      </c>
      <c r="O175" s="598"/>
      <c r="P175" s="599"/>
      <c r="Q175" s="600">
        <f t="shared" si="91"/>
        <v>0</v>
      </c>
      <c r="R175" s="601">
        <f t="shared" si="108"/>
        <v>3</v>
      </c>
      <c r="S175" s="603" t="s">
        <v>28</v>
      </c>
      <c r="T175" s="602"/>
      <c r="U175" s="603"/>
      <c r="V175" s="593">
        <f t="shared" si="97"/>
        <v>0</v>
      </c>
      <c r="W175" s="604">
        <f t="shared" si="109"/>
        <v>0</v>
      </c>
      <c r="X175" s="604">
        <f t="shared" si="110"/>
        <v>0</v>
      </c>
      <c r="Y175" s="604">
        <f t="shared" si="111"/>
        <v>0</v>
      </c>
      <c r="Z175" s="605">
        <f t="shared" si="112"/>
        <v>0</v>
      </c>
      <c r="AA175" s="751">
        <f t="shared" si="113"/>
        <v>0</v>
      </c>
      <c r="AB175" s="605">
        <f t="shared" si="114"/>
        <v>0</v>
      </c>
      <c r="AC175" s="607"/>
      <c r="AD175" s="591" t="str">
        <f t="shared" si="115"/>
        <v>Friesland College</v>
      </c>
      <c r="AE175" s="608"/>
      <c r="AF175" s="639">
        <v>3</v>
      </c>
      <c r="AG175" s="639">
        <f t="shared" si="93"/>
        <v>3</v>
      </c>
      <c r="AH175" s="639">
        <f t="shared" si="94"/>
        <v>0</v>
      </c>
      <c r="AI175" s="640"/>
      <c r="AJ175" s="641">
        <f t="shared" si="95"/>
        <v>0</v>
      </c>
      <c r="AK175" s="642"/>
      <c r="AL175" s="642" t="s">
        <v>364</v>
      </c>
      <c r="AM175" s="643"/>
      <c r="AN175" s="642"/>
      <c r="AO175" s="644">
        <v>167</v>
      </c>
      <c r="AP175" s="565"/>
      <c r="AQ175" s="566"/>
      <c r="AR175" s="566"/>
      <c r="AS175" s="566"/>
      <c r="AT175" s="566"/>
      <c r="AU175" s="566"/>
      <c r="AV175" s="566"/>
      <c r="AW175" s="566"/>
      <c r="AX175" s="566"/>
      <c r="AY175" s="566"/>
      <c r="AZ175" s="566"/>
      <c r="BA175" s="566"/>
      <c r="BB175" s="566"/>
      <c r="BC175" s="566"/>
      <c r="BD175" s="566"/>
      <c r="BE175" s="566"/>
      <c r="BF175" s="566"/>
      <c r="BG175" s="566"/>
    </row>
    <row r="176" spans="1:59">
      <c r="A176" s="591"/>
      <c r="B176" s="592"/>
      <c r="C176" s="593"/>
      <c r="D176" s="594">
        <v>1</v>
      </c>
      <c r="E176" s="595" t="s">
        <v>366</v>
      </c>
      <c r="F176" s="593" t="s">
        <v>339</v>
      </c>
      <c r="G176" s="596" t="s">
        <v>487</v>
      </c>
      <c r="H176" s="596"/>
      <c r="I176" s="596"/>
      <c r="J176" s="596"/>
      <c r="K176" s="596"/>
      <c r="L176" s="591" t="s">
        <v>807</v>
      </c>
      <c r="M176" s="597" t="str">
        <f t="shared" si="107"/>
        <v>Gang, hal, pantry, aula, repro, gardarobe</v>
      </c>
      <c r="N176" s="591" t="s">
        <v>78</v>
      </c>
      <c r="O176" s="598"/>
      <c r="P176" s="599"/>
      <c r="Q176" s="600">
        <f t="shared" si="91"/>
        <v>0</v>
      </c>
      <c r="R176" s="601">
        <f t="shared" si="108"/>
        <v>280</v>
      </c>
      <c r="S176" s="647">
        <v>104200</v>
      </c>
      <c r="T176" s="602"/>
      <c r="U176" s="645">
        <v>1</v>
      </c>
      <c r="V176" s="593">
        <f t="shared" si="97"/>
        <v>200</v>
      </c>
      <c r="W176" s="604">
        <f t="shared" si="109"/>
        <v>0</v>
      </c>
      <c r="X176" s="604">
        <f t="shared" si="110"/>
        <v>0</v>
      </c>
      <c r="Y176" s="604">
        <f t="shared" si="111"/>
        <v>0</v>
      </c>
      <c r="Z176" s="605">
        <f t="shared" si="112"/>
        <v>0</v>
      </c>
      <c r="AA176" s="751">
        <f t="shared" si="113"/>
        <v>0</v>
      </c>
      <c r="AB176" s="605">
        <f t="shared" si="114"/>
        <v>0</v>
      </c>
      <c r="AC176" s="607"/>
      <c r="AD176" s="591" t="str">
        <f t="shared" si="115"/>
        <v>Friesland College</v>
      </c>
      <c r="AE176" s="608"/>
      <c r="AF176" s="639">
        <v>280</v>
      </c>
      <c r="AG176" s="639">
        <f t="shared" si="93"/>
        <v>280</v>
      </c>
      <c r="AH176" s="639">
        <f t="shared" si="94"/>
        <v>0</v>
      </c>
      <c r="AI176" s="640"/>
      <c r="AJ176" s="641">
        <f t="shared" si="95"/>
        <v>0</v>
      </c>
      <c r="AK176" s="642"/>
      <c r="AL176" s="642" t="s">
        <v>364</v>
      </c>
      <c r="AM176" s="643"/>
      <c r="AN176" s="642"/>
      <c r="AO176" s="644">
        <v>168</v>
      </c>
      <c r="AP176" s="565"/>
      <c r="AQ176" s="566"/>
      <c r="AR176" s="566"/>
      <c r="AS176" s="566"/>
      <c r="AT176" s="566"/>
      <c r="AU176" s="566"/>
      <c r="AV176" s="566"/>
      <c r="AW176" s="566"/>
      <c r="AX176" s="566"/>
      <c r="AY176" s="566"/>
      <c r="AZ176" s="566"/>
      <c r="BA176" s="566"/>
      <c r="BB176" s="566"/>
      <c r="BC176" s="566"/>
      <c r="BD176" s="566"/>
      <c r="BE176" s="566"/>
      <c r="BF176" s="566"/>
      <c r="BG176" s="566"/>
    </row>
    <row r="177" spans="1:59">
      <c r="A177" s="624"/>
      <c r="B177" s="592"/>
      <c r="C177" s="593"/>
      <c r="D177" s="594">
        <v>1</v>
      </c>
      <c r="E177" s="595" t="s">
        <v>366</v>
      </c>
      <c r="F177" s="593" t="s">
        <v>368</v>
      </c>
      <c r="G177" s="596">
        <v>201</v>
      </c>
      <c r="H177" s="596" t="s">
        <v>488</v>
      </c>
      <c r="I177" s="596"/>
      <c r="J177" s="596"/>
      <c r="K177" s="596"/>
      <c r="L177" s="591" t="s">
        <v>808</v>
      </c>
      <c r="M177" s="597" t="str">
        <f t="shared" si="107"/>
        <v>Onderwijsruimte (theorie)</v>
      </c>
      <c r="N177" s="591" t="s">
        <v>78</v>
      </c>
      <c r="O177" s="598"/>
      <c r="P177" s="599"/>
      <c r="Q177" s="600">
        <f t="shared" si="91"/>
        <v>0</v>
      </c>
      <c r="R177" s="601">
        <f t="shared" si="108"/>
        <v>104</v>
      </c>
      <c r="S177" s="647">
        <v>102200</v>
      </c>
      <c r="T177" s="602"/>
      <c r="U177" s="645">
        <v>1</v>
      </c>
      <c r="V177" s="593">
        <f t="shared" si="97"/>
        <v>200</v>
      </c>
      <c r="W177" s="604">
        <f t="shared" si="109"/>
        <v>0</v>
      </c>
      <c r="X177" s="604">
        <f t="shared" si="110"/>
        <v>0</v>
      </c>
      <c r="Y177" s="604">
        <f t="shared" si="111"/>
        <v>0</v>
      </c>
      <c r="Z177" s="605">
        <f t="shared" si="112"/>
        <v>0</v>
      </c>
      <c r="AA177" s="751">
        <f t="shared" si="113"/>
        <v>0</v>
      </c>
      <c r="AB177" s="605">
        <f t="shared" si="114"/>
        <v>0</v>
      </c>
      <c r="AC177" s="607"/>
      <c r="AD177" s="591" t="str">
        <f t="shared" si="115"/>
        <v>Friesland College</v>
      </c>
      <c r="AE177" s="608"/>
      <c r="AF177" s="639">
        <v>104</v>
      </c>
      <c r="AG177" s="639">
        <f t="shared" si="93"/>
        <v>104</v>
      </c>
      <c r="AH177" s="639">
        <f t="shared" si="94"/>
        <v>0</v>
      </c>
      <c r="AI177" s="640"/>
      <c r="AJ177" s="641">
        <f t="shared" si="95"/>
        <v>0</v>
      </c>
      <c r="AK177" s="642"/>
      <c r="AL177" s="642" t="s">
        <v>364</v>
      </c>
      <c r="AM177" s="643"/>
      <c r="AN177" s="642"/>
      <c r="AO177" s="644">
        <v>169</v>
      </c>
      <c r="AP177" s="565"/>
      <c r="AQ177" s="566"/>
      <c r="AR177" s="566"/>
      <c r="AS177" s="566"/>
      <c r="AT177" s="566"/>
      <c r="AU177" s="566"/>
      <c r="AV177" s="566"/>
      <c r="AW177" s="566"/>
      <c r="AX177" s="566"/>
      <c r="AY177" s="566"/>
      <c r="AZ177" s="566"/>
      <c r="BA177" s="566"/>
      <c r="BB177" s="566"/>
      <c r="BC177" s="566"/>
      <c r="BD177" s="566"/>
      <c r="BE177" s="566"/>
      <c r="BF177" s="566"/>
      <c r="BG177" s="566"/>
    </row>
    <row r="178" spans="1:59">
      <c r="A178" s="624"/>
      <c r="B178" s="618"/>
      <c r="C178" s="609"/>
      <c r="D178" s="594">
        <v>1</v>
      </c>
      <c r="E178" s="595" t="s">
        <v>366</v>
      </c>
      <c r="F178" s="593" t="s">
        <v>368</v>
      </c>
      <c r="G178" s="610">
        <v>201</v>
      </c>
      <c r="H178" s="610" t="s">
        <v>488</v>
      </c>
      <c r="I178" s="610"/>
      <c r="J178" s="610"/>
      <c r="K178" s="610"/>
      <c r="L178" s="611" t="s">
        <v>757</v>
      </c>
      <c r="M178" s="612">
        <f t="shared" si="107"/>
        <v>0</v>
      </c>
      <c r="N178" s="613"/>
      <c r="O178" s="614" t="s">
        <v>987</v>
      </c>
      <c r="P178" s="615">
        <v>100</v>
      </c>
      <c r="Q178" s="616">
        <f t="shared" si="91"/>
        <v>104</v>
      </c>
      <c r="R178" s="613"/>
      <c r="S178" s="603"/>
      <c r="T178" s="606"/>
      <c r="U178" s="606"/>
      <c r="V178" s="593">
        <f t="shared" si="97"/>
        <v>0</v>
      </c>
      <c r="W178" s="606"/>
      <c r="X178" s="606"/>
      <c r="Y178" s="606"/>
      <c r="Z178" s="606"/>
      <c r="AA178" s="606"/>
      <c r="AB178" s="606"/>
      <c r="AC178" s="607"/>
      <c r="AD178" s="606"/>
      <c r="AE178" s="608"/>
      <c r="AF178" s="639">
        <v>104</v>
      </c>
      <c r="AG178" s="639">
        <f t="shared" si="93"/>
        <v>104</v>
      </c>
      <c r="AH178" s="639">
        <f t="shared" si="94"/>
        <v>0</v>
      </c>
      <c r="AI178" s="640"/>
      <c r="AJ178" s="641">
        <f t="shared" si="95"/>
        <v>0</v>
      </c>
      <c r="AK178" s="642"/>
      <c r="AL178" s="642" t="s">
        <v>364</v>
      </c>
      <c r="AM178" s="643"/>
      <c r="AN178" s="642"/>
      <c r="AO178" s="644">
        <v>170</v>
      </c>
      <c r="AP178" s="565"/>
      <c r="AQ178" s="566"/>
      <c r="AR178" s="566"/>
      <c r="AS178" s="566"/>
      <c r="AT178" s="566"/>
      <c r="AU178" s="566"/>
      <c r="AV178" s="566"/>
      <c r="AW178" s="566"/>
      <c r="AX178" s="566"/>
      <c r="AY178" s="566"/>
      <c r="AZ178" s="566"/>
      <c r="BA178" s="566"/>
      <c r="BB178" s="566"/>
      <c r="BC178" s="566"/>
      <c r="BD178" s="566"/>
      <c r="BE178" s="566"/>
      <c r="BF178" s="566"/>
      <c r="BG178" s="566"/>
    </row>
    <row r="179" spans="1:59">
      <c r="A179" s="591"/>
      <c r="B179" s="592"/>
      <c r="C179" s="593"/>
      <c r="D179" s="594">
        <v>1</v>
      </c>
      <c r="E179" s="595" t="s">
        <v>366</v>
      </c>
      <c r="F179" s="593" t="s">
        <v>368</v>
      </c>
      <c r="G179" s="627">
        <v>202</v>
      </c>
      <c r="H179" s="596" t="s">
        <v>489</v>
      </c>
      <c r="I179" s="596"/>
      <c r="J179" s="596"/>
      <c r="K179" s="596"/>
      <c r="L179" s="591" t="s">
        <v>792</v>
      </c>
      <c r="M179" s="597" t="str">
        <f t="shared" si="107"/>
        <v>Onderwijsruimte (theorie)</v>
      </c>
      <c r="N179" s="591" t="s">
        <v>78</v>
      </c>
      <c r="O179" s="598"/>
      <c r="P179" s="599"/>
      <c r="Q179" s="600">
        <f t="shared" si="91"/>
        <v>0</v>
      </c>
      <c r="R179" s="601">
        <f>AF179</f>
        <v>21</v>
      </c>
      <c r="S179" s="647">
        <v>102200</v>
      </c>
      <c r="T179" s="606"/>
      <c r="U179" s="645">
        <v>1</v>
      </c>
      <c r="V179" s="593">
        <f t="shared" si="97"/>
        <v>200</v>
      </c>
      <c r="W179" s="604">
        <f>Z179*R179*U179</f>
        <v>0</v>
      </c>
      <c r="X179" s="604">
        <f>AA179*R179</f>
        <v>0</v>
      </c>
      <c r="Y179" s="604">
        <f>AB179*R179</f>
        <v>0</v>
      </c>
      <c r="Z179" s="605">
        <f>VLOOKUP(S179,Kengetal,6,FALSE)</f>
        <v>0</v>
      </c>
      <c r="AA179" s="751">
        <f>VLOOKUP(S179,Kengetal,7,FALSE)</f>
        <v>0</v>
      </c>
      <c r="AB179" s="605">
        <f>VLOOKUP(T179,Kengetal,6,FALSE)</f>
        <v>0</v>
      </c>
      <c r="AC179" s="607"/>
      <c r="AD179" s="591" t="str">
        <f>AL179</f>
        <v>Friesland College</v>
      </c>
      <c r="AE179" s="608"/>
      <c r="AF179" s="639">
        <v>21</v>
      </c>
      <c r="AG179" s="639">
        <f t="shared" si="93"/>
        <v>21</v>
      </c>
      <c r="AH179" s="639"/>
      <c r="AI179" s="640"/>
      <c r="AJ179" s="641"/>
      <c r="AK179" s="642"/>
      <c r="AL179" s="642" t="s">
        <v>364</v>
      </c>
      <c r="AM179" s="643"/>
      <c r="AN179" s="642"/>
      <c r="AO179" s="644">
        <v>171</v>
      </c>
      <c r="AP179" s="565"/>
      <c r="AQ179" s="566"/>
      <c r="AR179" s="566"/>
      <c r="AS179" s="566"/>
      <c r="AT179" s="566"/>
      <c r="AU179" s="566"/>
      <c r="AV179" s="566"/>
      <c r="AW179" s="566"/>
      <c r="AX179" s="566"/>
      <c r="AY179" s="566"/>
      <c r="AZ179" s="566"/>
      <c r="BA179" s="566"/>
      <c r="BB179" s="566"/>
      <c r="BC179" s="566"/>
      <c r="BD179" s="566"/>
      <c r="BE179" s="566"/>
      <c r="BF179" s="566"/>
      <c r="BG179" s="566"/>
    </row>
    <row r="180" spans="1:59">
      <c r="A180" s="624"/>
      <c r="B180" s="592"/>
      <c r="C180" s="593"/>
      <c r="D180" s="594">
        <v>1</v>
      </c>
      <c r="E180" s="595" t="s">
        <v>366</v>
      </c>
      <c r="F180" s="593" t="s">
        <v>368</v>
      </c>
      <c r="G180" s="610">
        <v>202</v>
      </c>
      <c r="H180" s="610" t="s">
        <v>489</v>
      </c>
      <c r="I180" s="610"/>
      <c r="J180" s="610"/>
      <c r="K180" s="610"/>
      <c r="L180" s="611" t="s">
        <v>792</v>
      </c>
      <c r="M180" s="612">
        <f t="shared" si="107"/>
        <v>0</v>
      </c>
      <c r="N180" s="613"/>
      <c r="O180" s="614" t="s">
        <v>987</v>
      </c>
      <c r="P180" s="615">
        <v>100</v>
      </c>
      <c r="Q180" s="616">
        <f t="shared" si="91"/>
        <v>21</v>
      </c>
      <c r="R180" s="613"/>
      <c r="S180" s="603"/>
      <c r="T180" s="606"/>
      <c r="U180" s="606"/>
      <c r="V180" s="593">
        <f t="shared" si="97"/>
        <v>0</v>
      </c>
      <c r="W180" s="606"/>
      <c r="X180" s="606"/>
      <c r="Y180" s="606"/>
      <c r="Z180" s="606"/>
      <c r="AA180" s="606"/>
      <c r="AB180" s="606"/>
      <c r="AC180" s="607"/>
      <c r="AD180" s="606"/>
      <c r="AE180" s="608"/>
      <c r="AF180" s="639">
        <v>21</v>
      </c>
      <c r="AG180" s="639">
        <f t="shared" si="93"/>
        <v>21</v>
      </c>
      <c r="AH180" s="639"/>
      <c r="AI180" s="640"/>
      <c r="AJ180" s="641"/>
      <c r="AK180" s="642"/>
      <c r="AL180" s="642" t="s">
        <v>364</v>
      </c>
      <c r="AM180" s="643"/>
      <c r="AN180" s="642"/>
      <c r="AO180" s="644">
        <v>172</v>
      </c>
      <c r="AP180" s="565"/>
      <c r="AQ180" s="566"/>
      <c r="AR180" s="566"/>
      <c r="AS180" s="566"/>
      <c r="AT180" s="566"/>
      <c r="AU180" s="566"/>
      <c r="AV180" s="566"/>
      <c r="AW180" s="566"/>
      <c r="AX180" s="566"/>
      <c r="AY180" s="566"/>
      <c r="AZ180" s="566"/>
      <c r="BA180" s="566"/>
      <c r="BB180" s="566"/>
      <c r="BC180" s="566"/>
      <c r="BD180" s="566"/>
      <c r="BE180" s="566"/>
      <c r="BF180" s="566"/>
      <c r="BG180" s="566"/>
    </row>
    <row r="181" spans="1:59">
      <c r="A181" s="591"/>
      <c r="B181" s="592"/>
      <c r="C181" s="593"/>
      <c r="D181" s="594">
        <v>1</v>
      </c>
      <c r="E181" s="595" t="s">
        <v>366</v>
      </c>
      <c r="F181" s="593" t="s">
        <v>368</v>
      </c>
      <c r="G181" s="596">
        <v>203</v>
      </c>
      <c r="H181" s="596" t="s">
        <v>490</v>
      </c>
      <c r="I181" s="596"/>
      <c r="J181" s="596"/>
      <c r="K181" s="596"/>
      <c r="L181" s="591" t="s">
        <v>809</v>
      </c>
      <c r="M181" s="597" t="str">
        <f t="shared" si="107"/>
        <v>Administratieve -, personeels- en vergaderruimte</v>
      </c>
      <c r="N181" s="591" t="s">
        <v>78</v>
      </c>
      <c r="O181" s="598"/>
      <c r="P181" s="599"/>
      <c r="Q181" s="600"/>
      <c r="R181" s="601">
        <f>AF181</f>
        <v>21</v>
      </c>
      <c r="S181" s="647">
        <v>101100</v>
      </c>
      <c r="T181" s="602"/>
      <c r="U181" s="645">
        <v>1</v>
      </c>
      <c r="V181" s="593">
        <f t="shared" si="97"/>
        <v>100</v>
      </c>
      <c r="W181" s="604">
        <f t="shared" ref="W181:W182" si="116">Z181*R181*U181</f>
        <v>0</v>
      </c>
      <c r="X181" s="604">
        <f t="shared" ref="X181:X182" si="117">AA181*R181</f>
        <v>0</v>
      </c>
      <c r="Y181" s="604">
        <f t="shared" ref="Y181:Y182" si="118">AB181*R181</f>
        <v>0</v>
      </c>
      <c r="Z181" s="605">
        <f>VLOOKUP(S181,Kengetal,6,FALSE)</f>
        <v>0</v>
      </c>
      <c r="AA181" s="751">
        <f>VLOOKUP(S181,Kengetal,7,FALSE)</f>
        <v>0</v>
      </c>
      <c r="AB181" s="605">
        <f>VLOOKUP(T181,Kengetal,6,FALSE)</f>
        <v>0</v>
      </c>
      <c r="AC181" s="607"/>
      <c r="AD181" s="591" t="str">
        <f>AL181</f>
        <v>Friesland College</v>
      </c>
      <c r="AE181" s="608"/>
      <c r="AF181" s="639">
        <v>21</v>
      </c>
      <c r="AG181" s="639">
        <f t="shared" si="93"/>
        <v>21</v>
      </c>
      <c r="AH181" s="639">
        <f t="shared" ref="AH181:AH204" si="119">IF(B181=0,0,MONTH(B181))</f>
        <v>0</v>
      </c>
      <c r="AI181" s="640"/>
      <c r="AJ181" s="641">
        <f t="shared" ref="AJ181:AJ204" si="120">W181+X181</f>
        <v>0</v>
      </c>
      <c r="AK181" s="642"/>
      <c r="AL181" s="642" t="s">
        <v>364</v>
      </c>
      <c r="AM181" s="643"/>
      <c r="AN181" s="642"/>
      <c r="AO181" s="644">
        <v>173</v>
      </c>
      <c r="AP181" s="565"/>
      <c r="AQ181" s="566"/>
      <c r="AR181" s="566"/>
      <c r="AS181" s="566"/>
      <c r="AT181" s="566"/>
      <c r="AU181" s="566"/>
      <c r="AV181" s="566"/>
      <c r="AW181" s="566"/>
      <c r="AX181" s="566"/>
      <c r="AY181" s="566"/>
      <c r="AZ181" s="566"/>
      <c r="BA181" s="566"/>
      <c r="BB181" s="566"/>
      <c r="BC181" s="566"/>
      <c r="BD181" s="566"/>
      <c r="BE181" s="566"/>
      <c r="BF181" s="566"/>
      <c r="BG181" s="566"/>
    </row>
    <row r="182" spans="1:59">
      <c r="A182" s="591"/>
      <c r="B182" s="592"/>
      <c r="C182" s="593"/>
      <c r="D182" s="594">
        <v>1</v>
      </c>
      <c r="E182" s="595" t="s">
        <v>366</v>
      </c>
      <c r="F182" s="593" t="s">
        <v>368</v>
      </c>
      <c r="G182" s="596">
        <v>203</v>
      </c>
      <c r="H182" s="596" t="s">
        <v>491</v>
      </c>
      <c r="I182" s="596"/>
      <c r="J182" s="596"/>
      <c r="K182" s="596"/>
      <c r="L182" s="591" t="s">
        <v>810</v>
      </c>
      <c r="M182" s="597" t="str">
        <f t="shared" si="107"/>
        <v>Onderwijsruimte (theorie)</v>
      </c>
      <c r="N182" s="591" t="s">
        <v>78</v>
      </c>
      <c r="O182" s="598"/>
      <c r="P182" s="599"/>
      <c r="Q182" s="600">
        <f t="shared" ref="Q182:Q245" si="121">AF182*P182/100</f>
        <v>0</v>
      </c>
      <c r="R182" s="601">
        <f>AF182</f>
        <v>18</v>
      </c>
      <c r="S182" s="647">
        <v>102200</v>
      </c>
      <c r="T182" s="602"/>
      <c r="U182" s="645">
        <v>1</v>
      </c>
      <c r="V182" s="593">
        <f t="shared" si="97"/>
        <v>200</v>
      </c>
      <c r="W182" s="604">
        <f t="shared" si="116"/>
        <v>0</v>
      </c>
      <c r="X182" s="604">
        <f t="shared" si="117"/>
        <v>0</v>
      </c>
      <c r="Y182" s="604">
        <f t="shared" si="118"/>
        <v>0</v>
      </c>
      <c r="Z182" s="605">
        <f>VLOOKUP(S182,Kengetal,6,FALSE)</f>
        <v>0</v>
      </c>
      <c r="AA182" s="751">
        <f>VLOOKUP(S182,Kengetal,7,FALSE)</f>
        <v>0</v>
      </c>
      <c r="AB182" s="605">
        <f>VLOOKUP(T182,Kengetal,6,FALSE)</f>
        <v>0</v>
      </c>
      <c r="AC182" s="607"/>
      <c r="AD182" s="591" t="str">
        <f>AL182</f>
        <v>Friesland College</v>
      </c>
      <c r="AE182" s="608"/>
      <c r="AF182" s="639">
        <v>18</v>
      </c>
      <c r="AG182" s="639">
        <f t="shared" si="93"/>
        <v>18</v>
      </c>
      <c r="AH182" s="639">
        <f t="shared" si="119"/>
        <v>0</v>
      </c>
      <c r="AI182" s="640"/>
      <c r="AJ182" s="641">
        <f t="shared" si="120"/>
        <v>0</v>
      </c>
      <c r="AK182" s="642"/>
      <c r="AL182" s="642" t="s">
        <v>364</v>
      </c>
      <c r="AM182" s="643"/>
      <c r="AN182" s="642"/>
      <c r="AO182" s="644">
        <v>174</v>
      </c>
      <c r="AP182" s="565"/>
      <c r="AQ182" s="566"/>
      <c r="AR182" s="566"/>
      <c r="AS182" s="566"/>
      <c r="AT182" s="566"/>
      <c r="AU182" s="566"/>
      <c r="AV182" s="566"/>
      <c r="AW182" s="566"/>
      <c r="AX182" s="566"/>
      <c r="AY182" s="566"/>
      <c r="AZ182" s="566"/>
      <c r="BA182" s="566"/>
      <c r="BB182" s="566"/>
      <c r="BC182" s="566"/>
      <c r="BD182" s="566"/>
      <c r="BE182" s="566"/>
      <c r="BF182" s="566"/>
      <c r="BG182" s="566"/>
    </row>
    <row r="183" spans="1:59">
      <c r="A183" s="591"/>
      <c r="B183" s="592"/>
      <c r="C183" s="593"/>
      <c r="D183" s="594">
        <v>1</v>
      </c>
      <c r="E183" s="595" t="s">
        <v>366</v>
      </c>
      <c r="F183" s="593" t="s">
        <v>368</v>
      </c>
      <c r="G183" s="610">
        <v>203</v>
      </c>
      <c r="H183" s="610" t="s">
        <v>491</v>
      </c>
      <c r="I183" s="610"/>
      <c r="J183" s="610"/>
      <c r="K183" s="610"/>
      <c r="L183" s="611" t="s">
        <v>810</v>
      </c>
      <c r="M183" s="612">
        <f t="shared" si="107"/>
        <v>0</v>
      </c>
      <c r="N183" s="613"/>
      <c r="O183" s="614" t="s">
        <v>987</v>
      </c>
      <c r="P183" s="615">
        <v>100</v>
      </c>
      <c r="Q183" s="616">
        <f t="shared" si="121"/>
        <v>18</v>
      </c>
      <c r="R183" s="613"/>
      <c r="S183" s="603"/>
      <c r="T183" s="606"/>
      <c r="U183" s="606"/>
      <c r="V183" s="593">
        <f t="shared" si="97"/>
        <v>0</v>
      </c>
      <c r="W183" s="606"/>
      <c r="X183" s="606"/>
      <c r="Y183" s="606"/>
      <c r="Z183" s="606"/>
      <c r="AA183" s="606"/>
      <c r="AB183" s="606"/>
      <c r="AC183" s="607"/>
      <c r="AD183" s="606"/>
      <c r="AE183" s="608"/>
      <c r="AF183" s="639">
        <v>18</v>
      </c>
      <c r="AG183" s="639">
        <f t="shared" si="93"/>
        <v>18</v>
      </c>
      <c r="AH183" s="639">
        <f t="shared" si="119"/>
        <v>0</v>
      </c>
      <c r="AI183" s="640"/>
      <c r="AJ183" s="641">
        <f t="shared" si="120"/>
        <v>0</v>
      </c>
      <c r="AK183" s="642"/>
      <c r="AL183" s="642" t="s">
        <v>364</v>
      </c>
      <c r="AM183" s="643"/>
      <c r="AN183" s="642"/>
      <c r="AO183" s="644">
        <v>175</v>
      </c>
      <c r="AP183" s="565"/>
      <c r="AQ183" s="566"/>
      <c r="AR183" s="566"/>
      <c r="AS183" s="566"/>
      <c r="AT183" s="566"/>
      <c r="AU183" s="566"/>
      <c r="AV183" s="566"/>
      <c r="AW183" s="566"/>
      <c r="AX183" s="566"/>
      <c r="AY183" s="566"/>
      <c r="AZ183" s="566"/>
      <c r="BA183" s="566"/>
      <c r="BB183" s="566"/>
      <c r="BC183" s="566"/>
      <c r="BD183" s="566"/>
      <c r="BE183" s="566"/>
      <c r="BF183" s="566"/>
      <c r="BG183" s="566"/>
    </row>
    <row r="184" spans="1:59">
      <c r="A184" s="591"/>
      <c r="B184" s="592"/>
      <c r="C184" s="593"/>
      <c r="D184" s="594">
        <v>1</v>
      </c>
      <c r="E184" s="595" t="s">
        <v>366</v>
      </c>
      <c r="F184" s="593" t="s">
        <v>368</v>
      </c>
      <c r="G184" s="596">
        <v>216</v>
      </c>
      <c r="H184" s="596" t="s">
        <v>492</v>
      </c>
      <c r="I184" s="596"/>
      <c r="J184" s="596"/>
      <c r="K184" s="596"/>
      <c r="L184" s="591" t="s">
        <v>804</v>
      </c>
      <c r="M184" s="597" t="str">
        <f t="shared" si="107"/>
        <v>Onderwijsruimte (praktijk)</v>
      </c>
      <c r="N184" s="591" t="s">
        <v>78</v>
      </c>
      <c r="O184" s="598"/>
      <c r="P184" s="599"/>
      <c r="Q184" s="600">
        <f t="shared" si="121"/>
        <v>0</v>
      </c>
      <c r="R184" s="601">
        <f>AF184</f>
        <v>42</v>
      </c>
      <c r="S184" s="647">
        <v>112200</v>
      </c>
      <c r="T184" s="602"/>
      <c r="U184" s="645">
        <v>1</v>
      </c>
      <c r="V184" s="593">
        <f t="shared" si="97"/>
        <v>200</v>
      </c>
      <c r="W184" s="604">
        <f>Z184*R184*U184</f>
        <v>0</v>
      </c>
      <c r="X184" s="604">
        <f>AA184*R184</f>
        <v>0</v>
      </c>
      <c r="Y184" s="604">
        <f>AB184*R184</f>
        <v>0</v>
      </c>
      <c r="Z184" s="605">
        <f>VLOOKUP(S184,Kengetal,6,FALSE)</f>
        <v>0</v>
      </c>
      <c r="AA184" s="751">
        <f>VLOOKUP(S184,Kengetal,7,FALSE)</f>
        <v>0</v>
      </c>
      <c r="AB184" s="605">
        <f>VLOOKUP(T184,Kengetal,6,FALSE)</f>
        <v>0</v>
      </c>
      <c r="AC184" s="607"/>
      <c r="AD184" s="591" t="str">
        <f>AL184</f>
        <v>Friesland College</v>
      </c>
      <c r="AE184" s="608"/>
      <c r="AF184" s="639">
        <v>42</v>
      </c>
      <c r="AG184" s="639">
        <f t="shared" si="93"/>
        <v>42</v>
      </c>
      <c r="AH184" s="639">
        <f t="shared" si="119"/>
        <v>0</v>
      </c>
      <c r="AI184" s="640"/>
      <c r="AJ184" s="641">
        <f t="shared" si="120"/>
        <v>0</v>
      </c>
      <c r="AK184" s="642"/>
      <c r="AL184" s="642" t="s">
        <v>364</v>
      </c>
      <c r="AM184" s="643"/>
      <c r="AN184" s="642"/>
      <c r="AO184" s="644">
        <v>176</v>
      </c>
      <c r="AP184" s="565"/>
      <c r="AQ184" s="566"/>
      <c r="AR184" s="566"/>
      <c r="AS184" s="566"/>
      <c r="AT184" s="566"/>
      <c r="AU184" s="566"/>
      <c r="AV184" s="566"/>
      <c r="AW184" s="566"/>
      <c r="AX184" s="566"/>
      <c r="AY184" s="566"/>
      <c r="AZ184" s="566"/>
      <c r="BA184" s="566"/>
      <c r="BB184" s="566"/>
      <c r="BC184" s="566"/>
      <c r="BD184" s="566"/>
      <c r="BE184" s="566"/>
      <c r="BF184" s="566"/>
      <c r="BG184" s="566"/>
    </row>
    <row r="185" spans="1:59">
      <c r="A185" s="591"/>
      <c r="B185" s="618"/>
      <c r="C185" s="609"/>
      <c r="D185" s="594">
        <v>1</v>
      </c>
      <c r="E185" s="595" t="s">
        <v>366</v>
      </c>
      <c r="F185" s="593" t="s">
        <v>368</v>
      </c>
      <c r="G185" s="610">
        <v>216</v>
      </c>
      <c r="H185" s="610" t="s">
        <v>492</v>
      </c>
      <c r="I185" s="610"/>
      <c r="J185" s="610"/>
      <c r="K185" s="610"/>
      <c r="L185" s="611" t="s">
        <v>804</v>
      </c>
      <c r="M185" s="612">
        <f t="shared" si="107"/>
        <v>0</v>
      </c>
      <c r="N185" s="613"/>
      <c r="O185" s="614" t="s">
        <v>993</v>
      </c>
      <c r="P185" s="615">
        <v>100</v>
      </c>
      <c r="Q185" s="616">
        <f t="shared" si="121"/>
        <v>42</v>
      </c>
      <c r="R185" s="613"/>
      <c r="S185" s="603"/>
      <c r="T185" s="606"/>
      <c r="U185" s="606"/>
      <c r="V185" s="593">
        <f t="shared" si="97"/>
        <v>0</v>
      </c>
      <c r="W185" s="606"/>
      <c r="X185" s="606"/>
      <c r="Y185" s="606"/>
      <c r="Z185" s="606"/>
      <c r="AA185" s="606"/>
      <c r="AB185" s="606"/>
      <c r="AC185" s="607"/>
      <c r="AD185" s="606"/>
      <c r="AE185" s="608"/>
      <c r="AF185" s="639">
        <v>42</v>
      </c>
      <c r="AG185" s="639">
        <f t="shared" si="93"/>
        <v>42</v>
      </c>
      <c r="AH185" s="639">
        <f t="shared" si="119"/>
        <v>0</v>
      </c>
      <c r="AI185" s="640"/>
      <c r="AJ185" s="641">
        <f t="shared" si="120"/>
        <v>0</v>
      </c>
      <c r="AK185" s="642"/>
      <c r="AL185" s="642" t="s">
        <v>364</v>
      </c>
      <c r="AM185" s="643"/>
      <c r="AN185" s="642"/>
      <c r="AO185" s="644">
        <v>177</v>
      </c>
      <c r="AP185" s="565"/>
      <c r="AQ185" s="566"/>
      <c r="AR185" s="566"/>
      <c r="AS185" s="566"/>
      <c r="AT185" s="566"/>
      <c r="AU185" s="566"/>
      <c r="AV185" s="566"/>
      <c r="AW185" s="566"/>
      <c r="AX185" s="566"/>
      <c r="AY185" s="566"/>
      <c r="AZ185" s="566"/>
      <c r="BA185" s="566"/>
      <c r="BB185" s="566"/>
      <c r="BC185" s="566"/>
      <c r="BD185" s="566"/>
      <c r="BE185" s="566"/>
      <c r="BF185" s="566"/>
      <c r="BG185" s="566"/>
    </row>
    <row r="186" spans="1:59">
      <c r="A186" s="591"/>
      <c r="B186" s="592"/>
      <c r="C186" s="593"/>
      <c r="D186" s="594">
        <v>1</v>
      </c>
      <c r="E186" s="595" t="s">
        <v>366</v>
      </c>
      <c r="F186" s="593" t="s">
        <v>368</v>
      </c>
      <c r="G186" s="596">
        <v>218</v>
      </c>
      <c r="H186" s="627" t="s">
        <v>493</v>
      </c>
      <c r="I186" s="596"/>
      <c r="J186" s="596"/>
      <c r="K186" s="596"/>
      <c r="L186" s="620" t="s">
        <v>811</v>
      </c>
      <c r="M186" s="597" t="str">
        <f t="shared" si="107"/>
        <v>Op afroep (in overleg)</v>
      </c>
      <c r="N186" s="591" t="s">
        <v>938</v>
      </c>
      <c r="O186" s="598"/>
      <c r="P186" s="599"/>
      <c r="Q186" s="600">
        <f t="shared" si="121"/>
        <v>0</v>
      </c>
      <c r="R186" s="601">
        <f>AF186</f>
        <v>9</v>
      </c>
      <c r="S186" s="603" t="s">
        <v>959</v>
      </c>
      <c r="T186" s="602"/>
      <c r="U186" s="603"/>
      <c r="V186" s="593">
        <f t="shared" si="97"/>
        <v>0</v>
      </c>
      <c r="W186" s="604">
        <f>Z186*R186*U186</f>
        <v>0</v>
      </c>
      <c r="X186" s="604">
        <f>AA186*R186</f>
        <v>0</v>
      </c>
      <c r="Y186" s="604">
        <f>AB186*R186</f>
        <v>0</v>
      </c>
      <c r="Z186" s="605">
        <f>VLOOKUP(S186,Kengetal,6,FALSE)</f>
        <v>0</v>
      </c>
      <c r="AA186" s="751">
        <f>VLOOKUP(S186,Kengetal,7,FALSE)</f>
        <v>0</v>
      </c>
      <c r="AB186" s="605">
        <f>VLOOKUP(T186,Kengetal,6,FALSE)</f>
        <v>0</v>
      </c>
      <c r="AC186" s="607"/>
      <c r="AD186" s="591" t="str">
        <f>AL186</f>
        <v>Friesland College</v>
      </c>
      <c r="AE186" s="608"/>
      <c r="AF186" s="639">
        <v>9</v>
      </c>
      <c r="AG186" s="639">
        <f t="shared" si="93"/>
        <v>9</v>
      </c>
      <c r="AH186" s="639">
        <f t="shared" si="119"/>
        <v>0</v>
      </c>
      <c r="AI186" s="640"/>
      <c r="AJ186" s="641">
        <f t="shared" si="120"/>
        <v>0</v>
      </c>
      <c r="AK186" s="642"/>
      <c r="AL186" s="642" t="s">
        <v>364</v>
      </c>
      <c r="AM186" s="643"/>
      <c r="AN186" s="642"/>
      <c r="AO186" s="644">
        <v>178</v>
      </c>
      <c r="AP186" s="565"/>
      <c r="AQ186" s="566"/>
      <c r="AR186" s="566"/>
      <c r="AS186" s="566"/>
      <c r="AT186" s="566"/>
      <c r="AU186" s="566"/>
      <c r="AV186" s="566"/>
      <c r="AW186" s="566"/>
      <c r="AX186" s="566"/>
      <c r="AY186" s="566"/>
      <c r="AZ186" s="566"/>
      <c r="BA186" s="566"/>
      <c r="BB186" s="566"/>
      <c r="BC186" s="566"/>
      <c r="BD186" s="566"/>
      <c r="BE186" s="566"/>
      <c r="BF186" s="566"/>
      <c r="BG186" s="566"/>
    </row>
    <row r="187" spans="1:59">
      <c r="A187" s="591"/>
      <c r="B187" s="609"/>
      <c r="C187" s="609"/>
      <c r="D187" s="594">
        <v>1</v>
      </c>
      <c r="E187" s="595" t="s">
        <v>366</v>
      </c>
      <c r="F187" s="593" t="s">
        <v>368</v>
      </c>
      <c r="G187" s="610">
        <v>218</v>
      </c>
      <c r="H187" s="610" t="s">
        <v>493</v>
      </c>
      <c r="I187" s="610"/>
      <c r="J187" s="610"/>
      <c r="K187" s="610"/>
      <c r="L187" s="611" t="s">
        <v>811</v>
      </c>
      <c r="M187" s="612">
        <f t="shared" si="107"/>
        <v>0</v>
      </c>
      <c r="N187" s="613"/>
      <c r="O187" s="614" t="s">
        <v>993</v>
      </c>
      <c r="P187" s="615">
        <v>100</v>
      </c>
      <c r="Q187" s="616">
        <f t="shared" si="121"/>
        <v>9</v>
      </c>
      <c r="R187" s="613"/>
      <c r="S187" s="603"/>
      <c r="T187" s="606"/>
      <c r="U187" s="606"/>
      <c r="V187" s="593">
        <f t="shared" si="97"/>
        <v>0</v>
      </c>
      <c r="W187" s="606"/>
      <c r="X187" s="606"/>
      <c r="Y187" s="606"/>
      <c r="Z187" s="606"/>
      <c r="AA187" s="606"/>
      <c r="AB187" s="606"/>
      <c r="AC187" s="607"/>
      <c r="AD187" s="606"/>
      <c r="AE187" s="608"/>
      <c r="AF187" s="639">
        <v>9</v>
      </c>
      <c r="AG187" s="639">
        <f t="shared" si="93"/>
        <v>9</v>
      </c>
      <c r="AH187" s="639">
        <f t="shared" si="119"/>
        <v>0</v>
      </c>
      <c r="AI187" s="640"/>
      <c r="AJ187" s="641">
        <f t="shared" si="120"/>
        <v>0</v>
      </c>
      <c r="AK187" s="642"/>
      <c r="AL187" s="642" t="s">
        <v>364</v>
      </c>
      <c r="AM187" s="643"/>
      <c r="AN187" s="642"/>
      <c r="AO187" s="644">
        <v>179</v>
      </c>
      <c r="AP187" s="565"/>
      <c r="AQ187" s="566"/>
      <c r="AR187" s="566"/>
      <c r="AS187" s="566"/>
      <c r="AT187" s="566"/>
      <c r="AU187" s="566"/>
      <c r="AV187" s="566"/>
      <c r="AW187" s="566"/>
      <c r="AX187" s="566"/>
      <c r="AY187" s="566"/>
      <c r="AZ187" s="566"/>
      <c r="BA187" s="566"/>
      <c r="BB187" s="566"/>
      <c r="BC187" s="566"/>
      <c r="BD187" s="566"/>
      <c r="BE187" s="566"/>
      <c r="BF187" s="566"/>
      <c r="BG187" s="566"/>
    </row>
    <row r="188" spans="1:59">
      <c r="A188" s="591"/>
      <c r="B188" s="592"/>
      <c r="C188" s="593"/>
      <c r="D188" s="594">
        <v>1</v>
      </c>
      <c r="E188" s="595" t="s">
        <v>366</v>
      </c>
      <c r="F188" s="593" t="s">
        <v>368</v>
      </c>
      <c r="G188" s="596">
        <v>220</v>
      </c>
      <c r="H188" s="596" t="s">
        <v>494</v>
      </c>
      <c r="I188" s="596"/>
      <c r="J188" s="596"/>
      <c r="K188" s="596"/>
      <c r="L188" s="591" t="s">
        <v>811</v>
      </c>
      <c r="M188" s="597" t="str">
        <f t="shared" si="107"/>
        <v>Op afroep (in overleg)</v>
      </c>
      <c r="N188" s="591" t="s">
        <v>938</v>
      </c>
      <c r="O188" s="598"/>
      <c r="P188" s="599"/>
      <c r="Q188" s="600">
        <f t="shared" si="121"/>
        <v>0</v>
      </c>
      <c r="R188" s="601">
        <f>AF188</f>
        <v>15</v>
      </c>
      <c r="S188" s="603" t="s">
        <v>959</v>
      </c>
      <c r="T188" s="602"/>
      <c r="U188" s="603"/>
      <c r="V188" s="593">
        <f t="shared" si="97"/>
        <v>0</v>
      </c>
      <c r="W188" s="604">
        <f>Z188*R188*U188</f>
        <v>0</v>
      </c>
      <c r="X188" s="604">
        <f>AA188*R188</f>
        <v>0</v>
      </c>
      <c r="Y188" s="604">
        <f>AB188*R188</f>
        <v>0</v>
      </c>
      <c r="Z188" s="605">
        <f>VLOOKUP(S188,Kengetal,6,FALSE)</f>
        <v>0</v>
      </c>
      <c r="AA188" s="751">
        <f>VLOOKUP(S188,Kengetal,7,FALSE)</f>
        <v>0</v>
      </c>
      <c r="AB188" s="605">
        <f>VLOOKUP(T188,Kengetal,6,FALSE)</f>
        <v>0</v>
      </c>
      <c r="AC188" s="607"/>
      <c r="AD188" s="591" t="str">
        <f>AL188</f>
        <v>Friesland College</v>
      </c>
      <c r="AE188" s="608"/>
      <c r="AF188" s="639">
        <v>15</v>
      </c>
      <c r="AG188" s="639">
        <f t="shared" si="93"/>
        <v>15</v>
      </c>
      <c r="AH188" s="639">
        <f t="shared" si="119"/>
        <v>0</v>
      </c>
      <c r="AI188" s="640"/>
      <c r="AJ188" s="641">
        <f t="shared" si="120"/>
        <v>0</v>
      </c>
      <c r="AK188" s="642"/>
      <c r="AL188" s="642" t="s">
        <v>364</v>
      </c>
      <c r="AM188" s="643"/>
      <c r="AN188" s="642"/>
      <c r="AO188" s="644">
        <v>180</v>
      </c>
      <c r="AP188" s="565"/>
      <c r="AQ188" s="566"/>
      <c r="AR188" s="566"/>
      <c r="AS188" s="566"/>
      <c r="AT188" s="566"/>
      <c r="AU188" s="566"/>
      <c r="AV188" s="566"/>
      <c r="AW188" s="566"/>
      <c r="AX188" s="566"/>
      <c r="AY188" s="566"/>
      <c r="AZ188" s="566"/>
      <c r="BA188" s="566"/>
      <c r="BB188" s="566"/>
      <c r="BC188" s="566"/>
      <c r="BD188" s="566"/>
      <c r="BE188" s="566"/>
      <c r="BF188" s="566"/>
      <c r="BG188" s="566"/>
    </row>
    <row r="189" spans="1:59">
      <c r="A189" s="591"/>
      <c r="B189" s="609"/>
      <c r="C189" s="609"/>
      <c r="D189" s="594">
        <v>1</v>
      </c>
      <c r="E189" s="595" t="s">
        <v>366</v>
      </c>
      <c r="F189" s="593" t="s">
        <v>368</v>
      </c>
      <c r="G189" s="610">
        <v>220</v>
      </c>
      <c r="H189" s="610" t="s">
        <v>494</v>
      </c>
      <c r="I189" s="610"/>
      <c r="J189" s="610"/>
      <c r="K189" s="610"/>
      <c r="L189" s="611" t="s">
        <v>811</v>
      </c>
      <c r="M189" s="612">
        <f t="shared" si="107"/>
        <v>0</v>
      </c>
      <c r="N189" s="613"/>
      <c r="O189" s="614" t="s">
        <v>993</v>
      </c>
      <c r="P189" s="615">
        <v>100</v>
      </c>
      <c r="Q189" s="616">
        <f t="shared" si="121"/>
        <v>15</v>
      </c>
      <c r="R189" s="613"/>
      <c r="S189" s="603"/>
      <c r="T189" s="606"/>
      <c r="U189" s="606"/>
      <c r="V189" s="593">
        <f t="shared" si="97"/>
        <v>0</v>
      </c>
      <c r="W189" s="606"/>
      <c r="X189" s="606"/>
      <c r="Y189" s="606"/>
      <c r="Z189" s="606"/>
      <c r="AA189" s="606"/>
      <c r="AB189" s="606"/>
      <c r="AC189" s="607"/>
      <c r="AD189" s="606"/>
      <c r="AE189" s="608"/>
      <c r="AF189" s="639">
        <v>15</v>
      </c>
      <c r="AG189" s="639">
        <f t="shared" si="93"/>
        <v>15</v>
      </c>
      <c r="AH189" s="639">
        <f t="shared" si="119"/>
        <v>0</v>
      </c>
      <c r="AI189" s="640"/>
      <c r="AJ189" s="641">
        <f t="shared" si="120"/>
        <v>0</v>
      </c>
      <c r="AK189" s="642"/>
      <c r="AL189" s="642" t="s">
        <v>364</v>
      </c>
      <c r="AM189" s="643"/>
      <c r="AN189" s="642"/>
      <c r="AO189" s="644">
        <v>181</v>
      </c>
      <c r="AP189" s="565"/>
      <c r="AQ189" s="566"/>
      <c r="AR189" s="566"/>
      <c r="AS189" s="566"/>
      <c r="AT189" s="566"/>
      <c r="AU189" s="566"/>
      <c r="AV189" s="566"/>
      <c r="AW189" s="566"/>
      <c r="AX189" s="566"/>
      <c r="AY189" s="566"/>
      <c r="AZ189" s="566"/>
      <c r="BA189" s="566"/>
      <c r="BB189" s="566"/>
      <c r="BC189" s="566"/>
      <c r="BD189" s="566"/>
      <c r="BE189" s="566"/>
      <c r="BF189" s="566"/>
      <c r="BG189" s="566"/>
    </row>
    <row r="190" spans="1:59">
      <c r="A190" s="591"/>
      <c r="B190" s="592"/>
      <c r="C190" s="593"/>
      <c r="D190" s="594">
        <v>1</v>
      </c>
      <c r="E190" s="595" t="s">
        <v>366</v>
      </c>
      <c r="F190" s="593" t="s">
        <v>368</v>
      </c>
      <c r="G190" s="596">
        <v>231</v>
      </c>
      <c r="H190" s="596" t="s">
        <v>495</v>
      </c>
      <c r="I190" s="596"/>
      <c r="J190" s="596"/>
      <c r="K190" s="596"/>
      <c r="L190" s="591" t="s">
        <v>792</v>
      </c>
      <c r="M190" s="597" t="str">
        <f t="shared" si="107"/>
        <v>Onderwijsruimte (theorie)</v>
      </c>
      <c r="N190" s="591" t="s">
        <v>78</v>
      </c>
      <c r="O190" s="598"/>
      <c r="P190" s="599"/>
      <c r="Q190" s="600">
        <f t="shared" si="121"/>
        <v>0</v>
      </c>
      <c r="R190" s="601">
        <f t="shared" ref="R190:R195" si="122">AF190</f>
        <v>68</v>
      </c>
      <c r="S190" s="647">
        <v>102200</v>
      </c>
      <c r="T190" s="602"/>
      <c r="U190" s="645">
        <v>1</v>
      </c>
      <c r="V190" s="593">
        <f t="shared" si="97"/>
        <v>200</v>
      </c>
      <c r="W190" s="604">
        <f t="shared" ref="W190:W195" si="123">Z190*R190*U190</f>
        <v>0</v>
      </c>
      <c r="X190" s="604">
        <f t="shared" ref="X190:X195" si="124">AA190*R190</f>
        <v>0</v>
      </c>
      <c r="Y190" s="604">
        <f t="shared" ref="Y190:Y195" si="125">AB190*R190</f>
        <v>0</v>
      </c>
      <c r="Z190" s="605">
        <f t="shared" ref="Z190:Z195" si="126">VLOOKUP(S190,Kengetal,6,FALSE)</f>
        <v>0</v>
      </c>
      <c r="AA190" s="751">
        <f t="shared" ref="AA190:AA195" si="127">VLOOKUP(S190,Kengetal,7,FALSE)</f>
        <v>0</v>
      </c>
      <c r="AB190" s="605">
        <f t="shared" ref="AB190:AB195" si="128">VLOOKUP(T190,Kengetal,6,FALSE)</f>
        <v>0</v>
      </c>
      <c r="AC190" s="607"/>
      <c r="AD190" s="591" t="str">
        <f t="shared" ref="AD190:AD195" si="129">AL190</f>
        <v>Friesland College</v>
      </c>
      <c r="AE190" s="608"/>
      <c r="AF190" s="639">
        <v>68</v>
      </c>
      <c r="AG190" s="639">
        <f t="shared" si="93"/>
        <v>68</v>
      </c>
      <c r="AH190" s="639">
        <f t="shared" si="119"/>
        <v>0</v>
      </c>
      <c r="AI190" s="640"/>
      <c r="AJ190" s="641">
        <f t="shared" si="120"/>
        <v>0</v>
      </c>
      <c r="AK190" s="642"/>
      <c r="AL190" s="642" t="s">
        <v>364</v>
      </c>
      <c r="AM190" s="642"/>
      <c r="AN190" s="642"/>
      <c r="AO190" s="644">
        <v>182</v>
      </c>
      <c r="AP190" s="565"/>
      <c r="AQ190" s="566"/>
      <c r="AR190" s="566"/>
      <c r="AS190" s="566"/>
      <c r="AT190" s="566"/>
      <c r="AU190" s="566"/>
      <c r="AV190" s="566"/>
      <c r="AW190" s="566"/>
      <c r="AX190" s="566"/>
      <c r="AY190" s="566"/>
      <c r="AZ190" s="566"/>
      <c r="BA190" s="566"/>
      <c r="BB190" s="566"/>
      <c r="BC190" s="566"/>
      <c r="BD190" s="566"/>
      <c r="BE190" s="566"/>
      <c r="BF190" s="566"/>
      <c r="BG190" s="566"/>
    </row>
    <row r="191" spans="1:59">
      <c r="A191" s="591"/>
      <c r="B191" s="592"/>
      <c r="C191" s="593"/>
      <c r="D191" s="594">
        <v>1</v>
      </c>
      <c r="E191" s="595" t="s">
        <v>366</v>
      </c>
      <c r="F191" s="593" t="s">
        <v>368</v>
      </c>
      <c r="G191" s="596">
        <v>231</v>
      </c>
      <c r="H191" s="596" t="s">
        <v>497</v>
      </c>
      <c r="I191" s="596"/>
      <c r="J191" s="596"/>
      <c r="K191" s="596"/>
      <c r="L191" s="591" t="s">
        <v>812</v>
      </c>
      <c r="M191" s="597" t="str">
        <f t="shared" si="107"/>
        <v>Administratieve -, personeels- en vergaderruimte</v>
      </c>
      <c r="N191" s="591" t="s">
        <v>78</v>
      </c>
      <c r="O191" s="598"/>
      <c r="P191" s="599"/>
      <c r="Q191" s="600">
        <f t="shared" si="121"/>
        <v>0</v>
      </c>
      <c r="R191" s="601">
        <f t="shared" si="122"/>
        <v>25</v>
      </c>
      <c r="S191" s="647">
        <v>101100</v>
      </c>
      <c r="T191" s="602"/>
      <c r="U191" s="645">
        <v>1</v>
      </c>
      <c r="V191" s="593">
        <f t="shared" si="97"/>
        <v>100</v>
      </c>
      <c r="W191" s="604">
        <f t="shared" si="123"/>
        <v>0</v>
      </c>
      <c r="X191" s="604">
        <f t="shared" si="124"/>
        <v>0</v>
      </c>
      <c r="Y191" s="604">
        <f t="shared" si="125"/>
        <v>0</v>
      </c>
      <c r="Z191" s="605">
        <f t="shared" si="126"/>
        <v>0</v>
      </c>
      <c r="AA191" s="751">
        <f t="shared" si="127"/>
        <v>0</v>
      </c>
      <c r="AB191" s="605">
        <f t="shared" si="128"/>
        <v>0</v>
      </c>
      <c r="AC191" s="607"/>
      <c r="AD191" s="591" t="str">
        <f t="shared" si="129"/>
        <v>Friesland College</v>
      </c>
      <c r="AE191" s="608"/>
      <c r="AF191" s="639">
        <v>25</v>
      </c>
      <c r="AG191" s="639">
        <f t="shared" si="93"/>
        <v>25</v>
      </c>
      <c r="AH191" s="639">
        <f t="shared" si="119"/>
        <v>0</v>
      </c>
      <c r="AI191" s="640"/>
      <c r="AJ191" s="641">
        <f t="shared" si="120"/>
        <v>0</v>
      </c>
      <c r="AK191" s="642"/>
      <c r="AL191" s="642" t="s">
        <v>364</v>
      </c>
      <c r="AM191" s="642"/>
      <c r="AN191" s="642"/>
      <c r="AO191" s="644">
        <v>183</v>
      </c>
      <c r="AP191" s="565"/>
      <c r="AQ191" s="566"/>
      <c r="AR191" s="566"/>
      <c r="AS191" s="566"/>
      <c r="AT191" s="566"/>
      <c r="AU191" s="566"/>
      <c r="AV191" s="566"/>
      <c r="AW191" s="566"/>
      <c r="AX191" s="566"/>
      <c r="AY191" s="566"/>
      <c r="AZ191" s="566"/>
      <c r="BA191" s="566"/>
      <c r="BB191" s="566"/>
      <c r="BC191" s="566"/>
      <c r="BD191" s="566"/>
      <c r="BE191" s="566"/>
      <c r="BF191" s="566"/>
      <c r="BG191" s="566"/>
    </row>
    <row r="192" spans="1:59">
      <c r="A192" s="591"/>
      <c r="B192" s="592"/>
      <c r="C192" s="593"/>
      <c r="D192" s="594">
        <v>1</v>
      </c>
      <c r="E192" s="595" t="s">
        <v>366</v>
      </c>
      <c r="F192" s="593" t="s">
        <v>368</v>
      </c>
      <c r="G192" s="596">
        <v>231</v>
      </c>
      <c r="H192" s="596" t="s">
        <v>498</v>
      </c>
      <c r="I192" s="596"/>
      <c r="J192" s="596"/>
      <c r="K192" s="596"/>
      <c r="L192" s="591" t="s">
        <v>792</v>
      </c>
      <c r="M192" s="597" t="str">
        <f t="shared" si="107"/>
        <v>Onderwijsruimte (theorie)</v>
      </c>
      <c r="N192" s="591" t="s">
        <v>78</v>
      </c>
      <c r="O192" s="598"/>
      <c r="P192" s="599"/>
      <c r="Q192" s="600">
        <f t="shared" si="121"/>
        <v>0</v>
      </c>
      <c r="R192" s="601">
        <f t="shared" si="122"/>
        <v>52</v>
      </c>
      <c r="S192" s="647">
        <v>102200</v>
      </c>
      <c r="T192" s="602"/>
      <c r="U192" s="645">
        <v>1</v>
      </c>
      <c r="V192" s="593">
        <f t="shared" si="97"/>
        <v>200</v>
      </c>
      <c r="W192" s="604">
        <f t="shared" si="123"/>
        <v>0</v>
      </c>
      <c r="X192" s="604">
        <f t="shared" si="124"/>
        <v>0</v>
      </c>
      <c r="Y192" s="604">
        <f t="shared" si="125"/>
        <v>0</v>
      </c>
      <c r="Z192" s="605">
        <f t="shared" si="126"/>
        <v>0</v>
      </c>
      <c r="AA192" s="751">
        <f t="shared" si="127"/>
        <v>0</v>
      </c>
      <c r="AB192" s="605">
        <f t="shared" si="128"/>
        <v>0</v>
      </c>
      <c r="AC192" s="607"/>
      <c r="AD192" s="591" t="str">
        <f t="shared" si="129"/>
        <v>Friesland College</v>
      </c>
      <c r="AE192" s="608"/>
      <c r="AF192" s="639">
        <v>52</v>
      </c>
      <c r="AG192" s="639">
        <f t="shared" si="93"/>
        <v>52</v>
      </c>
      <c r="AH192" s="639">
        <f t="shared" si="119"/>
        <v>0</v>
      </c>
      <c r="AI192" s="640"/>
      <c r="AJ192" s="641">
        <f t="shared" si="120"/>
        <v>0</v>
      </c>
      <c r="AK192" s="642"/>
      <c r="AL192" s="642" t="s">
        <v>364</v>
      </c>
      <c r="AM192" s="642"/>
      <c r="AN192" s="642"/>
      <c r="AO192" s="644">
        <v>184</v>
      </c>
      <c r="AP192" s="565"/>
      <c r="AQ192" s="566"/>
      <c r="AR192" s="566"/>
      <c r="AS192" s="566"/>
      <c r="AT192" s="566"/>
      <c r="AU192" s="566"/>
      <c r="AV192" s="566"/>
      <c r="AW192" s="566"/>
      <c r="AX192" s="566"/>
      <c r="AY192" s="566"/>
      <c r="AZ192" s="566"/>
      <c r="BA192" s="566"/>
      <c r="BB192" s="566"/>
      <c r="BC192" s="566"/>
      <c r="BD192" s="566"/>
      <c r="BE192" s="566"/>
      <c r="BF192" s="566"/>
      <c r="BG192" s="566"/>
    </row>
    <row r="193" spans="1:59">
      <c r="A193" s="591"/>
      <c r="B193" s="592"/>
      <c r="C193" s="593"/>
      <c r="D193" s="594">
        <v>1</v>
      </c>
      <c r="E193" s="595" t="s">
        <v>366</v>
      </c>
      <c r="F193" s="593" t="s">
        <v>368</v>
      </c>
      <c r="G193" s="596">
        <v>231</v>
      </c>
      <c r="H193" s="596" t="s">
        <v>499</v>
      </c>
      <c r="I193" s="596"/>
      <c r="J193" s="596"/>
      <c r="K193" s="596"/>
      <c r="L193" s="591" t="s">
        <v>792</v>
      </c>
      <c r="M193" s="597" t="str">
        <f t="shared" si="107"/>
        <v>Onderwijsruimte (theorie)</v>
      </c>
      <c r="N193" s="591" t="s">
        <v>78</v>
      </c>
      <c r="O193" s="598"/>
      <c r="P193" s="599"/>
      <c r="Q193" s="600">
        <f t="shared" si="121"/>
        <v>0</v>
      </c>
      <c r="R193" s="601">
        <f t="shared" si="122"/>
        <v>25</v>
      </c>
      <c r="S193" s="647">
        <v>102200</v>
      </c>
      <c r="T193" s="602"/>
      <c r="U193" s="645">
        <v>1</v>
      </c>
      <c r="V193" s="593">
        <f t="shared" si="97"/>
        <v>200</v>
      </c>
      <c r="W193" s="604">
        <f t="shared" si="123"/>
        <v>0</v>
      </c>
      <c r="X193" s="604">
        <f t="shared" si="124"/>
        <v>0</v>
      </c>
      <c r="Y193" s="604">
        <f t="shared" si="125"/>
        <v>0</v>
      </c>
      <c r="Z193" s="605">
        <f t="shared" si="126"/>
        <v>0</v>
      </c>
      <c r="AA193" s="751">
        <f t="shared" si="127"/>
        <v>0</v>
      </c>
      <c r="AB193" s="605">
        <f t="shared" si="128"/>
        <v>0</v>
      </c>
      <c r="AC193" s="607"/>
      <c r="AD193" s="591" t="str">
        <f t="shared" si="129"/>
        <v>Friesland College</v>
      </c>
      <c r="AE193" s="608"/>
      <c r="AF193" s="639">
        <v>25</v>
      </c>
      <c r="AG193" s="639">
        <f t="shared" si="93"/>
        <v>25</v>
      </c>
      <c r="AH193" s="639">
        <f t="shared" si="119"/>
        <v>0</v>
      </c>
      <c r="AI193" s="640"/>
      <c r="AJ193" s="641">
        <f t="shared" si="120"/>
        <v>0</v>
      </c>
      <c r="AK193" s="642"/>
      <c r="AL193" s="642" t="s">
        <v>364</v>
      </c>
      <c r="AM193" s="642"/>
      <c r="AN193" s="642"/>
      <c r="AO193" s="644">
        <v>185</v>
      </c>
      <c r="AP193" s="565"/>
      <c r="AQ193" s="566"/>
      <c r="AR193" s="566"/>
      <c r="AS193" s="566"/>
      <c r="AT193" s="566"/>
      <c r="AU193" s="566"/>
      <c r="AV193" s="566"/>
      <c r="AW193" s="566"/>
      <c r="AX193" s="566"/>
      <c r="AY193" s="566"/>
      <c r="AZ193" s="566"/>
      <c r="BA193" s="566"/>
      <c r="BB193" s="566"/>
      <c r="BC193" s="566"/>
      <c r="BD193" s="566"/>
      <c r="BE193" s="566"/>
      <c r="BF193" s="566"/>
      <c r="BG193" s="566"/>
    </row>
    <row r="194" spans="1:59">
      <c r="A194" s="591"/>
      <c r="B194" s="592"/>
      <c r="C194" s="593"/>
      <c r="D194" s="594">
        <v>1</v>
      </c>
      <c r="E194" s="595" t="s">
        <v>366</v>
      </c>
      <c r="F194" s="593" t="s">
        <v>368</v>
      </c>
      <c r="G194" s="596">
        <v>231</v>
      </c>
      <c r="H194" s="596" t="s">
        <v>500</v>
      </c>
      <c r="I194" s="596"/>
      <c r="J194" s="596"/>
      <c r="K194" s="596"/>
      <c r="L194" s="591" t="s">
        <v>792</v>
      </c>
      <c r="M194" s="597" t="str">
        <f t="shared" si="107"/>
        <v>Onderwijsruimte (theorie)</v>
      </c>
      <c r="N194" s="591" t="s">
        <v>78</v>
      </c>
      <c r="O194" s="598"/>
      <c r="P194" s="599"/>
      <c r="Q194" s="600">
        <f t="shared" si="121"/>
        <v>0</v>
      </c>
      <c r="R194" s="601">
        <f t="shared" si="122"/>
        <v>52</v>
      </c>
      <c r="S194" s="647">
        <v>102200</v>
      </c>
      <c r="T194" s="602"/>
      <c r="U194" s="645">
        <v>1</v>
      </c>
      <c r="V194" s="593">
        <f t="shared" si="97"/>
        <v>200</v>
      </c>
      <c r="W194" s="604">
        <f t="shared" si="123"/>
        <v>0</v>
      </c>
      <c r="X194" s="604">
        <f t="shared" si="124"/>
        <v>0</v>
      </c>
      <c r="Y194" s="604">
        <f t="shared" si="125"/>
        <v>0</v>
      </c>
      <c r="Z194" s="605">
        <f t="shared" si="126"/>
        <v>0</v>
      </c>
      <c r="AA194" s="751">
        <f t="shared" si="127"/>
        <v>0</v>
      </c>
      <c r="AB194" s="605">
        <f t="shared" si="128"/>
        <v>0</v>
      </c>
      <c r="AC194" s="607"/>
      <c r="AD194" s="591" t="str">
        <f t="shared" si="129"/>
        <v>Friesland College</v>
      </c>
      <c r="AE194" s="608"/>
      <c r="AF194" s="639">
        <v>52</v>
      </c>
      <c r="AG194" s="639">
        <f t="shared" si="93"/>
        <v>52</v>
      </c>
      <c r="AH194" s="639">
        <f t="shared" si="119"/>
        <v>0</v>
      </c>
      <c r="AI194" s="640"/>
      <c r="AJ194" s="641">
        <f t="shared" si="120"/>
        <v>0</v>
      </c>
      <c r="AK194" s="642"/>
      <c r="AL194" s="642" t="s">
        <v>364</v>
      </c>
      <c r="AM194" s="642"/>
      <c r="AN194" s="642"/>
      <c r="AO194" s="644">
        <v>186</v>
      </c>
      <c r="AP194" s="565"/>
      <c r="AQ194" s="566"/>
      <c r="AR194" s="566"/>
      <c r="AS194" s="566"/>
      <c r="AT194" s="566"/>
      <c r="AU194" s="566"/>
      <c r="AV194" s="566"/>
      <c r="AW194" s="566"/>
      <c r="AX194" s="566"/>
      <c r="AY194" s="566"/>
      <c r="AZ194" s="566"/>
      <c r="BA194" s="566"/>
      <c r="BB194" s="566"/>
      <c r="BC194" s="566"/>
      <c r="BD194" s="566"/>
      <c r="BE194" s="566"/>
      <c r="BF194" s="566"/>
      <c r="BG194" s="566"/>
    </row>
    <row r="195" spans="1:59">
      <c r="A195" s="591"/>
      <c r="B195" s="592"/>
      <c r="C195" s="593"/>
      <c r="D195" s="594">
        <v>1</v>
      </c>
      <c r="E195" s="595" t="s">
        <v>366</v>
      </c>
      <c r="F195" s="593" t="s">
        <v>368</v>
      </c>
      <c r="G195" s="596">
        <v>231</v>
      </c>
      <c r="H195" s="596" t="s">
        <v>501</v>
      </c>
      <c r="I195" s="596"/>
      <c r="J195" s="596"/>
      <c r="K195" s="596"/>
      <c r="L195" s="591" t="s">
        <v>792</v>
      </c>
      <c r="M195" s="597" t="str">
        <f t="shared" si="107"/>
        <v>Onderwijsruimte (theorie)</v>
      </c>
      <c r="N195" s="591" t="s">
        <v>78</v>
      </c>
      <c r="O195" s="598"/>
      <c r="P195" s="599"/>
      <c r="Q195" s="600">
        <f t="shared" si="121"/>
        <v>0</v>
      </c>
      <c r="R195" s="601">
        <f t="shared" si="122"/>
        <v>52</v>
      </c>
      <c r="S195" s="647">
        <v>102200</v>
      </c>
      <c r="T195" s="602"/>
      <c r="U195" s="645">
        <v>1</v>
      </c>
      <c r="V195" s="593">
        <f t="shared" si="97"/>
        <v>200</v>
      </c>
      <c r="W195" s="604">
        <f t="shared" si="123"/>
        <v>0</v>
      </c>
      <c r="X195" s="604">
        <f t="shared" si="124"/>
        <v>0</v>
      </c>
      <c r="Y195" s="604">
        <f t="shared" si="125"/>
        <v>0</v>
      </c>
      <c r="Z195" s="605">
        <f t="shared" si="126"/>
        <v>0</v>
      </c>
      <c r="AA195" s="751">
        <f t="shared" si="127"/>
        <v>0</v>
      </c>
      <c r="AB195" s="605">
        <f t="shared" si="128"/>
        <v>0</v>
      </c>
      <c r="AC195" s="607"/>
      <c r="AD195" s="591" t="str">
        <f t="shared" si="129"/>
        <v>Friesland College</v>
      </c>
      <c r="AE195" s="608"/>
      <c r="AF195" s="639">
        <v>52</v>
      </c>
      <c r="AG195" s="639">
        <f t="shared" si="93"/>
        <v>52</v>
      </c>
      <c r="AH195" s="639">
        <f t="shared" si="119"/>
        <v>0</v>
      </c>
      <c r="AI195" s="640"/>
      <c r="AJ195" s="641">
        <f t="shared" si="120"/>
        <v>0</v>
      </c>
      <c r="AK195" s="642"/>
      <c r="AL195" s="642" t="s">
        <v>364</v>
      </c>
      <c r="AM195" s="642"/>
      <c r="AN195" s="642"/>
      <c r="AO195" s="644">
        <v>187</v>
      </c>
      <c r="AP195" s="565"/>
      <c r="AQ195" s="566"/>
      <c r="AR195" s="566"/>
      <c r="AS195" s="566"/>
      <c r="AT195" s="566"/>
      <c r="AU195" s="566"/>
      <c r="AV195" s="566"/>
      <c r="AW195" s="566"/>
      <c r="AX195" s="566"/>
      <c r="AY195" s="566"/>
      <c r="AZ195" s="566"/>
      <c r="BA195" s="566"/>
      <c r="BB195" s="566"/>
      <c r="BC195" s="566"/>
      <c r="BD195" s="566"/>
      <c r="BE195" s="566"/>
      <c r="BF195" s="566"/>
      <c r="BG195" s="566"/>
    </row>
    <row r="196" spans="1:59">
      <c r="A196" s="591"/>
      <c r="B196" s="618"/>
      <c r="C196" s="609"/>
      <c r="D196" s="594">
        <v>1</v>
      </c>
      <c r="E196" s="595" t="s">
        <v>366</v>
      </c>
      <c r="F196" s="593" t="s">
        <v>368</v>
      </c>
      <c r="G196" s="610">
        <v>231</v>
      </c>
      <c r="H196" s="610" t="s">
        <v>501</v>
      </c>
      <c r="I196" s="610"/>
      <c r="J196" s="610"/>
      <c r="K196" s="610"/>
      <c r="L196" s="611" t="s">
        <v>792</v>
      </c>
      <c r="M196" s="612">
        <f t="shared" si="107"/>
        <v>0</v>
      </c>
      <c r="N196" s="613"/>
      <c r="O196" s="614" t="s">
        <v>1005</v>
      </c>
      <c r="P196" s="615">
        <v>100</v>
      </c>
      <c r="Q196" s="616">
        <f t="shared" si="121"/>
        <v>52</v>
      </c>
      <c r="R196" s="613"/>
      <c r="S196" s="603"/>
      <c r="T196" s="606"/>
      <c r="U196" s="606"/>
      <c r="V196" s="593">
        <f t="shared" si="97"/>
        <v>0</v>
      </c>
      <c r="W196" s="606"/>
      <c r="X196" s="606"/>
      <c r="Y196" s="606"/>
      <c r="Z196" s="606"/>
      <c r="AA196" s="606"/>
      <c r="AB196" s="606"/>
      <c r="AC196" s="607"/>
      <c r="AD196" s="606"/>
      <c r="AE196" s="608"/>
      <c r="AF196" s="639">
        <v>52</v>
      </c>
      <c r="AG196" s="639">
        <f t="shared" si="93"/>
        <v>52</v>
      </c>
      <c r="AH196" s="639">
        <f t="shared" si="119"/>
        <v>0</v>
      </c>
      <c r="AI196" s="640"/>
      <c r="AJ196" s="641">
        <f t="shared" si="120"/>
        <v>0</v>
      </c>
      <c r="AK196" s="642"/>
      <c r="AL196" s="642" t="s">
        <v>364</v>
      </c>
      <c r="AM196" s="642"/>
      <c r="AN196" s="642"/>
      <c r="AO196" s="644">
        <v>188</v>
      </c>
      <c r="AP196" s="565"/>
      <c r="AQ196" s="566"/>
      <c r="AR196" s="566"/>
      <c r="AS196" s="566"/>
      <c r="AT196" s="566"/>
      <c r="AU196" s="566"/>
      <c r="AV196" s="566"/>
      <c r="AW196" s="566"/>
      <c r="AX196" s="566"/>
      <c r="AY196" s="566"/>
      <c r="AZ196" s="566"/>
      <c r="BA196" s="566"/>
      <c r="BB196" s="566"/>
      <c r="BC196" s="566"/>
      <c r="BD196" s="566"/>
      <c r="BE196" s="566"/>
      <c r="BF196" s="566"/>
      <c r="BG196" s="566"/>
    </row>
    <row r="197" spans="1:59">
      <c r="A197" s="591"/>
      <c r="B197" s="592"/>
      <c r="C197" s="593"/>
      <c r="D197" s="594">
        <v>1</v>
      </c>
      <c r="E197" s="595" t="s">
        <v>366</v>
      </c>
      <c r="F197" s="593" t="s">
        <v>368</v>
      </c>
      <c r="G197" s="596">
        <v>231</v>
      </c>
      <c r="H197" s="596" t="s">
        <v>502</v>
      </c>
      <c r="I197" s="596"/>
      <c r="J197" s="596"/>
      <c r="K197" s="596"/>
      <c r="L197" s="591" t="s">
        <v>846</v>
      </c>
      <c r="M197" s="597" t="str">
        <f t="shared" si="107"/>
        <v>Restaurant, kantine, atrium</v>
      </c>
      <c r="N197" s="591" t="s">
        <v>78</v>
      </c>
      <c r="O197" s="598"/>
      <c r="P197" s="599"/>
      <c r="Q197" s="600">
        <f t="shared" si="121"/>
        <v>0</v>
      </c>
      <c r="R197" s="601">
        <f>AF197</f>
        <v>30</v>
      </c>
      <c r="S197" s="648">
        <v>106200</v>
      </c>
      <c r="T197" s="602"/>
      <c r="U197" s="645">
        <v>1</v>
      </c>
      <c r="V197" s="593">
        <f t="shared" si="97"/>
        <v>200</v>
      </c>
      <c r="W197" s="604">
        <f>Z197*R197*U197</f>
        <v>0</v>
      </c>
      <c r="X197" s="604">
        <f>AA197*R197</f>
        <v>0</v>
      </c>
      <c r="Y197" s="604">
        <f>AB197*R197</f>
        <v>0</v>
      </c>
      <c r="Z197" s="605">
        <f>VLOOKUP(S197,Kengetal,6,FALSE)</f>
        <v>0</v>
      </c>
      <c r="AA197" s="751">
        <f>VLOOKUP(S197,Kengetal,7,FALSE)</f>
        <v>0</v>
      </c>
      <c r="AB197" s="605">
        <f>VLOOKUP(T197,Kengetal,6,FALSE)</f>
        <v>0</v>
      </c>
      <c r="AC197" s="607"/>
      <c r="AD197" s="591" t="str">
        <f>AL197</f>
        <v>Friesland College</v>
      </c>
      <c r="AE197" s="608"/>
      <c r="AF197" s="639">
        <v>30</v>
      </c>
      <c r="AG197" s="639">
        <f t="shared" si="93"/>
        <v>30</v>
      </c>
      <c r="AH197" s="639">
        <f t="shared" si="119"/>
        <v>0</v>
      </c>
      <c r="AI197" s="640"/>
      <c r="AJ197" s="641">
        <f t="shared" si="120"/>
        <v>0</v>
      </c>
      <c r="AK197" s="642"/>
      <c r="AL197" s="642" t="s">
        <v>364</v>
      </c>
      <c r="AM197" s="642"/>
      <c r="AN197" s="642"/>
      <c r="AO197" s="644">
        <v>189</v>
      </c>
      <c r="AP197" s="565"/>
      <c r="AQ197" s="566"/>
      <c r="AR197" s="566"/>
      <c r="AS197" s="566"/>
      <c r="AT197" s="566"/>
      <c r="AU197" s="566"/>
      <c r="AV197" s="566"/>
      <c r="AW197" s="566"/>
      <c r="AX197" s="566"/>
      <c r="AY197" s="566"/>
      <c r="AZ197" s="566"/>
      <c r="BA197" s="566"/>
      <c r="BB197" s="566"/>
      <c r="BC197" s="566"/>
      <c r="BD197" s="566"/>
      <c r="BE197" s="566"/>
      <c r="BF197" s="566"/>
      <c r="BG197" s="566"/>
    </row>
    <row r="198" spans="1:59">
      <c r="A198" s="591"/>
      <c r="B198" s="618"/>
      <c r="C198" s="609"/>
      <c r="D198" s="594">
        <v>1</v>
      </c>
      <c r="E198" s="595" t="s">
        <v>366</v>
      </c>
      <c r="F198" s="593" t="s">
        <v>368</v>
      </c>
      <c r="G198" s="610">
        <v>231</v>
      </c>
      <c r="H198" s="610" t="s">
        <v>502</v>
      </c>
      <c r="I198" s="610"/>
      <c r="J198" s="610"/>
      <c r="K198" s="610"/>
      <c r="L198" s="611" t="s">
        <v>846</v>
      </c>
      <c r="M198" s="612">
        <f t="shared" si="107"/>
        <v>0</v>
      </c>
      <c r="N198" s="613"/>
      <c r="O198" s="614" t="s">
        <v>986</v>
      </c>
      <c r="P198" s="615">
        <v>100</v>
      </c>
      <c r="Q198" s="616">
        <f t="shared" si="121"/>
        <v>30</v>
      </c>
      <c r="R198" s="613"/>
      <c r="S198" s="603"/>
      <c r="T198" s="606"/>
      <c r="U198" s="606"/>
      <c r="V198" s="593">
        <f t="shared" si="97"/>
        <v>0</v>
      </c>
      <c r="W198" s="606"/>
      <c r="X198" s="606"/>
      <c r="Y198" s="606"/>
      <c r="Z198" s="606"/>
      <c r="AA198" s="606"/>
      <c r="AB198" s="606"/>
      <c r="AC198" s="607"/>
      <c r="AD198" s="606"/>
      <c r="AE198" s="608"/>
      <c r="AF198" s="639">
        <v>30</v>
      </c>
      <c r="AG198" s="639">
        <f t="shared" si="93"/>
        <v>30</v>
      </c>
      <c r="AH198" s="639">
        <f t="shared" si="119"/>
        <v>0</v>
      </c>
      <c r="AI198" s="640"/>
      <c r="AJ198" s="641">
        <f t="shared" si="120"/>
        <v>0</v>
      </c>
      <c r="AK198" s="642"/>
      <c r="AL198" s="642" t="s">
        <v>364</v>
      </c>
      <c r="AM198" s="642"/>
      <c r="AN198" s="642"/>
      <c r="AO198" s="644">
        <v>190</v>
      </c>
      <c r="AP198" s="565"/>
      <c r="AQ198" s="566"/>
      <c r="AR198" s="566"/>
      <c r="AS198" s="566"/>
      <c r="AT198" s="566"/>
      <c r="AU198" s="566"/>
      <c r="AV198" s="566"/>
      <c r="AW198" s="566"/>
      <c r="AX198" s="566"/>
      <c r="AY198" s="566"/>
      <c r="AZ198" s="566"/>
      <c r="BA198" s="566"/>
      <c r="BB198" s="566"/>
      <c r="BC198" s="566"/>
      <c r="BD198" s="566"/>
      <c r="BE198" s="566"/>
      <c r="BF198" s="566"/>
      <c r="BG198" s="566"/>
    </row>
    <row r="199" spans="1:59">
      <c r="A199" s="591"/>
      <c r="B199" s="592"/>
      <c r="C199" s="593"/>
      <c r="D199" s="594">
        <v>1</v>
      </c>
      <c r="E199" s="595" t="s">
        <v>366</v>
      </c>
      <c r="F199" s="593" t="s">
        <v>368</v>
      </c>
      <c r="G199" s="596" t="s">
        <v>503</v>
      </c>
      <c r="H199" s="596"/>
      <c r="I199" s="596"/>
      <c r="J199" s="596"/>
      <c r="K199" s="596"/>
      <c r="L199" s="591" t="s">
        <v>319</v>
      </c>
      <c r="M199" s="597" t="str">
        <f t="shared" si="107"/>
        <v>Gang, hal, pantry, aula, repro, gardarobe</v>
      </c>
      <c r="N199" s="591" t="s">
        <v>78</v>
      </c>
      <c r="O199" s="598"/>
      <c r="P199" s="599"/>
      <c r="Q199" s="600">
        <f t="shared" si="121"/>
        <v>0</v>
      </c>
      <c r="R199" s="601">
        <f>AF199</f>
        <v>90</v>
      </c>
      <c r="S199" s="647">
        <v>104200</v>
      </c>
      <c r="T199" s="602"/>
      <c r="U199" s="645">
        <v>1</v>
      </c>
      <c r="V199" s="593">
        <f t="shared" si="97"/>
        <v>200</v>
      </c>
      <c r="W199" s="604">
        <f t="shared" ref="W199:W202" si="130">Z199*R199*U199</f>
        <v>0</v>
      </c>
      <c r="X199" s="604">
        <f t="shared" ref="X199:X202" si="131">AA199*R199</f>
        <v>0</v>
      </c>
      <c r="Y199" s="604">
        <f t="shared" ref="Y199:Y202" si="132">AB199*R199</f>
        <v>0</v>
      </c>
      <c r="Z199" s="605">
        <f>VLOOKUP(S199,Kengetal,6,FALSE)</f>
        <v>0</v>
      </c>
      <c r="AA199" s="751">
        <f>VLOOKUP(S199,Kengetal,7,FALSE)</f>
        <v>0</v>
      </c>
      <c r="AB199" s="605">
        <f>VLOOKUP(T199,Kengetal,6,FALSE)</f>
        <v>0</v>
      </c>
      <c r="AC199" s="607"/>
      <c r="AD199" s="591" t="str">
        <f>AL199</f>
        <v>Friesland College</v>
      </c>
      <c r="AE199" s="608"/>
      <c r="AF199" s="639">
        <v>90</v>
      </c>
      <c r="AG199" s="639">
        <f t="shared" si="93"/>
        <v>90</v>
      </c>
      <c r="AH199" s="639">
        <f t="shared" si="119"/>
        <v>0</v>
      </c>
      <c r="AI199" s="640"/>
      <c r="AJ199" s="641">
        <f t="shared" si="120"/>
        <v>0</v>
      </c>
      <c r="AK199" s="642"/>
      <c r="AL199" s="642" t="s">
        <v>364</v>
      </c>
      <c r="AM199" s="643"/>
      <c r="AN199" s="642"/>
      <c r="AO199" s="644">
        <v>191</v>
      </c>
      <c r="AP199" s="565"/>
      <c r="AQ199" s="566"/>
      <c r="AR199" s="566"/>
      <c r="AS199" s="566"/>
      <c r="AT199" s="566"/>
      <c r="AU199" s="566"/>
      <c r="AV199" s="566"/>
      <c r="AW199" s="566"/>
      <c r="AX199" s="566"/>
      <c r="AY199" s="566"/>
      <c r="AZ199" s="566"/>
      <c r="BA199" s="566"/>
      <c r="BB199" s="566"/>
      <c r="BC199" s="566"/>
      <c r="BD199" s="566"/>
      <c r="BE199" s="566"/>
      <c r="BF199" s="566"/>
      <c r="BG199" s="566"/>
    </row>
    <row r="200" spans="1:59">
      <c r="A200" s="591"/>
      <c r="B200" s="592"/>
      <c r="C200" s="593"/>
      <c r="D200" s="594">
        <v>1</v>
      </c>
      <c r="E200" s="595" t="s">
        <v>366</v>
      </c>
      <c r="F200" s="593" t="s">
        <v>368</v>
      </c>
      <c r="G200" s="596" t="s">
        <v>504</v>
      </c>
      <c r="H200" s="596"/>
      <c r="I200" s="596"/>
      <c r="J200" s="596"/>
      <c r="K200" s="596"/>
      <c r="L200" s="591" t="s">
        <v>763</v>
      </c>
      <c r="M200" s="597" t="str">
        <f t="shared" si="107"/>
        <v>Trappenhuis-bordes</v>
      </c>
      <c r="N200" s="591" t="s">
        <v>940</v>
      </c>
      <c r="O200" s="598"/>
      <c r="P200" s="599"/>
      <c r="Q200" s="600">
        <f t="shared" si="121"/>
        <v>0</v>
      </c>
      <c r="R200" s="601">
        <f>AF200</f>
        <v>15</v>
      </c>
      <c r="S200" s="647">
        <v>108200</v>
      </c>
      <c r="T200" s="602"/>
      <c r="U200" s="645">
        <v>1</v>
      </c>
      <c r="V200" s="593">
        <f t="shared" si="97"/>
        <v>200</v>
      </c>
      <c r="W200" s="604">
        <f t="shared" si="130"/>
        <v>0</v>
      </c>
      <c r="X200" s="604">
        <f t="shared" si="131"/>
        <v>0</v>
      </c>
      <c r="Y200" s="604">
        <f t="shared" si="132"/>
        <v>0</v>
      </c>
      <c r="Z200" s="605">
        <f>VLOOKUP(S200,Kengetal,6,FALSE)</f>
        <v>0</v>
      </c>
      <c r="AA200" s="751">
        <f>VLOOKUP(S200,Kengetal,7,FALSE)</f>
        <v>0</v>
      </c>
      <c r="AB200" s="605">
        <f>VLOOKUP(T200,Kengetal,6,FALSE)</f>
        <v>0</v>
      </c>
      <c r="AC200" s="607"/>
      <c r="AD200" s="591" t="str">
        <f>AL200</f>
        <v>Friesland College</v>
      </c>
      <c r="AE200" s="608"/>
      <c r="AF200" s="639">
        <v>15</v>
      </c>
      <c r="AG200" s="639">
        <f t="shared" si="93"/>
        <v>15</v>
      </c>
      <c r="AH200" s="639">
        <f t="shared" si="119"/>
        <v>0</v>
      </c>
      <c r="AI200" s="640"/>
      <c r="AJ200" s="641">
        <f t="shared" si="120"/>
        <v>0</v>
      </c>
      <c r="AK200" s="642"/>
      <c r="AL200" s="642" t="s">
        <v>364</v>
      </c>
      <c r="AM200" s="643"/>
      <c r="AN200" s="642"/>
      <c r="AO200" s="644">
        <v>192</v>
      </c>
      <c r="AP200" s="565"/>
      <c r="AQ200" s="566"/>
      <c r="AR200" s="566"/>
      <c r="AS200" s="566"/>
      <c r="AT200" s="566"/>
      <c r="AU200" s="566"/>
      <c r="AV200" s="566"/>
      <c r="AW200" s="566"/>
      <c r="AX200" s="566"/>
      <c r="AY200" s="566"/>
      <c r="AZ200" s="566"/>
      <c r="BA200" s="566"/>
      <c r="BB200" s="566"/>
      <c r="BC200" s="566"/>
      <c r="BD200" s="566"/>
      <c r="BE200" s="566"/>
      <c r="BF200" s="566"/>
      <c r="BG200" s="566"/>
    </row>
    <row r="201" spans="1:59">
      <c r="A201" s="591"/>
      <c r="B201" s="592"/>
      <c r="C201" s="593"/>
      <c r="D201" s="594">
        <v>1</v>
      </c>
      <c r="E201" s="595" t="s">
        <v>366</v>
      </c>
      <c r="F201" s="593" t="s">
        <v>368</v>
      </c>
      <c r="G201" s="596" t="s">
        <v>505</v>
      </c>
      <c r="H201" s="596"/>
      <c r="I201" s="596"/>
      <c r="J201" s="596"/>
      <c r="K201" s="596"/>
      <c r="L201" s="591" t="s">
        <v>773</v>
      </c>
      <c r="M201" s="597" t="str">
        <f t="shared" si="107"/>
        <v>Sanitaire ruimte (toilet-/doucheruimte)</v>
      </c>
      <c r="N201" s="591" t="s">
        <v>85</v>
      </c>
      <c r="O201" s="598"/>
      <c r="P201" s="599"/>
      <c r="Q201" s="600">
        <f t="shared" si="121"/>
        <v>0</v>
      </c>
      <c r="R201" s="601">
        <f>AF201</f>
        <v>20</v>
      </c>
      <c r="S201" s="647">
        <v>103200</v>
      </c>
      <c r="T201" s="647">
        <v>103400</v>
      </c>
      <c r="U201" s="645">
        <v>1</v>
      </c>
      <c r="V201" s="593">
        <f t="shared" si="97"/>
        <v>400</v>
      </c>
      <c r="W201" s="604">
        <f t="shared" si="130"/>
        <v>0</v>
      </c>
      <c r="X201" s="604">
        <f t="shared" si="131"/>
        <v>0</v>
      </c>
      <c r="Y201" s="604">
        <f t="shared" si="132"/>
        <v>0</v>
      </c>
      <c r="Z201" s="605">
        <f>VLOOKUP(S201,Kengetal,6,FALSE)</f>
        <v>0</v>
      </c>
      <c r="AA201" s="751">
        <f>VLOOKUP(S201,Kengetal,7,FALSE)</f>
        <v>0</v>
      </c>
      <c r="AB201" s="605">
        <f>VLOOKUP(T201,Kengetal,6,FALSE)</f>
        <v>0</v>
      </c>
      <c r="AC201" s="607"/>
      <c r="AD201" s="591" t="str">
        <f>AL201</f>
        <v>Friesland College</v>
      </c>
      <c r="AE201" s="608"/>
      <c r="AF201" s="639">
        <v>20</v>
      </c>
      <c r="AG201" s="639">
        <f t="shared" si="93"/>
        <v>20</v>
      </c>
      <c r="AH201" s="639">
        <f t="shared" si="119"/>
        <v>0</v>
      </c>
      <c r="AI201" s="640"/>
      <c r="AJ201" s="641">
        <f t="shared" si="120"/>
        <v>0</v>
      </c>
      <c r="AK201" s="642"/>
      <c r="AL201" s="642" t="s">
        <v>364</v>
      </c>
      <c r="AM201" s="643"/>
      <c r="AN201" s="642"/>
      <c r="AO201" s="644">
        <v>193</v>
      </c>
      <c r="AP201" s="565"/>
      <c r="AQ201" s="566"/>
      <c r="AR201" s="566"/>
      <c r="AS201" s="566"/>
      <c r="AT201" s="566"/>
      <c r="AU201" s="566"/>
      <c r="AV201" s="566"/>
      <c r="AW201" s="566"/>
      <c r="AX201" s="566"/>
      <c r="AY201" s="566"/>
      <c r="AZ201" s="566"/>
      <c r="BA201" s="566"/>
      <c r="BB201" s="566"/>
      <c r="BC201" s="566"/>
      <c r="BD201" s="566"/>
      <c r="BE201" s="566"/>
      <c r="BF201" s="566"/>
      <c r="BG201" s="566"/>
    </row>
    <row r="202" spans="1:59">
      <c r="A202" s="591"/>
      <c r="B202" s="592"/>
      <c r="C202" s="593"/>
      <c r="D202" s="594">
        <v>1</v>
      </c>
      <c r="E202" s="595" t="s">
        <v>366</v>
      </c>
      <c r="F202" s="593" t="s">
        <v>368</v>
      </c>
      <c r="G202" s="596" t="s">
        <v>505</v>
      </c>
      <c r="H202" s="596" t="s">
        <v>506</v>
      </c>
      <c r="I202" s="596"/>
      <c r="J202" s="596"/>
      <c r="K202" s="596"/>
      <c r="L202" s="591" t="s">
        <v>813</v>
      </c>
      <c r="M202" s="597" t="str">
        <f t="shared" si="107"/>
        <v>Onderwijsruimte (theorie)</v>
      </c>
      <c r="N202" s="591" t="s">
        <v>78</v>
      </c>
      <c r="O202" s="598"/>
      <c r="P202" s="599"/>
      <c r="Q202" s="600">
        <f t="shared" si="121"/>
        <v>0</v>
      </c>
      <c r="R202" s="601">
        <f>AF202</f>
        <v>40</v>
      </c>
      <c r="S202" s="647">
        <v>102200</v>
      </c>
      <c r="T202" s="602"/>
      <c r="U202" s="645">
        <v>1</v>
      </c>
      <c r="V202" s="593">
        <f t="shared" si="97"/>
        <v>200</v>
      </c>
      <c r="W202" s="604">
        <f t="shared" si="130"/>
        <v>0</v>
      </c>
      <c r="X202" s="604">
        <f t="shared" si="131"/>
        <v>0</v>
      </c>
      <c r="Y202" s="604">
        <f t="shared" si="132"/>
        <v>0</v>
      </c>
      <c r="Z202" s="605">
        <f>VLOOKUP(S202,Kengetal,6,FALSE)</f>
        <v>0</v>
      </c>
      <c r="AA202" s="751">
        <f>VLOOKUP(S202,Kengetal,7,FALSE)</f>
        <v>0</v>
      </c>
      <c r="AB202" s="605">
        <f>VLOOKUP(T202,Kengetal,6,FALSE)</f>
        <v>0</v>
      </c>
      <c r="AC202" s="607"/>
      <c r="AD202" s="591" t="str">
        <f>AL202</f>
        <v>Friesland College</v>
      </c>
      <c r="AE202" s="608"/>
      <c r="AF202" s="639">
        <v>40</v>
      </c>
      <c r="AG202" s="639">
        <f t="shared" si="93"/>
        <v>40</v>
      </c>
      <c r="AH202" s="639">
        <f t="shared" si="119"/>
        <v>0</v>
      </c>
      <c r="AI202" s="640"/>
      <c r="AJ202" s="641">
        <f t="shared" si="120"/>
        <v>0</v>
      </c>
      <c r="AK202" s="642"/>
      <c r="AL202" s="642" t="s">
        <v>364</v>
      </c>
      <c r="AM202" s="643"/>
      <c r="AN202" s="642"/>
      <c r="AO202" s="644">
        <v>194</v>
      </c>
      <c r="AP202" s="565"/>
      <c r="AQ202" s="566"/>
      <c r="AR202" s="566"/>
      <c r="AS202" s="566"/>
      <c r="AT202" s="566"/>
      <c r="AU202" s="566"/>
      <c r="AV202" s="566"/>
      <c r="AW202" s="566"/>
      <c r="AX202" s="566"/>
      <c r="AY202" s="566"/>
      <c r="AZ202" s="566"/>
      <c r="BA202" s="566"/>
      <c r="BB202" s="566"/>
      <c r="BC202" s="566"/>
      <c r="BD202" s="566"/>
      <c r="BE202" s="566"/>
      <c r="BF202" s="566"/>
      <c r="BG202" s="566"/>
    </row>
    <row r="203" spans="1:59">
      <c r="A203" s="591"/>
      <c r="B203" s="592"/>
      <c r="C203" s="593"/>
      <c r="D203" s="594">
        <v>1</v>
      </c>
      <c r="E203" s="595" t="s">
        <v>366</v>
      </c>
      <c r="F203" s="593" t="s">
        <v>368</v>
      </c>
      <c r="G203" s="610" t="s">
        <v>505</v>
      </c>
      <c r="H203" s="610" t="s">
        <v>506</v>
      </c>
      <c r="I203" s="610"/>
      <c r="J203" s="610"/>
      <c r="K203" s="610"/>
      <c r="L203" s="611" t="s">
        <v>813</v>
      </c>
      <c r="M203" s="612">
        <f t="shared" ref="M203:M232" si="133">VLOOKUP(S203,Kengetal,4,FALSE)</f>
        <v>0</v>
      </c>
      <c r="N203" s="613"/>
      <c r="O203" s="614" t="s">
        <v>987</v>
      </c>
      <c r="P203" s="615">
        <v>100</v>
      </c>
      <c r="Q203" s="616">
        <f t="shared" si="121"/>
        <v>40</v>
      </c>
      <c r="R203" s="613"/>
      <c r="S203" s="603"/>
      <c r="T203" s="606"/>
      <c r="U203" s="606"/>
      <c r="V203" s="593">
        <f t="shared" ref="V203:V266" si="134">VLOOKUP(S203,Kengetal,3,FALSE)+VLOOKUP(T203,Kengetal,3,FALSE)</f>
        <v>0</v>
      </c>
      <c r="W203" s="606"/>
      <c r="X203" s="606"/>
      <c r="Y203" s="606"/>
      <c r="Z203" s="606"/>
      <c r="AA203" s="606"/>
      <c r="AB203" s="606"/>
      <c r="AC203" s="607"/>
      <c r="AD203" s="606"/>
      <c r="AE203" s="608"/>
      <c r="AF203" s="639">
        <v>40</v>
      </c>
      <c r="AG203" s="639">
        <f t="shared" ref="AG203:AG266" si="135">IF(AND(C203="t"),-AF203,IF(AND(C203="v"),-AF203,IF(AND(C203="W"),-AF203,IF(AND(C203=""),AF203))))</f>
        <v>40</v>
      </c>
      <c r="AH203" s="639">
        <f t="shared" si="119"/>
        <v>0</v>
      </c>
      <c r="AI203" s="640"/>
      <c r="AJ203" s="641">
        <f t="shared" si="120"/>
        <v>0</v>
      </c>
      <c r="AK203" s="642"/>
      <c r="AL203" s="642" t="s">
        <v>364</v>
      </c>
      <c r="AM203" s="643"/>
      <c r="AN203" s="642"/>
      <c r="AO203" s="644">
        <v>195</v>
      </c>
      <c r="AP203" s="565"/>
      <c r="AQ203" s="566"/>
      <c r="AR203" s="566"/>
      <c r="AS203" s="566"/>
      <c r="AT203" s="566"/>
      <c r="AU203" s="566"/>
      <c r="AV203" s="566"/>
      <c r="AW203" s="566"/>
      <c r="AX203" s="566"/>
      <c r="AY203" s="566"/>
      <c r="AZ203" s="566"/>
      <c r="BA203" s="566"/>
      <c r="BB203" s="566"/>
      <c r="BC203" s="566"/>
      <c r="BD203" s="566"/>
      <c r="BE203" s="566"/>
      <c r="BF203" s="566"/>
      <c r="BG203" s="566"/>
    </row>
    <row r="204" spans="1:59">
      <c r="A204" s="591"/>
      <c r="B204" s="592"/>
      <c r="C204" s="593"/>
      <c r="D204" s="594">
        <v>1</v>
      </c>
      <c r="E204" s="595" t="s">
        <v>366</v>
      </c>
      <c r="F204" s="593" t="s">
        <v>368</v>
      </c>
      <c r="G204" s="596" t="s">
        <v>507</v>
      </c>
      <c r="H204" s="596"/>
      <c r="I204" s="596"/>
      <c r="J204" s="596"/>
      <c r="K204" s="596"/>
      <c r="L204" s="591" t="s">
        <v>778</v>
      </c>
      <c r="M204" s="597" t="str">
        <f t="shared" si="133"/>
        <v>Op afroep (in overleg)</v>
      </c>
      <c r="N204" s="591" t="s">
        <v>938</v>
      </c>
      <c r="O204" s="598"/>
      <c r="P204" s="599"/>
      <c r="Q204" s="600">
        <f t="shared" si="121"/>
        <v>0</v>
      </c>
      <c r="R204" s="601">
        <f>AF204</f>
        <v>16</v>
      </c>
      <c r="S204" s="603" t="s">
        <v>959</v>
      </c>
      <c r="T204" s="602"/>
      <c r="U204" s="603"/>
      <c r="V204" s="593">
        <f t="shared" si="134"/>
        <v>0</v>
      </c>
      <c r="W204" s="604">
        <f t="shared" ref="W204:W205" si="136">Z204*R204*U204</f>
        <v>0</v>
      </c>
      <c r="X204" s="604">
        <f t="shared" ref="X204:X205" si="137">AA204*R204</f>
        <v>0</v>
      </c>
      <c r="Y204" s="604">
        <f t="shared" ref="Y204:Y205" si="138">AB204*R204</f>
        <v>0</v>
      </c>
      <c r="Z204" s="605">
        <f>VLOOKUP(S204,Kengetal,6,FALSE)</f>
        <v>0</v>
      </c>
      <c r="AA204" s="751">
        <f>VLOOKUP(S204,Kengetal,7,FALSE)</f>
        <v>0</v>
      </c>
      <c r="AB204" s="605">
        <f>VLOOKUP(T204,Kengetal,6,FALSE)</f>
        <v>0</v>
      </c>
      <c r="AC204" s="607"/>
      <c r="AD204" s="591" t="str">
        <f>AL204</f>
        <v>Friesland College</v>
      </c>
      <c r="AE204" s="608"/>
      <c r="AF204" s="639">
        <v>16</v>
      </c>
      <c r="AG204" s="639">
        <f t="shared" si="135"/>
        <v>16</v>
      </c>
      <c r="AH204" s="639">
        <f t="shared" si="119"/>
        <v>0</v>
      </c>
      <c r="AI204" s="640"/>
      <c r="AJ204" s="641">
        <f t="shared" si="120"/>
        <v>0</v>
      </c>
      <c r="AK204" s="642"/>
      <c r="AL204" s="642" t="s">
        <v>364</v>
      </c>
      <c r="AM204" s="643"/>
      <c r="AN204" s="642"/>
      <c r="AO204" s="644">
        <v>196</v>
      </c>
      <c r="AP204" s="565"/>
      <c r="AQ204" s="566"/>
      <c r="AR204" s="566"/>
      <c r="AS204" s="566"/>
      <c r="AT204" s="566"/>
      <c r="AU204" s="566"/>
      <c r="AV204" s="566"/>
      <c r="AW204" s="566"/>
      <c r="AX204" s="566"/>
      <c r="AY204" s="566"/>
      <c r="AZ204" s="566"/>
      <c r="BA204" s="566"/>
      <c r="BB204" s="566"/>
      <c r="BC204" s="566"/>
      <c r="BD204" s="566"/>
      <c r="BE204" s="566"/>
      <c r="BF204" s="566"/>
      <c r="BG204" s="566"/>
    </row>
    <row r="205" spans="1:59">
      <c r="A205" s="591"/>
      <c r="B205" s="592"/>
      <c r="C205" s="593"/>
      <c r="D205" s="594">
        <v>1</v>
      </c>
      <c r="E205" s="595" t="s">
        <v>366</v>
      </c>
      <c r="F205" s="593" t="s">
        <v>368</v>
      </c>
      <c r="G205" s="627" t="s">
        <v>507</v>
      </c>
      <c r="H205" s="596" t="s">
        <v>508</v>
      </c>
      <c r="I205" s="596"/>
      <c r="J205" s="596"/>
      <c r="K205" s="596"/>
      <c r="L205" s="591" t="s">
        <v>814</v>
      </c>
      <c r="M205" s="597" t="str">
        <f t="shared" si="133"/>
        <v>Onderwijsruimte (theorie)</v>
      </c>
      <c r="N205" s="591" t="s">
        <v>78</v>
      </c>
      <c r="O205" s="598"/>
      <c r="P205" s="599"/>
      <c r="Q205" s="600">
        <f t="shared" si="121"/>
        <v>0</v>
      </c>
      <c r="R205" s="601">
        <f>AF205</f>
        <v>40</v>
      </c>
      <c r="S205" s="647">
        <v>102200</v>
      </c>
      <c r="T205" s="606"/>
      <c r="U205" s="645">
        <v>1</v>
      </c>
      <c r="V205" s="593">
        <f t="shared" si="134"/>
        <v>200</v>
      </c>
      <c r="W205" s="604">
        <f t="shared" si="136"/>
        <v>0</v>
      </c>
      <c r="X205" s="604">
        <f t="shared" si="137"/>
        <v>0</v>
      </c>
      <c r="Y205" s="604">
        <f t="shared" si="138"/>
        <v>0</v>
      </c>
      <c r="Z205" s="605">
        <f>VLOOKUP(S205,Kengetal,6,FALSE)</f>
        <v>0</v>
      </c>
      <c r="AA205" s="751">
        <f>VLOOKUP(S205,Kengetal,7,FALSE)</f>
        <v>0</v>
      </c>
      <c r="AB205" s="605">
        <f>VLOOKUP(T205,Kengetal,6,FALSE)</f>
        <v>0</v>
      </c>
      <c r="AC205" s="607"/>
      <c r="AD205" s="591" t="str">
        <f>AL205</f>
        <v>Friesland College</v>
      </c>
      <c r="AE205" s="608"/>
      <c r="AF205" s="639">
        <v>40</v>
      </c>
      <c r="AG205" s="639">
        <f t="shared" si="135"/>
        <v>40</v>
      </c>
      <c r="AH205" s="639"/>
      <c r="AI205" s="640"/>
      <c r="AJ205" s="641"/>
      <c r="AK205" s="642"/>
      <c r="AL205" s="642" t="s">
        <v>364</v>
      </c>
      <c r="AM205" s="643"/>
      <c r="AN205" s="642"/>
      <c r="AO205" s="644">
        <v>197</v>
      </c>
      <c r="AP205" s="565"/>
      <c r="AQ205" s="566"/>
      <c r="AR205" s="566"/>
      <c r="AS205" s="566"/>
      <c r="AT205" s="566"/>
      <c r="AU205" s="566"/>
      <c r="AV205" s="566"/>
      <c r="AW205" s="566"/>
      <c r="AX205" s="566"/>
      <c r="AY205" s="566"/>
      <c r="AZ205" s="566"/>
      <c r="BA205" s="566"/>
      <c r="BB205" s="566"/>
      <c r="BC205" s="566"/>
      <c r="BD205" s="566"/>
      <c r="BE205" s="566"/>
      <c r="BF205" s="566"/>
      <c r="BG205" s="566"/>
    </row>
    <row r="206" spans="1:59">
      <c r="A206" s="591"/>
      <c r="B206" s="592"/>
      <c r="C206" s="593"/>
      <c r="D206" s="594">
        <v>1</v>
      </c>
      <c r="E206" s="595" t="s">
        <v>366</v>
      </c>
      <c r="F206" s="593" t="s">
        <v>368</v>
      </c>
      <c r="G206" s="610" t="s">
        <v>507</v>
      </c>
      <c r="H206" s="610" t="s">
        <v>508</v>
      </c>
      <c r="I206" s="610"/>
      <c r="J206" s="610"/>
      <c r="K206" s="610"/>
      <c r="L206" s="611" t="s">
        <v>814</v>
      </c>
      <c r="M206" s="612">
        <f t="shared" si="133"/>
        <v>0</v>
      </c>
      <c r="N206" s="613"/>
      <c r="O206" s="614" t="s">
        <v>987</v>
      </c>
      <c r="P206" s="615">
        <v>100</v>
      </c>
      <c r="Q206" s="616">
        <f t="shared" si="121"/>
        <v>40</v>
      </c>
      <c r="R206" s="613"/>
      <c r="S206" s="603"/>
      <c r="T206" s="606"/>
      <c r="U206" s="606"/>
      <c r="V206" s="593">
        <f t="shared" si="134"/>
        <v>0</v>
      </c>
      <c r="W206" s="606"/>
      <c r="X206" s="606"/>
      <c r="Y206" s="606"/>
      <c r="Z206" s="606"/>
      <c r="AA206" s="606"/>
      <c r="AB206" s="606"/>
      <c r="AC206" s="607"/>
      <c r="AD206" s="606"/>
      <c r="AE206" s="608"/>
      <c r="AF206" s="639">
        <v>40</v>
      </c>
      <c r="AG206" s="639">
        <f t="shared" si="135"/>
        <v>40</v>
      </c>
      <c r="AH206" s="639"/>
      <c r="AI206" s="640"/>
      <c r="AJ206" s="641"/>
      <c r="AK206" s="642"/>
      <c r="AL206" s="642" t="s">
        <v>364</v>
      </c>
      <c r="AM206" s="643"/>
      <c r="AN206" s="642"/>
      <c r="AO206" s="644">
        <v>198</v>
      </c>
      <c r="AP206" s="565"/>
      <c r="AQ206" s="566"/>
      <c r="AR206" s="566"/>
      <c r="AS206" s="566"/>
      <c r="AT206" s="566"/>
      <c r="AU206" s="566"/>
      <c r="AV206" s="566"/>
      <c r="AW206" s="566"/>
      <c r="AX206" s="566"/>
      <c r="AY206" s="566"/>
      <c r="AZ206" s="566"/>
      <c r="BA206" s="566"/>
      <c r="BB206" s="566"/>
      <c r="BC206" s="566"/>
      <c r="BD206" s="566"/>
      <c r="BE206" s="566"/>
      <c r="BF206" s="566"/>
      <c r="BG206" s="566"/>
    </row>
    <row r="207" spans="1:59">
      <c r="A207" s="591"/>
      <c r="B207" s="592"/>
      <c r="C207" s="593"/>
      <c r="D207" s="594">
        <v>1</v>
      </c>
      <c r="E207" s="595" t="s">
        <v>366</v>
      </c>
      <c r="F207" s="593" t="s">
        <v>368</v>
      </c>
      <c r="G207" s="596" t="s">
        <v>509</v>
      </c>
      <c r="H207" s="596"/>
      <c r="I207" s="596"/>
      <c r="J207" s="596"/>
      <c r="K207" s="596"/>
      <c r="L207" s="591" t="s">
        <v>771</v>
      </c>
      <c r="M207" s="597" t="str">
        <f t="shared" si="133"/>
        <v>Niet van toepassing</v>
      </c>
      <c r="N207" s="591" t="s">
        <v>938</v>
      </c>
      <c r="O207" s="598"/>
      <c r="P207" s="599"/>
      <c r="Q207" s="600">
        <f t="shared" si="121"/>
        <v>0</v>
      </c>
      <c r="R207" s="601">
        <f t="shared" ref="R207:R214" si="139">AF207</f>
        <v>4</v>
      </c>
      <c r="S207" s="603" t="s">
        <v>28</v>
      </c>
      <c r="T207" s="602"/>
      <c r="U207" s="603"/>
      <c r="V207" s="593">
        <f t="shared" si="134"/>
        <v>0</v>
      </c>
      <c r="W207" s="604">
        <f t="shared" ref="W207:W214" si="140">Z207*R207*U207</f>
        <v>0</v>
      </c>
      <c r="X207" s="604">
        <f t="shared" ref="X207:X214" si="141">AA207*R207</f>
        <v>0</v>
      </c>
      <c r="Y207" s="604">
        <f t="shared" ref="Y207:Y214" si="142">AB207*R207</f>
        <v>0</v>
      </c>
      <c r="Z207" s="605">
        <f t="shared" ref="Z207:Z214" si="143">VLOOKUP(S207,Kengetal,6,FALSE)</f>
        <v>0</v>
      </c>
      <c r="AA207" s="751">
        <f t="shared" ref="AA207:AA214" si="144">VLOOKUP(S207,Kengetal,7,FALSE)</f>
        <v>0</v>
      </c>
      <c r="AB207" s="605">
        <f t="shared" ref="AB207:AB214" si="145">VLOOKUP(T207,Kengetal,6,FALSE)</f>
        <v>0</v>
      </c>
      <c r="AC207" s="607"/>
      <c r="AD207" s="591" t="str">
        <f t="shared" ref="AD207:AD214" si="146">AL207</f>
        <v>Friesland College</v>
      </c>
      <c r="AE207" s="608"/>
      <c r="AF207" s="639">
        <v>4</v>
      </c>
      <c r="AG207" s="639">
        <f t="shared" si="135"/>
        <v>4</v>
      </c>
      <c r="AH207" s="639">
        <f t="shared" ref="AH207:AH270" si="147">IF(B207=0,0,MONTH(B207))</f>
        <v>0</v>
      </c>
      <c r="AI207" s="640"/>
      <c r="AJ207" s="641">
        <f t="shared" ref="AJ207:AJ270" si="148">W207+X207</f>
        <v>0</v>
      </c>
      <c r="AK207" s="642"/>
      <c r="AL207" s="642" t="s">
        <v>364</v>
      </c>
      <c r="AM207" s="643"/>
      <c r="AN207" s="642"/>
      <c r="AO207" s="644">
        <v>199</v>
      </c>
      <c r="AP207" s="565"/>
      <c r="AQ207" s="566"/>
      <c r="AR207" s="566"/>
      <c r="AS207" s="566"/>
      <c r="AT207" s="566"/>
      <c r="AU207" s="566"/>
      <c r="AV207" s="566"/>
      <c r="AW207" s="566"/>
      <c r="AX207" s="566"/>
      <c r="AY207" s="566"/>
      <c r="AZ207" s="566"/>
      <c r="BA207" s="566"/>
      <c r="BB207" s="566"/>
      <c r="BC207" s="566"/>
      <c r="BD207" s="566"/>
      <c r="BE207" s="566"/>
      <c r="BF207" s="566"/>
      <c r="BG207" s="566"/>
    </row>
    <row r="208" spans="1:59">
      <c r="A208" s="591"/>
      <c r="B208" s="592"/>
      <c r="C208" s="593"/>
      <c r="D208" s="594">
        <v>1</v>
      </c>
      <c r="E208" s="595" t="s">
        <v>366</v>
      </c>
      <c r="F208" s="593" t="s">
        <v>368</v>
      </c>
      <c r="G208" s="596" t="s">
        <v>509</v>
      </c>
      <c r="H208" s="596"/>
      <c r="I208" s="596"/>
      <c r="J208" s="596"/>
      <c r="K208" s="596"/>
      <c r="L208" s="591" t="s">
        <v>319</v>
      </c>
      <c r="M208" s="597" t="str">
        <f t="shared" si="133"/>
        <v>Gang, hal, pantry, aula, repro, gardarobe</v>
      </c>
      <c r="N208" s="591" t="s">
        <v>938</v>
      </c>
      <c r="O208" s="598"/>
      <c r="P208" s="599"/>
      <c r="Q208" s="600">
        <f t="shared" si="121"/>
        <v>0</v>
      </c>
      <c r="R208" s="601">
        <f t="shared" si="139"/>
        <v>32</v>
      </c>
      <c r="S208" s="647">
        <v>104200</v>
      </c>
      <c r="T208" s="602"/>
      <c r="U208" s="645">
        <v>1</v>
      </c>
      <c r="V208" s="593">
        <f t="shared" si="134"/>
        <v>200</v>
      </c>
      <c r="W208" s="604">
        <f t="shared" si="140"/>
        <v>0</v>
      </c>
      <c r="X208" s="604">
        <f t="shared" si="141"/>
        <v>0</v>
      </c>
      <c r="Y208" s="604">
        <f t="shared" si="142"/>
        <v>0</v>
      </c>
      <c r="Z208" s="605">
        <f t="shared" si="143"/>
        <v>0</v>
      </c>
      <c r="AA208" s="751">
        <f t="shared" si="144"/>
        <v>0</v>
      </c>
      <c r="AB208" s="605">
        <f t="shared" si="145"/>
        <v>0</v>
      </c>
      <c r="AC208" s="607"/>
      <c r="AD208" s="591" t="str">
        <f t="shared" si="146"/>
        <v>Friesland College</v>
      </c>
      <c r="AE208" s="608"/>
      <c r="AF208" s="639">
        <v>32</v>
      </c>
      <c r="AG208" s="639">
        <f t="shared" si="135"/>
        <v>32</v>
      </c>
      <c r="AH208" s="639">
        <f t="shared" si="147"/>
        <v>0</v>
      </c>
      <c r="AI208" s="640"/>
      <c r="AJ208" s="641">
        <f t="shared" si="148"/>
        <v>0</v>
      </c>
      <c r="AK208" s="642"/>
      <c r="AL208" s="642" t="s">
        <v>364</v>
      </c>
      <c r="AM208" s="643"/>
      <c r="AN208" s="642"/>
      <c r="AO208" s="644">
        <v>200</v>
      </c>
      <c r="AP208" s="565"/>
      <c r="AQ208" s="566"/>
      <c r="AR208" s="566"/>
      <c r="AS208" s="566"/>
      <c r="AT208" s="566"/>
      <c r="AU208" s="566"/>
      <c r="AV208" s="566"/>
      <c r="AW208" s="566"/>
      <c r="AX208" s="566"/>
      <c r="AY208" s="566"/>
      <c r="AZ208" s="566"/>
      <c r="BA208" s="566"/>
      <c r="BB208" s="566"/>
      <c r="BC208" s="566"/>
      <c r="BD208" s="566"/>
      <c r="BE208" s="566"/>
      <c r="BF208" s="566"/>
      <c r="BG208" s="566"/>
    </row>
    <row r="209" spans="1:59">
      <c r="A209" s="591"/>
      <c r="B209" s="592"/>
      <c r="C209" s="593"/>
      <c r="D209" s="594">
        <v>1</v>
      </c>
      <c r="E209" s="595" t="s">
        <v>366</v>
      </c>
      <c r="F209" s="593" t="s">
        <v>368</v>
      </c>
      <c r="G209" s="596" t="s">
        <v>510</v>
      </c>
      <c r="H209" s="596"/>
      <c r="I209" s="596"/>
      <c r="J209" s="596"/>
      <c r="K209" s="596"/>
      <c r="L209" s="591" t="s">
        <v>815</v>
      </c>
      <c r="M209" s="597" t="str">
        <f t="shared" si="133"/>
        <v>Pantry</v>
      </c>
      <c r="N209" s="591" t="s">
        <v>938</v>
      </c>
      <c r="O209" s="598"/>
      <c r="P209" s="599"/>
      <c r="Q209" s="600">
        <f t="shared" si="121"/>
        <v>0</v>
      </c>
      <c r="R209" s="601">
        <f t="shared" si="139"/>
        <v>30</v>
      </c>
      <c r="S209" s="647">
        <v>110200</v>
      </c>
      <c r="T209" s="602"/>
      <c r="U209" s="645">
        <v>1</v>
      </c>
      <c r="V209" s="593">
        <f t="shared" si="134"/>
        <v>200</v>
      </c>
      <c r="W209" s="604">
        <f t="shared" si="140"/>
        <v>0</v>
      </c>
      <c r="X209" s="604">
        <f t="shared" si="141"/>
        <v>0</v>
      </c>
      <c r="Y209" s="604">
        <f t="shared" si="142"/>
        <v>0</v>
      </c>
      <c r="Z209" s="605">
        <f t="shared" si="143"/>
        <v>0</v>
      </c>
      <c r="AA209" s="751">
        <f t="shared" si="144"/>
        <v>0</v>
      </c>
      <c r="AB209" s="605">
        <f t="shared" si="145"/>
        <v>0</v>
      </c>
      <c r="AC209" s="607"/>
      <c r="AD209" s="591" t="str">
        <f t="shared" si="146"/>
        <v>Friesland College</v>
      </c>
      <c r="AE209" s="608"/>
      <c r="AF209" s="639">
        <v>30</v>
      </c>
      <c r="AG209" s="639">
        <f t="shared" si="135"/>
        <v>30</v>
      </c>
      <c r="AH209" s="639">
        <f t="shared" si="147"/>
        <v>0</v>
      </c>
      <c r="AI209" s="640"/>
      <c r="AJ209" s="641">
        <f t="shared" si="148"/>
        <v>0</v>
      </c>
      <c r="AK209" s="642"/>
      <c r="AL209" s="642" t="s">
        <v>364</v>
      </c>
      <c r="AM209" s="643"/>
      <c r="AN209" s="642"/>
      <c r="AO209" s="644">
        <v>201</v>
      </c>
      <c r="AP209" s="565"/>
      <c r="AQ209" s="566"/>
      <c r="AR209" s="566"/>
      <c r="AS209" s="566"/>
      <c r="AT209" s="566"/>
      <c r="AU209" s="566"/>
      <c r="AV209" s="566"/>
      <c r="AW209" s="566"/>
      <c r="AX209" s="566"/>
      <c r="AY209" s="566"/>
      <c r="AZ209" s="566"/>
      <c r="BA209" s="566"/>
      <c r="BB209" s="566"/>
      <c r="BC209" s="566"/>
      <c r="BD209" s="566"/>
      <c r="BE209" s="566"/>
      <c r="BF209" s="566"/>
      <c r="BG209" s="566"/>
    </row>
    <row r="210" spans="1:59">
      <c r="A210" s="591"/>
      <c r="B210" s="592"/>
      <c r="C210" s="593"/>
      <c r="D210" s="594">
        <v>1</v>
      </c>
      <c r="E210" s="595" t="s">
        <v>366</v>
      </c>
      <c r="F210" s="593" t="s">
        <v>368</v>
      </c>
      <c r="G210" s="596" t="s">
        <v>510</v>
      </c>
      <c r="H210" s="596"/>
      <c r="I210" s="596"/>
      <c r="J210" s="596"/>
      <c r="K210" s="596"/>
      <c r="L210" s="591" t="s">
        <v>777</v>
      </c>
      <c r="M210" s="597" t="str">
        <f t="shared" si="133"/>
        <v>Trappenhuis-bordes</v>
      </c>
      <c r="N210" s="591" t="s">
        <v>942</v>
      </c>
      <c r="O210" s="598"/>
      <c r="P210" s="599"/>
      <c r="Q210" s="600">
        <f t="shared" si="121"/>
        <v>0</v>
      </c>
      <c r="R210" s="601">
        <f t="shared" si="139"/>
        <v>12</v>
      </c>
      <c r="S210" s="647">
        <v>108200</v>
      </c>
      <c r="T210" s="602"/>
      <c r="U210" s="645">
        <v>1</v>
      </c>
      <c r="V210" s="593">
        <f t="shared" si="134"/>
        <v>200</v>
      </c>
      <c r="W210" s="604">
        <f t="shared" si="140"/>
        <v>0</v>
      </c>
      <c r="X210" s="604">
        <f t="shared" si="141"/>
        <v>0</v>
      </c>
      <c r="Y210" s="604">
        <f t="shared" si="142"/>
        <v>0</v>
      </c>
      <c r="Z210" s="605">
        <f t="shared" si="143"/>
        <v>0</v>
      </c>
      <c r="AA210" s="751">
        <f t="shared" si="144"/>
        <v>0</v>
      </c>
      <c r="AB210" s="605">
        <f t="shared" si="145"/>
        <v>0</v>
      </c>
      <c r="AC210" s="607"/>
      <c r="AD210" s="591" t="str">
        <f t="shared" si="146"/>
        <v>Friesland College</v>
      </c>
      <c r="AE210" s="608"/>
      <c r="AF210" s="639">
        <v>12</v>
      </c>
      <c r="AG210" s="639">
        <f t="shared" si="135"/>
        <v>12</v>
      </c>
      <c r="AH210" s="639">
        <f t="shared" si="147"/>
        <v>0</v>
      </c>
      <c r="AI210" s="640"/>
      <c r="AJ210" s="641">
        <f t="shared" si="148"/>
        <v>0</v>
      </c>
      <c r="AK210" s="642"/>
      <c r="AL210" s="642" t="s">
        <v>364</v>
      </c>
      <c r="AM210" s="643"/>
      <c r="AN210" s="642"/>
      <c r="AO210" s="644">
        <v>202</v>
      </c>
      <c r="AP210" s="565"/>
      <c r="AQ210" s="566"/>
      <c r="AR210" s="566"/>
      <c r="AS210" s="566"/>
      <c r="AT210" s="566"/>
      <c r="AU210" s="566"/>
      <c r="AV210" s="566"/>
      <c r="AW210" s="566"/>
      <c r="AX210" s="566"/>
      <c r="AY210" s="566"/>
      <c r="AZ210" s="566"/>
      <c r="BA210" s="566"/>
      <c r="BB210" s="566"/>
      <c r="BC210" s="566"/>
      <c r="BD210" s="566"/>
      <c r="BE210" s="566"/>
      <c r="BF210" s="566"/>
      <c r="BG210" s="566"/>
    </row>
    <row r="211" spans="1:59">
      <c r="A211" s="591"/>
      <c r="B211" s="592"/>
      <c r="C211" s="593"/>
      <c r="D211" s="594">
        <v>1</v>
      </c>
      <c r="E211" s="595" t="s">
        <v>366</v>
      </c>
      <c r="F211" s="593" t="s">
        <v>368</v>
      </c>
      <c r="G211" s="596" t="s">
        <v>511</v>
      </c>
      <c r="H211" s="596"/>
      <c r="I211" s="596"/>
      <c r="J211" s="596"/>
      <c r="K211" s="596"/>
      <c r="L211" s="591" t="s">
        <v>816</v>
      </c>
      <c r="M211" s="597" t="str">
        <f t="shared" si="133"/>
        <v>Administratieve -, personeels- en vergaderruimte</v>
      </c>
      <c r="N211" s="591" t="s">
        <v>78</v>
      </c>
      <c r="O211" s="598"/>
      <c r="P211" s="599"/>
      <c r="Q211" s="600">
        <f t="shared" si="121"/>
        <v>0</v>
      </c>
      <c r="R211" s="601">
        <f t="shared" si="139"/>
        <v>26</v>
      </c>
      <c r="S211" s="647">
        <v>101100</v>
      </c>
      <c r="T211" s="602"/>
      <c r="U211" s="645">
        <v>1</v>
      </c>
      <c r="V211" s="593">
        <f t="shared" si="134"/>
        <v>100</v>
      </c>
      <c r="W211" s="604">
        <f t="shared" si="140"/>
        <v>0</v>
      </c>
      <c r="X211" s="604">
        <f t="shared" si="141"/>
        <v>0</v>
      </c>
      <c r="Y211" s="604">
        <f t="shared" si="142"/>
        <v>0</v>
      </c>
      <c r="Z211" s="605">
        <f t="shared" si="143"/>
        <v>0</v>
      </c>
      <c r="AA211" s="751">
        <f t="shared" si="144"/>
        <v>0</v>
      </c>
      <c r="AB211" s="605">
        <f t="shared" si="145"/>
        <v>0</v>
      </c>
      <c r="AC211" s="607"/>
      <c r="AD211" s="591" t="str">
        <f t="shared" si="146"/>
        <v>Friesland College</v>
      </c>
      <c r="AE211" s="608"/>
      <c r="AF211" s="639">
        <v>26</v>
      </c>
      <c r="AG211" s="639">
        <f t="shared" si="135"/>
        <v>26</v>
      </c>
      <c r="AH211" s="639">
        <f t="shared" si="147"/>
        <v>0</v>
      </c>
      <c r="AI211" s="640"/>
      <c r="AJ211" s="641">
        <f t="shared" si="148"/>
        <v>0</v>
      </c>
      <c r="AK211" s="642"/>
      <c r="AL211" s="642" t="s">
        <v>364</v>
      </c>
      <c r="AM211" s="643"/>
      <c r="AN211" s="642"/>
      <c r="AO211" s="644">
        <v>203</v>
      </c>
      <c r="AP211" s="565"/>
      <c r="AQ211" s="566"/>
      <c r="AR211" s="566"/>
      <c r="AS211" s="566"/>
      <c r="AT211" s="566"/>
      <c r="AU211" s="566"/>
      <c r="AV211" s="566"/>
      <c r="AW211" s="566"/>
      <c r="AX211" s="566"/>
      <c r="AY211" s="566"/>
      <c r="AZ211" s="566"/>
      <c r="BA211" s="566"/>
      <c r="BB211" s="566"/>
      <c r="BC211" s="566"/>
      <c r="BD211" s="566"/>
      <c r="BE211" s="566"/>
      <c r="BF211" s="566"/>
      <c r="BG211" s="566"/>
    </row>
    <row r="212" spans="1:59">
      <c r="A212" s="591"/>
      <c r="B212" s="592"/>
      <c r="C212" s="593"/>
      <c r="D212" s="594">
        <v>1</v>
      </c>
      <c r="E212" s="595" t="s">
        <v>366</v>
      </c>
      <c r="F212" s="593" t="s">
        <v>368</v>
      </c>
      <c r="G212" s="596" t="s">
        <v>511</v>
      </c>
      <c r="H212" s="596"/>
      <c r="I212" s="596"/>
      <c r="J212" s="596"/>
      <c r="K212" s="596"/>
      <c r="L212" s="591" t="s">
        <v>763</v>
      </c>
      <c r="M212" s="597" t="str">
        <f t="shared" si="133"/>
        <v>Trappenhuis-bordes</v>
      </c>
      <c r="N212" s="591" t="s">
        <v>940</v>
      </c>
      <c r="O212" s="598"/>
      <c r="P212" s="599"/>
      <c r="Q212" s="600">
        <f t="shared" si="121"/>
        <v>0</v>
      </c>
      <c r="R212" s="601">
        <f t="shared" si="139"/>
        <v>15</v>
      </c>
      <c r="S212" s="647">
        <v>108200</v>
      </c>
      <c r="T212" s="602"/>
      <c r="U212" s="645">
        <v>1</v>
      </c>
      <c r="V212" s="593">
        <f t="shared" si="134"/>
        <v>200</v>
      </c>
      <c r="W212" s="604">
        <f t="shared" si="140"/>
        <v>0</v>
      </c>
      <c r="X212" s="604">
        <f t="shared" si="141"/>
        <v>0</v>
      </c>
      <c r="Y212" s="604">
        <f t="shared" si="142"/>
        <v>0</v>
      </c>
      <c r="Z212" s="605">
        <f t="shared" si="143"/>
        <v>0</v>
      </c>
      <c r="AA212" s="751">
        <f t="shared" si="144"/>
        <v>0</v>
      </c>
      <c r="AB212" s="605">
        <f t="shared" si="145"/>
        <v>0</v>
      </c>
      <c r="AC212" s="607"/>
      <c r="AD212" s="591" t="str">
        <f t="shared" si="146"/>
        <v>Friesland College</v>
      </c>
      <c r="AE212" s="608"/>
      <c r="AF212" s="639">
        <v>15</v>
      </c>
      <c r="AG212" s="639">
        <f t="shared" si="135"/>
        <v>15</v>
      </c>
      <c r="AH212" s="639">
        <f t="shared" si="147"/>
        <v>0</v>
      </c>
      <c r="AI212" s="640"/>
      <c r="AJ212" s="641">
        <f t="shared" si="148"/>
        <v>0</v>
      </c>
      <c r="AK212" s="642"/>
      <c r="AL212" s="642" t="s">
        <v>364</v>
      </c>
      <c r="AM212" s="643"/>
      <c r="AN212" s="642"/>
      <c r="AO212" s="644">
        <v>204</v>
      </c>
      <c r="AP212" s="565"/>
      <c r="AQ212" s="566"/>
      <c r="AR212" s="566"/>
      <c r="AS212" s="566"/>
      <c r="AT212" s="566"/>
      <c r="AU212" s="566"/>
      <c r="AV212" s="566"/>
      <c r="AW212" s="566"/>
      <c r="AX212" s="566"/>
      <c r="AY212" s="566"/>
      <c r="AZ212" s="566"/>
      <c r="BA212" s="566"/>
      <c r="BB212" s="566"/>
      <c r="BC212" s="566"/>
      <c r="BD212" s="566"/>
      <c r="BE212" s="566"/>
      <c r="BF212" s="566"/>
      <c r="BG212" s="566"/>
    </row>
    <row r="213" spans="1:59">
      <c r="A213" s="591"/>
      <c r="B213" s="592"/>
      <c r="C213" s="593"/>
      <c r="D213" s="594">
        <v>1</v>
      </c>
      <c r="E213" s="595" t="s">
        <v>366</v>
      </c>
      <c r="F213" s="593" t="s">
        <v>368</v>
      </c>
      <c r="G213" s="596" t="s">
        <v>512</v>
      </c>
      <c r="H213" s="596"/>
      <c r="I213" s="596"/>
      <c r="J213" s="596"/>
      <c r="K213" s="596"/>
      <c r="L213" s="591" t="s">
        <v>779</v>
      </c>
      <c r="M213" s="597" t="str">
        <f t="shared" si="133"/>
        <v>Sanitaire ruimte (toilet-/doucheruimte)</v>
      </c>
      <c r="N213" s="591" t="s">
        <v>85</v>
      </c>
      <c r="O213" s="598"/>
      <c r="P213" s="599"/>
      <c r="Q213" s="600">
        <f t="shared" si="121"/>
        <v>0</v>
      </c>
      <c r="R213" s="601">
        <f t="shared" si="139"/>
        <v>7</v>
      </c>
      <c r="S213" s="647">
        <v>103200</v>
      </c>
      <c r="T213" s="647">
        <v>103400</v>
      </c>
      <c r="U213" s="645">
        <v>1</v>
      </c>
      <c r="V213" s="593">
        <f t="shared" si="134"/>
        <v>400</v>
      </c>
      <c r="W213" s="604">
        <f t="shared" si="140"/>
        <v>0</v>
      </c>
      <c r="X213" s="604">
        <f t="shared" si="141"/>
        <v>0</v>
      </c>
      <c r="Y213" s="604">
        <f t="shared" si="142"/>
        <v>0</v>
      </c>
      <c r="Z213" s="605">
        <f t="shared" si="143"/>
        <v>0</v>
      </c>
      <c r="AA213" s="751">
        <f t="shared" si="144"/>
        <v>0</v>
      </c>
      <c r="AB213" s="605">
        <f t="shared" si="145"/>
        <v>0</v>
      </c>
      <c r="AC213" s="607"/>
      <c r="AD213" s="591" t="str">
        <f t="shared" si="146"/>
        <v>Friesland College</v>
      </c>
      <c r="AE213" s="608"/>
      <c r="AF213" s="639">
        <v>7</v>
      </c>
      <c r="AG213" s="639">
        <f t="shared" si="135"/>
        <v>7</v>
      </c>
      <c r="AH213" s="639">
        <f t="shared" si="147"/>
        <v>0</v>
      </c>
      <c r="AI213" s="640"/>
      <c r="AJ213" s="641">
        <f t="shared" si="148"/>
        <v>0</v>
      </c>
      <c r="AK213" s="642"/>
      <c r="AL213" s="642" t="s">
        <v>364</v>
      </c>
      <c r="AM213" s="643"/>
      <c r="AN213" s="642"/>
      <c r="AO213" s="644">
        <v>205</v>
      </c>
      <c r="AP213" s="565"/>
      <c r="AQ213" s="566"/>
      <c r="AR213" s="566"/>
      <c r="AS213" s="566"/>
      <c r="AT213" s="566"/>
      <c r="AU213" s="566"/>
      <c r="AV213" s="566"/>
      <c r="AW213" s="566"/>
      <c r="AX213" s="566"/>
      <c r="AY213" s="566"/>
      <c r="AZ213" s="566"/>
      <c r="BA213" s="566"/>
      <c r="BB213" s="566"/>
      <c r="BC213" s="566"/>
      <c r="BD213" s="566"/>
      <c r="BE213" s="566"/>
      <c r="BF213" s="566"/>
      <c r="BG213" s="566"/>
    </row>
    <row r="214" spans="1:59">
      <c r="A214" s="591"/>
      <c r="B214" s="592"/>
      <c r="C214" s="593"/>
      <c r="D214" s="594">
        <v>1</v>
      </c>
      <c r="E214" s="595" t="s">
        <v>366</v>
      </c>
      <c r="F214" s="593" t="s">
        <v>368</v>
      </c>
      <c r="G214" s="596" t="s">
        <v>512</v>
      </c>
      <c r="H214" s="596" t="s">
        <v>521</v>
      </c>
      <c r="I214" s="596"/>
      <c r="J214" s="596"/>
      <c r="K214" s="596"/>
      <c r="L214" s="591" t="s">
        <v>817</v>
      </c>
      <c r="M214" s="597" t="str">
        <f t="shared" si="133"/>
        <v>Administratieve -, personeels- en vergaderruimte</v>
      </c>
      <c r="N214" s="591" t="s">
        <v>78</v>
      </c>
      <c r="O214" s="598"/>
      <c r="P214" s="599"/>
      <c r="Q214" s="600">
        <f t="shared" si="121"/>
        <v>0</v>
      </c>
      <c r="R214" s="601">
        <f t="shared" si="139"/>
        <v>18</v>
      </c>
      <c r="S214" s="647">
        <v>101100</v>
      </c>
      <c r="T214" s="602"/>
      <c r="U214" s="645">
        <v>1</v>
      </c>
      <c r="V214" s="593">
        <f t="shared" si="134"/>
        <v>100</v>
      </c>
      <c r="W214" s="604">
        <f t="shared" si="140"/>
        <v>0</v>
      </c>
      <c r="X214" s="604">
        <f t="shared" si="141"/>
        <v>0</v>
      </c>
      <c r="Y214" s="604">
        <f t="shared" si="142"/>
        <v>0</v>
      </c>
      <c r="Z214" s="605">
        <f t="shared" si="143"/>
        <v>0</v>
      </c>
      <c r="AA214" s="751">
        <f t="shared" si="144"/>
        <v>0</v>
      </c>
      <c r="AB214" s="605">
        <f t="shared" si="145"/>
        <v>0</v>
      </c>
      <c r="AC214" s="607"/>
      <c r="AD214" s="591" t="str">
        <f t="shared" si="146"/>
        <v>Friesland College</v>
      </c>
      <c r="AE214" s="608"/>
      <c r="AF214" s="639">
        <v>18</v>
      </c>
      <c r="AG214" s="639">
        <f t="shared" si="135"/>
        <v>18</v>
      </c>
      <c r="AH214" s="639">
        <f t="shared" si="147"/>
        <v>0</v>
      </c>
      <c r="AI214" s="640"/>
      <c r="AJ214" s="641">
        <f t="shared" si="148"/>
        <v>0</v>
      </c>
      <c r="AK214" s="642"/>
      <c r="AL214" s="642" t="s">
        <v>364</v>
      </c>
      <c r="AM214" s="643"/>
      <c r="AN214" s="642"/>
      <c r="AO214" s="644">
        <v>206</v>
      </c>
      <c r="AP214" s="565"/>
      <c r="AQ214" s="566"/>
      <c r="AR214" s="566"/>
      <c r="AS214" s="566"/>
      <c r="AT214" s="566"/>
      <c r="AU214" s="566"/>
      <c r="AV214" s="566"/>
      <c r="AW214" s="566"/>
      <c r="AX214" s="566"/>
      <c r="AY214" s="566"/>
      <c r="AZ214" s="566"/>
      <c r="BA214" s="566"/>
      <c r="BB214" s="566"/>
      <c r="BC214" s="566"/>
      <c r="BD214" s="566"/>
      <c r="BE214" s="566"/>
      <c r="BF214" s="566"/>
      <c r="BG214" s="566"/>
    </row>
    <row r="215" spans="1:59">
      <c r="A215" s="591"/>
      <c r="B215" s="618"/>
      <c r="C215" s="609"/>
      <c r="D215" s="594">
        <v>1</v>
      </c>
      <c r="E215" s="595" t="s">
        <v>366</v>
      </c>
      <c r="F215" s="593" t="s">
        <v>368</v>
      </c>
      <c r="G215" s="610" t="s">
        <v>512</v>
      </c>
      <c r="H215" s="610" t="s">
        <v>521</v>
      </c>
      <c r="I215" s="610"/>
      <c r="J215" s="610"/>
      <c r="K215" s="610"/>
      <c r="L215" s="611" t="s">
        <v>817</v>
      </c>
      <c r="M215" s="612">
        <f t="shared" si="133"/>
        <v>0</v>
      </c>
      <c r="N215" s="613"/>
      <c r="O215" s="614" t="s">
        <v>987</v>
      </c>
      <c r="P215" s="615">
        <v>100</v>
      </c>
      <c r="Q215" s="616">
        <f t="shared" si="121"/>
        <v>13</v>
      </c>
      <c r="R215" s="613"/>
      <c r="S215" s="603"/>
      <c r="T215" s="606"/>
      <c r="U215" s="606"/>
      <c r="V215" s="593">
        <f t="shared" si="134"/>
        <v>0</v>
      </c>
      <c r="W215" s="606"/>
      <c r="X215" s="606"/>
      <c r="Y215" s="606"/>
      <c r="Z215" s="606"/>
      <c r="AA215" s="606"/>
      <c r="AB215" s="606"/>
      <c r="AC215" s="607"/>
      <c r="AD215" s="606"/>
      <c r="AE215" s="608"/>
      <c r="AF215" s="639">
        <v>13</v>
      </c>
      <c r="AG215" s="639">
        <f t="shared" si="135"/>
        <v>13</v>
      </c>
      <c r="AH215" s="639">
        <f t="shared" si="147"/>
        <v>0</v>
      </c>
      <c r="AI215" s="640"/>
      <c r="AJ215" s="641">
        <f t="shared" si="148"/>
        <v>0</v>
      </c>
      <c r="AK215" s="642"/>
      <c r="AL215" s="642" t="s">
        <v>364</v>
      </c>
      <c r="AM215" s="643"/>
      <c r="AN215" s="642"/>
      <c r="AO215" s="644">
        <v>207</v>
      </c>
      <c r="AP215" s="565"/>
      <c r="AQ215" s="566"/>
      <c r="AR215" s="566"/>
      <c r="AS215" s="566"/>
      <c r="AT215" s="566"/>
      <c r="AU215" s="566"/>
      <c r="AV215" s="566"/>
      <c r="AW215" s="566"/>
      <c r="AX215" s="566"/>
      <c r="AY215" s="566"/>
      <c r="AZ215" s="566"/>
      <c r="BA215" s="566"/>
      <c r="BB215" s="566"/>
      <c r="BC215" s="566"/>
      <c r="BD215" s="566"/>
      <c r="BE215" s="566"/>
      <c r="BF215" s="566"/>
      <c r="BG215" s="566"/>
    </row>
    <row r="216" spans="1:59">
      <c r="A216" s="591"/>
      <c r="B216" s="592"/>
      <c r="C216" s="593"/>
      <c r="D216" s="594">
        <v>1</v>
      </c>
      <c r="E216" s="595" t="s">
        <v>366</v>
      </c>
      <c r="F216" s="593" t="s">
        <v>368</v>
      </c>
      <c r="G216" s="596" t="s">
        <v>514</v>
      </c>
      <c r="H216" s="596" t="s">
        <v>515</v>
      </c>
      <c r="I216" s="596"/>
      <c r="J216" s="596"/>
      <c r="K216" s="596"/>
      <c r="L216" s="620" t="s">
        <v>791</v>
      </c>
      <c r="M216" s="597" t="str">
        <f t="shared" si="133"/>
        <v>Administratieve -, personeels- en vergaderruimte</v>
      </c>
      <c r="N216" s="591" t="s">
        <v>78</v>
      </c>
      <c r="O216" s="598"/>
      <c r="P216" s="599"/>
      <c r="Q216" s="600">
        <f t="shared" si="121"/>
        <v>0</v>
      </c>
      <c r="R216" s="601">
        <f>AF216</f>
        <v>13</v>
      </c>
      <c r="S216" s="647">
        <v>101100</v>
      </c>
      <c r="T216" s="602"/>
      <c r="U216" s="645">
        <v>1</v>
      </c>
      <c r="V216" s="593">
        <f t="shared" si="134"/>
        <v>100</v>
      </c>
      <c r="W216" s="604">
        <f>Z216*R216*U216</f>
        <v>0</v>
      </c>
      <c r="X216" s="604">
        <f>AA216*R216</f>
        <v>0</v>
      </c>
      <c r="Y216" s="604">
        <f>AB216*R216</f>
        <v>0</v>
      </c>
      <c r="Z216" s="605">
        <f>VLOOKUP(S216,Kengetal,6,FALSE)</f>
        <v>0</v>
      </c>
      <c r="AA216" s="751">
        <f>VLOOKUP(S216,Kengetal,7,FALSE)</f>
        <v>0</v>
      </c>
      <c r="AB216" s="605">
        <f>VLOOKUP(T216,Kengetal,6,FALSE)</f>
        <v>0</v>
      </c>
      <c r="AC216" s="607"/>
      <c r="AD216" s="591" t="str">
        <f>AL216</f>
        <v>Friesland College</v>
      </c>
      <c r="AE216" s="608"/>
      <c r="AF216" s="639">
        <v>13</v>
      </c>
      <c r="AG216" s="639">
        <f t="shared" si="135"/>
        <v>13</v>
      </c>
      <c r="AH216" s="639">
        <f t="shared" si="147"/>
        <v>0</v>
      </c>
      <c r="AI216" s="640"/>
      <c r="AJ216" s="641">
        <f t="shared" si="148"/>
        <v>0</v>
      </c>
      <c r="AK216" s="642"/>
      <c r="AL216" s="642" t="s">
        <v>364</v>
      </c>
      <c r="AM216" s="643"/>
      <c r="AN216" s="642"/>
      <c r="AO216" s="644">
        <v>208</v>
      </c>
      <c r="AP216" s="565"/>
      <c r="AQ216" s="566"/>
      <c r="AR216" s="566"/>
      <c r="AS216" s="566"/>
      <c r="AT216" s="566"/>
      <c r="AU216" s="566"/>
      <c r="AV216" s="566"/>
      <c r="AW216" s="566"/>
      <c r="AX216" s="566"/>
      <c r="AY216" s="566"/>
      <c r="AZ216" s="566"/>
      <c r="BA216" s="566"/>
      <c r="BB216" s="566"/>
      <c r="BC216" s="566"/>
      <c r="BD216" s="566"/>
      <c r="BE216" s="566"/>
      <c r="BF216" s="566"/>
      <c r="BG216" s="566"/>
    </row>
    <row r="217" spans="1:59">
      <c r="A217" s="591"/>
      <c r="B217" s="609"/>
      <c r="C217" s="609"/>
      <c r="D217" s="594">
        <v>1</v>
      </c>
      <c r="E217" s="595" t="s">
        <v>366</v>
      </c>
      <c r="F217" s="593" t="s">
        <v>368</v>
      </c>
      <c r="G217" s="610" t="s">
        <v>514</v>
      </c>
      <c r="H217" s="610" t="s">
        <v>515</v>
      </c>
      <c r="I217" s="610"/>
      <c r="J217" s="610"/>
      <c r="K217" s="610"/>
      <c r="L217" s="611" t="s">
        <v>791</v>
      </c>
      <c r="M217" s="612">
        <f t="shared" si="133"/>
        <v>0</v>
      </c>
      <c r="N217" s="613"/>
      <c r="O217" s="614" t="s">
        <v>984</v>
      </c>
      <c r="P217" s="615">
        <v>100</v>
      </c>
      <c r="Q217" s="616">
        <f t="shared" si="121"/>
        <v>13</v>
      </c>
      <c r="R217" s="613"/>
      <c r="S217" s="603"/>
      <c r="T217" s="606"/>
      <c r="U217" s="606"/>
      <c r="V217" s="593">
        <f t="shared" si="134"/>
        <v>0</v>
      </c>
      <c r="W217" s="606"/>
      <c r="X217" s="606"/>
      <c r="Y217" s="606"/>
      <c r="Z217" s="606"/>
      <c r="AA217" s="606"/>
      <c r="AB217" s="606"/>
      <c r="AC217" s="607"/>
      <c r="AD217" s="606"/>
      <c r="AE217" s="608"/>
      <c r="AF217" s="639">
        <v>13</v>
      </c>
      <c r="AG217" s="639">
        <f t="shared" si="135"/>
        <v>13</v>
      </c>
      <c r="AH217" s="639">
        <f t="shared" si="147"/>
        <v>0</v>
      </c>
      <c r="AI217" s="640"/>
      <c r="AJ217" s="641">
        <f t="shared" si="148"/>
        <v>0</v>
      </c>
      <c r="AK217" s="642"/>
      <c r="AL217" s="642" t="s">
        <v>364</v>
      </c>
      <c r="AM217" s="643"/>
      <c r="AN217" s="642"/>
      <c r="AO217" s="644">
        <v>209</v>
      </c>
      <c r="AP217" s="565"/>
      <c r="AQ217" s="566"/>
      <c r="AR217" s="566"/>
      <c r="AS217" s="566"/>
      <c r="AT217" s="566"/>
      <c r="AU217" s="566"/>
      <c r="AV217" s="566"/>
      <c r="AW217" s="566"/>
      <c r="AX217" s="566"/>
      <c r="AY217" s="566"/>
      <c r="AZ217" s="566"/>
      <c r="BA217" s="566"/>
      <c r="BB217" s="566"/>
      <c r="BC217" s="566"/>
      <c r="BD217" s="566"/>
      <c r="BE217" s="566"/>
      <c r="BF217" s="566"/>
      <c r="BG217" s="566"/>
    </row>
    <row r="218" spans="1:59">
      <c r="A218" s="591"/>
      <c r="B218" s="592"/>
      <c r="C218" s="593"/>
      <c r="D218" s="594">
        <v>1</v>
      </c>
      <c r="E218" s="595" t="s">
        <v>366</v>
      </c>
      <c r="F218" s="593" t="s">
        <v>368</v>
      </c>
      <c r="G218" s="596" t="s">
        <v>514</v>
      </c>
      <c r="H218" s="596"/>
      <c r="I218" s="596"/>
      <c r="J218" s="596"/>
      <c r="K218" s="596"/>
      <c r="L218" s="591" t="s">
        <v>319</v>
      </c>
      <c r="M218" s="597" t="str">
        <f t="shared" si="133"/>
        <v>Gang, hal, pantry, aula, repro, gardarobe</v>
      </c>
      <c r="N218" s="591" t="s">
        <v>78</v>
      </c>
      <c r="O218" s="598"/>
      <c r="P218" s="599"/>
      <c r="Q218" s="600">
        <f t="shared" si="121"/>
        <v>0</v>
      </c>
      <c r="R218" s="601">
        <f>AF218</f>
        <v>166</v>
      </c>
      <c r="S218" s="647">
        <v>104200</v>
      </c>
      <c r="T218" s="602"/>
      <c r="U218" s="645">
        <v>1</v>
      </c>
      <c r="V218" s="593">
        <f t="shared" si="134"/>
        <v>200</v>
      </c>
      <c r="W218" s="604">
        <f t="shared" ref="W218:W220" si="149">Z218*R218*U218</f>
        <v>0</v>
      </c>
      <c r="X218" s="604">
        <f t="shared" ref="X218:X220" si="150">AA218*R218</f>
        <v>0</v>
      </c>
      <c r="Y218" s="604">
        <f t="shared" ref="Y218:Y220" si="151">AB218*R218</f>
        <v>0</v>
      </c>
      <c r="Z218" s="605">
        <f>VLOOKUP(S218,Kengetal,6,FALSE)</f>
        <v>0</v>
      </c>
      <c r="AA218" s="751">
        <f>VLOOKUP(S218,Kengetal,7,FALSE)</f>
        <v>0</v>
      </c>
      <c r="AB218" s="605">
        <f>VLOOKUP(T218,Kengetal,6,FALSE)</f>
        <v>0</v>
      </c>
      <c r="AC218" s="607"/>
      <c r="AD218" s="591" t="str">
        <f>AL218</f>
        <v>Friesland College</v>
      </c>
      <c r="AE218" s="608"/>
      <c r="AF218" s="639">
        <v>166</v>
      </c>
      <c r="AG218" s="639">
        <f t="shared" si="135"/>
        <v>166</v>
      </c>
      <c r="AH218" s="639">
        <f t="shared" si="147"/>
        <v>0</v>
      </c>
      <c r="AI218" s="640"/>
      <c r="AJ218" s="641">
        <f t="shared" si="148"/>
        <v>0</v>
      </c>
      <c r="AK218" s="642"/>
      <c r="AL218" s="642" t="s">
        <v>364</v>
      </c>
      <c r="AM218" s="643"/>
      <c r="AN218" s="642"/>
      <c r="AO218" s="644">
        <v>210</v>
      </c>
      <c r="AP218" s="565"/>
      <c r="AQ218" s="566"/>
      <c r="AR218" s="566"/>
      <c r="AS218" s="566"/>
      <c r="AT218" s="566"/>
      <c r="AU218" s="566"/>
      <c r="AV218" s="566"/>
      <c r="AW218" s="566"/>
      <c r="AX218" s="566"/>
      <c r="AY218" s="566"/>
      <c r="AZ218" s="566"/>
      <c r="BA218" s="566"/>
      <c r="BB218" s="566"/>
      <c r="BC218" s="566"/>
      <c r="BD218" s="566"/>
      <c r="BE218" s="566"/>
      <c r="BF218" s="566"/>
      <c r="BG218" s="566"/>
    </row>
    <row r="219" spans="1:59">
      <c r="A219" s="591"/>
      <c r="B219" s="592"/>
      <c r="C219" s="593"/>
      <c r="D219" s="594">
        <v>1</v>
      </c>
      <c r="E219" s="595" t="s">
        <v>366</v>
      </c>
      <c r="F219" s="593" t="s">
        <v>368</v>
      </c>
      <c r="G219" s="596" t="s">
        <v>516</v>
      </c>
      <c r="H219" s="596"/>
      <c r="I219" s="596"/>
      <c r="J219" s="596"/>
      <c r="K219" s="596"/>
      <c r="L219" s="591" t="s">
        <v>818</v>
      </c>
      <c r="M219" s="597" t="str">
        <f t="shared" si="133"/>
        <v>Onderwijsruimte (theorie)</v>
      </c>
      <c r="N219" s="591" t="s">
        <v>78</v>
      </c>
      <c r="O219" s="598"/>
      <c r="P219" s="599"/>
      <c r="Q219" s="600">
        <f t="shared" si="121"/>
        <v>0</v>
      </c>
      <c r="R219" s="601">
        <f>AF219</f>
        <v>52</v>
      </c>
      <c r="S219" s="647">
        <v>102200</v>
      </c>
      <c r="T219" s="602"/>
      <c r="U219" s="645">
        <v>1</v>
      </c>
      <c r="V219" s="593">
        <f t="shared" si="134"/>
        <v>200</v>
      </c>
      <c r="W219" s="604">
        <f t="shared" si="149"/>
        <v>0</v>
      </c>
      <c r="X219" s="604">
        <f t="shared" si="150"/>
        <v>0</v>
      </c>
      <c r="Y219" s="604">
        <f t="shared" si="151"/>
        <v>0</v>
      </c>
      <c r="Z219" s="605">
        <f>VLOOKUP(S219,Kengetal,6,FALSE)</f>
        <v>0</v>
      </c>
      <c r="AA219" s="751">
        <f>VLOOKUP(S219,Kengetal,7,FALSE)</f>
        <v>0</v>
      </c>
      <c r="AB219" s="605">
        <f>VLOOKUP(T219,Kengetal,6,FALSE)</f>
        <v>0</v>
      </c>
      <c r="AC219" s="607"/>
      <c r="AD219" s="591" t="str">
        <f>AL219</f>
        <v>Friesland College</v>
      </c>
      <c r="AE219" s="608"/>
      <c r="AF219" s="639">
        <v>52</v>
      </c>
      <c r="AG219" s="639">
        <f t="shared" si="135"/>
        <v>52</v>
      </c>
      <c r="AH219" s="639">
        <f t="shared" si="147"/>
        <v>0</v>
      </c>
      <c r="AI219" s="640"/>
      <c r="AJ219" s="641">
        <f t="shared" si="148"/>
        <v>0</v>
      </c>
      <c r="AK219" s="642"/>
      <c r="AL219" s="642" t="s">
        <v>364</v>
      </c>
      <c r="AM219" s="643"/>
      <c r="AN219" s="642"/>
      <c r="AO219" s="644">
        <v>211</v>
      </c>
      <c r="AP219" s="565"/>
      <c r="AQ219" s="566"/>
      <c r="AR219" s="566"/>
      <c r="AS219" s="566"/>
      <c r="AT219" s="566"/>
      <c r="AU219" s="566"/>
      <c r="AV219" s="566"/>
      <c r="AW219" s="566"/>
      <c r="AX219" s="566"/>
      <c r="AY219" s="566"/>
      <c r="AZ219" s="566"/>
      <c r="BA219" s="566"/>
      <c r="BB219" s="566"/>
      <c r="BC219" s="566"/>
      <c r="BD219" s="566"/>
      <c r="BE219" s="566"/>
      <c r="BF219" s="566"/>
      <c r="BG219" s="566"/>
    </row>
    <row r="220" spans="1:59">
      <c r="A220" s="591"/>
      <c r="B220" s="592"/>
      <c r="C220" s="593"/>
      <c r="D220" s="594">
        <v>1</v>
      </c>
      <c r="E220" s="595" t="s">
        <v>366</v>
      </c>
      <c r="F220" s="593" t="s">
        <v>368</v>
      </c>
      <c r="G220" s="596" t="s">
        <v>516</v>
      </c>
      <c r="H220" s="596" t="s">
        <v>517</v>
      </c>
      <c r="I220" s="596"/>
      <c r="J220" s="596"/>
      <c r="K220" s="596"/>
      <c r="L220" s="620" t="s">
        <v>819</v>
      </c>
      <c r="M220" s="597" t="str">
        <f t="shared" si="133"/>
        <v>Op afroep (in overleg)</v>
      </c>
      <c r="N220" s="591" t="s">
        <v>938</v>
      </c>
      <c r="O220" s="598"/>
      <c r="P220" s="599"/>
      <c r="Q220" s="600">
        <f t="shared" si="121"/>
        <v>0</v>
      </c>
      <c r="R220" s="601">
        <f>AF220</f>
        <v>22</v>
      </c>
      <c r="S220" s="603" t="s">
        <v>959</v>
      </c>
      <c r="T220" s="602"/>
      <c r="U220" s="603"/>
      <c r="V220" s="593">
        <f t="shared" si="134"/>
        <v>0</v>
      </c>
      <c r="W220" s="604">
        <f t="shared" si="149"/>
        <v>0</v>
      </c>
      <c r="X220" s="604">
        <f t="shared" si="150"/>
        <v>0</v>
      </c>
      <c r="Y220" s="604">
        <f t="shared" si="151"/>
        <v>0</v>
      </c>
      <c r="Z220" s="605">
        <f>VLOOKUP(S220,Kengetal,6,FALSE)</f>
        <v>0</v>
      </c>
      <c r="AA220" s="751">
        <f>VLOOKUP(S220,Kengetal,7,FALSE)</f>
        <v>0</v>
      </c>
      <c r="AB220" s="605">
        <f>VLOOKUP(T220,Kengetal,6,FALSE)</f>
        <v>0</v>
      </c>
      <c r="AC220" s="607"/>
      <c r="AD220" s="591" t="str">
        <f>AL220</f>
        <v>Friesland College</v>
      </c>
      <c r="AE220" s="608"/>
      <c r="AF220" s="639">
        <v>22</v>
      </c>
      <c r="AG220" s="639">
        <f t="shared" si="135"/>
        <v>22</v>
      </c>
      <c r="AH220" s="639">
        <f t="shared" si="147"/>
        <v>0</v>
      </c>
      <c r="AI220" s="640"/>
      <c r="AJ220" s="641">
        <f t="shared" si="148"/>
        <v>0</v>
      </c>
      <c r="AK220" s="642"/>
      <c r="AL220" s="642" t="s">
        <v>364</v>
      </c>
      <c r="AM220" s="643"/>
      <c r="AN220" s="642"/>
      <c r="AO220" s="644">
        <v>212</v>
      </c>
      <c r="AP220" s="565"/>
      <c r="AQ220" s="566"/>
      <c r="AR220" s="566"/>
      <c r="AS220" s="566"/>
      <c r="AT220" s="566"/>
      <c r="AU220" s="566"/>
      <c r="AV220" s="566"/>
      <c r="AW220" s="566"/>
      <c r="AX220" s="566"/>
      <c r="AY220" s="566"/>
      <c r="AZ220" s="566"/>
      <c r="BA220" s="566"/>
      <c r="BB220" s="566"/>
      <c r="BC220" s="566"/>
      <c r="BD220" s="566"/>
      <c r="BE220" s="566"/>
      <c r="BF220" s="566"/>
      <c r="BG220" s="566"/>
    </row>
    <row r="221" spans="1:59">
      <c r="A221" s="591"/>
      <c r="B221" s="609"/>
      <c r="C221" s="609"/>
      <c r="D221" s="594">
        <v>1</v>
      </c>
      <c r="E221" s="595" t="s">
        <v>366</v>
      </c>
      <c r="F221" s="593" t="s">
        <v>368</v>
      </c>
      <c r="G221" s="610" t="s">
        <v>516</v>
      </c>
      <c r="H221" s="610" t="s">
        <v>517</v>
      </c>
      <c r="I221" s="610"/>
      <c r="J221" s="610"/>
      <c r="K221" s="610"/>
      <c r="L221" s="611" t="s">
        <v>819</v>
      </c>
      <c r="M221" s="612">
        <f t="shared" si="133"/>
        <v>0</v>
      </c>
      <c r="N221" s="613"/>
      <c r="O221" s="614" t="s">
        <v>984</v>
      </c>
      <c r="P221" s="615">
        <v>100</v>
      </c>
      <c r="Q221" s="616">
        <f t="shared" si="121"/>
        <v>22</v>
      </c>
      <c r="R221" s="613"/>
      <c r="S221" s="603"/>
      <c r="T221" s="606"/>
      <c r="U221" s="606"/>
      <c r="V221" s="593">
        <f t="shared" si="134"/>
        <v>0</v>
      </c>
      <c r="W221" s="606"/>
      <c r="X221" s="606"/>
      <c r="Y221" s="606"/>
      <c r="Z221" s="606"/>
      <c r="AA221" s="606"/>
      <c r="AB221" s="606"/>
      <c r="AC221" s="607"/>
      <c r="AD221" s="606"/>
      <c r="AE221" s="608"/>
      <c r="AF221" s="639">
        <v>22</v>
      </c>
      <c r="AG221" s="639">
        <f t="shared" si="135"/>
        <v>22</v>
      </c>
      <c r="AH221" s="639">
        <f t="shared" si="147"/>
        <v>0</v>
      </c>
      <c r="AI221" s="640"/>
      <c r="AJ221" s="641">
        <f t="shared" si="148"/>
        <v>0</v>
      </c>
      <c r="AK221" s="642"/>
      <c r="AL221" s="642" t="s">
        <v>364</v>
      </c>
      <c r="AM221" s="643"/>
      <c r="AN221" s="642"/>
      <c r="AO221" s="644">
        <v>213</v>
      </c>
      <c r="AP221" s="565"/>
      <c r="AQ221" s="566"/>
      <c r="AR221" s="566"/>
      <c r="AS221" s="566"/>
      <c r="AT221" s="566"/>
      <c r="AU221" s="566"/>
      <c r="AV221" s="566"/>
      <c r="AW221" s="566"/>
      <c r="AX221" s="566"/>
      <c r="AY221" s="566"/>
      <c r="AZ221" s="566"/>
      <c r="BA221" s="566"/>
      <c r="BB221" s="566"/>
      <c r="BC221" s="566"/>
      <c r="BD221" s="566"/>
      <c r="BE221" s="566"/>
      <c r="BF221" s="566"/>
      <c r="BG221" s="566"/>
    </row>
    <row r="222" spans="1:59">
      <c r="A222" s="591"/>
      <c r="B222" s="592"/>
      <c r="C222" s="593"/>
      <c r="D222" s="594">
        <v>1</v>
      </c>
      <c r="E222" s="595" t="s">
        <v>366</v>
      </c>
      <c r="F222" s="593" t="s">
        <v>368</v>
      </c>
      <c r="G222" s="596" t="s">
        <v>518</v>
      </c>
      <c r="H222" s="596"/>
      <c r="I222" s="596"/>
      <c r="J222" s="596"/>
      <c r="K222" s="596"/>
      <c r="L222" s="591" t="s">
        <v>820</v>
      </c>
      <c r="M222" s="597" t="str">
        <f t="shared" si="133"/>
        <v>Onderwijsruimte (theorie)</v>
      </c>
      <c r="N222" s="591" t="s">
        <v>78</v>
      </c>
      <c r="O222" s="598"/>
      <c r="P222" s="599"/>
      <c r="Q222" s="600">
        <f t="shared" si="121"/>
        <v>0</v>
      </c>
      <c r="R222" s="601">
        <f>AF222</f>
        <v>25</v>
      </c>
      <c r="S222" s="647">
        <v>102200</v>
      </c>
      <c r="T222" s="602"/>
      <c r="U222" s="645">
        <v>1</v>
      </c>
      <c r="V222" s="593">
        <f t="shared" si="134"/>
        <v>200</v>
      </c>
      <c r="W222" s="604">
        <f t="shared" ref="W222:W223" si="152">Z222*R222*U222</f>
        <v>0</v>
      </c>
      <c r="X222" s="604">
        <f t="shared" ref="X222:X223" si="153">AA222*R222</f>
        <v>0</v>
      </c>
      <c r="Y222" s="604">
        <f t="shared" ref="Y222:Y223" si="154">AB222*R222</f>
        <v>0</v>
      </c>
      <c r="Z222" s="605">
        <f>VLOOKUP(S222,Kengetal,6,FALSE)</f>
        <v>0</v>
      </c>
      <c r="AA222" s="751">
        <f>VLOOKUP(S222,Kengetal,7,FALSE)</f>
        <v>0</v>
      </c>
      <c r="AB222" s="605">
        <f>VLOOKUP(T222,Kengetal,6,FALSE)</f>
        <v>0</v>
      </c>
      <c r="AC222" s="607"/>
      <c r="AD222" s="591" t="str">
        <f>AL222</f>
        <v>Friesland College</v>
      </c>
      <c r="AE222" s="608"/>
      <c r="AF222" s="639">
        <v>25</v>
      </c>
      <c r="AG222" s="639">
        <f t="shared" si="135"/>
        <v>25</v>
      </c>
      <c r="AH222" s="639">
        <f t="shared" si="147"/>
        <v>0</v>
      </c>
      <c r="AI222" s="640"/>
      <c r="AJ222" s="641">
        <f t="shared" si="148"/>
        <v>0</v>
      </c>
      <c r="AK222" s="642"/>
      <c r="AL222" s="642" t="s">
        <v>364</v>
      </c>
      <c r="AM222" s="643"/>
      <c r="AN222" s="642"/>
      <c r="AO222" s="644">
        <v>214</v>
      </c>
      <c r="AP222" s="565"/>
      <c r="AQ222" s="566"/>
      <c r="AR222" s="566"/>
      <c r="AS222" s="566"/>
      <c r="AT222" s="566"/>
      <c r="AU222" s="566"/>
      <c r="AV222" s="566"/>
      <c r="AW222" s="566"/>
      <c r="AX222" s="566"/>
      <c r="AY222" s="566"/>
      <c r="AZ222" s="566"/>
      <c r="BA222" s="566"/>
      <c r="BB222" s="566"/>
      <c r="BC222" s="566"/>
      <c r="BD222" s="566"/>
      <c r="BE222" s="566"/>
      <c r="BF222" s="566"/>
      <c r="BG222" s="566"/>
    </row>
    <row r="223" spans="1:59">
      <c r="A223" s="591"/>
      <c r="B223" s="592"/>
      <c r="C223" s="593"/>
      <c r="D223" s="594">
        <v>1</v>
      </c>
      <c r="E223" s="595" t="s">
        <v>366</v>
      </c>
      <c r="F223" s="593" t="s">
        <v>368</v>
      </c>
      <c r="G223" s="596" t="s">
        <v>518</v>
      </c>
      <c r="H223" s="596" t="s">
        <v>519</v>
      </c>
      <c r="I223" s="596"/>
      <c r="J223" s="596"/>
      <c r="K223" s="596"/>
      <c r="L223" s="591" t="s">
        <v>818</v>
      </c>
      <c r="M223" s="597" t="str">
        <f t="shared" si="133"/>
        <v>Onderwijsruimte (theorie)</v>
      </c>
      <c r="N223" s="591" t="s">
        <v>78</v>
      </c>
      <c r="O223" s="598"/>
      <c r="P223" s="599"/>
      <c r="Q223" s="600">
        <f t="shared" si="121"/>
        <v>0</v>
      </c>
      <c r="R223" s="601">
        <f>AF223</f>
        <v>40</v>
      </c>
      <c r="S223" s="647">
        <v>102200</v>
      </c>
      <c r="T223" s="602"/>
      <c r="U223" s="645">
        <v>1</v>
      </c>
      <c r="V223" s="593">
        <f t="shared" si="134"/>
        <v>200</v>
      </c>
      <c r="W223" s="604">
        <f t="shared" si="152"/>
        <v>0</v>
      </c>
      <c r="X223" s="604">
        <f t="shared" si="153"/>
        <v>0</v>
      </c>
      <c r="Y223" s="604">
        <f t="shared" si="154"/>
        <v>0</v>
      </c>
      <c r="Z223" s="605">
        <f>VLOOKUP(S223,Kengetal,6,FALSE)</f>
        <v>0</v>
      </c>
      <c r="AA223" s="751">
        <f>VLOOKUP(S223,Kengetal,7,FALSE)</f>
        <v>0</v>
      </c>
      <c r="AB223" s="605">
        <f>VLOOKUP(T223,Kengetal,6,FALSE)</f>
        <v>0</v>
      </c>
      <c r="AC223" s="607"/>
      <c r="AD223" s="591" t="str">
        <f>AL223</f>
        <v>Friesland College</v>
      </c>
      <c r="AE223" s="608"/>
      <c r="AF223" s="639">
        <v>40</v>
      </c>
      <c r="AG223" s="639">
        <f t="shared" si="135"/>
        <v>40</v>
      </c>
      <c r="AH223" s="639">
        <f t="shared" si="147"/>
        <v>0</v>
      </c>
      <c r="AI223" s="640"/>
      <c r="AJ223" s="641">
        <f t="shared" si="148"/>
        <v>0</v>
      </c>
      <c r="AK223" s="642"/>
      <c r="AL223" s="642" t="s">
        <v>364</v>
      </c>
      <c r="AM223" s="643"/>
      <c r="AN223" s="642"/>
      <c r="AO223" s="644">
        <v>215</v>
      </c>
      <c r="AP223" s="565"/>
      <c r="AQ223" s="566"/>
      <c r="AR223" s="566"/>
      <c r="AS223" s="566"/>
      <c r="AT223" s="566"/>
      <c r="AU223" s="566"/>
      <c r="AV223" s="566"/>
      <c r="AW223" s="566"/>
      <c r="AX223" s="566"/>
      <c r="AY223" s="566"/>
      <c r="AZ223" s="566"/>
      <c r="BA223" s="566"/>
      <c r="BB223" s="566"/>
      <c r="BC223" s="566"/>
      <c r="BD223" s="566"/>
      <c r="BE223" s="566"/>
      <c r="BF223" s="566"/>
      <c r="BG223" s="566"/>
    </row>
    <row r="224" spans="1:59">
      <c r="A224" s="591"/>
      <c r="B224" s="618"/>
      <c r="C224" s="609"/>
      <c r="D224" s="594">
        <v>1</v>
      </c>
      <c r="E224" s="595" t="s">
        <v>366</v>
      </c>
      <c r="F224" s="593" t="s">
        <v>368</v>
      </c>
      <c r="G224" s="610" t="s">
        <v>518</v>
      </c>
      <c r="H224" s="610" t="s">
        <v>519</v>
      </c>
      <c r="I224" s="610"/>
      <c r="J224" s="610"/>
      <c r="K224" s="610"/>
      <c r="L224" s="611" t="s">
        <v>818</v>
      </c>
      <c r="M224" s="612">
        <f t="shared" si="133"/>
        <v>0</v>
      </c>
      <c r="N224" s="613"/>
      <c r="O224" s="614" t="s">
        <v>987</v>
      </c>
      <c r="P224" s="615">
        <v>100</v>
      </c>
      <c r="Q224" s="616">
        <f t="shared" si="121"/>
        <v>40</v>
      </c>
      <c r="R224" s="613"/>
      <c r="S224" s="603"/>
      <c r="T224" s="606"/>
      <c r="U224" s="606"/>
      <c r="V224" s="593">
        <f t="shared" si="134"/>
        <v>0</v>
      </c>
      <c r="W224" s="606"/>
      <c r="X224" s="606"/>
      <c r="Y224" s="606"/>
      <c r="Z224" s="606"/>
      <c r="AA224" s="606"/>
      <c r="AB224" s="606"/>
      <c r="AC224" s="607"/>
      <c r="AD224" s="606"/>
      <c r="AE224" s="608"/>
      <c r="AF224" s="639">
        <v>40</v>
      </c>
      <c r="AG224" s="639">
        <f t="shared" si="135"/>
        <v>40</v>
      </c>
      <c r="AH224" s="639">
        <f t="shared" si="147"/>
        <v>0</v>
      </c>
      <c r="AI224" s="640"/>
      <c r="AJ224" s="641">
        <f t="shared" si="148"/>
        <v>0</v>
      </c>
      <c r="AK224" s="642"/>
      <c r="AL224" s="642" t="s">
        <v>364</v>
      </c>
      <c r="AM224" s="643"/>
      <c r="AN224" s="642"/>
      <c r="AO224" s="644">
        <v>216</v>
      </c>
      <c r="AP224" s="565"/>
      <c r="AQ224" s="566"/>
      <c r="AR224" s="566"/>
      <c r="AS224" s="566"/>
      <c r="AT224" s="566"/>
      <c r="AU224" s="566"/>
      <c r="AV224" s="566"/>
      <c r="AW224" s="566"/>
      <c r="AX224" s="566"/>
      <c r="AY224" s="566"/>
      <c r="AZ224" s="566"/>
      <c r="BA224" s="566"/>
      <c r="BB224" s="566"/>
      <c r="BC224" s="566"/>
      <c r="BD224" s="566"/>
      <c r="BE224" s="566"/>
      <c r="BF224" s="566"/>
      <c r="BG224" s="566"/>
    </row>
    <row r="225" spans="1:59">
      <c r="A225" s="591"/>
      <c r="B225" s="592"/>
      <c r="C225" s="593"/>
      <c r="D225" s="594">
        <v>1</v>
      </c>
      <c r="E225" s="595" t="s">
        <v>366</v>
      </c>
      <c r="F225" s="593" t="s">
        <v>368</v>
      </c>
      <c r="G225" s="596" t="s">
        <v>520</v>
      </c>
      <c r="H225" s="596"/>
      <c r="I225" s="596"/>
      <c r="J225" s="596"/>
      <c r="K225" s="596"/>
      <c r="L225" s="591" t="s">
        <v>810</v>
      </c>
      <c r="M225" s="597" t="str">
        <f t="shared" si="133"/>
        <v>Onderwijsruimte (theorie)</v>
      </c>
      <c r="N225" s="591" t="s">
        <v>78</v>
      </c>
      <c r="O225" s="598"/>
      <c r="P225" s="599"/>
      <c r="Q225" s="600">
        <f t="shared" si="121"/>
        <v>0</v>
      </c>
      <c r="R225" s="601">
        <f>AF225</f>
        <v>52</v>
      </c>
      <c r="S225" s="647">
        <v>102200</v>
      </c>
      <c r="T225" s="602"/>
      <c r="U225" s="645">
        <v>1</v>
      </c>
      <c r="V225" s="593">
        <f t="shared" si="134"/>
        <v>200</v>
      </c>
      <c r="W225" s="604">
        <f t="shared" ref="W225:W226" si="155">Z225*R225*U225</f>
        <v>0</v>
      </c>
      <c r="X225" s="604">
        <f t="shared" ref="X225:X226" si="156">AA225*R225</f>
        <v>0</v>
      </c>
      <c r="Y225" s="604">
        <f t="shared" ref="Y225:Y226" si="157">AB225*R225</f>
        <v>0</v>
      </c>
      <c r="Z225" s="605">
        <f>VLOOKUP(S225,Kengetal,6,FALSE)</f>
        <v>0</v>
      </c>
      <c r="AA225" s="751">
        <f>VLOOKUP(S225,Kengetal,7,FALSE)</f>
        <v>0</v>
      </c>
      <c r="AB225" s="605">
        <f>VLOOKUP(T225,Kengetal,6,FALSE)</f>
        <v>0</v>
      </c>
      <c r="AC225" s="607"/>
      <c r="AD225" s="591" t="str">
        <f>AL225</f>
        <v>Friesland College</v>
      </c>
      <c r="AE225" s="608"/>
      <c r="AF225" s="639">
        <v>52</v>
      </c>
      <c r="AG225" s="639">
        <f t="shared" si="135"/>
        <v>52</v>
      </c>
      <c r="AH225" s="639">
        <f t="shared" si="147"/>
        <v>0</v>
      </c>
      <c r="AI225" s="640"/>
      <c r="AJ225" s="641">
        <f t="shared" si="148"/>
        <v>0</v>
      </c>
      <c r="AK225" s="642"/>
      <c r="AL225" s="642" t="s">
        <v>364</v>
      </c>
      <c r="AM225" s="643"/>
      <c r="AN225" s="642"/>
      <c r="AO225" s="644">
        <v>217</v>
      </c>
      <c r="AP225" s="565"/>
      <c r="AQ225" s="566"/>
      <c r="AR225" s="566"/>
      <c r="AS225" s="566"/>
      <c r="AT225" s="566"/>
      <c r="AU225" s="566"/>
      <c r="AV225" s="566"/>
      <c r="AW225" s="566"/>
      <c r="AX225" s="566"/>
      <c r="AY225" s="566"/>
      <c r="AZ225" s="566"/>
      <c r="BA225" s="566"/>
      <c r="BB225" s="566"/>
      <c r="BC225" s="566"/>
      <c r="BD225" s="566"/>
      <c r="BE225" s="566"/>
      <c r="BF225" s="566"/>
      <c r="BG225" s="566"/>
    </row>
    <row r="226" spans="1:59">
      <c r="A226" s="591"/>
      <c r="B226" s="592"/>
      <c r="C226" s="593"/>
      <c r="D226" s="594">
        <v>1</v>
      </c>
      <c r="E226" s="595" t="s">
        <v>366</v>
      </c>
      <c r="F226" s="593" t="s">
        <v>368</v>
      </c>
      <c r="G226" s="596" t="s">
        <v>520</v>
      </c>
      <c r="H226" s="596" t="s">
        <v>513</v>
      </c>
      <c r="I226" s="596"/>
      <c r="J226" s="596"/>
      <c r="K226" s="596"/>
      <c r="L226" s="591" t="s">
        <v>821</v>
      </c>
      <c r="M226" s="597" t="str">
        <f t="shared" si="133"/>
        <v>Onderwijsruimte (theorie)</v>
      </c>
      <c r="N226" s="591" t="s">
        <v>78</v>
      </c>
      <c r="O226" s="598"/>
      <c r="P226" s="599"/>
      <c r="Q226" s="600">
        <f t="shared" si="121"/>
        <v>0</v>
      </c>
      <c r="R226" s="601">
        <f>AF226</f>
        <v>20</v>
      </c>
      <c r="S226" s="647">
        <v>102200</v>
      </c>
      <c r="T226" s="602"/>
      <c r="U226" s="645">
        <v>1</v>
      </c>
      <c r="V226" s="593">
        <f t="shared" si="134"/>
        <v>200</v>
      </c>
      <c r="W226" s="604">
        <f t="shared" si="155"/>
        <v>0</v>
      </c>
      <c r="X226" s="604">
        <f t="shared" si="156"/>
        <v>0</v>
      </c>
      <c r="Y226" s="604">
        <f t="shared" si="157"/>
        <v>0</v>
      </c>
      <c r="Z226" s="605">
        <f>VLOOKUP(S226,Kengetal,6,FALSE)</f>
        <v>0</v>
      </c>
      <c r="AA226" s="751">
        <f>VLOOKUP(S226,Kengetal,7,FALSE)</f>
        <v>0</v>
      </c>
      <c r="AB226" s="605">
        <f>VLOOKUP(T226,Kengetal,6,FALSE)</f>
        <v>0</v>
      </c>
      <c r="AC226" s="607"/>
      <c r="AD226" s="591" t="str">
        <f>AL226</f>
        <v>Friesland College</v>
      </c>
      <c r="AE226" s="608"/>
      <c r="AF226" s="639">
        <v>20</v>
      </c>
      <c r="AG226" s="639">
        <f t="shared" si="135"/>
        <v>20</v>
      </c>
      <c r="AH226" s="639">
        <f t="shared" si="147"/>
        <v>0</v>
      </c>
      <c r="AI226" s="640"/>
      <c r="AJ226" s="641">
        <f t="shared" si="148"/>
        <v>0</v>
      </c>
      <c r="AK226" s="642"/>
      <c r="AL226" s="642" t="s">
        <v>364</v>
      </c>
      <c r="AM226" s="643"/>
      <c r="AN226" s="642"/>
      <c r="AO226" s="644">
        <v>218</v>
      </c>
      <c r="AP226" s="565"/>
      <c r="AQ226" s="566"/>
      <c r="AR226" s="566"/>
      <c r="AS226" s="566"/>
      <c r="AT226" s="566"/>
      <c r="AU226" s="566"/>
      <c r="AV226" s="566"/>
      <c r="AW226" s="566"/>
      <c r="AX226" s="566"/>
      <c r="AY226" s="566"/>
      <c r="AZ226" s="566"/>
      <c r="BA226" s="566"/>
      <c r="BB226" s="566"/>
      <c r="BC226" s="566"/>
      <c r="BD226" s="566"/>
      <c r="BE226" s="566"/>
      <c r="BF226" s="566"/>
      <c r="BG226" s="566"/>
    </row>
    <row r="227" spans="1:59">
      <c r="A227" s="591"/>
      <c r="B227" s="618"/>
      <c r="C227" s="609"/>
      <c r="D227" s="594">
        <v>1</v>
      </c>
      <c r="E227" s="595" t="s">
        <v>366</v>
      </c>
      <c r="F227" s="593" t="s">
        <v>368</v>
      </c>
      <c r="G227" s="610" t="s">
        <v>520</v>
      </c>
      <c r="H227" s="610" t="s">
        <v>513</v>
      </c>
      <c r="I227" s="610"/>
      <c r="J227" s="610"/>
      <c r="K227" s="610"/>
      <c r="L227" s="611" t="s">
        <v>821</v>
      </c>
      <c r="M227" s="612">
        <f t="shared" si="133"/>
        <v>0</v>
      </c>
      <c r="N227" s="613"/>
      <c r="O227" s="614" t="s">
        <v>1009</v>
      </c>
      <c r="P227" s="615">
        <v>100</v>
      </c>
      <c r="Q227" s="616">
        <f t="shared" si="121"/>
        <v>20</v>
      </c>
      <c r="R227" s="613"/>
      <c r="S227" s="603"/>
      <c r="T227" s="606"/>
      <c r="U227" s="606"/>
      <c r="V227" s="593">
        <f t="shared" si="134"/>
        <v>0</v>
      </c>
      <c r="W227" s="606"/>
      <c r="X227" s="606"/>
      <c r="Y227" s="606"/>
      <c r="Z227" s="606"/>
      <c r="AA227" s="606"/>
      <c r="AB227" s="606"/>
      <c r="AC227" s="607"/>
      <c r="AD227" s="606"/>
      <c r="AE227" s="608"/>
      <c r="AF227" s="639">
        <v>20</v>
      </c>
      <c r="AG227" s="639">
        <f t="shared" si="135"/>
        <v>20</v>
      </c>
      <c r="AH227" s="639">
        <f t="shared" si="147"/>
        <v>0</v>
      </c>
      <c r="AI227" s="640"/>
      <c r="AJ227" s="641">
        <f t="shared" si="148"/>
        <v>0</v>
      </c>
      <c r="AK227" s="642"/>
      <c r="AL227" s="642" t="s">
        <v>364</v>
      </c>
      <c r="AM227" s="643"/>
      <c r="AN227" s="642"/>
      <c r="AO227" s="644">
        <v>219</v>
      </c>
      <c r="AP227" s="565"/>
      <c r="AQ227" s="566"/>
      <c r="AR227" s="566"/>
      <c r="AS227" s="566"/>
      <c r="AT227" s="566"/>
      <c r="AU227" s="566"/>
      <c r="AV227" s="566"/>
      <c r="AW227" s="566"/>
      <c r="AX227" s="566"/>
      <c r="AY227" s="566"/>
      <c r="AZ227" s="566"/>
      <c r="BA227" s="566"/>
      <c r="BB227" s="566"/>
      <c r="BC227" s="566"/>
      <c r="BD227" s="566"/>
      <c r="BE227" s="566"/>
      <c r="BF227" s="566"/>
      <c r="BG227" s="566"/>
    </row>
    <row r="228" spans="1:59">
      <c r="A228" s="591"/>
      <c r="B228" s="592"/>
      <c r="C228" s="593"/>
      <c r="D228" s="594">
        <v>1</v>
      </c>
      <c r="E228" s="595" t="s">
        <v>366</v>
      </c>
      <c r="F228" s="593" t="s">
        <v>368</v>
      </c>
      <c r="G228" s="596" t="s">
        <v>522</v>
      </c>
      <c r="H228" s="596"/>
      <c r="I228" s="596"/>
      <c r="J228" s="596"/>
      <c r="K228" s="596"/>
      <c r="L228" s="591" t="s">
        <v>813</v>
      </c>
      <c r="M228" s="597" t="str">
        <f t="shared" si="133"/>
        <v>Onderwijsruimte (theorie)</v>
      </c>
      <c r="N228" s="591" t="s">
        <v>78</v>
      </c>
      <c r="O228" s="598"/>
      <c r="P228" s="599"/>
      <c r="Q228" s="600">
        <f t="shared" si="121"/>
        <v>0</v>
      </c>
      <c r="R228" s="601">
        <f>AF228</f>
        <v>25</v>
      </c>
      <c r="S228" s="647">
        <v>102200</v>
      </c>
      <c r="T228" s="602"/>
      <c r="U228" s="645">
        <v>1</v>
      </c>
      <c r="V228" s="593">
        <f t="shared" si="134"/>
        <v>200</v>
      </c>
      <c r="W228" s="604">
        <f t="shared" ref="W228:W229" si="158">Z228*R228*U228</f>
        <v>0</v>
      </c>
      <c r="X228" s="604">
        <f t="shared" ref="X228:X229" si="159">AA228*R228</f>
        <v>0</v>
      </c>
      <c r="Y228" s="604">
        <f t="shared" ref="Y228:Y229" si="160">AB228*R228</f>
        <v>0</v>
      </c>
      <c r="Z228" s="605">
        <f>VLOOKUP(S228,Kengetal,6,FALSE)</f>
        <v>0</v>
      </c>
      <c r="AA228" s="751">
        <f>VLOOKUP(S228,Kengetal,7,FALSE)</f>
        <v>0</v>
      </c>
      <c r="AB228" s="605">
        <f>VLOOKUP(T228,Kengetal,6,FALSE)</f>
        <v>0</v>
      </c>
      <c r="AC228" s="607"/>
      <c r="AD228" s="591" t="str">
        <f>AL228</f>
        <v>Friesland College</v>
      </c>
      <c r="AE228" s="608"/>
      <c r="AF228" s="639">
        <v>25</v>
      </c>
      <c r="AG228" s="639">
        <f t="shared" si="135"/>
        <v>25</v>
      </c>
      <c r="AH228" s="639">
        <f t="shared" si="147"/>
        <v>0</v>
      </c>
      <c r="AI228" s="640"/>
      <c r="AJ228" s="641">
        <f t="shared" si="148"/>
        <v>0</v>
      </c>
      <c r="AK228" s="642"/>
      <c r="AL228" s="642" t="s">
        <v>364</v>
      </c>
      <c r="AM228" s="643"/>
      <c r="AN228" s="642"/>
      <c r="AO228" s="644">
        <v>220</v>
      </c>
      <c r="AP228" s="565"/>
      <c r="AQ228" s="566"/>
      <c r="AR228" s="566"/>
      <c r="AS228" s="566"/>
      <c r="AT228" s="566"/>
      <c r="AU228" s="566"/>
      <c r="AV228" s="566"/>
      <c r="AW228" s="566"/>
      <c r="AX228" s="566"/>
      <c r="AY228" s="566"/>
      <c r="AZ228" s="566"/>
      <c r="BA228" s="566"/>
      <c r="BB228" s="566"/>
      <c r="BC228" s="566"/>
      <c r="BD228" s="566"/>
      <c r="BE228" s="566"/>
      <c r="BF228" s="566"/>
      <c r="BG228" s="566"/>
    </row>
    <row r="229" spans="1:59">
      <c r="A229" s="591"/>
      <c r="B229" s="592"/>
      <c r="C229" s="593"/>
      <c r="D229" s="594">
        <v>1</v>
      </c>
      <c r="E229" s="595" t="s">
        <v>366</v>
      </c>
      <c r="F229" s="593" t="s">
        <v>368</v>
      </c>
      <c r="G229" s="596" t="s">
        <v>522</v>
      </c>
      <c r="H229" s="596" t="s">
        <v>523</v>
      </c>
      <c r="I229" s="596"/>
      <c r="J229" s="596"/>
      <c r="K229" s="596"/>
      <c r="L229" s="591" t="s">
        <v>822</v>
      </c>
      <c r="M229" s="597" t="str">
        <f t="shared" si="133"/>
        <v>Onderwijsruimte (theorie)</v>
      </c>
      <c r="N229" s="591" t="s">
        <v>78</v>
      </c>
      <c r="O229" s="598"/>
      <c r="P229" s="599"/>
      <c r="Q229" s="600">
        <f t="shared" si="121"/>
        <v>0</v>
      </c>
      <c r="R229" s="601">
        <f>AF229</f>
        <v>20</v>
      </c>
      <c r="S229" s="647">
        <v>102200</v>
      </c>
      <c r="T229" s="602"/>
      <c r="U229" s="645">
        <v>1</v>
      </c>
      <c r="V229" s="593">
        <f t="shared" si="134"/>
        <v>200</v>
      </c>
      <c r="W229" s="604">
        <f t="shared" si="158"/>
        <v>0</v>
      </c>
      <c r="X229" s="604">
        <f t="shared" si="159"/>
        <v>0</v>
      </c>
      <c r="Y229" s="604">
        <f t="shared" si="160"/>
        <v>0</v>
      </c>
      <c r="Z229" s="605">
        <f>VLOOKUP(S229,Kengetal,6,FALSE)</f>
        <v>0</v>
      </c>
      <c r="AA229" s="751">
        <f>VLOOKUP(S229,Kengetal,7,FALSE)</f>
        <v>0</v>
      </c>
      <c r="AB229" s="605">
        <f>VLOOKUP(T229,Kengetal,6,FALSE)</f>
        <v>0</v>
      </c>
      <c r="AC229" s="607"/>
      <c r="AD229" s="591" t="str">
        <f>AL229</f>
        <v>Friesland College</v>
      </c>
      <c r="AE229" s="608"/>
      <c r="AF229" s="639">
        <v>20</v>
      </c>
      <c r="AG229" s="639">
        <f t="shared" si="135"/>
        <v>20</v>
      </c>
      <c r="AH229" s="639">
        <f t="shared" si="147"/>
        <v>0</v>
      </c>
      <c r="AI229" s="640"/>
      <c r="AJ229" s="641">
        <f t="shared" si="148"/>
        <v>0</v>
      </c>
      <c r="AK229" s="642"/>
      <c r="AL229" s="642" t="s">
        <v>364</v>
      </c>
      <c r="AM229" s="643"/>
      <c r="AN229" s="642"/>
      <c r="AO229" s="644">
        <v>221</v>
      </c>
      <c r="AP229" s="565"/>
      <c r="AQ229" s="566"/>
      <c r="AR229" s="566"/>
      <c r="AS229" s="566"/>
      <c r="AT229" s="566"/>
      <c r="AU229" s="566"/>
      <c r="AV229" s="566"/>
      <c r="AW229" s="566"/>
      <c r="AX229" s="566"/>
      <c r="AY229" s="566"/>
      <c r="AZ229" s="566"/>
      <c r="BA229" s="566"/>
      <c r="BB229" s="566"/>
      <c r="BC229" s="566"/>
      <c r="BD229" s="566"/>
      <c r="BE229" s="566"/>
      <c r="BF229" s="566"/>
      <c r="BG229" s="566"/>
    </row>
    <row r="230" spans="1:59">
      <c r="A230" s="591"/>
      <c r="B230" s="618"/>
      <c r="C230" s="609"/>
      <c r="D230" s="594">
        <v>1</v>
      </c>
      <c r="E230" s="595" t="s">
        <v>366</v>
      </c>
      <c r="F230" s="593" t="s">
        <v>368</v>
      </c>
      <c r="G230" s="610" t="s">
        <v>522</v>
      </c>
      <c r="H230" s="610" t="s">
        <v>523</v>
      </c>
      <c r="I230" s="610"/>
      <c r="J230" s="610"/>
      <c r="K230" s="610"/>
      <c r="L230" s="611" t="s">
        <v>822</v>
      </c>
      <c r="M230" s="612">
        <f t="shared" si="133"/>
        <v>0</v>
      </c>
      <c r="N230" s="613"/>
      <c r="O230" s="614" t="s">
        <v>987</v>
      </c>
      <c r="P230" s="615">
        <v>100</v>
      </c>
      <c r="Q230" s="616">
        <f t="shared" si="121"/>
        <v>20</v>
      </c>
      <c r="R230" s="613"/>
      <c r="S230" s="603"/>
      <c r="T230" s="606"/>
      <c r="U230" s="606"/>
      <c r="V230" s="593">
        <f t="shared" si="134"/>
        <v>0</v>
      </c>
      <c r="W230" s="606"/>
      <c r="X230" s="606"/>
      <c r="Y230" s="606"/>
      <c r="Z230" s="606"/>
      <c r="AA230" s="606"/>
      <c r="AB230" s="606"/>
      <c r="AC230" s="607"/>
      <c r="AD230" s="606"/>
      <c r="AE230" s="608"/>
      <c r="AF230" s="639">
        <v>20</v>
      </c>
      <c r="AG230" s="639">
        <f t="shared" si="135"/>
        <v>20</v>
      </c>
      <c r="AH230" s="639">
        <f t="shared" si="147"/>
        <v>0</v>
      </c>
      <c r="AI230" s="640"/>
      <c r="AJ230" s="641">
        <f t="shared" si="148"/>
        <v>0</v>
      </c>
      <c r="AK230" s="642"/>
      <c r="AL230" s="642" t="s">
        <v>364</v>
      </c>
      <c r="AM230" s="643"/>
      <c r="AN230" s="642"/>
      <c r="AO230" s="644">
        <v>222</v>
      </c>
      <c r="AP230" s="565"/>
      <c r="AQ230" s="566"/>
      <c r="AR230" s="566"/>
      <c r="AS230" s="566"/>
      <c r="AT230" s="566"/>
      <c r="AU230" s="566"/>
      <c r="AV230" s="566"/>
      <c r="AW230" s="566"/>
      <c r="AX230" s="566"/>
      <c r="AY230" s="566"/>
      <c r="AZ230" s="566"/>
      <c r="BA230" s="566"/>
      <c r="BB230" s="566"/>
      <c r="BC230" s="566"/>
      <c r="BD230" s="566"/>
      <c r="BE230" s="566"/>
      <c r="BF230" s="566"/>
      <c r="BG230" s="566"/>
    </row>
    <row r="231" spans="1:59">
      <c r="A231" s="591"/>
      <c r="B231" s="592"/>
      <c r="C231" s="593"/>
      <c r="D231" s="594">
        <v>1</v>
      </c>
      <c r="E231" s="595" t="s">
        <v>366</v>
      </c>
      <c r="F231" s="593" t="s">
        <v>368</v>
      </c>
      <c r="G231" s="596" t="s">
        <v>524</v>
      </c>
      <c r="H231" s="596"/>
      <c r="I231" s="596"/>
      <c r="J231" s="596"/>
      <c r="K231" s="596"/>
      <c r="L231" s="591" t="s">
        <v>823</v>
      </c>
      <c r="M231" s="597" t="str">
        <f t="shared" si="133"/>
        <v>Onderwijsruimte (theorie)</v>
      </c>
      <c r="N231" s="591" t="s">
        <v>78</v>
      </c>
      <c r="O231" s="598"/>
      <c r="P231" s="599"/>
      <c r="Q231" s="600">
        <f t="shared" si="121"/>
        <v>0</v>
      </c>
      <c r="R231" s="601">
        <f>AF231</f>
        <v>68</v>
      </c>
      <c r="S231" s="647">
        <v>102200</v>
      </c>
      <c r="T231" s="602"/>
      <c r="U231" s="645">
        <v>1</v>
      </c>
      <c r="V231" s="593">
        <f t="shared" si="134"/>
        <v>200</v>
      </c>
      <c r="W231" s="604">
        <f t="shared" ref="W231:W232" si="161">Z231*R231*U231</f>
        <v>0</v>
      </c>
      <c r="X231" s="604">
        <f t="shared" ref="X231:X232" si="162">AA231*R231</f>
        <v>0</v>
      </c>
      <c r="Y231" s="604">
        <f t="shared" ref="Y231:Y232" si="163">AB231*R231</f>
        <v>0</v>
      </c>
      <c r="Z231" s="605">
        <f>VLOOKUP(S231,Kengetal,6,FALSE)</f>
        <v>0</v>
      </c>
      <c r="AA231" s="751">
        <f>VLOOKUP(S231,Kengetal,7,FALSE)</f>
        <v>0</v>
      </c>
      <c r="AB231" s="605">
        <f>VLOOKUP(T231,Kengetal,6,FALSE)</f>
        <v>0</v>
      </c>
      <c r="AC231" s="607"/>
      <c r="AD231" s="591" t="str">
        <f>AL231</f>
        <v>Friesland College</v>
      </c>
      <c r="AE231" s="608"/>
      <c r="AF231" s="639">
        <v>68</v>
      </c>
      <c r="AG231" s="639">
        <f t="shared" si="135"/>
        <v>68</v>
      </c>
      <c r="AH231" s="639">
        <f t="shared" si="147"/>
        <v>0</v>
      </c>
      <c r="AI231" s="640"/>
      <c r="AJ231" s="641">
        <f t="shared" si="148"/>
        <v>0</v>
      </c>
      <c r="AK231" s="642"/>
      <c r="AL231" s="642" t="s">
        <v>364</v>
      </c>
      <c r="AM231" s="643"/>
      <c r="AN231" s="642"/>
      <c r="AO231" s="644">
        <v>223</v>
      </c>
      <c r="AP231" s="565"/>
      <c r="AQ231" s="566"/>
      <c r="AR231" s="566"/>
      <c r="AS231" s="566"/>
      <c r="AT231" s="566"/>
      <c r="AU231" s="566"/>
      <c r="AV231" s="566"/>
      <c r="AW231" s="566"/>
      <c r="AX231" s="566"/>
      <c r="AY231" s="566"/>
      <c r="AZ231" s="566"/>
      <c r="BA231" s="566"/>
      <c r="BB231" s="566"/>
      <c r="BC231" s="566"/>
      <c r="BD231" s="566"/>
      <c r="BE231" s="566"/>
      <c r="BF231" s="566"/>
      <c r="BG231" s="566"/>
    </row>
    <row r="232" spans="1:59">
      <c r="A232" s="591"/>
      <c r="B232" s="592"/>
      <c r="C232" s="593"/>
      <c r="D232" s="594">
        <v>1</v>
      </c>
      <c r="E232" s="595" t="s">
        <v>366</v>
      </c>
      <c r="F232" s="593" t="s">
        <v>368</v>
      </c>
      <c r="G232" s="596" t="s">
        <v>524</v>
      </c>
      <c r="H232" s="596" t="s">
        <v>525</v>
      </c>
      <c r="I232" s="596"/>
      <c r="J232" s="596"/>
      <c r="K232" s="596"/>
      <c r="L232" s="591" t="s">
        <v>824</v>
      </c>
      <c r="M232" s="597" t="str">
        <f t="shared" si="133"/>
        <v>Onderwijsruimte (theorie)</v>
      </c>
      <c r="N232" s="591" t="s">
        <v>78</v>
      </c>
      <c r="O232" s="598"/>
      <c r="P232" s="599"/>
      <c r="Q232" s="600">
        <f t="shared" si="121"/>
        <v>0</v>
      </c>
      <c r="R232" s="601">
        <f>AF232</f>
        <v>42</v>
      </c>
      <c r="S232" s="647">
        <v>102200</v>
      </c>
      <c r="T232" s="602"/>
      <c r="U232" s="645">
        <v>1</v>
      </c>
      <c r="V232" s="593">
        <f t="shared" si="134"/>
        <v>200</v>
      </c>
      <c r="W232" s="604">
        <f t="shared" si="161"/>
        <v>0</v>
      </c>
      <c r="X232" s="604">
        <f t="shared" si="162"/>
        <v>0</v>
      </c>
      <c r="Y232" s="604">
        <f t="shared" si="163"/>
        <v>0</v>
      </c>
      <c r="Z232" s="605">
        <f>VLOOKUP(S232,Kengetal,6,FALSE)</f>
        <v>0</v>
      </c>
      <c r="AA232" s="751">
        <f>VLOOKUP(S232,Kengetal,7,FALSE)</f>
        <v>0</v>
      </c>
      <c r="AB232" s="605">
        <f>VLOOKUP(T232,Kengetal,6,FALSE)</f>
        <v>0</v>
      </c>
      <c r="AC232" s="607"/>
      <c r="AD232" s="591" t="str">
        <f>AL232</f>
        <v>Friesland College</v>
      </c>
      <c r="AE232" s="608"/>
      <c r="AF232" s="639">
        <v>42</v>
      </c>
      <c r="AG232" s="639">
        <f t="shared" si="135"/>
        <v>42</v>
      </c>
      <c r="AH232" s="639">
        <f t="shared" si="147"/>
        <v>0</v>
      </c>
      <c r="AI232" s="640"/>
      <c r="AJ232" s="641">
        <f t="shared" si="148"/>
        <v>0</v>
      </c>
      <c r="AK232" s="642"/>
      <c r="AL232" s="642" t="s">
        <v>364</v>
      </c>
      <c r="AM232" s="643"/>
      <c r="AN232" s="642"/>
      <c r="AO232" s="644">
        <v>224</v>
      </c>
      <c r="AP232" s="565"/>
      <c r="AQ232" s="566"/>
      <c r="AR232" s="566"/>
      <c r="AS232" s="566"/>
      <c r="AT232" s="566"/>
      <c r="AU232" s="566"/>
      <c r="AV232" s="566"/>
      <c r="AW232" s="566"/>
      <c r="AX232" s="566"/>
      <c r="AY232" s="566"/>
      <c r="AZ232" s="566"/>
      <c r="BA232" s="566"/>
      <c r="BB232" s="566"/>
      <c r="BC232" s="566"/>
      <c r="BD232" s="566"/>
      <c r="BE232" s="566"/>
      <c r="BF232" s="566"/>
      <c r="BG232" s="566"/>
    </row>
    <row r="233" spans="1:59">
      <c r="A233" s="591"/>
      <c r="B233" s="618"/>
      <c r="C233" s="609"/>
      <c r="D233" s="594">
        <v>1</v>
      </c>
      <c r="E233" s="595" t="s">
        <v>366</v>
      </c>
      <c r="F233" s="593" t="s">
        <v>368</v>
      </c>
      <c r="G233" s="610" t="s">
        <v>524</v>
      </c>
      <c r="H233" s="610" t="s">
        <v>525</v>
      </c>
      <c r="I233" s="610"/>
      <c r="J233" s="610"/>
      <c r="K233" s="610"/>
      <c r="L233" s="611" t="s">
        <v>824</v>
      </c>
      <c r="M233" s="612">
        <f t="shared" ref="M233:M265" si="164">VLOOKUP(S233,Kengetal,4,FALSE)</f>
        <v>0</v>
      </c>
      <c r="N233" s="613"/>
      <c r="O233" s="614" t="s">
        <v>987</v>
      </c>
      <c r="P233" s="615">
        <v>100</v>
      </c>
      <c r="Q233" s="616">
        <f t="shared" si="121"/>
        <v>42</v>
      </c>
      <c r="R233" s="613"/>
      <c r="S233" s="603"/>
      <c r="T233" s="606"/>
      <c r="U233" s="606"/>
      <c r="V233" s="593">
        <f t="shared" si="134"/>
        <v>0</v>
      </c>
      <c r="W233" s="606"/>
      <c r="X233" s="606"/>
      <c r="Y233" s="606"/>
      <c r="Z233" s="606"/>
      <c r="AA233" s="606"/>
      <c r="AB233" s="606"/>
      <c r="AC233" s="607"/>
      <c r="AD233" s="606"/>
      <c r="AE233" s="608"/>
      <c r="AF233" s="639">
        <v>42</v>
      </c>
      <c r="AG233" s="639">
        <f t="shared" si="135"/>
        <v>42</v>
      </c>
      <c r="AH233" s="639">
        <f t="shared" si="147"/>
        <v>0</v>
      </c>
      <c r="AI233" s="640"/>
      <c r="AJ233" s="641">
        <f t="shared" si="148"/>
        <v>0</v>
      </c>
      <c r="AK233" s="642"/>
      <c r="AL233" s="642" t="s">
        <v>364</v>
      </c>
      <c r="AM233" s="643"/>
      <c r="AN233" s="642"/>
      <c r="AO233" s="644">
        <v>225</v>
      </c>
      <c r="AP233" s="565"/>
      <c r="AQ233" s="566"/>
      <c r="AR233" s="566"/>
      <c r="AS233" s="566"/>
      <c r="AT233" s="566"/>
      <c r="AU233" s="566"/>
      <c r="AV233" s="566"/>
      <c r="AW233" s="566"/>
      <c r="AX233" s="566"/>
      <c r="AY233" s="566"/>
      <c r="AZ233" s="566"/>
      <c r="BA233" s="566"/>
      <c r="BB233" s="566"/>
      <c r="BC233" s="566"/>
      <c r="BD233" s="566"/>
      <c r="BE233" s="566"/>
      <c r="BF233" s="566"/>
      <c r="BG233" s="566"/>
    </row>
    <row r="234" spans="1:59">
      <c r="A234" s="591"/>
      <c r="B234" s="592"/>
      <c r="C234" s="593"/>
      <c r="D234" s="594">
        <v>1</v>
      </c>
      <c r="E234" s="595" t="s">
        <v>366</v>
      </c>
      <c r="F234" s="593" t="s">
        <v>368</v>
      </c>
      <c r="G234" s="596" t="s">
        <v>526</v>
      </c>
      <c r="H234" s="596"/>
      <c r="I234" s="596"/>
      <c r="J234" s="596"/>
      <c r="K234" s="596"/>
      <c r="L234" s="591" t="s">
        <v>778</v>
      </c>
      <c r="M234" s="597" t="str">
        <f t="shared" si="164"/>
        <v>Op afroep (in overleg)</v>
      </c>
      <c r="N234" s="591" t="s">
        <v>938</v>
      </c>
      <c r="O234" s="598"/>
      <c r="P234" s="599"/>
      <c r="Q234" s="600">
        <f t="shared" si="121"/>
        <v>0</v>
      </c>
      <c r="R234" s="601">
        <f>AF234</f>
        <v>18</v>
      </c>
      <c r="S234" s="603" t="s">
        <v>959</v>
      </c>
      <c r="T234" s="602"/>
      <c r="U234" s="603"/>
      <c r="V234" s="593">
        <f t="shared" si="134"/>
        <v>0</v>
      </c>
      <c r="W234" s="604">
        <f t="shared" ref="W234:W235" si="165">Z234*R234*U234</f>
        <v>0</v>
      </c>
      <c r="X234" s="604">
        <f t="shared" ref="X234:X235" si="166">AA234*R234</f>
        <v>0</v>
      </c>
      <c r="Y234" s="604">
        <f t="shared" ref="Y234:Y235" si="167">AB234*R234</f>
        <v>0</v>
      </c>
      <c r="Z234" s="605">
        <f>VLOOKUP(S234,Kengetal,6,FALSE)</f>
        <v>0</v>
      </c>
      <c r="AA234" s="751">
        <f>VLOOKUP(S234,Kengetal,7,FALSE)</f>
        <v>0</v>
      </c>
      <c r="AB234" s="605">
        <f>VLOOKUP(T234,Kengetal,6,FALSE)</f>
        <v>0</v>
      </c>
      <c r="AC234" s="607"/>
      <c r="AD234" s="591" t="str">
        <f>AL234</f>
        <v>Friesland College</v>
      </c>
      <c r="AE234" s="608"/>
      <c r="AF234" s="639">
        <v>18</v>
      </c>
      <c r="AG234" s="639">
        <f t="shared" si="135"/>
        <v>18</v>
      </c>
      <c r="AH234" s="639">
        <f t="shared" si="147"/>
        <v>0</v>
      </c>
      <c r="AI234" s="640"/>
      <c r="AJ234" s="641">
        <f t="shared" si="148"/>
        <v>0</v>
      </c>
      <c r="AK234" s="642"/>
      <c r="AL234" s="642" t="s">
        <v>364</v>
      </c>
      <c r="AM234" s="643"/>
      <c r="AN234" s="642"/>
      <c r="AO234" s="644">
        <v>226</v>
      </c>
      <c r="AP234" s="565"/>
      <c r="AQ234" s="566"/>
      <c r="AR234" s="566"/>
      <c r="AS234" s="566"/>
      <c r="AT234" s="566"/>
      <c r="AU234" s="566"/>
      <c r="AV234" s="566"/>
      <c r="AW234" s="566"/>
      <c r="AX234" s="566"/>
      <c r="AY234" s="566"/>
      <c r="AZ234" s="566"/>
      <c r="BA234" s="566"/>
      <c r="BB234" s="566"/>
      <c r="BC234" s="566"/>
      <c r="BD234" s="566"/>
      <c r="BE234" s="566"/>
      <c r="BF234" s="566"/>
      <c r="BG234" s="566"/>
    </row>
    <row r="235" spans="1:59">
      <c r="A235" s="591"/>
      <c r="B235" s="592"/>
      <c r="C235" s="593"/>
      <c r="D235" s="594">
        <v>1</v>
      </c>
      <c r="E235" s="595" t="s">
        <v>366</v>
      </c>
      <c r="F235" s="593" t="s">
        <v>368</v>
      </c>
      <c r="G235" s="596" t="s">
        <v>526</v>
      </c>
      <c r="H235" s="596" t="s">
        <v>527</v>
      </c>
      <c r="I235" s="596"/>
      <c r="J235" s="596"/>
      <c r="K235" s="596"/>
      <c r="L235" s="591" t="s">
        <v>825</v>
      </c>
      <c r="M235" s="597" t="str">
        <f t="shared" si="164"/>
        <v>Administratieve -, personeels- en vergaderruimte</v>
      </c>
      <c r="N235" s="591" t="s">
        <v>78</v>
      </c>
      <c r="O235" s="598"/>
      <c r="P235" s="599"/>
      <c r="Q235" s="600">
        <f t="shared" si="121"/>
        <v>0</v>
      </c>
      <c r="R235" s="601">
        <f>AF235</f>
        <v>9</v>
      </c>
      <c r="S235" s="647">
        <v>101100</v>
      </c>
      <c r="T235" s="602"/>
      <c r="U235" s="645">
        <v>1</v>
      </c>
      <c r="V235" s="593">
        <f t="shared" si="134"/>
        <v>100</v>
      </c>
      <c r="W235" s="604">
        <f t="shared" si="165"/>
        <v>0</v>
      </c>
      <c r="X235" s="604">
        <f t="shared" si="166"/>
        <v>0</v>
      </c>
      <c r="Y235" s="604">
        <f t="shared" si="167"/>
        <v>0</v>
      </c>
      <c r="Z235" s="605">
        <f>VLOOKUP(S235,Kengetal,6,FALSE)</f>
        <v>0</v>
      </c>
      <c r="AA235" s="751">
        <f>VLOOKUP(S235,Kengetal,7,FALSE)</f>
        <v>0</v>
      </c>
      <c r="AB235" s="605">
        <f>VLOOKUP(T235,Kengetal,6,FALSE)</f>
        <v>0</v>
      </c>
      <c r="AC235" s="607"/>
      <c r="AD235" s="591" t="str">
        <f>AL235</f>
        <v>Friesland College</v>
      </c>
      <c r="AE235" s="608"/>
      <c r="AF235" s="639">
        <v>9</v>
      </c>
      <c r="AG235" s="639">
        <f t="shared" si="135"/>
        <v>9</v>
      </c>
      <c r="AH235" s="639">
        <f t="shared" si="147"/>
        <v>0</v>
      </c>
      <c r="AI235" s="640"/>
      <c r="AJ235" s="641">
        <f t="shared" si="148"/>
        <v>0</v>
      </c>
      <c r="AK235" s="642"/>
      <c r="AL235" s="642" t="s">
        <v>364</v>
      </c>
      <c r="AM235" s="643"/>
      <c r="AN235" s="642"/>
      <c r="AO235" s="644">
        <v>227</v>
      </c>
      <c r="AP235" s="565"/>
      <c r="AQ235" s="566"/>
      <c r="AR235" s="566"/>
      <c r="AS235" s="566"/>
      <c r="AT235" s="566"/>
      <c r="AU235" s="566"/>
      <c r="AV235" s="566"/>
      <c r="AW235" s="566"/>
      <c r="AX235" s="566"/>
      <c r="AY235" s="566"/>
      <c r="AZ235" s="566"/>
      <c r="BA235" s="566"/>
      <c r="BB235" s="566"/>
      <c r="BC235" s="566"/>
      <c r="BD235" s="566"/>
      <c r="BE235" s="566"/>
      <c r="BF235" s="566"/>
      <c r="BG235" s="566"/>
    </row>
    <row r="236" spans="1:59">
      <c r="A236" s="591"/>
      <c r="B236" s="618"/>
      <c r="C236" s="609"/>
      <c r="D236" s="594">
        <v>1</v>
      </c>
      <c r="E236" s="595" t="s">
        <v>366</v>
      </c>
      <c r="F236" s="593" t="s">
        <v>368</v>
      </c>
      <c r="G236" s="610" t="s">
        <v>526</v>
      </c>
      <c r="H236" s="610" t="s">
        <v>527</v>
      </c>
      <c r="I236" s="610"/>
      <c r="J236" s="610"/>
      <c r="K236" s="610"/>
      <c r="L236" s="611" t="s">
        <v>825</v>
      </c>
      <c r="M236" s="612">
        <f t="shared" si="164"/>
        <v>0</v>
      </c>
      <c r="N236" s="613"/>
      <c r="O236" s="614" t="s">
        <v>987</v>
      </c>
      <c r="P236" s="615">
        <v>100</v>
      </c>
      <c r="Q236" s="616">
        <f t="shared" si="121"/>
        <v>9</v>
      </c>
      <c r="R236" s="613"/>
      <c r="S236" s="603"/>
      <c r="T236" s="606"/>
      <c r="U236" s="606"/>
      <c r="V236" s="593">
        <f t="shared" si="134"/>
        <v>0</v>
      </c>
      <c r="W236" s="606"/>
      <c r="X236" s="606"/>
      <c r="Y236" s="606"/>
      <c r="Z236" s="606"/>
      <c r="AA236" s="606"/>
      <c r="AB236" s="606"/>
      <c r="AC236" s="607"/>
      <c r="AD236" s="606"/>
      <c r="AE236" s="608"/>
      <c r="AF236" s="639">
        <v>9</v>
      </c>
      <c r="AG236" s="639">
        <f t="shared" si="135"/>
        <v>9</v>
      </c>
      <c r="AH236" s="639">
        <f t="shared" si="147"/>
        <v>0</v>
      </c>
      <c r="AI236" s="640"/>
      <c r="AJ236" s="641">
        <f t="shared" si="148"/>
        <v>0</v>
      </c>
      <c r="AK236" s="642"/>
      <c r="AL236" s="642" t="s">
        <v>364</v>
      </c>
      <c r="AM236" s="643"/>
      <c r="AN236" s="642"/>
      <c r="AO236" s="644">
        <v>228</v>
      </c>
      <c r="AP236" s="565"/>
      <c r="AQ236" s="566"/>
      <c r="AR236" s="566"/>
      <c r="AS236" s="566"/>
      <c r="AT236" s="566"/>
      <c r="AU236" s="566"/>
      <c r="AV236" s="566"/>
      <c r="AW236" s="566"/>
      <c r="AX236" s="566"/>
      <c r="AY236" s="566"/>
      <c r="AZ236" s="566"/>
      <c r="BA236" s="566"/>
      <c r="BB236" s="566"/>
      <c r="BC236" s="566"/>
      <c r="BD236" s="566"/>
      <c r="BE236" s="566"/>
      <c r="BF236" s="566"/>
      <c r="BG236" s="566"/>
    </row>
    <row r="237" spans="1:59">
      <c r="A237" s="591"/>
      <c r="B237" s="592"/>
      <c r="C237" s="593"/>
      <c r="D237" s="594">
        <v>1</v>
      </c>
      <c r="E237" s="595" t="s">
        <v>366</v>
      </c>
      <c r="F237" s="593" t="s">
        <v>368</v>
      </c>
      <c r="G237" s="596" t="s">
        <v>528</v>
      </c>
      <c r="H237" s="596" t="s">
        <v>529</v>
      </c>
      <c r="I237" s="596"/>
      <c r="J237" s="596"/>
      <c r="K237" s="596"/>
      <c r="L237" s="591" t="s">
        <v>826</v>
      </c>
      <c r="M237" s="597" t="str">
        <f t="shared" si="164"/>
        <v>Administratieve -, personeels- en vergaderruimte</v>
      </c>
      <c r="N237" s="591" t="s">
        <v>78</v>
      </c>
      <c r="O237" s="598"/>
      <c r="P237" s="599"/>
      <c r="Q237" s="600">
        <f t="shared" si="121"/>
        <v>0</v>
      </c>
      <c r="R237" s="601">
        <f>AF237</f>
        <v>9</v>
      </c>
      <c r="S237" s="647">
        <v>101100</v>
      </c>
      <c r="T237" s="602"/>
      <c r="U237" s="645">
        <v>1</v>
      </c>
      <c r="V237" s="593">
        <f t="shared" si="134"/>
        <v>100</v>
      </c>
      <c r="W237" s="604">
        <f>Z237*R237*U237</f>
        <v>0</v>
      </c>
      <c r="X237" s="604">
        <f>AA237*R237</f>
        <v>0</v>
      </c>
      <c r="Y237" s="604">
        <f>AB237*R237</f>
        <v>0</v>
      </c>
      <c r="Z237" s="605">
        <f>VLOOKUP(S237,Kengetal,6,FALSE)</f>
        <v>0</v>
      </c>
      <c r="AA237" s="751">
        <f>VLOOKUP(S237,Kengetal,7,FALSE)</f>
        <v>0</v>
      </c>
      <c r="AB237" s="605">
        <f>VLOOKUP(T237,Kengetal,6,FALSE)</f>
        <v>0</v>
      </c>
      <c r="AC237" s="607"/>
      <c r="AD237" s="591" t="str">
        <f>AL237</f>
        <v>Friesland College</v>
      </c>
      <c r="AE237" s="608"/>
      <c r="AF237" s="639">
        <v>9</v>
      </c>
      <c r="AG237" s="639">
        <f t="shared" si="135"/>
        <v>9</v>
      </c>
      <c r="AH237" s="639">
        <f t="shared" si="147"/>
        <v>0</v>
      </c>
      <c r="AI237" s="640"/>
      <c r="AJ237" s="641">
        <f t="shared" si="148"/>
        <v>0</v>
      </c>
      <c r="AK237" s="642"/>
      <c r="AL237" s="642" t="s">
        <v>364</v>
      </c>
      <c r="AM237" s="643"/>
      <c r="AN237" s="642"/>
      <c r="AO237" s="644">
        <v>229</v>
      </c>
      <c r="AP237" s="565"/>
      <c r="AQ237" s="566"/>
      <c r="AR237" s="566"/>
      <c r="AS237" s="566"/>
      <c r="AT237" s="566"/>
      <c r="AU237" s="566"/>
      <c r="AV237" s="566"/>
      <c r="AW237" s="566"/>
      <c r="AX237" s="566"/>
      <c r="AY237" s="566"/>
      <c r="AZ237" s="566"/>
      <c r="BA237" s="566"/>
      <c r="BB237" s="566"/>
      <c r="BC237" s="566"/>
      <c r="BD237" s="566"/>
      <c r="BE237" s="566"/>
      <c r="BF237" s="566"/>
      <c r="BG237" s="566"/>
    </row>
    <row r="238" spans="1:59">
      <c r="A238" s="591"/>
      <c r="B238" s="618"/>
      <c r="C238" s="609"/>
      <c r="D238" s="594">
        <v>1</v>
      </c>
      <c r="E238" s="595" t="s">
        <v>366</v>
      </c>
      <c r="F238" s="593" t="s">
        <v>368</v>
      </c>
      <c r="G238" s="610" t="s">
        <v>528</v>
      </c>
      <c r="H238" s="610" t="s">
        <v>529</v>
      </c>
      <c r="I238" s="610"/>
      <c r="J238" s="610"/>
      <c r="K238" s="610"/>
      <c r="L238" s="611" t="s">
        <v>826</v>
      </c>
      <c r="M238" s="612">
        <f t="shared" si="164"/>
        <v>0</v>
      </c>
      <c r="N238" s="613"/>
      <c r="O238" s="614" t="s">
        <v>1010</v>
      </c>
      <c r="P238" s="615">
        <v>100</v>
      </c>
      <c r="Q238" s="616">
        <f t="shared" si="121"/>
        <v>9</v>
      </c>
      <c r="R238" s="613"/>
      <c r="S238" s="603"/>
      <c r="T238" s="606"/>
      <c r="U238" s="606"/>
      <c r="V238" s="593">
        <f t="shared" si="134"/>
        <v>0</v>
      </c>
      <c r="W238" s="606"/>
      <c r="X238" s="606"/>
      <c r="Y238" s="606"/>
      <c r="Z238" s="606"/>
      <c r="AA238" s="606"/>
      <c r="AB238" s="606"/>
      <c r="AC238" s="607"/>
      <c r="AD238" s="606"/>
      <c r="AE238" s="608"/>
      <c r="AF238" s="639">
        <v>9</v>
      </c>
      <c r="AG238" s="639">
        <f t="shared" si="135"/>
        <v>9</v>
      </c>
      <c r="AH238" s="639">
        <f t="shared" si="147"/>
        <v>0</v>
      </c>
      <c r="AI238" s="640"/>
      <c r="AJ238" s="641">
        <f t="shared" si="148"/>
        <v>0</v>
      </c>
      <c r="AK238" s="642"/>
      <c r="AL238" s="642" t="s">
        <v>364</v>
      </c>
      <c r="AM238" s="643"/>
      <c r="AN238" s="642"/>
      <c r="AO238" s="644">
        <v>230</v>
      </c>
      <c r="AP238" s="565"/>
      <c r="AQ238" s="566"/>
      <c r="AR238" s="566"/>
      <c r="AS238" s="566"/>
      <c r="AT238" s="566"/>
      <c r="AU238" s="566"/>
      <c r="AV238" s="566"/>
      <c r="AW238" s="566"/>
      <c r="AX238" s="566"/>
      <c r="AY238" s="566"/>
      <c r="AZ238" s="566"/>
      <c r="BA238" s="566"/>
      <c r="BB238" s="566"/>
      <c r="BC238" s="566"/>
      <c r="BD238" s="566"/>
      <c r="BE238" s="566"/>
      <c r="BF238" s="566"/>
      <c r="BG238" s="566"/>
    </row>
    <row r="239" spans="1:59">
      <c r="A239" s="591"/>
      <c r="B239" s="592"/>
      <c r="C239" s="593"/>
      <c r="D239" s="594">
        <v>1</v>
      </c>
      <c r="E239" s="595" t="s">
        <v>366</v>
      </c>
      <c r="F239" s="593" t="s">
        <v>368</v>
      </c>
      <c r="G239" s="596" t="s">
        <v>530</v>
      </c>
      <c r="H239" s="596"/>
      <c r="I239" s="596"/>
      <c r="J239" s="596"/>
      <c r="K239" s="596"/>
      <c r="L239" s="591" t="s">
        <v>777</v>
      </c>
      <c r="M239" s="597" t="str">
        <f t="shared" si="164"/>
        <v>Trappenhuis-bordes</v>
      </c>
      <c r="N239" s="591" t="s">
        <v>78</v>
      </c>
      <c r="O239" s="598"/>
      <c r="P239" s="599"/>
      <c r="Q239" s="600">
        <f t="shared" si="121"/>
        <v>0</v>
      </c>
      <c r="R239" s="601">
        <f>AF239</f>
        <v>18</v>
      </c>
      <c r="S239" s="647">
        <v>108200</v>
      </c>
      <c r="T239" s="602"/>
      <c r="U239" s="645">
        <v>1</v>
      </c>
      <c r="V239" s="593">
        <f t="shared" si="134"/>
        <v>200</v>
      </c>
      <c r="W239" s="604">
        <f t="shared" ref="W239:W243" si="168">Z239*R239*U239</f>
        <v>0</v>
      </c>
      <c r="X239" s="604">
        <f t="shared" ref="X239:X243" si="169">AA239*R239</f>
        <v>0</v>
      </c>
      <c r="Y239" s="604">
        <f t="shared" ref="Y239:Y243" si="170">AB239*R239</f>
        <v>0</v>
      </c>
      <c r="Z239" s="605">
        <f>VLOOKUP(S239,Kengetal,6,FALSE)</f>
        <v>0</v>
      </c>
      <c r="AA239" s="751">
        <f>VLOOKUP(S239,Kengetal,7,FALSE)</f>
        <v>0</v>
      </c>
      <c r="AB239" s="605">
        <f>VLOOKUP(T239,Kengetal,6,FALSE)</f>
        <v>0</v>
      </c>
      <c r="AC239" s="607"/>
      <c r="AD239" s="591" t="str">
        <f>AL239</f>
        <v>Friesland College</v>
      </c>
      <c r="AE239" s="608"/>
      <c r="AF239" s="639">
        <v>18</v>
      </c>
      <c r="AG239" s="639">
        <f t="shared" si="135"/>
        <v>18</v>
      </c>
      <c r="AH239" s="639">
        <f t="shared" si="147"/>
        <v>0</v>
      </c>
      <c r="AI239" s="640"/>
      <c r="AJ239" s="641">
        <f t="shared" si="148"/>
        <v>0</v>
      </c>
      <c r="AK239" s="642"/>
      <c r="AL239" s="642" t="s">
        <v>364</v>
      </c>
      <c r="AM239" s="643"/>
      <c r="AN239" s="642"/>
      <c r="AO239" s="644">
        <v>231</v>
      </c>
      <c r="AP239" s="565"/>
      <c r="AQ239" s="566"/>
      <c r="AR239" s="566"/>
      <c r="AS239" s="566"/>
      <c r="AT239" s="566"/>
      <c r="AU239" s="566"/>
      <c r="AV239" s="566"/>
      <c r="AW239" s="566"/>
      <c r="AX239" s="566"/>
      <c r="AY239" s="566"/>
      <c r="AZ239" s="566"/>
      <c r="BA239" s="566"/>
      <c r="BB239" s="566"/>
      <c r="BC239" s="566"/>
      <c r="BD239" s="566"/>
      <c r="BE239" s="566"/>
      <c r="BF239" s="566"/>
      <c r="BG239" s="566"/>
    </row>
    <row r="240" spans="1:59">
      <c r="A240" s="591"/>
      <c r="B240" s="592"/>
      <c r="C240" s="593"/>
      <c r="D240" s="594">
        <v>1</v>
      </c>
      <c r="E240" s="595" t="s">
        <v>366</v>
      </c>
      <c r="F240" s="593" t="s">
        <v>368</v>
      </c>
      <c r="G240" s="596" t="s">
        <v>531</v>
      </c>
      <c r="H240" s="596"/>
      <c r="I240" s="596"/>
      <c r="J240" s="596"/>
      <c r="K240" s="596"/>
      <c r="L240" s="591" t="s">
        <v>341</v>
      </c>
      <c r="M240" s="597" t="str">
        <f t="shared" si="164"/>
        <v>Trappenhuis-bordes</v>
      </c>
      <c r="N240" s="591" t="s">
        <v>943</v>
      </c>
      <c r="O240" s="598"/>
      <c r="P240" s="599"/>
      <c r="Q240" s="600">
        <f t="shared" si="121"/>
        <v>0</v>
      </c>
      <c r="R240" s="601">
        <f>AF240</f>
        <v>10</v>
      </c>
      <c r="S240" s="647">
        <v>108200</v>
      </c>
      <c r="T240" s="602"/>
      <c r="U240" s="645">
        <v>1</v>
      </c>
      <c r="V240" s="593">
        <f t="shared" si="134"/>
        <v>200</v>
      </c>
      <c r="W240" s="604">
        <f t="shared" si="168"/>
        <v>0</v>
      </c>
      <c r="X240" s="604">
        <f t="shared" si="169"/>
        <v>0</v>
      </c>
      <c r="Y240" s="604">
        <f t="shared" si="170"/>
        <v>0</v>
      </c>
      <c r="Z240" s="605">
        <f>VLOOKUP(S240,Kengetal,6,FALSE)</f>
        <v>0</v>
      </c>
      <c r="AA240" s="751">
        <f>VLOOKUP(S240,Kengetal,7,FALSE)</f>
        <v>0</v>
      </c>
      <c r="AB240" s="605">
        <f>VLOOKUP(T240,Kengetal,6,FALSE)</f>
        <v>0</v>
      </c>
      <c r="AC240" s="607"/>
      <c r="AD240" s="591" t="str">
        <f>AL240</f>
        <v>Friesland College</v>
      </c>
      <c r="AE240" s="608"/>
      <c r="AF240" s="639">
        <v>10</v>
      </c>
      <c r="AG240" s="639">
        <f t="shared" si="135"/>
        <v>10</v>
      </c>
      <c r="AH240" s="639">
        <f t="shared" si="147"/>
        <v>0</v>
      </c>
      <c r="AI240" s="640"/>
      <c r="AJ240" s="641">
        <f t="shared" si="148"/>
        <v>0</v>
      </c>
      <c r="AK240" s="642"/>
      <c r="AL240" s="642" t="s">
        <v>364</v>
      </c>
      <c r="AM240" s="643"/>
      <c r="AN240" s="642"/>
      <c r="AO240" s="644">
        <v>232</v>
      </c>
      <c r="AP240" s="565"/>
      <c r="AQ240" s="566"/>
      <c r="AR240" s="566"/>
      <c r="AS240" s="566"/>
      <c r="AT240" s="566"/>
      <c r="AU240" s="566"/>
      <c r="AV240" s="566"/>
      <c r="AW240" s="566"/>
      <c r="AX240" s="566"/>
      <c r="AY240" s="566"/>
      <c r="AZ240" s="566"/>
      <c r="BA240" s="566"/>
      <c r="BB240" s="566"/>
      <c r="BC240" s="566"/>
      <c r="BD240" s="566"/>
      <c r="BE240" s="566"/>
      <c r="BF240" s="566"/>
      <c r="BG240" s="566"/>
    </row>
    <row r="241" spans="1:59">
      <c r="A241" s="591"/>
      <c r="B241" s="592"/>
      <c r="C241" s="593"/>
      <c r="D241" s="594">
        <v>1</v>
      </c>
      <c r="E241" s="595" t="s">
        <v>366</v>
      </c>
      <c r="F241" s="593" t="s">
        <v>368</v>
      </c>
      <c r="G241" s="596" t="s">
        <v>531</v>
      </c>
      <c r="H241" s="596"/>
      <c r="I241" s="596"/>
      <c r="J241" s="596"/>
      <c r="K241" s="596"/>
      <c r="L241" s="591" t="s">
        <v>827</v>
      </c>
      <c r="M241" s="597" t="str">
        <f t="shared" si="164"/>
        <v>Onderwijsruimte (praktijk)</v>
      </c>
      <c r="N241" s="591" t="s">
        <v>78</v>
      </c>
      <c r="O241" s="598"/>
      <c r="P241" s="599"/>
      <c r="Q241" s="600">
        <f t="shared" si="121"/>
        <v>0</v>
      </c>
      <c r="R241" s="601">
        <f>AF241</f>
        <v>22</v>
      </c>
      <c r="S241" s="647">
        <v>112200</v>
      </c>
      <c r="T241" s="602"/>
      <c r="U241" s="645">
        <v>1</v>
      </c>
      <c r="V241" s="593">
        <f t="shared" si="134"/>
        <v>200</v>
      </c>
      <c r="W241" s="604">
        <f t="shared" si="168"/>
        <v>0</v>
      </c>
      <c r="X241" s="604">
        <f t="shared" si="169"/>
        <v>0</v>
      </c>
      <c r="Y241" s="604">
        <f t="shared" si="170"/>
        <v>0</v>
      </c>
      <c r="Z241" s="605">
        <f>VLOOKUP(S241,Kengetal,6,FALSE)</f>
        <v>0</v>
      </c>
      <c r="AA241" s="751">
        <f>VLOOKUP(S241,Kengetal,7,FALSE)</f>
        <v>0</v>
      </c>
      <c r="AB241" s="605">
        <f>VLOOKUP(T241,Kengetal,6,FALSE)</f>
        <v>0</v>
      </c>
      <c r="AC241" s="607"/>
      <c r="AD241" s="591" t="str">
        <f>AL241</f>
        <v>Friesland College</v>
      </c>
      <c r="AE241" s="608"/>
      <c r="AF241" s="639">
        <v>22</v>
      </c>
      <c r="AG241" s="639">
        <f t="shared" si="135"/>
        <v>22</v>
      </c>
      <c r="AH241" s="639">
        <f t="shared" si="147"/>
        <v>0</v>
      </c>
      <c r="AI241" s="640"/>
      <c r="AJ241" s="641">
        <f t="shared" si="148"/>
        <v>0</v>
      </c>
      <c r="AK241" s="642"/>
      <c r="AL241" s="642" t="s">
        <v>364</v>
      </c>
      <c r="AM241" s="643"/>
      <c r="AN241" s="642"/>
      <c r="AO241" s="644">
        <v>233</v>
      </c>
      <c r="AP241" s="565"/>
      <c r="AQ241" s="566"/>
      <c r="AR241" s="566"/>
      <c r="AS241" s="566"/>
      <c r="AT241" s="566"/>
      <c r="AU241" s="566"/>
      <c r="AV241" s="566"/>
      <c r="AW241" s="566"/>
      <c r="AX241" s="566"/>
      <c r="AY241" s="566"/>
      <c r="AZ241" s="566"/>
      <c r="BA241" s="566"/>
      <c r="BB241" s="566"/>
      <c r="BC241" s="566"/>
      <c r="BD241" s="566"/>
      <c r="BE241" s="566"/>
      <c r="BF241" s="566"/>
      <c r="BG241" s="566"/>
    </row>
    <row r="242" spans="1:59">
      <c r="A242" s="591"/>
      <c r="B242" s="592"/>
      <c r="C242" s="593"/>
      <c r="D242" s="594">
        <v>1</v>
      </c>
      <c r="E242" s="595" t="s">
        <v>366</v>
      </c>
      <c r="F242" s="593" t="s">
        <v>368</v>
      </c>
      <c r="G242" s="596" t="s">
        <v>532</v>
      </c>
      <c r="H242" s="596"/>
      <c r="I242" s="596"/>
      <c r="J242" s="596"/>
      <c r="K242" s="596"/>
      <c r="L242" s="591" t="s">
        <v>763</v>
      </c>
      <c r="M242" s="597" t="str">
        <f t="shared" si="164"/>
        <v>Trappenhuis-bordes</v>
      </c>
      <c r="N242" s="591" t="s">
        <v>938</v>
      </c>
      <c r="O242" s="598"/>
      <c r="P242" s="599"/>
      <c r="Q242" s="600">
        <f t="shared" si="121"/>
        <v>0</v>
      </c>
      <c r="R242" s="601">
        <f>AF242</f>
        <v>16</v>
      </c>
      <c r="S242" s="647">
        <v>108200</v>
      </c>
      <c r="T242" s="602"/>
      <c r="U242" s="645">
        <v>1</v>
      </c>
      <c r="V242" s="593">
        <f t="shared" si="134"/>
        <v>200</v>
      </c>
      <c r="W242" s="604">
        <f t="shared" si="168"/>
        <v>0</v>
      </c>
      <c r="X242" s="604">
        <f t="shared" si="169"/>
        <v>0</v>
      </c>
      <c r="Y242" s="604">
        <f t="shared" si="170"/>
        <v>0</v>
      </c>
      <c r="Z242" s="605">
        <f>VLOOKUP(S242,Kengetal,6,FALSE)</f>
        <v>0</v>
      </c>
      <c r="AA242" s="751">
        <f>VLOOKUP(S242,Kengetal,7,FALSE)</f>
        <v>0</v>
      </c>
      <c r="AB242" s="605">
        <f>VLOOKUP(T242,Kengetal,6,FALSE)</f>
        <v>0</v>
      </c>
      <c r="AC242" s="607"/>
      <c r="AD242" s="591" t="str">
        <f>AL242</f>
        <v>Friesland College</v>
      </c>
      <c r="AE242" s="608"/>
      <c r="AF242" s="639">
        <v>16</v>
      </c>
      <c r="AG242" s="639">
        <f t="shared" si="135"/>
        <v>16</v>
      </c>
      <c r="AH242" s="639">
        <f t="shared" si="147"/>
        <v>0</v>
      </c>
      <c r="AI242" s="640"/>
      <c r="AJ242" s="641">
        <f t="shared" si="148"/>
        <v>0</v>
      </c>
      <c r="AK242" s="642"/>
      <c r="AL242" s="642" t="s">
        <v>364</v>
      </c>
      <c r="AM242" s="643"/>
      <c r="AN242" s="642"/>
      <c r="AO242" s="644">
        <v>234</v>
      </c>
      <c r="AP242" s="565"/>
      <c r="AQ242" s="566"/>
      <c r="AR242" s="566"/>
      <c r="AS242" s="566"/>
      <c r="AT242" s="566"/>
      <c r="AU242" s="566"/>
      <c r="AV242" s="566"/>
      <c r="AW242" s="566"/>
      <c r="AX242" s="566"/>
      <c r="AY242" s="566"/>
      <c r="AZ242" s="566"/>
      <c r="BA242" s="566"/>
      <c r="BB242" s="566"/>
      <c r="BC242" s="566"/>
      <c r="BD242" s="566"/>
      <c r="BE242" s="566"/>
      <c r="BF242" s="566"/>
      <c r="BG242" s="566"/>
    </row>
    <row r="243" spans="1:59">
      <c r="A243" s="591"/>
      <c r="B243" s="592"/>
      <c r="C243" s="593"/>
      <c r="D243" s="594">
        <v>1</v>
      </c>
      <c r="E243" s="595" t="s">
        <v>366</v>
      </c>
      <c r="F243" s="593" t="s">
        <v>368</v>
      </c>
      <c r="G243" s="596" t="s">
        <v>533</v>
      </c>
      <c r="H243" s="596" t="s">
        <v>534</v>
      </c>
      <c r="I243" s="596"/>
      <c r="J243" s="596"/>
      <c r="K243" s="596"/>
      <c r="L243" s="620" t="s">
        <v>828</v>
      </c>
      <c r="M243" s="597" t="str">
        <f t="shared" si="164"/>
        <v>Onderwijsruimte (praktijk)</v>
      </c>
      <c r="N243" s="591" t="s">
        <v>938</v>
      </c>
      <c r="O243" s="598"/>
      <c r="P243" s="599"/>
      <c r="Q243" s="600">
        <f t="shared" si="121"/>
        <v>0</v>
      </c>
      <c r="R243" s="601">
        <f>AF243</f>
        <v>60</v>
      </c>
      <c r="S243" s="647">
        <v>112200</v>
      </c>
      <c r="T243" s="602"/>
      <c r="U243" s="645">
        <v>1</v>
      </c>
      <c r="V243" s="593">
        <f t="shared" si="134"/>
        <v>200</v>
      </c>
      <c r="W243" s="604">
        <f t="shared" si="168"/>
        <v>0</v>
      </c>
      <c r="X243" s="604">
        <f t="shared" si="169"/>
        <v>0</v>
      </c>
      <c r="Y243" s="604">
        <f t="shared" si="170"/>
        <v>0</v>
      </c>
      <c r="Z243" s="605">
        <f>VLOOKUP(S243,Kengetal,6,FALSE)</f>
        <v>0</v>
      </c>
      <c r="AA243" s="751">
        <f>VLOOKUP(S243,Kengetal,7,FALSE)</f>
        <v>0</v>
      </c>
      <c r="AB243" s="605">
        <f>VLOOKUP(T243,Kengetal,6,FALSE)</f>
        <v>0</v>
      </c>
      <c r="AC243" s="607"/>
      <c r="AD243" s="591" t="str">
        <f>AL243</f>
        <v>Friesland College</v>
      </c>
      <c r="AE243" s="608"/>
      <c r="AF243" s="639">
        <v>60</v>
      </c>
      <c r="AG243" s="639">
        <f t="shared" si="135"/>
        <v>60</v>
      </c>
      <c r="AH243" s="639">
        <f t="shared" si="147"/>
        <v>0</v>
      </c>
      <c r="AI243" s="640"/>
      <c r="AJ243" s="641">
        <f t="shared" si="148"/>
        <v>0</v>
      </c>
      <c r="AK243" s="642"/>
      <c r="AL243" s="642" t="s">
        <v>364</v>
      </c>
      <c r="AM243" s="643"/>
      <c r="AN243" s="642"/>
      <c r="AO243" s="644">
        <v>235</v>
      </c>
      <c r="AP243" s="565"/>
      <c r="AQ243" s="566"/>
      <c r="AR243" s="566"/>
      <c r="AS243" s="566"/>
      <c r="AT243" s="566"/>
      <c r="AU243" s="566"/>
      <c r="AV243" s="566"/>
      <c r="AW243" s="566"/>
      <c r="AX243" s="566"/>
      <c r="AY243" s="566"/>
      <c r="AZ243" s="566"/>
      <c r="BA243" s="566"/>
      <c r="BB243" s="566"/>
      <c r="BC243" s="566"/>
      <c r="BD243" s="566"/>
      <c r="BE243" s="566"/>
      <c r="BF243" s="566"/>
      <c r="BG243" s="566"/>
    </row>
    <row r="244" spans="1:59">
      <c r="A244" s="591"/>
      <c r="B244" s="618"/>
      <c r="C244" s="609"/>
      <c r="D244" s="594">
        <v>1</v>
      </c>
      <c r="E244" s="595" t="s">
        <v>366</v>
      </c>
      <c r="F244" s="593" t="s">
        <v>368</v>
      </c>
      <c r="G244" s="610" t="s">
        <v>533</v>
      </c>
      <c r="H244" s="610" t="s">
        <v>534</v>
      </c>
      <c r="I244" s="610"/>
      <c r="J244" s="610"/>
      <c r="K244" s="610"/>
      <c r="L244" s="611" t="s">
        <v>828</v>
      </c>
      <c r="M244" s="612">
        <f t="shared" si="164"/>
        <v>0</v>
      </c>
      <c r="N244" s="613"/>
      <c r="O244" s="614" t="s">
        <v>987</v>
      </c>
      <c r="P244" s="615">
        <v>100</v>
      </c>
      <c r="Q244" s="616">
        <f t="shared" si="121"/>
        <v>60</v>
      </c>
      <c r="R244" s="613"/>
      <c r="S244" s="603"/>
      <c r="T244" s="606"/>
      <c r="U244" s="606"/>
      <c r="V244" s="593">
        <f t="shared" si="134"/>
        <v>0</v>
      </c>
      <c r="W244" s="606"/>
      <c r="X244" s="606"/>
      <c r="Y244" s="606"/>
      <c r="Z244" s="606"/>
      <c r="AA244" s="606"/>
      <c r="AB244" s="606"/>
      <c r="AC244" s="607"/>
      <c r="AD244" s="606"/>
      <c r="AE244" s="608"/>
      <c r="AF244" s="639">
        <v>60</v>
      </c>
      <c r="AG244" s="639">
        <f t="shared" si="135"/>
        <v>60</v>
      </c>
      <c r="AH244" s="639">
        <f t="shared" si="147"/>
        <v>0</v>
      </c>
      <c r="AI244" s="640"/>
      <c r="AJ244" s="641">
        <f t="shared" si="148"/>
        <v>0</v>
      </c>
      <c r="AK244" s="642"/>
      <c r="AL244" s="642" t="s">
        <v>364</v>
      </c>
      <c r="AM244" s="643"/>
      <c r="AN244" s="642"/>
      <c r="AO244" s="644">
        <v>237</v>
      </c>
      <c r="AP244" s="565"/>
      <c r="AQ244" s="566"/>
      <c r="AR244" s="566"/>
      <c r="AS244" s="566"/>
      <c r="AT244" s="566"/>
      <c r="AU244" s="566"/>
      <c r="AV244" s="566"/>
      <c r="AW244" s="566"/>
      <c r="AX244" s="566"/>
      <c r="AY244" s="566"/>
      <c r="AZ244" s="566"/>
      <c r="BA244" s="566"/>
      <c r="BB244" s="566"/>
      <c r="BC244" s="566"/>
      <c r="BD244" s="566"/>
      <c r="BE244" s="566"/>
      <c r="BF244" s="566"/>
      <c r="BG244" s="566"/>
    </row>
    <row r="245" spans="1:59">
      <c r="A245" s="591"/>
      <c r="B245" s="592"/>
      <c r="C245" s="593"/>
      <c r="D245" s="594">
        <v>1</v>
      </c>
      <c r="E245" s="595" t="s">
        <v>366</v>
      </c>
      <c r="F245" s="593" t="s">
        <v>368</v>
      </c>
      <c r="G245" s="596" t="s">
        <v>535</v>
      </c>
      <c r="H245" s="596" t="s">
        <v>536</v>
      </c>
      <c r="I245" s="596"/>
      <c r="J245" s="596"/>
      <c r="K245" s="596"/>
      <c r="L245" s="591" t="s">
        <v>829</v>
      </c>
      <c r="M245" s="597" t="str">
        <f t="shared" si="164"/>
        <v>Onderwijsruimte (theorie)</v>
      </c>
      <c r="N245" s="591" t="s">
        <v>78</v>
      </c>
      <c r="O245" s="598"/>
      <c r="P245" s="599"/>
      <c r="Q245" s="600">
        <f t="shared" si="121"/>
        <v>0</v>
      </c>
      <c r="R245" s="601">
        <f>AF245</f>
        <v>38</v>
      </c>
      <c r="S245" s="647">
        <v>102200</v>
      </c>
      <c r="T245" s="602"/>
      <c r="U245" s="645">
        <v>1</v>
      </c>
      <c r="V245" s="593">
        <f t="shared" si="134"/>
        <v>200</v>
      </c>
      <c r="W245" s="604">
        <f>Z245*R245*U245</f>
        <v>0</v>
      </c>
      <c r="X245" s="604">
        <f>AA245*R245</f>
        <v>0</v>
      </c>
      <c r="Y245" s="604">
        <f>AB245*R245</f>
        <v>0</v>
      </c>
      <c r="Z245" s="605">
        <f>VLOOKUP(S245,Kengetal,6,FALSE)</f>
        <v>0</v>
      </c>
      <c r="AA245" s="751">
        <f>VLOOKUP(S245,Kengetal,7,FALSE)</f>
        <v>0</v>
      </c>
      <c r="AB245" s="605">
        <f>VLOOKUP(T245,Kengetal,6,FALSE)</f>
        <v>0</v>
      </c>
      <c r="AC245" s="607"/>
      <c r="AD245" s="591" t="str">
        <f>AL245</f>
        <v>Friesland College</v>
      </c>
      <c r="AE245" s="608"/>
      <c r="AF245" s="639">
        <v>38</v>
      </c>
      <c r="AG245" s="639">
        <f t="shared" si="135"/>
        <v>38</v>
      </c>
      <c r="AH245" s="639">
        <f t="shared" si="147"/>
        <v>0</v>
      </c>
      <c r="AI245" s="640"/>
      <c r="AJ245" s="641">
        <f t="shared" si="148"/>
        <v>0</v>
      </c>
      <c r="AK245" s="642"/>
      <c r="AL245" s="642" t="s">
        <v>364</v>
      </c>
      <c r="AM245" s="643"/>
      <c r="AN245" s="642"/>
      <c r="AO245" s="644">
        <v>238</v>
      </c>
      <c r="AP245" s="565"/>
      <c r="AQ245" s="566"/>
      <c r="AR245" s="566"/>
      <c r="AS245" s="566"/>
      <c r="AT245" s="566"/>
      <c r="AU245" s="566"/>
      <c r="AV245" s="566"/>
      <c r="AW245" s="566"/>
      <c r="AX245" s="566"/>
      <c r="AY245" s="566"/>
      <c r="AZ245" s="566"/>
      <c r="BA245" s="566"/>
      <c r="BB245" s="566"/>
      <c r="BC245" s="566"/>
      <c r="BD245" s="566"/>
      <c r="BE245" s="566"/>
      <c r="BF245" s="566"/>
      <c r="BG245" s="566"/>
    </row>
    <row r="246" spans="1:59">
      <c r="A246" s="591"/>
      <c r="B246" s="618"/>
      <c r="C246" s="609"/>
      <c r="D246" s="594">
        <v>1</v>
      </c>
      <c r="E246" s="595" t="s">
        <v>366</v>
      </c>
      <c r="F246" s="593" t="s">
        <v>368</v>
      </c>
      <c r="G246" s="610" t="s">
        <v>535</v>
      </c>
      <c r="H246" s="610" t="s">
        <v>536</v>
      </c>
      <c r="I246" s="610"/>
      <c r="J246" s="610"/>
      <c r="K246" s="610"/>
      <c r="L246" s="611" t="s">
        <v>829</v>
      </c>
      <c r="M246" s="612">
        <f t="shared" si="164"/>
        <v>0</v>
      </c>
      <c r="N246" s="613"/>
      <c r="O246" s="614" t="s">
        <v>987</v>
      </c>
      <c r="P246" s="615">
        <v>100</v>
      </c>
      <c r="Q246" s="616">
        <f t="shared" ref="Q246:Q309" si="171">AF246*P246/100</f>
        <v>38</v>
      </c>
      <c r="R246" s="613"/>
      <c r="S246" s="603"/>
      <c r="T246" s="606"/>
      <c r="U246" s="606"/>
      <c r="V246" s="593">
        <f t="shared" si="134"/>
        <v>0</v>
      </c>
      <c r="W246" s="606"/>
      <c r="X246" s="606"/>
      <c r="Y246" s="606"/>
      <c r="Z246" s="606"/>
      <c r="AA246" s="606"/>
      <c r="AB246" s="606"/>
      <c r="AC246" s="607"/>
      <c r="AD246" s="606"/>
      <c r="AE246" s="608"/>
      <c r="AF246" s="639">
        <v>38</v>
      </c>
      <c r="AG246" s="639">
        <f t="shared" si="135"/>
        <v>38</v>
      </c>
      <c r="AH246" s="639">
        <f t="shared" si="147"/>
        <v>0</v>
      </c>
      <c r="AI246" s="640"/>
      <c r="AJ246" s="641">
        <f t="shared" si="148"/>
        <v>0</v>
      </c>
      <c r="AK246" s="642"/>
      <c r="AL246" s="642" t="s">
        <v>364</v>
      </c>
      <c r="AM246" s="643"/>
      <c r="AN246" s="642"/>
      <c r="AO246" s="644">
        <v>239</v>
      </c>
      <c r="AP246" s="565"/>
      <c r="AQ246" s="566"/>
      <c r="AR246" s="566"/>
      <c r="AS246" s="566"/>
      <c r="AT246" s="566"/>
      <c r="AU246" s="566"/>
      <c r="AV246" s="566"/>
      <c r="AW246" s="566"/>
      <c r="AX246" s="566"/>
      <c r="AY246" s="566"/>
      <c r="AZ246" s="566"/>
      <c r="BA246" s="566"/>
      <c r="BB246" s="566"/>
      <c r="BC246" s="566"/>
      <c r="BD246" s="566"/>
      <c r="BE246" s="566"/>
      <c r="BF246" s="566"/>
      <c r="BG246" s="566"/>
    </row>
    <row r="247" spans="1:59">
      <c r="A247" s="591"/>
      <c r="B247" s="592"/>
      <c r="C247" s="593"/>
      <c r="D247" s="594">
        <v>1</v>
      </c>
      <c r="E247" s="595" t="s">
        <v>366</v>
      </c>
      <c r="F247" s="593" t="s">
        <v>368</v>
      </c>
      <c r="G247" s="596" t="s">
        <v>537</v>
      </c>
      <c r="H247" s="596" t="s">
        <v>538</v>
      </c>
      <c r="I247" s="596"/>
      <c r="J247" s="596"/>
      <c r="K247" s="596"/>
      <c r="L247" s="591" t="s">
        <v>830</v>
      </c>
      <c r="M247" s="597" t="str">
        <f t="shared" si="164"/>
        <v>Onderwijsruimte (theorie)</v>
      </c>
      <c r="N247" s="591" t="s">
        <v>78</v>
      </c>
      <c r="O247" s="598"/>
      <c r="P247" s="599"/>
      <c r="Q247" s="600">
        <f t="shared" si="171"/>
        <v>0</v>
      </c>
      <c r="R247" s="601">
        <f>AF247</f>
        <v>20</v>
      </c>
      <c r="S247" s="647">
        <v>102200</v>
      </c>
      <c r="T247" s="602"/>
      <c r="U247" s="645">
        <v>1</v>
      </c>
      <c r="V247" s="593">
        <f t="shared" si="134"/>
        <v>200</v>
      </c>
      <c r="W247" s="604">
        <f>Z247*R247*U247</f>
        <v>0</v>
      </c>
      <c r="X247" s="604">
        <f>AA247*R247</f>
        <v>0</v>
      </c>
      <c r="Y247" s="604">
        <f>AB247*R247</f>
        <v>0</v>
      </c>
      <c r="Z247" s="605">
        <f>VLOOKUP(S247,Kengetal,6,FALSE)</f>
        <v>0</v>
      </c>
      <c r="AA247" s="751">
        <f>VLOOKUP(S247,Kengetal,7,FALSE)</f>
        <v>0</v>
      </c>
      <c r="AB247" s="605">
        <f>VLOOKUP(T247,Kengetal,6,FALSE)</f>
        <v>0</v>
      </c>
      <c r="AC247" s="607"/>
      <c r="AD247" s="591" t="str">
        <f>AL247</f>
        <v>Friesland College</v>
      </c>
      <c r="AE247" s="608"/>
      <c r="AF247" s="639">
        <v>20</v>
      </c>
      <c r="AG247" s="639">
        <f t="shared" si="135"/>
        <v>20</v>
      </c>
      <c r="AH247" s="639">
        <f t="shared" si="147"/>
        <v>0</v>
      </c>
      <c r="AI247" s="640"/>
      <c r="AJ247" s="641">
        <f t="shared" si="148"/>
        <v>0</v>
      </c>
      <c r="AK247" s="642"/>
      <c r="AL247" s="642" t="s">
        <v>364</v>
      </c>
      <c r="AM247" s="643"/>
      <c r="AN247" s="642"/>
      <c r="AO247" s="644">
        <v>240</v>
      </c>
      <c r="AP247" s="565"/>
      <c r="AQ247" s="566"/>
      <c r="AR247" s="566"/>
      <c r="AS247" s="566"/>
      <c r="AT247" s="566"/>
      <c r="AU247" s="566"/>
      <c r="AV247" s="566"/>
      <c r="AW247" s="566"/>
      <c r="AX247" s="566"/>
      <c r="AY247" s="566"/>
      <c r="AZ247" s="566"/>
      <c r="BA247" s="566"/>
      <c r="BB247" s="566"/>
      <c r="BC247" s="566"/>
      <c r="BD247" s="566"/>
      <c r="BE247" s="566"/>
      <c r="BF247" s="566"/>
      <c r="BG247" s="566"/>
    </row>
    <row r="248" spans="1:59">
      <c r="A248" s="591"/>
      <c r="B248" s="618"/>
      <c r="C248" s="609"/>
      <c r="D248" s="594">
        <v>1</v>
      </c>
      <c r="E248" s="595" t="s">
        <v>366</v>
      </c>
      <c r="F248" s="593" t="s">
        <v>368</v>
      </c>
      <c r="G248" s="610" t="s">
        <v>537</v>
      </c>
      <c r="H248" s="610" t="s">
        <v>538</v>
      </c>
      <c r="I248" s="610"/>
      <c r="J248" s="610"/>
      <c r="K248" s="610"/>
      <c r="L248" s="611" t="s">
        <v>830</v>
      </c>
      <c r="M248" s="612">
        <f t="shared" si="164"/>
        <v>0</v>
      </c>
      <c r="N248" s="613"/>
      <c r="O248" s="614" t="s">
        <v>987</v>
      </c>
      <c r="P248" s="615">
        <v>100</v>
      </c>
      <c r="Q248" s="616">
        <f t="shared" si="171"/>
        <v>20</v>
      </c>
      <c r="R248" s="613"/>
      <c r="S248" s="603"/>
      <c r="T248" s="606"/>
      <c r="U248" s="606"/>
      <c r="V248" s="593">
        <f t="shared" si="134"/>
        <v>0</v>
      </c>
      <c r="W248" s="606"/>
      <c r="X248" s="606"/>
      <c r="Y248" s="606"/>
      <c r="Z248" s="606"/>
      <c r="AA248" s="606"/>
      <c r="AB248" s="606"/>
      <c r="AC248" s="607"/>
      <c r="AD248" s="606"/>
      <c r="AE248" s="608"/>
      <c r="AF248" s="639">
        <v>20</v>
      </c>
      <c r="AG248" s="639">
        <f t="shared" si="135"/>
        <v>20</v>
      </c>
      <c r="AH248" s="639">
        <f t="shared" si="147"/>
        <v>0</v>
      </c>
      <c r="AI248" s="640"/>
      <c r="AJ248" s="641">
        <f t="shared" si="148"/>
        <v>0</v>
      </c>
      <c r="AK248" s="642"/>
      <c r="AL248" s="642" t="s">
        <v>364</v>
      </c>
      <c r="AM248" s="643"/>
      <c r="AN248" s="642"/>
      <c r="AO248" s="644">
        <v>241</v>
      </c>
      <c r="AP248" s="565"/>
      <c r="AQ248" s="566"/>
      <c r="AR248" s="566"/>
      <c r="AS248" s="566"/>
      <c r="AT248" s="566"/>
      <c r="AU248" s="566"/>
      <c r="AV248" s="566"/>
      <c r="AW248" s="566"/>
      <c r="AX248" s="566"/>
      <c r="AY248" s="566"/>
      <c r="AZ248" s="566"/>
      <c r="BA248" s="566"/>
      <c r="BB248" s="566"/>
      <c r="BC248" s="566"/>
      <c r="BD248" s="566"/>
      <c r="BE248" s="566"/>
      <c r="BF248" s="566"/>
      <c r="BG248" s="566"/>
    </row>
    <row r="249" spans="1:59">
      <c r="A249" s="591"/>
      <c r="B249" s="592"/>
      <c r="C249" s="593"/>
      <c r="D249" s="594">
        <v>1</v>
      </c>
      <c r="E249" s="595" t="s">
        <v>366</v>
      </c>
      <c r="F249" s="593" t="s">
        <v>368</v>
      </c>
      <c r="G249" s="596" t="s">
        <v>539</v>
      </c>
      <c r="H249" s="596" t="s">
        <v>540</v>
      </c>
      <c r="I249" s="596"/>
      <c r="J249" s="596"/>
      <c r="K249" s="596"/>
      <c r="L249" s="591" t="s">
        <v>831</v>
      </c>
      <c r="M249" s="597" t="str">
        <f t="shared" si="164"/>
        <v>Administratieve -, personeels- en vergaderruimte</v>
      </c>
      <c r="N249" s="591" t="s">
        <v>78</v>
      </c>
      <c r="O249" s="598"/>
      <c r="P249" s="599"/>
      <c r="Q249" s="600">
        <f t="shared" si="171"/>
        <v>0</v>
      </c>
      <c r="R249" s="601">
        <f>AF249</f>
        <v>13</v>
      </c>
      <c r="S249" s="647">
        <v>101100</v>
      </c>
      <c r="T249" s="602"/>
      <c r="U249" s="645">
        <v>1</v>
      </c>
      <c r="V249" s="593">
        <f t="shared" si="134"/>
        <v>100</v>
      </c>
      <c r="W249" s="604">
        <f>Z249*R249*U249</f>
        <v>0</v>
      </c>
      <c r="X249" s="604">
        <f>AA249*R249</f>
        <v>0</v>
      </c>
      <c r="Y249" s="604">
        <f>AB249*R249</f>
        <v>0</v>
      </c>
      <c r="Z249" s="605">
        <f>VLOOKUP(S249,Kengetal,6,FALSE)</f>
        <v>0</v>
      </c>
      <c r="AA249" s="751">
        <f>VLOOKUP(S249,Kengetal,7,FALSE)</f>
        <v>0</v>
      </c>
      <c r="AB249" s="605">
        <f>VLOOKUP(T249,Kengetal,6,FALSE)</f>
        <v>0</v>
      </c>
      <c r="AC249" s="607"/>
      <c r="AD249" s="591" t="str">
        <f>AL249</f>
        <v>Friesland College</v>
      </c>
      <c r="AE249" s="608"/>
      <c r="AF249" s="639">
        <v>13</v>
      </c>
      <c r="AG249" s="639">
        <f t="shared" si="135"/>
        <v>13</v>
      </c>
      <c r="AH249" s="639">
        <f t="shared" si="147"/>
        <v>0</v>
      </c>
      <c r="AI249" s="640"/>
      <c r="AJ249" s="641">
        <f t="shared" si="148"/>
        <v>0</v>
      </c>
      <c r="AK249" s="642"/>
      <c r="AL249" s="642" t="s">
        <v>364</v>
      </c>
      <c r="AM249" s="643"/>
      <c r="AN249" s="642"/>
      <c r="AO249" s="644">
        <v>242</v>
      </c>
      <c r="AP249" s="565"/>
      <c r="AQ249" s="566"/>
      <c r="AR249" s="566"/>
      <c r="AS249" s="566"/>
      <c r="AT249" s="566"/>
      <c r="AU249" s="566"/>
      <c r="AV249" s="566"/>
      <c r="AW249" s="566"/>
      <c r="AX249" s="566"/>
      <c r="AY249" s="566"/>
      <c r="AZ249" s="566"/>
      <c r="BA249" s="566"/>
      <c r="BB249" s="566"/>
      <c r="BC249" s="566"/>
      <c r="BD249" s="566"/>
      <c r="BE249" s="566"/>
      <c r="BF249" s="566"/>
      <c r="BG249" s="566"/>
    </row>
    <row r="250" spans="1:59">
      <c r="A250" s="591"/>
      <c r="B250" s="618"/>
      <c r="C250" s="609"/>
      <c r="D250" s="594">
        <v>1</v>
      </c>
      <c r="E250" s="595" t="s">
        <v>366</v>
      </c>
      <c r="F250" s="593" t="s">
        <v>368</v>
      </c>
      <c r="G250" s="610" t="s">
        <v>539</v>
      </c>
      <c r="H250" s="610" t="s">
        <v>540</v>
      </c>
      <c r="I250" s="610"/>
      <c r="J250" s="610"/>
      <c r="K250" s="610"/>
      <c r="L250" s="611" t="s">
        <v>831</v>
      </c>
      <c r="M250" s="612">
        <f t="shared" si="164"/>
        <v>0</v>
      </c>
      <c r="N250" s="613"/>
      <c r="O250" s="614" t="s">
        <v>987</v>
      </c>
      <c r="P250" s="615">
        <v>100</v>
      </c>
      <c r="Q250" s="616">
        <f t="shared" si="171"/>
        <v>13</v>
      </c>
      <c r="R250" s="613"/>
      <c r="S250" s="603"/>
      <c r="T250" s="606"/>
      <c r="U250" s="606"/>
      <c r="V250" s="593">
        <f t="shared" si="134"/>
        <v>0</v>
      </c>
      <c r="W250" s="606"/>
      <c r="X250" s="606"/>
      <c r="Y250" s="606"/>
      <c r="Z250" s="606"/>
      <c r="AA250" s="606"/>
      <c r="AB250" s="606"/>
      <c r="AC250" s="607"/>
      <c r="AD250" s="606"/>
      <c r="AE250" s="608"/>
      <c r="AF250" s="639">
        <v>13</v>
      </c>
      <c r="AG250" s="639">
        <f t="shared" si="135"/>
        <v>13</v>
      </c>
      <c r="AH250" s="639">
        <f t="shared" si="147"/>
        <v>0</v>
      </c>
      <c r="AI250" s="640"/>
      <c r="AJ250" s="641">
        <f t="shared" si="148"/>
        <v>0</v>
      </c>
      <c r="AK250" s="642"/>
      <c r="AL250" s="642" t="s">
        <v>364</v>
      </c>
      <c r="AM250" s="643"/>
      <c r="AN250" s="642"/>
      <c r="AO250" s="644">
        <v>243</v>
      </c>
      <c r="AP250" s="565"/>
      <c r="AQ250" s="566"/>
      <c r="AR250" s="566"/>
      <c r="AS250" s="566"/>
      <c r="AT250" s="566"/>
      <c r="AU250" s="566"/>
      <c r="AV250" s="566"/>
      <c r="AW250" s="566"/>
      <c r="AX250" s="566"/>
      <c r="AY250" s="566"/>
      <c r="AZ250" s="566"/>
      <c r="BA250" s="566"/>
      <c r="BB250" s="566"/>
      <c r="BC250" s="566"/>
      <c r="BD250" s="566"/>
      <c r="BE250" s="566"/>
      <c r="BF250" s="566"/>
      <c r="BG250" s="566"/>
    </row>
    <row r="251" spans="1:59">
      <c r="A251" s="591"/>
      <c r="B251" s="592"/>
      <c r="C251" s="593"/>
      <c r="D251" s="594">
        <v>1</v>
      </c>
      <c r="E251" s="595" t="s">
        <v>366</v>
      </c>
      <c r="F251" s="593" t="s">
        <v>368</v>
      </c>
      <c r="G251" s="596" t="s">
        <v>541</v>
      </c>
      <c r="H251" s="596" t="s">
        <v>542</v>
      </c>
      <c r="I251" s="596"/>
      <c r="J251" s="596"/>
      <c r="K251" s="596"/>
      <c r="L251" s="591" t="s">
        <v>832</v>
      </c>
      <c r="M251" s="597" t="str">
        <f t="shared" si="164"/>
        <v>Administratieve -, personeels- en vergaderruimte</v>
      </c>
      <c r="N251" s="591" t="s">
        <v>78</v>
      </c>
      <c r="O251" s="598"/>
      <c r="P251" s="599"/>
      <c r="Q251" s="600">
        <f t="shared" si="171"/>
        <v>0</v>
      </c>
      <c r="R251" s="601">
        <f>AF251</f>
        <v>13</v>
      </c>
      <c r="S251" s="647">
        <v>101100</v>
      </c>
      <c r="T251" s="602"/>
      <c r="U251" s="645">
        <v>1</v>
      </c>
      <c r="V251" s="593">
        <f t="shared" si="134"/>
        <v>100</v>
      </c>
      <c r="W251" s="604">
        <f>Z251*R251*U251</f>
        <v>0</v>
      </c>
      <c r="X251" s="604">
        <f>AA251*R251</f>
        <v>0</v>
      </c>
      <c r="Y251" s="604">
        <f>AB251*R251</f>
        <v>0</v>
      </c>
      <c r="Z251" s="605">
        <f>VLOOKUP(S251,Kengetal,6,FALSE)</f>
        <v>0</v>
      </c>
      <c r="AA251" s="751">
        <f>VLOOKUP(S251,Kengetal,7,FALSE)</f>
        <v>0</v>
      </c>
      <c r="AB251" s="605">
        <f>VLOOKUP(T251,Kengetal,6,FALSE)</f>
        <v>0</v>
      </c>
      <c r="AC251" s="607"/>
      <c r="AD251" s="591" t="str">
        <f>AL251</f>
        <v>Friesland College</v>
      </c>
      <c r="AE251" s="608"/>
      <c r="AF251" s="639">
        <v>13</v>
      </c>
      <c r="AG251" s="639">
        <f t="shared" si="135"/>
        <v>13</v>
      </c>
      <c r="AH251" s="639">
        <f t="shared" si="147"/>
        <v>0</v>
      </c>
      <c r="AI251" s="640"/>
      <c r="AJ251" s="641">
        <f t="shared" si="148"/>
        <v>0</v>
      </c>
      <c r="AK251" s="642"/>
      <c r="AL251" s="642" t="s">
        <v>364</v>
      </c>
      <c r="AM251" s="643"/>
      <c r="AN251" s="642"/>
      <c r="AO251" s="644">
        <v>244</v>
      </c>
      <c r="AP251" s="565"/>
      <c r="AQ251" s="566"/>
      <c r="AR251" s="566"/>
      <c r="AS251" s="566"/>
      <c r="AT251" s="566"/>
      <c r="AU251" s="566"/>
      <c r="AV251" s="566"/>
      <c r="AW251" s="566"/>
      <c r="AX251" s="566"/>
      <c r="AY251" s="566"/>
      <c r="AZ251" s="566"/>
      <c r="BA251" s="566"/>
      <c r="BB251" s="566"/>
      <c r="BC251" s="566"/>
      <c r="BD251" s="566"/>
      <c r="BE251" s="566"/>
      <c r="BF251" s="566"/>
      <c r="BG251" s="566"/>
    </row>
    <row r="252" spans="1:59">
      <c r="A252" s="591"/>
      <c r="B252" s="618"/>
      <c r="C252" s="609"/>
      <c r="D252" s="594">
        <v>1</v>
      </c>
      <c r="E252" s="595" t="s">
        <v>366</v>
      </c>
      <c r="F252" s="593" t="s">
        <v>368</v>
      </c>
      <c r="G252" s="610" t="s">
        <v>541</v>
      </c>
      <c r="H252" s="610" t="s">
        <v>542</v>
      </c>
      <c r="I252" s="610"/>
      <c r="J252" s="610"/>
      <c r="K252" s="610"/>
      <c r="L252" s="611" t="s">
        <v>832</v>
      </c>
      <c r="M252" s="612">
        <f t="shared" si="164"/>
        <v>0</v>
      </c>
      <c r="N252" s="613"/>
      <c r="O252" s="614" t="s">
        <v>987</v>
      </c>
      <c r="P252" s="615">
        <v>100</v>
      </c>
      <c r="Q252" s="616">
        <f t="shared" si="171"/>
        <v>13</v>
      </c>
      <c r="R252" s="613"/>
      <c r="S252" s="603"/>
      <c r="T252" s="606"/>
      <c r="U252" s="606"/>
      <c r="V252" s="593">
        <f t="shared" si="134"/>
        <v>0</v>
      </c>
      <c r="W252" s="606"/>
      <c r="X252" s="606"/>
      <c r="Y252" s="606"/>
      <c r="Z252" s="606"/>
      <c r="AA252" s="606"/>
      <c r="AB252" s="606"/>
      <c r="AC252" s="607"/>
      <c r="AD252" s="606"/>
      <c r="AE252" s="608"/>
      <c r="AF252" s="639">
        <v>13</v>
      </c>
      <c r="AG252" s="639">
        <f t="shared" si="135"/>
        <v>13</v>
      </c>
      <c r="AH252" s="639">
        <f t="shared" si="147"/>
        <v>0</v>
      </c>
      <c r="AI252" s="640"/>
      <c r="AJ252" s="641">
        <f t="shared" si="148"/>
        <v>0</v>
      </c>
      <c r="AK252" s="642"/>
      <c r="AL252" s="642" t="s">
        <v>364</v>
      </c>
      <c r="AM252" s="643"/>
      <c r="AN252" s="642"/>
      <c r="AO252" s="644">
        <v>245</v>
      </c>
      <c r="AP252" s="565"/>
      <c r="AQ252" s="566"/>
      <c r="AR252" s="566"/>
      <c r="AS252" s="566"/>
      <c r="AT252" s="566"/>
      <c r="AU252" s="566"/>
      <c r="AV252" s="566"/>
      <c r="AW252" s="566"/>
      <c r="AX252" s="566"/>
      <c r="AY252" s="566"/>
      <c r="AZ252" s="566"/>
      <c r="BA252" s="566"/>
      <c r="BB252" s="566"/>
      <c r="BC252" s="566"/>
      <c r="BD252" s="566"/>
      <c r="BE252" s="566"/>
      <c r="BF252" s="566"/>
      <c r="BG252" s="566"/>
    </row>
    <row r="253" spans="1:59">
      <c r="A253" s="591"/>
      <c r="B253" s="592"/>
      <c r="C253" s="593"/>
      <c r="D253" s="594">
        <v>1</v>
      </c>
      <c r="E253" s="595" t="s">
        <v>366</v>
      </c>
      <c r="F253" s="593" t="s">
        <v>368</v>
      </c>
      <c r="G253" s="596" t="s">
        <v>543</v>
      </c>
      <c r="H253" s="596" t="s">
        <v>521</v>
      </c>
      <c r="I253" s="596"/>
      <c r="J253" s="596"/>
      <c r="K253" s="596"/>
      <c r="L253" s="591" t="s">
        <v>1011</v>
      </c>
      <c r="M253" s="597" t="str">
        <f t="shared" si="164"/>
        <v>Administratieve -, personeels- en vergaderruimte</v>
      </c>
      <c r="N253" s="591" t="s">
        <v>938</v>
      </c>
      <c r="O253" s="598"/>
      <c r="P253" s="599"/>
      <c r="Q253" s="600">
        <f t="shared" si="171"/>
        <v>0</v>
      </c>
      <c r="R253" s="601">
        <f>AF253</f>
        <v>18</v>
      </c>
      <c r="S253" s="647">
        <v>101100</v>
      </c>
      <c r="T253" s="602"/>
      <c r="U253" s="645">
        <v>1</v>
      </c>
      <c r="V253" s="593">
        <f t="shared" si="134"/>
        <v>100</v>
      </c>
      <c r="W253" s="604">
        <f>Z253*R253*U253</f>
        <v>0</v>
      </c>
      <c r="X253" s="604">
        <f>AA253*R253</f>
        <v>0</v>
      </c>
      <c r="Y253" s="604">
        <f>AB253*R253</f>
        <v>0</v>
      </c>
      <c r="Z253" s="605">
        <f>VLOOKUP(S253,Kengetal,6,FALSE)</f>
        <v>0</v>
      </c>
      <c r="AA253" s="751">
        <f>VLOOKUP(S253,Kengetal,7,FALSE)</f>
        <v>0</v>
      </c>
      <c r="AB253" s="605">
        <f>VLOOKUP(T253,Kengetal,6,FALSE)</f>
        <v>0</v>
      </c>
      <c r="AC253" s="607"/>
      <c r="AD253" s="591" t="str">
        <f>AL253</f>
        <v>Friesland College</v>
      </c>
      <c r="AE253" s="608"/>
      <c r="AF253" s="639">
        <v>18</v>
      </c>
      <c r="AG253" s="639">
        <f t="shared" si="135"/>
        <v>18</v>
      </c>
      <c r="AH253" s="639">
        <f t="shared" si="147"/>
        <v>0</v>
      </c>
      <c r="AI253" s="640"/>
      <c r="AJ253" s="641">
        <f t="shared" si="148"/>
        <v>0</v>
      </c>
      <c r="AK253" s="642"/>
      <c r="AL253" s="642" t="s">
        <v>364</v>
      </c>
      <c r="AM253" s="643"/>
      <c r="AN253" s="642"/>
      <c r="AO253" s="644">
        <v>246</v>
      </c>
      <c r="AP253" s="565"/>
      <c r="AQ253" s="566"/>
      <c r="AR253" s="566"/>
      <c r="AS253" s="566"/>
      <c r="AT253" s="566"/>
      <c r="AU253" s="566"/>
      <c r="AV253" s="566"/>
      <c r="AW253" s="566"/>
      <c r="AX253" s="566"/>
      <c r="AY253" s="566"/>
      <c r="AZ253" s="566"/>
      <c r="BA253" s="566"/>
      <c r="BB253" s="566"/>
      <c r="BC253" s="566"/>
      <c r="BD253" s="566"/>
      <c r="BE253" s="566"/>
      <c r="BF253" s="566"/>
      <c r="BG253" s="566"/>
    </row>
    <row r="254" spans="1:59">
      <c r="A254" s="591"/>
      <c r="B254" s="618"/>
      <c r="C254" s="609"/>
      <c r="D254" s="594">
        <v>1</v>
      </c>
      <c r="E254" s="595" t="s">
        <v>366</v>
      </c>
      <c r="F254" s="593" t="s">
        <v>368</v>
      </c>
      <c r="G254" s="610" t="s">
        <v>543</v>
      </c>
      <c r="H254" s="610" t="s">
        <v>521</v>
      </c>
      <c r="I254" s="610"/>
      <c r="J254" s="610"/>
      <c r="K254" s="610"/>
      <c r="L254" s="611" t="s">
        <v>1011</v>
      </c>
      <c r="M254" s="612">
        <f t="shared" si="164"/>
        <v>0</v>
      </c>
      <c r="N254" s="613"/>
      <c r="O254" s="614" t="s">
        <v>987</v>
      </c>
      <c r="P254" s="615">
        <v>100</v>
      </c>
      <c r="Q254" s="616">
        <f t="shared" si="171"/>
        <v>18</v>
      </c>
      <c r="R254" s="613"/>
      <c r="S254" s="603"/>
      <c r="T254" s="606"/>
      <c r="U254" s="606"/>
      <c r="V254" s="593">
        <f t="shared" si="134"/>
        <v>0</v>
      </c>
      <c r="W254" s="606"/>
      <c r="X254" s="606"/>
      <c r="Y254" s="606"/>
      <c r="Z254" s="606"/>
      <c r="AA254" s="606"/>
      <c r="AB254" s="606"/>
      <c r="AC254" s="607"/>
      <c r="AD254" s="606"/>
      <c r="AE254" s="608"/>
      <c r="AF254" s="639">
        <v>18</v>
      </c>
      <c r="AG254" s="639">
        <f t="shared" si="135"/>
        <v>18</v>
      </c>
      <c r="AH254" s="639">
        <f t="shared" si="147"/>
        <v>0</v>
      </c>
      <c r="AI254" s="640"/>
      <c r="AJ254" s="641">
        <f t="shared" si="148"/>
        <v>0</v>
      </c>
      <c r="AK254" s="642"/>
      <c r="AL254" s="642" t="s">
        <v>364</v>
      </c>
      <c r="AM254" s="643"/>
      <c r="AN254" s="642"/>
      <c r="AO254" s="644">
        <v>247</v>
      </c>
      <c r="AP254" s="565"/>
      <c r="AQ254" s="566"/>
      <c r="AR254" s="566"/>
      <c r="AS254" s="566"/>
      <c r="AT254" s="566"/>
      <c r="AU254" s="566"/>
      <c r="AV254" s="566"/>
      <c r="AW254" s="566"/>
      <c r="AX254" s="566"/>
      <c r="AY254" s="566"/>
      <c r="AZ254" s="566"/>
      <c r="BA254" s="566"/>
      <c r="BB254" s="566"/>
      <c r="BC254" s="566"/>
      <c r="BD254" s="566"/>
      <c r="BE254" s="566"/>
      <c r="BF254" s="566"/>
      <c r="BG254" s="566"/>
    </row>
    <row r="255" spans="1:59">
      <c r="A255" s="591"/>
      <c r="B255" s="592"/>
      <c r="C255" s="593"/>
      <c r="D255" s="594">
        <v>1</v>
      </c>
      <c r="E255" s="595" t="s">
        <v>366</v>
      </c>
      <c r="F255" s="593" t="s">
        <v>368</v>
      </c>
      <c r="G255" s="596" t="s">
        <v>544</v>
      </c>
      <c r="H255" s="596"/>
      <c r="I255" s="596"/>
      <c r="J255" s="596"/>
      <c r="K255" s="596"/>
      <c r="L255" s="591" t="s">
        <v>833</v>
      </c>
      <c r="M255" s="597" t="str">
        <f t="shared" si="164"/>
        <v>Pantry</v>
      </c>
      <c r="N255" s="591" t="s">
        <v>938</v>
      </c>
      <c r="O255" s="598"/>
      <c r="P255" s="599"/>
      <c r="Q255" s="600">
        <f t="shared" si="171"/>
        <v>0</v>
      </c>
      <c r="R255" s="601">
        <f>AF255</f>
        <v>20</v>
      </c>
      <c r="S255" s="647">
        <v>110200</v>
      </c>
      <c r="T255" s="602"/>
      <c r="U255" s="645">
        <v>1</v>
      </c>
      <c r="V255" s="593">
        <f t="shared" si="134"/>
        <v>200</v>
      </c>
      <c r="W255" s="604">
        <f t="shared" ref="W255:W259" si="172">Z255*R255*U255</f>
        <v>0</v>
      </c>
      <c r="X255" s="604">
        <f t="shared" ref="X255:X259" si="173">AA255*R255</f>
        <v>0</v>
      </c>
      <c r="Y255" s="604">
        <f t="shared" ref="Y255:Y259" si="174">AB255*R255</f>
        <v>0</v>
      </c>
      <c r="Z255" s="605">
        <f>VLOOKUP(S255,Kengetal,6,FALSE)</f>
        <v>0</v>
      </c>
      <c r="AA255" s="751">
        <f>VLOOKUP(S255,Kengetal,7,FALSE)</f>
        <v>0</v>
      </c>
      <c r="AB255" s="605">
        <f>VLOOKUP(T255,Kengetal,6,FALSE)</f>
        <v>0</v>
      </c>
      <c r="AC255" s="607"/>
      <c r="AD255" s="591" t="str">
        <f>AL255</f>
        <v>Friesland College</v>
      </c>
      <c r="AE255" s="608"/>
      <c r="AF255" s="639">
        <v>20</v>
      </c>
      <c r="AG255" s="639">
        <f t="shared" si="135"/>
        <v>20</v>
      </c>
      <c r="AH255" s="639">
        <f t="shared" si="147"/>
        <v>0</v>
      </c>
      <c r="AI255" s="640"/>
      <c r="AJ255" s="641">
        <f t="shared" si="148"/>
        <v>0</v>
      </c>
      <c r="AK255" s="642"/>
      <c r="AL255" s="642" t="s">
        <v>364</v>
      </c>
      <c r="AM255" s="643"/>
      <c r="AN255" s="642"/>
      <c r="AO255" s="644">
        <v>248</v>
      </c>
      <c r="AP255" s="565"/>
      <c r="AQ255" s="566"/>
      <c r="AR255" s="566"/>
      <c r="AS255" s="566"/>
      <c r="AT255" s="566"/>
      <c r="AU255" s="566"/>
      <c r="AV255" s="566"/>
      <c r="AW255" s="566"/>
      <c r="AX255" s="566"/>
      <c r="AY255" s="566"/>
      <c r="AZ255" s="566"/>
      <c r="BA255" s="566"/>
      <c r="BB255" s="566"/>
      <c r="BC255" s="566"/>
      <c r="BD255" s="566"/>
      <c r="BE255" s="566"/>
      <c r="BF255" s="566"/>
      <c r="BG255" s="566"/>
    </row>
    <row r="256" spans="1:59">
      <c r="A256" s="591"/>
      <c r="B256" s="592"/>
      <c r="C256" s="593"/>
      <c r="D256" s="594">
        <v>1</v>
      </c>
      <c r="E256" s="595" t="s">
        <v>366</v>
      </c>
      <c r="F256" s="593" t="s">
        <v>368</v>
      </c>
      <c r="G256" s="596" t="s">
        <v>545</v>
      </c>
      <c r="H256" s="596"/>
      <c r="I256" s="596"/>
      <c r="J256" s="596"/>
      <c r="K256" s="596"/>
      <c r="L256" s="591" t="s">
        <v>773</v>
      </c>
      <c r="M256" s="597" t="str">
        <f t="shared" si="164"/>
        <v>Sanitaire ruimte (toilet-/doucheruimte)</v>
      </c>
      <c r="N256" s="591" t="s">
        <v>85</v>
      </c>
      <c r="O256" s="598"/>
      <c r="P256" s="599"/>
      <c r="Q256" s="600">
        <f t="shared" si="171"/>
        <v>0</v>
      </c>
      <c r="R256" s="601">
        <f>AF256</f>
        <v>40</v>
      </c>
      <c r="S256" s="647">
        <v>103200</v>
      </c>
      <c r="T256" s="647">
        <v>103400</v>
      </c>
      <c r="U256" s="645">
        <v>1</v>
      </c>
      <c r="V256" s="593">
        <f t="shared" si="134"/>
        <v>400</v>
      </c>
      <c r="W256" s="604">
        <f t="shared" si="172"/>
        <v>0</v>
      </c>
      <c r="X256" s="604">
        <f t="shared" si="173"/>
        <v>0</v>
      </c>
      <c r="Y256" s="604">
        <f t="shared" si="174"/>
        <v>0</v>
      </c>
      <c r="Z256" s="605">
        <f>VLOOKUP(S256,Kengetal,6,FALSE)</f>
        <v>0</v>
      </c>
      <c r="AA256" s="751">
        <f>VLOOKUP(S256,Kengetal,7,FALSE)</f>
        <v>0</v>
      </c>
      <c r="AB256" s="605">
        <f>VLOOKUP(T256,Kengetal,6,FALSE)</f>
        <v>0</v>
      </c>
      <c r="AC256" s="607"/>
      <c r="AD256" s="591" t="str">
        <f>AL256</f>
        <v>Friesland College</v>
      </c>
      <c r="AE256" s="608"/>
      <c r="AF256" s="639">
        <v>40</v>
      </c>
      <c r="AG256" s="639">
        <f t="shared" si="135"/>
        <v>40</v>
      </c>
      <c r="AH256" s="639">
        <f t="shared" si="147"/>
        <v>0</v>
      </c>
      <c r="AI256" s="640"/>
      <c r="AJ256" s="641">
        <f t="shared" si="148"/>
        <v>0</v>
      </c>
      <c r="AK256" s="642"/>
      <c r="AL256" s="642" t="s">
        <v>364</v>
      </c>
      <c r="AM256" s="643"/>
      <c r="AN256" s="642"/>
      <c r="AO256" s="644">
        <v>249</v>
      </c>
      <c r="AP256" s="565"/>
      <c r="AQ256" s="566"/>
      <c r="AR256" s="566"/>
      <c r="AS256" s="566"/>
      <c r="AT256" s="566"/>
      <c r="AU256" s="566"/>
      <c r="AV256" s="566"/>
      <c r="AW256" s="566"/>
      <c r="AX256" s="566"/>
      <c r="AY256" s="566"/>
      <c r="AZ256" s="566"/>
      <c r="BA256" s="566"/>
      <c r="BB256" s="566"/>
      <c r="BC256" s="566"/>
      <c r="BD256" s="566"/>
      <c r="BE256" s="566"/>
      <c r="BF256" s="566"/>
      <c r="BG256" s="566"/>
    </row>
    <row r="257" spans="1:59">
      <c r="A257" s="591"/>
      <c r="B257" s="592"/>
      <c r="C257" s="593"/>
      <c r="D257" s="594">
        <v>1</v>
      </c>
      <c r="E257" s="595" t="s">
        <v>366</v>
      </c>
      <c r="F257" s="593" t="s">
        <v>368</v>
      </c>
      <c r="G257" s="596" t="s">
        <v>546</v>
      </c>
      <c r="H257" s="596"/>
      <c r="I257" s="596"/>
      <c r="J257" s="596"/>
      <c r="K257" s="596"/>
      <c r="L257" s="591" t="s">
        <v>796</v>
      </c>
      <c r="M257" s="597" t="str">
        <f t="shared" si="164"/>
        <v>Niet van toepassing</v>
      </c>
      <c r="N257" s="591" t="s">
        <v>323</v>
      </c>
      <c r="O257" s="598"/>
      <c r="P257" s="599"/>
      <c r="Q257" s="600">
        <f t="shared" si="171"/>
        <v>0</v>
      </c>
      <c r="R257" s="601">
        <f>AF257</f>
        <v>3</v>
      </c>
      <c r="S257" s="603" t="s">
        <v>28</v>
      </c>
      <c r="T257" s="602"/>
      <c r="U257" s="603"/>
      <c r="V257" s="593">
        <f t="shared" si="134"/>
        <v>0</v>
      </c>
      <c r="W257" s="604">
        <f t="shared" si="172"/>
        <v>0</v>
      </c>
      <c r="X257" s="604">
        <f t="shared" si="173"/>
        <v>0</v>
      </c>
      <c r="Y257" s="604">
        <f t="shared" si="174"/>
        <v>0</v>
      </c>
      <c r="Z257" s="605">
        <f>VLOOKUP(S257,Kengetal,6,FALSE)</f>
        <v>0</v>
      </c>
      <c r="AA257" s="751">
        <f>VLOOKUP(S257,Kengetal,7,FALSE)</f>
        <v>0</v>
      </c>
      <c r="AB257" s="605">
        <f>VLOOKUP(T257,Kengetal,6,FALSE)</f>
        <v>0</v>
      </c>
      <c r="AC257" s="607"/>
      <c r="AD257" s="591" t="str">
        <f>AL257</f>
        <v>Friesland College</v>
      </c>
      <c r="AE257" s="608"/>
      <c r="AF257" s="639">
        <v>3</v>
      </c>
      <c r="AG257" s="639">
        <f t="shared" si="135"/>
        <v>3</v>
      </c>
      <c r="AH257" s="639">
        <f t="shared" si="147"/>
        <v>0</v>
      </c>
      <c r="AI257" s="640"/>
      <c r="AJ257" s="641">
        <f t="shared" si="148"/>
        <v>0</v>
      </c>
      <c r="AK257" s="642"/>
      <c r="AL257" s="642" t="s">
        <v>364</v>
      </c>
      <c r="AM257" s="643"/>
      <c r="AN257" s="642"/>
      <c r="AO257" s="644">
        <v>250</v>
      </c>
      <c r="AP257" s="565"/>
      <c r="AQ257" s="566"/>
      <c r="AR257" s="566"/>
      <c r="AS257" s="566"/>
      <c r="AT257" s="566"/>
      <c r="AU257" s="566"/>
      <c r="AV257" s="566"/>
      <c r="AW257" s="566"/>
      <c r="AX257" s="566"/>
      <c r="AY257" s="566"/>
      <c r="AZ257" s="566"/>
      <c r="BA257" s="566"/>
      <c r="BB257" s="566"/>
      <c r="BC257" s="566"/>
      <c r="BD257" s="566"/>
      <c r="BE257" s="566"/>
      <c r="BF257" s="566"/>
      <c r="BG257" s="566"/>
    </row>
    <row r="258" spans="1:59">
      <c r="A258" s="591"/>
      <c r="B258" s="592"/>
      <c r="C258" s="593"/>
      <c r="D258" s="594">
        <v>1</v>
      </c>
      <c r="E258" s="595" t="s">
        <v>366</v>
      </c>
      <c r="F258" s="593" t="s">
        <v>368</v>
      </c>
      <c r="G258" s="596" t="s">
        <v>547</v>
      </c>
      <c r="H258" s="596"/>
      <c r="I258" s="596"/>
      <c r="J258" s="596"/>
      <c r="K258" s="596"/>
      <c r="L258" s="591" t="s">
        <v>771</v>
      </c>
      <c r="M258" s="597" t="str">
        <f t="shared" si="164"/>
        <v>Niet van toepassing</v>
      </c>
      <c r="N258" s="591" t="s">
        <v>323</v>
      </c>
      <c r="O258" s="598"/>
      <c r="P258" s="599"/>
      <c r="Q258" s="600">
        <f t="shared" si="171"/>
        <v>0</v>
      </c>
      <c r="R258" s="601">
        <f>AF258</f>
        <v>5</v>
      </c>
      <c r="S258" s="603" t="s">
        <v>28</v>
      </c>
      <c r="T258" s="602"/>
      <c r="U258" s="603"/>
      <c r="V258" s="593">
        <f t="shared" si="134"/>
        <v>0</v>
      </c>
      <c r="W258" s="604">
        <f t="shared" si="172"/>
        <v>0</v>
      </c>
      <c r="X258" s="604">
        <f t="shared" si="173"/>
        <v>0</v>
      </c>
      <c r="Y258" s="604">
        <f t="shared" si="174"/>
        <v>0</v>
      </c>
      <c r="Z258" s="605">
        <f>VLOOKUP(S258,Kengetal,6,FALSE)</f>
        <v>0</v>
      </c>
      <c r="AA258" s="751">
        <f>VLOOKUP(S258,Kengetal,7,FALSE)</f>
        <v>0</v>
      </c>
      <c r="AB258" s="605">
        <f>VLOOKUP(T258,Kengetal,6,FALSE)</f>
        <v>0</v>
      </c>
      <c r="AC258" s="607"/>
      <c r="AD258" s="591" t="str">
        <f>AL258</f>
        <v>Friesland College</v>
      </c>
      <c r="AE258" s="608"/>
      <c r="AF258" s="639">
        <v>5</v>
      </c>
      <c r="AG258" s="639">
        <f t="shared" si="135"/>
        <v>5</v>
      </c>
      <c r="AH258" s="639">
        <f t="shared" si="147"/>
        <v>0</v>
      </c>
      <c r="AI258" s="640"/>
      <c r="AJ258" s="641">
        <f t="shared" si="148"/>
        <v>0</v>
      </c>
      <c r="AK258" s="642"/>
      <c r="AL258" s="642" t="s">
        <v>364</v>
      </c>
      <c r="AM258" s="643"/>
      <c r="AN258" s="642"/>
      <c r="AO258" s="644">
        <v>251</v>
      </c>
      <c r="AP258" s="565"/>
      <c r="AQ258" s="566"/>
      <c r="AR258" s="566"/>
      <c r="AS258" s="566"/>
      <c r="AT258" s="566"/>
      <c r="AU258" s="566"/>
      <c r="AV258" s="566"/>
      <c r="AW258" s="566"/>
      <c r="AX258" s="566"/>
      <c r="AY258" s="566"/>
      <c r="AZ258" s="566"/>
      <c r="BA258" s="566"/>
      <c r="BB258" s="566"/>
      <c r="BC258" s="566"/>
      <c r="BD258" s="566"/>
      <c r="BE258" s="566"/>
      <c r="BF258" s="566"/>
      <c r="BG258" s="566"/>
    </row>
    <row r="259" spans="1:59">
      <c r="A259" s="591"/>
      <c r="B259" s="592"/>
      <c r="C259" s="593"/>
      <c r="D259" s="594">
        <v>1</v>
      </c>
      <c r="E259" s="595" t="s">
        <v>366</v>
      </c>
      <c r="F259" s="593" t="s">
        <v>368</v>
      </c>
      <c r="G259" s="596" t="s">
        <v>496</v>
      </c>
      <c r="H259" s="596"/>
      <c r="I259" s="596"/>
      <c r="J259" s="596"/>
      <c r="K259" s="596"/>
      <c r="L259" s="591" t="s">
        <v>796</v>
      </c>
      <c r="M259" s="597" t="str">
        <f t="shared" si="164"/>
        <v>Niet van toepassing</v>
      </c>
      <c r="N259" s="591" t="s">
        <v>323</v>
      </c>
      <c r="O259" s="598"/>
      <c r="P259" s="599"/>
      <c r="Q259" s="600">
        <f t="shared" si="171"/>
        <v>0</v>
      </c>
      <c r="R259" s="601">
        <f>AF259</f>
        <v>3</v>
      </c>
      <c r="S259" s="603" t="s">
        <v>28</v>
      </c>
      <c r="T259" s="602"/>
      <c r="U259" s="603"/>
      <c r="V259" s="593">
        <f t="shared" si="134"/>
        <v>0</v>
      </c>
      <c r="W259" s="604">
        <f t="shared" si="172"/>
        <v>0</v>
      </c>
      <c r="X259" s="604">
        <f t="shared" si="173"/>
        <v>0</v>
      </c>
      <c r="Y259" s="604">
        <f t="shared" si="174"/>
        <v>0</v>
      </c>
      <c r="Z259" s="605">
        <f>VLOOKUP(S259,Kengetal,6,FALSE)</f>
        <v>0</v>
      </c>
      <c r="AA259" s="751">
        <f>VLOOKUP(S259,Kengetal,7,FALSE)</f>
        <v>0</v>
      </c>
      <c r="AB259" s="605">
        <f>VLOOKUP(T259,Kengetal,6,FALSE)</f>
        <v>0</v>
      </c>
      <c r="AC259" s="607"/>
      <c r="AD259" s="591" t="str">
        <f>AL259</f>
        <v>Friesland College</v>
      </c>
      <c r="AE259" s="608"/>
      <c r="AF259" s="639">
        <v>3</v>
      </c>
      <c r="AG259" s="639">
        <f t="shared" si="135"/>
        <v>3</v>
      </c>
      <c r="AH259" s="639">
        <f t="shared" si="147"/>
        <v>0</v>
      </c>
      <c r="AI259" s="640"/>
      <c r="AJ259" s="641">
        <f t="shared" si="148"/>
        <v>0</v>
      </c>
      <c r="AK259" s="642"/>
      <c r="AL259" s="642" t="s">
        <v>364</v>
      </c>
      <c r="AM259" s="643"/>
      <c r="AN259" s="642"/>
      <c r="AO259" s="644">
        <v>252</v>
      </c>
      <c r="AP259" s="565"/>
      <c r="AQ259" s="566"/>
      <c r="AR259" s="566"/>
      <c r="AS259" s="566"/>
      <c r="AT259" s="566"/>
      <c r="AU259" s="566"/>
      <c r="AV259" s="566"/>
      <c r="AW259" s="566"/>
      <c r="AX259" s="566"/>
      <c r="AY259" s="566"/>
      <c r="AZ259" s="566"/>
      <c r="BA259" s="566"/>
      <c r="BB259" s="566"/>
      <c r="BC259" s="566"/>
      <c r="BD259" s="566"/>
      <c r="BE259" s="566"/>
      <c r="BF259" s="566"/>
      <c r="BG259" s="566"/>
    </row>
    <row r="260" spans="1:59">
      <c r="A260" s="591"/>
      <c r="B260" s="609"/>
      <c r="C260" s="609"/>
      <c r="D260" s="594">
        <v>1</v>
      </c>
      <c r="E260" s="595" t="s">
        <v>366</v>
      </c>
      <c r="F260" s="593" t="s">
        <v>368</v>
      </c>
      <c r="G260" s="610" t="s">
        <v>496</v>
      </c>
      <c r="H260" s="610" t="s">
        <v>495</v>
      </c>
      <c r="I260" s="610"/>
      <c r="J260" s="610"/>
      <c r="K260" s="610"/>
      <c r="L260" s="611" t="s">
        <v>792</v>
      </c>
      <c r="M260" s="612">
        <f t="shared" si="164"/>
        <v>0</v>
      </c>
      <c r="N260" s="613"/>
      <c r="O260" s="614" t="s">
        <v>986</v>
      </c>
      <c r="P260" s="615">
        <v>100</v>
      </c>
      <c r="Q260" s="616">
        <f t="shared" si="171"/>
        <v>68</v>
      </c>
      <c r="R260" s="613"/>
      <c r="S260" s="603"/>
      <c r="T260" s="606"/>
      <c r="U260" s="606"/>
      <c r="V260" s="593">
        <f t="shared" si="134"/>
        <v>0</v>
      </c>
      <c r="W260" s="606"/>
      <c r="X260" s="606"/>
      <c r="Y260" s="606"/>
      <c r="Z260" s="606"/>
      <c r="AA260" s="606"/>
      <c r="AB260" s="606"/>
      <c r="AC260" s="607"/>
      <c r="AD260" s="606"/>
      <c r="AE260" s="608"/>
      <c r="AF260" s="639">
        <v>68</v>
      </c>
      <c r="AG260" s="639">
        <f t="shared" si="135"/>
        <v>68</v>
      </c>
      <c r="AH260" s="639">
        <f t="shared" si="147"/>
        <v>0</v>
      </c>
      <c r="AI260" s="640"/>
      <c r="AJ260" s="641">
        <f t="shared" si="148"/>
        <v>0</v>
      </c>
      <c r="AK260" s="642"/>
      <c r="AL260" s="642" t="s">
        <v>364</v>
      </c>
      <c r="AM260" s="643"/>
      <c r="AN260" s="642"/>
      <c r="AO260" s="644">
        <v>253</v>
      </c>
      <c r="AP260" s="565"/>
      <c r="AQ260" s="566"/>
      <c r="AR260" s="566"/>
      <c r="AS260" s="566"/>
      <c r="AT260" s="566"/>
      <c r="AU260" s="566"/>
      <c r="AV260" s="566"/>
      <c r="AW260" s="566"/>
      <c r="AX260" s="566"/>
      <c r="AY260" s="566"/>
      <c r="AZ260" s="566"/>
      <c r="BA260" s="566"/>
      <c r="BB260" s="566"/>
      <c r="BC260" s="566"/>
      <c r="BD260" s="566"/>
      <c r="BE260" s="566"/>
      <c r="BF260" s="566"/>
      <c r="BG260" s="566"/>
    </row>
    <row r="261" spans="1:59">
      <c r="A261" s="591"/>
      <c r="B261" s="609"/>
      <c r="C261" s="609"/>
      <c r="D261" s="594">
        <v>1</v>
      </c>
      <c r="E261" s="595" t="s">
        <v>366</v>
      </c>
      <c r="F261" s="593" t="s">
        <v>368</v>
      </c>
      <c r="G261" s="610" t="s">
        <v>496</v>
      </c>
      <c r="H261" s="610" t="s">
        <v>497</v>
      </c>
      <c r="I261" s="610"/>
      <c r="J261" s="610"/>
      <c r="K261" s="610"/>
      <c r="L261" s="611" t="s">
        <v>812</v>
      </c>
      <c r="M261" s="612">
        <f t="shared" si="164"/>
        <v>0</v>
      </c>
      <c r="N261" s="613"/>
      <c r="O261" s="614" t="s">
        <v>986</v>
      </c>
      <c r="P261" s="615">
        <v>100</v>
      </c>
      <c r="Q261" s="616">
        <f t="shared" si="171"/>
        <v>25</v>
      </c>
      <c r="R261" s="613"/>
      <c r="S261" s="603"/>
      <c r="T261" s="606"/>
      <c r="U261" s="606"/>
      <c r="V261" s="593">
        <f t="shared" si="134"/>
        <v>0</v>
      </c>
      <c r="W261" s="606"/>
      <c r="X261" s="606"/>
      <c r="Y261" s="606"/>
      <c r="Z261" s="606"/>
      <c r="AA261" s="606"/>
      <c r="AB261" s="606"/>
      <c r="AC261" s="607"/>
      <c r="AD261" s="606"/>
      <c r="AE261" s="608"/>
      <c r="AF261" s="639">
        <v>25</v>
      </c>
      <c r="AG261" s="639">
        <f t="shared" si="135"/>
        <v>25</v>
      </c>
      <c r="AH261" s="639">
        <f t="shared" si="147"/>
        <v>0</v>
      </c>
      <c r="AI261" s="640"/>
      <c r="AJ261" s="641">
        <f t="shared" si="148"/>
        <v>0</v>
      </c>
      <c r="AK261" s="642"/>
      <c r="AL261" s="642" t="s">
        <v>364</v>
      </c>
      <c r="AM261" s="643"/>
      <c r="AN261" s="642"/>
      <c r="AO261" s="644">
        <v>254</v>
      </c>
      <c r="AP261" s="565"/>
      <c r="AQ261" s="566"/>
      <c r="AR261" s="566"/>
      <c r="AS261" s="566"/>
      <c r="AT261" s="566"/>
      <c r="AU261" s="566"/>
      <c r="AV261" s="566"/>
      <c r="AW261" s="566"/>
      <c r="AX261" s="566"/>
      <c r="AY261" s="566"/>
      <c r="AZ261" s="566"/>
      <c r="BA261" s="566"/>
      <c r="BB261" s="566"/>
      <c r="BC261" s="566"/>
      <c r="BD261" s="566"/>
      <c r="BE261" s="566"/>
      <c r="BF261" s="566"/>
      <c r="BG261" s="566"/>
    </row>
    <row r="262" spans="1:59">
      <c r="A262" s="591"/>
      <c r="B262" s="609"/>
      <c r="C262" s="609"/>
      <c r="D262" s="594">
        <v>1</v>
      </c>
      <c r="E262" s="595" t="s">
        <v>366</v>
      </c>
      <c r="F262" s="593" t="s">
        <v>368</v>
      </c>
      <c r="G262" s="610" t="s">
        <v>496</v>
      </c>
      <c r="H262" s="610" t="s">
        <v>498</v>
      </c>
      <c r="I262" s="610"/>
      <c r="J262" s="610"/>
      <c r="K262" s="610"/>
      <c r="L262" s="611" t="s">
        <v>792</v>
      </c>
      <c r="M262" s="612">
        <f t="shared" si="164"/>
        <v>0</v>
      </c>
      <c r="N262" s="613"/>
      <c r="O262" s="614" t="s">
        <v>986</v>
      </c>
      <c r="P262" s="615">
        <v>100</v>
      </c>
      <c r="Q262" s="616">
        <f t="shared" si="171"/>
        <v>52</v>
      </c>
      <c r="R262" s="613"/>
      <c r="S262" s="603"/>
      <c r="T262" s="606"/>
      <c r="U262" s="606"/>
      <c r="V262" s="593">
        <f t="shared" si="134"/>
        <v>0</v>
      </c>
      <c r="W262" s="606"/>
      <c r="X262" s="606"/>
      <c r="Y262" s="606"/>
      <c r="Z262" s="606"/>
      <c r="AA262" s="606"/>
      <c r="AB262" s="606"/>
      <c r="AC262" s="607"/>
      <c r="AD262" s="606"/>
      <c r="AE262" s="608"/>
      <c r="AF262" s="639">
        <v>52</v>
      </c>
      <c r="AG262" s="639">
        <f t="shared" si="135"/>
        <v>52</v>
      </c>
      <c r="AH262" s="639">
        <f t="shared" si="147"/>
        <v>0</v>
      </c>
      <c r="AI262" s="640"/>
      <c r="AJ262" s="641">
        <f t="shared" si="148"/>
        <v>0</v>
      </c>
      <c r="AK262" s="642"/>
      <c r="AL262" s="642" t="s">
        <v>364</v>
      </c>
      <c r="AM262" s="643"/>
      <c r="AN262" s="642"/>
      <c r="AO262" s="644">
        <v>255</v>
      </c>
      <c r="AP262" s="565"/>
      <c r="AQ262" s="566"/>
      <c r="AR262" s="566"/>
      <c r="AS262" s="566"/>
      <c r="AT262" s="566"/>
      <c r="AU262" s="566"/>
      <c r="AV262" s="566"/>
      <c r="AW262" s="566"/>
      <c r="AX262" s="566"/>
      <c r="AY262" s="566"/>
      <c r="AZ262" s="566"/>
      <c r="BA262" s="566"/>
      <c r="BB262" s="566"/>
      <c r="BC262" s="566"/>
      <c r="BD262" s="566"/>
      <c r="BE262" s="566"/>
      <c r="BF262" s="566"/>
      <c r="BG262" s="566"/>
    </row>
    <row r="263" spans="1:59">
      <c r="A263" s="591"/>
      <c r="B263" s="609"/>
      <c r="C263" s="609"/>
      <c r="D263" s="594">
        <v>1</v>
      </c>
      <c r="E263" s="595" t="s">
        <v>366</v>
      </c>
      <c r="F263" s="593" t="s">
        <v>368</v>
      </c>
      <c r="G263" s="610" t="s">
        <v>496</v>
      </c>
      <c r="H263" s="610" t="s">
        <v>499</v>
      </c>
      <c r="I263" s="610"/>
      <c r="J263" s="610"/>
      <c r="K263" s="610"/>
      <c r="L263" s="611" t="s">
        <v>792</v>
      </c>
      <c r="M263" s="612">
        <f t="shared" si="164"/>
        <v>0</v>
      </c>
      <c r="N263" s="613"/>
      <c r="O263" s="614" t="s">
        <v>986</v>
      </c>
      <c r="P263" s="615">
        <v>100</v>
      </c>
      <c r="Q263" s="616">
        <f t="shared" si="171"/>
        <v>25</v>
      </c>
      <c r="R263" s="613"/>
      <c r="S263" s="603"/>
      <c r="T263" s="606"/>
      <c r="U263" s="606"/>
      <c r="V263" s="593">
        <f t="shared" si="134"/>
        <v>0</v>
      </c>
      <c r="W263" s="606"/>
      <c r="X263" s="606"/>
      <c r="Y263" s="606"/>
      <c r="Z263" s="606"/>
      <c r="AA263" s="606"/>
      <c r="AB263" s="606"/>
      <c r="AC263" s="607"/>
      <c r="AD263" s="606"/>
      <c r="AE263" s="608"/>
      <c r="AF263" s="639">
        <v>25</v>
      </c>
      <c r="AG263" s="639">
        <f t="shared" si="135"/>
        <v>25</v>
      </c>
      <c r="AH263" s="639">
        <f t="shared" si="147"/>
        <v>0</v>
      </c>
      <c r="AI263" s="640"/>
      <c r="AJ263" s="641">
        <f t="shared" si="148"/>
        <v>0</v>
      </c>
      <c r="AK263" s="642"/>
      <c r="AL263" s="642" t="s">
        <v>364</v>
      </c>
      <c r="AM263" s="643"/>
      <c r="AN263" s="642"/>
      <c r="AO263" s="644">
        <v>256</v>
      </c>
      <c r="AP263" s="565"/>
      <c r="AQ263" s="566"/>
      <c r="AR263" s="566"/>
      <c r="AS263" s="566"/>
      <c r="AT263" s="566"/>
      <c r="AU263" s="566"/>
      <c r="AV263" s="566"/>
      <c r="AW263" s="566"/>
      <c r="AX263" s="566"/>
      <c r="AY263" s="566"/>
      <c r="AZ263" s="566"/>
      <c r="BA263" s="566"/>
      <c r="BB263" s="566"/>
      <c r="BC263" s="566"/>
      <c r="BD263" s="566"/>
      <c r="BE263" s="566"/>
      <c r="BF263" s="566"/>
      <c r="BG263" s="566"/>
    </row>
    <row r="264" spans="1:59">
      <c r="A264" s="591"/>
      <c r="B264" s="609"/>
      <c r="C264" s="609"/>
      <c r="D264" s="594">
        <v>1</v>
      </c>
      <c r="E264" s="595" t="s">
        <v>366</v>
      </c>
      <c r="F264" s="593" t="s">
        <v>368</v>
      </c>
      <c r="G264" s="610" t="s">
        <v>496</v>
      </c>
      <c r="H264" s="610" t="s">
        <v>500</v>
      </c>
      <c r="I264" s="610"/>
      <c r="J264" s="610"/>
      <c r="K264" s="610"/>
      <c r="L264" s="611" t="s">
        <v>792</v>
      </c>
      <c r="M264" s="612">
        <f t="shared" si="164"/>
        <v>0</v>
      </c>
      <c r="N264" s="613"/>
      <c r="O264" s="614" t="s">
        <v>986</v>
      </c>
      <c r="P264" s="615">
        <v>100</v>
      </c>
      <c r="Q264" s="616">
        <f t="shared" si="171"/>
        <v>52</v>
      </c>
      <c r="R264" s="613"/>
      <c r="S264" s="603"/>
      <c r="T264" s="606"/>
      <c r="U264" s="606"/>
      <c r="V264" s="593">
        <f t="shared" si="134"/>
        <v>0</v>
      </c>
      <c r="W264" s="606"/>
      <c r="X264" s="606"/>
      <c r="Y264" s="606"/>
      <c r="Z264" s="606"/>
      <c r="AA264" s="606"/>
      <c r="AB264" s="606"/>
      <c r="AC264" s="607"/>
      <c r="AD264" s="606"/>
      <c r="AE264" s="608"/>
      <c r="AF264" s="639">
        <v>52</v>
      </c>
      <c r="AG264" s="639">
        <f t="shared" si="135"/>
        <v>52</v>
      </c>
      <c r="AH264" s="639">
        <f t="shared" si="147"/>
        <v>0</v>
      </c>
      <c r="AI264" s="640"/>
      <c r="AJ264" s="641">
        <f t="shared" si="148"/>
        <v>0</v>
      </c>
      <c r="AK264" s="642"/>
      <c r="AL264" s="642" t="s">
        <v>364</v>
      </c>
      <c r="AM264" s="643"/>
      <c r="AN264" s="642"/>
      <c r="AO264" s="644">
        <v>257</v>
      </c>
      <c r="AP264" s="565"/>
      <c r="AQ264" s="566"/>
      <c r="AR264" s="566"/>
      <c r="AS264" s="566"/>
      <c r="AT264" s="566"/>
      <c r="AU264" s="566"/>
      <c r="AV264" s="566"/>
      <c r="AW264" s="566"/>
      <c r="AX264" s="566"/>
      <c r="AY264" s="566"/>
      <c r="AZ264" s="566"/>
      <c r="BA264" s="566"/>
      <c r="BB264" s="566"/>
      <c r="BC264" s="566"/>
      <c r="BD264" s="566"/>
      <c r="BE264" s="566"/>
      <c r="BF264" s="566"/>
      <c r="BG264" s="566"/>
    </row>
    <row r="265" spans="1:59">
      <c r="A265" s="591"/>
      <c r="B265" s="592"/>
      <c r="C265" s="593"/>
      <c r="D265" s="594">
        <v>1</v>
      </c>
      <c r="E265" s="595" t="s">
        <v>366</v>
      </c>
      <c r="F265" s="593" t="s">
        <v>369</v>
      </c>
      <c r="G265" s="596">
        <v>317</v>
      </c>
      <c r="H265" s="596" t="s">
        <v>1012</v>
      </c>
      <c r="I265" s="596"/>
      <c r="J265" s="596"/>
      <c r="K265" s="596"/>
      <c r="L265" s="591" t="s">
        <v>1013</v>
      </c>
      <c r="M265" s="597" t="str">
        <f t="shared" si="164"/>
        <v>Onderwijsruimte (theorie)</v>
      </c>
      <c r="N265" s="591" t="s">
        <v>78</v>
      </c>
      <c r="O265" s="598"/>
      <c r="P265" s="599"/>
      <c r="Q265" s="600">
        <f t="shared" si="171"/>
        <v>0</v>
      </c>
      <c r="R265" s="601">
        <f>AF265</f>
        <v>36</v>
      </c>
      <c r="S265" s="647">
        <v>102200</v>
      </c>
      <c r="T265" s="602"/>
      <c r="U265" s="645">
        <v>1</v>
      </c>
      <c r="V265" s="593">
        <f t="shared" si="134"/>
        <v>200</v>
      </c>
      <c r="W265" s="604">
        <f>Z265*R265*U265</f>
        <v>0</v>
      </c>
      <c r="X265" s="604">
        <f>AA265*R265</f>
        <v>0</v>
      </c>
      <c r="Y265" s="604">
        <f>AB265*R265</f>
        <v>0</v>
      </c>
      <c r="Z265" s="605">
        <f>VLOOKUP(S265,Kengetal,6,FALSE)</f>
        <v>0</v>
      </c>
      <c r="AA265" s="751">
        <f>VLOOKUP(S265,Kengetal,7,FALSE)</f>
        <v>0</v>
      </c>
      <c r="AB265" s="605">
        <f>VLOOKUP(T265,Kengetal,6,FALSE)</f>
        <v>0</v>
      </c>
      <c r="AC265" s="607"/>
      <c r="AD265" s="591" t="str">
        <f>AL265</f>
        <v>Friesland College</v>
      </c>
      <c r="AE265" s="608"/>
      <c r="AF265" s="639">
        <v>36</v>
      </c>
      <c r="AG265" s="639">
        <f t="shared" si="135"/>
        <v>36</v>
      </c>
      <c r="AH265" s="639">
        <f t="shared" si="147"/>
        <v>0</v>
      </c>
      <c r="AI265" s="640"/>
      <c r="AJ265" s="641">
        <f t="shared" si="148"/>
        <v>0</v>
      </c>
      <c r="AK265" s="642"/>
      <c r="AL265" s="642" t="s">
        <v>364</v>
      </c>
      <c r="AM265" s="643"/>
      <c r="AN265" s="642"/>
      <c r="AO265" s="644">
        <v>258</v>
      </c>
      <c r="AP265" s="565"/>
      <c r="AQ265" s="566"/>
      <c r="AR265" s="566"/>
      <c r="AS265" s="566"/>
      <c r="AT265" s="566"/>
      <c r="AU265" s="566"/>
      <c r="AV265" s="566"/>
      <c r="AW265" s="566"/>
      <c r="AX265" s="566"/>
      <c r="AY265" s="566"/>
      <c r="AZ265" s="566"/>
      <c r="BA265" s="566"/>
      <c r="BB265" s="566"/>
      <c r="BC265" s="566"/>
      <c r="BD265" s="566"/>
      <c r="BE265" s="566"/>
      <c r="BF265" s="566"/>
      <c r="BG265" s="566"/>
    </row>
    <row r="266" spans="1:59">
      <c r="A266" s="591"/>
      <c r="B266" s="618"/>
      <c r="C266" s="609"/>
      <c r="D266" s="594">
        <v>1</v>
      </c>
      <c r="E266" s="595" t="s">
        <v>366</v>
      </c>
      <c r="F266" s="593" t="s">
        <v>369</v>
      </c>
      <c r="G266" s="610">
        <v>317</v>
      </c>
      <c r="H266" s="610" t="s">
        <v>1012</v>
      </c>
      <c r="I266" s="610"/>
      <c r="J266" s="610"/>
      <c r="K266" s="610"/>
      <c r="L266" s="611" t="s">
        <v>1013</v>
      </c>
      <c r="M266" s="612">
        <f t="shared" ref="M266:M296" si="175">VLOOKUP(S266,Kengetal,4,FALSE)</f>
        <v>0</v>
      </c>
      <c r="N266" s="613"/>
      <c r="O266" s="614" t="s">
        <v>988</v>
      </c>
      <c r="P266" s="615">
        <v>100</v>
      </c>
      <c r="Q266" s="616">
        <f t="shared" si="171"/>
        <v>36</v>
      </c>
      <c r="R266" s="613"/>
      <c r="S266" s="603"/>
      <c r="T266" s="606"/>
      <c r="U266" s="606"/>
      <c r="V266" s="593">
        <f t="shared" si="134"/>
        <v>0</v>
      </c>
      <c r="W266" s="606"/>
      <c r="X266" s="606"/>
      <c r="Y266" s="606"/>
      <c r="Z266" s="606"/>
      <c r="AA266" s="606"/>
      <c r="AB266" s="606"/>
      <c r="AC266" s="607"/>
      <c r="AD266" s="606"/>
      <c r="AE266" s="608"/>
      <c r="AF266" s="639">
        <v>36</v>
      </c>
      <c r="AG266" s="639">
        <f t="shared" si="135"/>
        <v>36</v>
      </c>
      <c r="AH266" s="639">
        <f t="shared" si="147"/>
        <v>0</v>
      </c>
      <c r="AI266" s="640"/>
      <c r="AJ266" s="641">
        <f t="shared" si="148"/>
        <v>0</v>
      </c>
      <c r="AK266" s="642"/>
      <c r="AL266" s="642" t="s">
        <v>364</v>
      </c>
      <c r="AM266" s="643"/>
      <c r="AN266" s="642"/>
      <c r="AO266" s="644">
        <v>259</v>
      </c>
      <c r="AP266" s="565"/>
      <c r="AQ266" s="566"/>
      <c r="AR266" s="566"/>
      <c r="AS266" s="566"/>
      <c r="AT266" s="566"/>
      <c r="AU266" s="566"/>
      <c r="AV266" s="566"/>
      <c r="AW266" s="566"/>
      <c r="AX266" s="566"/>
      <c r="AY266" s="566"/>
      <c r="AZ266" s="566"/>
      <c r="BA266" s="566"/>
      <c r="BB266" s="566"/>
      <c r="BC266" s="566"/>
      <c r="BD266" s="566"/>
      <c r="BE266" s="566"/>
      <c r="BF266" s="566"/>
      <c r="BG266" s="566"/>
    </row>
    <row r="267" spans="1:59">
      <c r="A267" s="591"/>
      <c r="B267" s="592"/>
      <c r="C267" s="593"/>
      <c r="D267" s="594">
        <v>1</v>
      </c>
      <c r="E267" s="595" t="s">
        <v>366</v>
      </c>
      <c r="F267" s="593" t="s">
        <v>369</v>
      </c>
      <c r="G267" s="596">
        <v>318</v>
      </c>
      <c r="H267" s="596" t="s">
        <v>548</v>
      </c>
      <c r="I267" s="596"/>
      <c r="J267" s="596"/>
      <c r="K267" s="596"/>
      <c r="L267" s="591" t="s">
        <v>834</v>
      </c>
      <c r="M267" s="597" t="str">
        <f t="shared" si="175"/>
        <v>Onderwijsruimte (theorie)</v>
      </c>
      <c r="N267" s="591" t="s">
        <v>78</v>
      </c>
      <c r="O267" s="598"/>
      <c r="P267" s="599"/>
      <c r="Q267" s="600">
        <f t="shared" si="171"/>
        <v>0</v>
      </c>
      <c r="R267" s="601">
        <f>AF267</f>
        <v>54</v>
      </c>
      <c r="S267" s="647">
        <v>102200</v>
      </c>
      <c r="T267" s="602"/>
      <c r="U267" s="645">
        <v>1</v>
      </c>
      <c r="V267" s="593">
        <f t="shared" ref="V267" si="176">VLOOKUP(S267,Kengetal,3,FALSE)+VLOOKUP(T267,Kengetal,3,FALSE)</f>
        <v>200</v>
      </c>
      <c r="W267" s="604">
        <f>Z267*R267*U267</f>
        <v>0</v>
      </c>
      <c r="X267" s="604">
        <f>AA267*R267</f>
        <v>0</v>
      </c>
      <c r="Y267" s="604">
        <f>AB267*R267</f>
        <v>0</v>
      </c>
      <c r="Z267" s="605">
        <f>VLOOKUP(S267,Kengetal,6,FALSE)</f>
        <v>0</v>
      </c>
      <c r="AA267" s="751">
        <f>VLOOKUP(S267,Kengetal,7,FALSE)</f>
        <v>0</v>
      </c>
      <c r="AB267" s="605">
        <f>VLOOKUP(T267,Kengetal,6,FALSE)</f>
        <v>0</v>
      </c>
      <c r="AC267" s="607"/>
      <c r="AD267" s="591" t="str">
        <f>AL267</f>
        <v>Friesland College</v>
      </c>
      <c r="AE267" s="608"/>
      <c r="AF267" s="639">
        <v>54</v>
      </c>
      <c r="AG267" s="639">
        <f t="shared" ref="AG267:AG330" si="177">IF(AND(C267="t"),-AF267,IF(AND(C267="v"),-AF267,IF(AND(C267="W"),-AF267,IF(AND(C267=""),AF267))))</f>
        <v>54</v>
      </c>
      <c r="AH267" s="639">
        <f t="shared" si="147"/>
        <v>0</v>
      </c>
      <c r="AI267" s="640"/>
      <c r="AJ267" s="641">
        <f t="shared" si="148"/>
        <v>0</v>
      </c>
      <c r="AK267" s="642"/>
      <c r="AL267" s="642" t="s">
        <v>364</v>
      </c>
      <c r="AM267" s="643"/>
      <c r="AN267" s="642"/>
      <c r="AO267" s="644">
        <v>260</v>
      </c>
      <c r="AP267" s="565"/>
      <c r="AQ267" s="566"/>
      <c r="AR267" s="566"/>
      <c r="AS267" s="566"/>
      <c r="AT267" s="566"/>
      <c r="AU267" s="566"/>
      <c r="AV267" s="566"/>
      <c r="AW267" s="566"/>
      <c r="AX267" s="566"/>
      <c r="AY267" s="566"/>
      <c r="AZ267" s="566"/>
      <c r="BA267" s="566"/>
      <c r="BB267" s="566"/>
      <c r="BC267" s="566"/>
      <c r="BD267" s="566"/>
      <c r="BE267" s="566"/>
      <c r="BF267" s="566"/>
      <c r="BG267" s="566"/>
    </row>
    <row r="268" spans="1:59">
      <c r="A268" s="591"/>
      <c r="B268" s="618"/>
      <c r="C268" s="609"/>
      <c r="D268" s="594">
        <v>1</v>
      </c>
      <c r="E268" s="595" t="s">
        <v>366</v>
      </c>
      <c r="F268" s="593" t="s">
        <v>369</v>
      </c>
      <c r="G268" s="610">
        <v>318</v>
      </c>
      <c r="H268" s="610" t="s">
        <v>549</v>
      </c>
      <c r="I268" s="610"/>
      <c r="J268" s="610"/>
      <c r="K268" s="610"/>
      <c r="L268" s="611" t="s">
        <v>834</v>
      </c>
      <c r="M268" s="612">
        <f t="shared" si="175"/>
        <v>0</v>
      </c>
      <c r="N268" s="613"/>
      <c r="O268" s="614" t="s">
        <v>988</v>
      </c>
      <c r="P268" s="615">
        <v>100</v>
      </c>
      <c r="Q268" s="616">
        <f t="shared" si="171"/>
        <v>54</v>
      </c>
      <c r="R268" s="613"/>
      <c r="S268" s="603"/>
      <c r="T268" s="606"/>
      <c r="U268" s="606"/>
      <c r="V268" s="593">
        <f t="shared" ref="V268:V330" si="178">VLOOKUP(S268,Kengetal,3,FALSE)+VLOOKUP(T268,Kengetal,3,FALSE)</f>
        <v>0</v>
      </c>
      <c r="W268" s="606"/>
      <c r="X268" s="606"/>
      <c r="Y268" s="606"/>
      <c r="Z268" s="606"/>
      <c r="AA268" s="606"/>
      <c r="AB268" s="606"/>
      <c r="AC268" s="607"/>
      <c r="AD268" s="606"/>
      <c r="AE268" s="608"/>
      <c r="AF268" s="639">
        <v>54</v>
      </c>
      <c r="AG268" s="639">
        <f t="shared" si="177"/>
        <v>54</v>
      </c>
      <c r="AH268" s="639">
        <f t="shared" si="147"/>
        <v>0</v>
      </c>
      <c r="AI268" s="640"/>
      <c r="AJ268" s="641">
        <f t="shared" si="148"/>
        <v>0</v>
      </c>
      <c r="AK268" s="642"/>
      <c r="AL268" s="642" t="s">
        <v>364</v>
      </c>
      <c r="AM268" s="642"/>
      <c r="AN268" s="642"/>
      <c r="AO268" s="644">
        <v>261</v>
      </c>
      <c r="AP268" s="565"/>
      <c r="AQ268" s="566"/>
      <c r="AR268" s="566"/>
      <c r="AS268" s="566"/>
      <c r="AT268" s="566"/>
      <c r="AU268" s="566"/>
      <c r="AV268" s="566"/>
      <c r="AW268" s="566"/>
      <c r="AX268" s="566"/>
      <c r="AY268" s="566"/>
      <c r="AZ268" s="566"/>
      <c r="BA268" s="566"/>
      <c r="BB268" s="566"/>
      <c r="BC268" s="566"/>
      <c r="BD268" s="566"/>
      <c r="BE268" s="566"/>
      <c r="BF268" s="566"/>
      <c r="BG268" s="566"/>
    </row>
    <row r="269" spans="1:59">
      <c r="A269" s="591"/>
      <c r="B269" s="618"/>
      <c r="C269" s="609"/>
      <c r="D269" s="594">
        <v>1</v>
      </c>
      <c r="E269" s="595" t="s">
        <v>366</v>
      </c>
      <c r="F269" s="593" t="s">
        <v>369</v>
      </c>
      <c r="G269" s="610">
        <v>322</v>
      </c>
      <c r="H269" s="610" t="s">
        <v>581</v>
      </c>
      <c r="I269" s="610"/>
      <c r="J269" s="610"/>
      <c r="K269" s="610"/>
      <c r="L269" s="611" t="s">
        <v>1014</v>
      </c>
      <c r="M269" s="612">
        <f t="shared" si="175"/>
        <v>0</v>
      </c>
      <c r="N269" s="613"/>
      <c r="O269" s="614" t="s">
        <v>988</v>
      </c>
      <c r="P269" s="615">
        <v>100</v>
      </c>
      <c r="Q269" s="616">
        <f t="shared" si="171"/>
        <v>94</v>
      </c>
      <c r="R269" s="613"/>
      <c r="S269" s="603"/>
      <c r="T269" s="606"/>
      <c r="U269" s="606"/>
      <c r="V269" s="593">
        <f t="shared" si="178"/>
        <v>0</v>
      </c>
      <c r="W269" s="606"/>
      <c r="X269" s="606"/>
      <c r="Y269" s="606"/>
      <c r="Z269" s="606"/>
      <c r="AA269" s="606"/>
      <c r="AB269" s="606"/>
      <c r="AC269" s="607"/>
      <c r="AD269" s="606"/>
      <c r="AE269" s="608"/>
      <c r="AF269" s="639">
        <v>94</v>
      </c>
      <c r="AG269" s="639">
        <f t="shared" si="177"/>
        <v>94</v>
      </c>
      <c r="AH269" s="639">
        <f t="shared" si="147"/>
        <v>0</v>
      </c>
      <c r="AI269" s="640"/>
      <c r="AJ269" s="641">
        <f t="shared" si="148"/>
        <v>0</v>
      </c>
      <c r="AK269" s="642"/>
      <c r="AL269" s="642" t="s">
        <v>364</v>
      </c>
      <c r="AM269" s="643"/>
      <c r="AN269" s="642"/>
      <c r="AO269" s="644">
        <v>262</v>
      </c>
      <c r="AP269" s="565"/>
      <c r="AQ269" s="566"/>
      <c r="AR269" s="566"/>
      <c r="AS269" s="566"/>
      <c r="AT269" s="566"/>
      <c r="AU269" s="566"/>
      <c r="AV269" s="566"/>
      <c r="AW269" s="566"/>
      <c r="AX269" s="566"/>
      <c r="AY269" s="566"/>
      <c r="AZ269" s="566"/>
      <c r="BA269" s="566"/>
      <c r="BB269" s="566"/>
      <c r="BC269" s="566"/>
      <c r="BD269" s="566"/>
      <c r="BE269" s="566"/>
      <c r="BF269" s="566"/>
      <c r="BG269" s="566"/>
    </row>
    <row r="270" spans="1:59">
      <c r="A270" s="591"/>
      <c r="B270" s="618"/>
      <c r="C270" s="609"/>
      <c r="D270" s="594">
        <v>1</v>
      </c>
      <c r="E270" s="595" t="s">
        <v>366</v>
      </c>
      <c r="F270" s="593" t="s">
        <v>369</v>
      </c>
      <c r="G270" s="610">
        <v>323</v>
      </c>
      <c r="H270" s="610" t="s">
        <v>565</v>
      </c>
      <c r="I270" s="610"/>
      <c r="J270" s="610"/>
      <c r="K270" s="610"/>
      <c r="L270" s="611" t="s">
        <v>1015</v>
      </c>
      <c r="M270" s="612">
        <f t="shared" si="175"/>
        <v>0</v>
      </c>
      <c r="N270" s="613"/>
      <c r="O270" s="614" t="s">
        <v>988</v>
      </c>
      <c r="P270" s="615">
        <v>100</v>
      </c>
      <c r="Q270" s="616">
        <f t="shared" si="171"/>
        <v>18</v>
      </c>
      <c r="R270" s="613"/>
      <c r="S270" s="603"/>
      <c r="T270" s="606"/>
      <c r="U270" s="606"/>
      <c r="V270" s="593">
        <f t="shared" si="178"/>
        <v>0</v>
      </c>
      <c r="W270" s="606"/>
      <c r="X270" s="606"/>
      <c r="Y270" s="606"/>
      <c r="Z270" s="606"/>
      <c r="AA270" s="606"/>
      <c r="AB270" s="606"/>
      <c r="AC270" s="607"/>
      <c r="AD270" s="606"/>
      <c r="AE270" s="608"/>
      <c r="AF270" s="639">
        <v>18</v>
      </c>
      <c r="AG270" s="639">
        <f t="shared" si="177"/>
        <v>18</v>
      </c>
      <c r="AH270" s="639">
        <f t="shared" si="147"/>
        <v>0</v>
      </c>
      <c r="AI270" s="640"/>
      <c r="AJ270" s="641">
        <f t="shared" si="148"/>
        <v>0</v>
      </c>
      <c r="AK270" s="642"/>
      <c r="AL270" s="642" t="s">
        <v>364</v>
      </c>
      <c r="AM270" s="643"/>
      <c r="AN270" s="642"/>
      <c r="AO270" s="644">
        <v>263</v>
      </c>
      <c r="AP270" s="565"/>
      <c r="AQ270" s="566"/>
      <c r="AR270" s="566"/>
      <c r="AS270" s="566"/>
      <c r="AT270" s="566"/>
      <c r="AU270" s="566"/>
      <c r="AV270" s="566"/>
      <c r="AW270" s="566"/>
      <c r="AX270" s="566"/>
      <c r="AY270" s="566"/>
      <c r="AZ270" s="566"/>
      <c r="BA270" s="566"/>
      <c r="BB270" s="566"/>
      <c r="BC270" s="566"/>
      <c r="BD270" s="566"/>
      <c r="BE270" s="566"/>
      <c r="BF270" s="566"/>
      <c r="BG270" s="566"/>
    </row>
    <row r="271" spans="1:59">
      <c r="A271" s="591"/>
      <c r="B271" s="592"/>
      <c r="C271" s="593"/>
      <c r="D271" s="594">
        <v>1</v>
      </c>
      <c r="E271" s="595" t="s">
        <v>366</v>
      </c>
      <c r="F271" s="593" t="s">
        <v>369</v>
      </c>
      <c r="G271" s="596">
        <v>328</v>
      </c>
      <c r="H271" s="596" t="s">
        <v>550</v>
      </c>
      <c r="I271" s="596"/>
      <c r="J271" s="596"/>
      <c r="K271" s="596"/>
      <c r="L271" s="591" t="s">
        <v>835</v>
      </c>
      <c r="M271" s="597" t="str">
        <f t="shared" si="175"/>
        <v>Onderwijsruimte (theorie)</v>
      </c>
      <c r="N271" s="591" t="s">
        <v>323</v>
      </c>
      <c r="O271" s="598"/>
      <c r="P271" s="599"/>
      <c r="Q271" s="600">
        <f t="shared" si="171"/>
        <v>0</v>
      </c>
      <c r="R271" s="601">
        <f>AF271</f>
        <v>320</v>
      </c>
      <c r="S271" s="647">
        <v>102200</v>
      </c>
      <c r="T271" s="602"/>
      <c r="U271" s="645">
        <v>1</v>
      </c>
      <c r="V271" s="593">
        <f t="shared" si="178"/>
        <v>200</v>
      </c>
      <c r="W271" s="604">
        <f>Z271*R271*U271</f>
        <v>0</v>
      </c>
      <c r="X271" s="604">
        <f>AA271*R271</f>
        <v>0</v>
      </c>
      <c r="Y271" s="604">
        <f>AB271*R271</f>
        <v>0</v>
      </c>
      <c r="Z271" s="605">
        <f>VLOOKUP(S271,Kengetal,6,FALSE)</f>
        <v>0</v>
      </c>
      <c r="AA271" s="751">
        <f>VLOOKUP(S271,Kengetal,7,FALSE)</f>
        <v>0</v>
      </c>
      <c r="AB271" s="605">
        <f>VLOOKUP(T271,Kengetal,6,FALSE)</f>
        <v>0</v>
      </c>
      <c r="AC271" s="607"/>
      <c r="AD271" s="591" t="str">
        <f>AL271</f>
        <v>Friesland College</v>
      </c>
      <c r="AE271" s="608"/>
      <c r="AF271" s="639">
        <v>320</v>
      </c>
      <c r="AG271" s="639">
        <f t="shared" si="177"/>
        <v>320</v>
      </c>
      <c r="AH271" s="639">
        <f t="shared" ref="AH271:AH310" si="179">IF(B271=0,0,MONTH(B271))</f>
        <v>0</v>
      </c>
      <c r="AI271" s="640"/>
      <c r="AJ271" s="641">
        <f t="shared" ref="AJ271:AJ310" si="180">W271+X271</f>
        <v>0</v>
      </c>
      <c r="AK271" s="642"/>
      <c r="AL271" s="642" t="s">
        <v>364</v>
      </c>
      <c r="AM271" s="642"/>
      <c r="AN271" s="642"/>
      <c r="AO271" s="644">
        <v>264</v>
      </c>
      <c r="AP271" s="565"/>
      <c r="AQ271" s="566"/>
      <c r="AR271" s="566"/>
      <c r="AS271" s="566"/>
      <c r="AT271" s="566"/>
      <c r="AU271" s="566"/>
      <c r="AV271" s="566"/>
      <c r="AW271" s="566"/>
      <c r="AX271" s="566"/>
      <c r="AY271" s="566"/>
      <c r="AZ271" s="566"/>
      <c r="BA271" s="566"/>
      <c r="BB271" s="566"/>
      <c r="BC271" s="566"/>
      <c r="BD271" s="566"/>
      <c r="BE271" s="566"/>
      <c r="BF271" s="566"/>
      <c r="BG271" s="566"/>
    </row>
    <row r="272" spans="1:59">
      <c r="A272" s="591"/>
      <c r="B272" s="618"/>
      <c r="C272" s="609"/>
      <c r="D272" s="594">
        <v>1</v>
      </c>
      <c r="E272" s="595" t="s">
        <v>366</v>
      </c>
      <c r="F272" s="593" t="s">
        <v>369</v>
      </c>
      <c r="G272" s="610">
        <v>328</v>
      </c>
      <c r="H272" s="610" t="s">
        <v>550</v>
      </c>
      <c r="I272" s="610"/>
      <c r="J272" s="610"/>
      <c r="K272" s="610"/>
      <c r="L272" s="611" t="s">
        <v>835</v>
      </c>
      <c r="M272" s="612">
        <f t="shared" si="175"/>
        <v>0</v>
      </c>
      <c r="N272" s="613"/>
      <c r="O272" s="614" t="s">
        <v>986</v>
      </c>
      <c r="P272" s="615">
        <v>100</v>
      </c>
      <c r="Q272" s="616">
        <f t="shared" si="171"/>
        <v>320</v>
      </c>
      <c r="R272" s="613"/>
      <c r="S272" s="603"/>
      <c r="T272" s="606"/>
      <c r="U272" s="606"/>
      <c r="V272" s="593">
        <f t="shared" si="178"/>
        <v>0</v>
      </c>
      <c r="W272" s="606"/>
      <c r="X272" s="606"/>
      <c r="Y272" s="606"/>
      <c r="Z272" s="606"/>
      <c r="AA272" s="606"/>
      <c r="AB272" s="606"/>
      <c r="AC272" s="607"/>
      <c r="AD272" s="606"/>
      <c r="AE272" s="608"/>
      <c r="AF272" s="639">
        <v>320</v>
      </c>
      <c r="AG272" s="639">
        <f t="shared" si="177"/>
        <v>320</v>
      </c>
      <c r="AH272" s="639">
        <f t="shared" si="179"/>
        <v>0</v>
      </c>
      <c r="AI272" s="640"/>
      <c r="AJ272" s="641">
        <f t="shared" si="180"/>
        <v>0</v>
      </c>
      <c r="AK272" s="642"/>
      <c r="AL272" s="642" t="s">
        <v>364</v>
      </c>
      <c r="AM272" s="642"/>
      <c r="AN272" s="642"/>
      <c r="AO272" s="644">
        <v>265</v>
      </c>
      <c r="AP272" s="565"/>
      <c r="AQ272" s="566"/>
      <c r="AR272" s="566"/>
      <c r="AS272" s="566"/>
      <c r="AT272" s="566"/>
      <c r="AU272" s="566"/>
      <c r="AV272" s="566"/>
      <c r="AW272" s="566"/>
      <c r="AX272" s="566"/>
      <c r="AY272" s="566"/>
      <c r="AZ272" s="566"/>
      <c r="BA272" s="566"/>
      <c r="BB272" s="566"/>
      <c r="BC272" s="566"/>
      <c r="BD272" s="566"/>
      <c r="BE272" s="566"/>
      <c r="BF272" s="566"/>
      <c r="BG272" s="566"/>
    </row>
    <row r="273" spans="1:59">
      <c r="A273" s="591"/>
      <c r="B273" s="592"/>
      <c r="C273" s="593"/>
      <c r="D273" s="594">
        <v>1</v>
      </c>
      <c r="E273" s="595" t="s">
        <v>366</v>
      </c>
      <c r="F273" s="593" t="s">
        <v>369</v>
      </c>
      <c r="G273" s="596" t="s">
        <v>551</v>
      </c>
      <c r="H273" s="596"/>
      <c r="I273" s="596"/>
      <c r="J273" s="596"/>
      <c r="K273" s="596"/>
      <c r="L273" s="591" t="s">
        <v>836</v>
      </c>
      <c r="M273" s="597" t="str">
        <f t="shared" si="175"/>
        <v>Op afroep (in overleg)</v>
      </c>
      <c r="N273" s="591" t="s">
        <v>938</v>
      </c>
      <c r="O273" s="598"/>
      <c r="P273" s="599"/>
      <c r="Q273" s="600">
        <f t="shared" si="171"/>
        <v>0</v>
      </c>
      <c r="R273" s="601">
        <f>AF273</f>
        <v>22</v>
      </c>
      <c r="S273" s="603" t="s">
        <v>959</v>
      </c>
      <c r="T273" s="602"/>
      <c r="U273" s="603"/>
      <c r="V273" s="593">
        <f t="shared" si="178"/>
        <v>0</v>
      </c>
      <c r="W273" s="604">
        <f t="shared" ref="W273:W275" si="181">Z273*R273*U273</f>
        <v>0</v>
      </c>
      <c r="X273" s="604">
        <f t="shared" ref="X273:X275" si="182">AA273*R273</f>
        <v>0</v>
      </c>
      <c r="Y273" s="604">
        <f t="shared" ref="Y273:Y275" si="183">AB273*R273</f>
        <v>0</v>
      </c>
      <c r="Z273" s="605">
        <f>VLOOKUP(S273,Kengetal,6,FALSE)</f>
        <v>0</v>
      </c>
      <c r="AA273" s="751">
        <f>VLOOKUP(S273,Kengetal,7,FALSE)</f>
        <v>0</v>
      </c>
      <c r="AB273" s="605">
        <f>VLOOKUP(T273,Kengetal,6,FALSE)</f>
        <v>0</v>
      </c>
      <c r="AC273" s="607"/>
      <c r="AD273" s="591" t="str">
        <f>AL273</f>
        <v>Friesland College</v>
      </c>
      <c r="AE273" s="608"/>
      <c r="AF273" s="639">
        <v>22</v>
      </c>
      <c r="AG273" s="639">
        <f t="shared" si="177"/>
        <v>22</v>
      </c>
      <c r="AH273" s="639">
        <f t="shared" si="179"/>
        <v>0</v>
      </c>
      <c r="AI273" s="640"/>
      <c r="AJ273" s="641">
        <f t="shared" si="180"/>
        <v>0</v>
      </c>
      <c r="AK273" s="642"/>
      <c r="AL273" s="642" t="s">
        <v>364</v>
      </c>
      <c r="AM273" s="643"/>
      <c r="AN273" s="642"/>
      <c r="AO273" s="644">
        <v>266</v>
      </c>
      <c r="AP273" s="565"/>
      <c r="AQ273" s="566"/>
      <c r="AR273" s="566"/>
      <c r="AS273" s="566"/>
      <c r="AT273" s="566"/>
      <c r="AU273" s="566"/>
      <c r="AV273" s="566"/>
      <c r="AW273" s="566"/>
      <c r="AX273" s="566"/>
      <c r="AY273" s="566"/>
      <c r="AZ273" s="566"/>
      <c r="BA273" s="566"/>
      <c r="BB273" s="566"/>
      <c r="BC273" s="566"/>
      <c r="BD273" s="566"/>
      <c r="BE273" s="566"/>
      <c r="BF273" s="566"/>
      <c r="BG273" s="566"/>
    </row>
    <row r="274" spans="1:59">
      <c r="A274" s="591"/>
      <c r="B274" s="592"/>
      <c r="C274" s="593"/>
      <c r="D274" s="594">
        <v>1</v>
      </c>
      <c r="E274" s="595" t="s">
        <v>366</v>
      </c>
      <c r="F274" s="593" t="s">
        <v>369</v>
      </c>
      <c r="G274" s="596" t="s">
        <v>552</v>
      </c>
      <c r="H274" s="596"/>
      <c r="I274" s="596"/>
      <c r="J274" s="596"/>
      <c r="K274" s="596"/>
      <c r="L274" s="591" t="s">
        <v>773</v>
      </c>
      <c r="M274" s="597" t="str">
        <f t="shared" si="175"/>
        <v>Sanitaire ruimte (toilet-/doucheruimte)</v>
      </c>
      <c r="N274" s="591" t="s">
        <v>85</v>
      </c>
      <c r="O274" s="598"/>
      <c r="P274" s="599"/>
      <c r="Q274" s="600">
        <f t="shared" si="171"/>
        <v>0</v>
      </c>
      <c r="R274" s="601">
        <f>AF274</f>
        <v>13</v>
      </c>
      <c r="S274" s="647">
        <v>103200</v>
      </c>
      <c r="T274" s="647">
        <v>103400</v>
      </c>
      <c r="U274" s="645">
        <v>1</v>
      </c>
      <c r="V274" s="593">
        <f t="shared" si="178"/>
        <v>400</v>
      </c>
      <c r="W274" s="604">
        <f t="shared" si="181"/>
        <v>0</v>
      </c>
      <c r="X274" s="604">
        <f t="shared" si="182"/>
        <v>0</v>
      </c>
      <c r="Y274" s="604">
        <f t="shared" si="183"/>
        <v>0</v>
      </c>
      <c r="Z274" s="605">
        <f>VLOOKUP(S274,Kengetal,6,FALSE)</f>
        <v>0</v>
      </c>
      <c r="AA274" s="751">
        <f>VLOOKUP(S274,Kengetal,7,FALSE)</f>
        <v>0</v>
      </c>
      <c r="AB274" s="605">
        <f>VLOOKUP(T274,Kengetal,6,FALSE)</f>
        <v>0</v>
      </c>
      <c r="AC274" s="607"/>
      <c r="AD274" s="591" t="str">
        <f>AL274</f>
        <v>Friesland College</v>
      </c>
      <c r="AE274" s="608"/>
      <c r="AF274" s="639">
        <v>13</v>
      </c>
      <c r="AG274" s="639">
        <f t="shared" si="177"/>
        <v>13</v>
      </c>
      <c r="AH274" s="639">
        <f t="shared" si="179"/>
        <v>0</v>
      </c>
      <c r="AI274" s="640"/>
      <c r="AJ274" s="641">
        <f t="shared" si="180"/>
        <v>0</v>
      </c>
      <c r="AK274" s="642"/>
      <c r="AL274" s="642" t="s">
        <v>364</v>
      </c>
      <c r="AM274" s="643"/>
      <c r="AN274" s="642"/>
      <c r="AO274" s="644">
        <v>267</v>
      </c>
      <c r="AP274" s="565"/>
      <c r="AQ274" s="566"/>
      <c r="AR274" s="566"/>
      <c r="AS274" s="566"/>
      <c r="AT274" s="566"/>
      <c r="AU274" s="566"/>
      <c r="AV274" s="566"/>
      <c r="AW274" s="566"/>
      <c r="AX274" s="566"/>
      <c r="AY274" s="566"/>
      <c r="AZ274" s="566"/>
      <c r="BA274" s="566"/>
      <c r="BB274" s="566"/>
      <c r="BC274" s="566"/>
      <c r="BD274" s="566"/>
      <c r="BE274" s="566"/>
      <c r="BF274" s="566"/>
      <c r="BG274" s="566"/>
    </row>
    <row r="275" spans="1:59">
      <c r="A275" s="591"/>
      <c r="B275" s="592"/>
      <c r="C275" s="593"/>
      <c r="D275" s="594">
        <v>1</v>
      </c>
      <c r="E275" s="595" t="s">
        <v>366</v>
      </c>
      <c r="F275" s="593" t="s">
        <v>369</v>
      </c>
      <c r="G275" s="596" t="s">
        <v>552</v>
      </c>
      <c r="H275" s="596" t="s">
        <v>553</v>
      </c>
      <c r="I275" s="596"/>
      <c r="J275" s="596"/>
      <c r="K275" s="596"/>
      <c r="L275" s="591" t="s">
        <v>803</v>
      </c>
      <c r="M275" s="597" t="str">
        <f t="shared" si="175"/>
        <v>Onderwijsruimte (theorie)</v>
      </c>
      <c r="N275" s="591" t="s">
        <v>78</v>
      </c>
      <c r="O275" s="598"/>
      <c r="P275" s="599"/>
      <c r="Q275" s="600">
        <f t="shared" si="171"/>
        <v>0</v>
      </c>
      <c r="R275" s="601">
        <f>AF275</f>
        <v>190</v>
      </c>
      <c r="S275" s="647">
        <v>102200</v>
      </c>
      <c r="T275" s="602"/>
      <c r="U275" s="645">
        <v>1</v>
      </c>
      <c r="V275" s="593">
        <f t="shared" si="178"/>
        <v>200</v>
      </c>
      <c r="W275" s="604">
        <f t="shared" si="181"/>
        <v>0</v>
      </c>
      <c r="X275" s="604">
        <f t="shared" si="182"/>
        <v>0</v>
      </c>
      <c r="Y275" s="604">
        <f t="shared" si="183"/>
        <v>0</v>
      </c>
      <c r="Z275" s="605">
        <f>VLOOKUP(S275,Kengetal,6,FALSE)</f>
        <v>0</v>
      </c>
      <c r="AA275" s="751">
        <f>VLOOKUP(S275,Kengetal,7,FALSE)</f>
        <v>0</v>
      </c>
      <c r="AB275" s="605">
        <f>VLOOKUP(T275,Kengetal,6,FALSE)</f>
        <v>0</v>
      </c>
      <c r="AC275" s="607"/>
      <c r="AD275" s="591" t="str">
        <f>AL275</f>
        <v>Friesland College</v>
      </c>
      <c r="AE275" s="608"/>
      <c r="AF275" s="639">
        <v>190</v>
      </c>
      <c r="AG275" s="639">
        <f t="shared" si="177"/>
        <v>190</v>
      </c>
      <c r="AH275" s="639">
        <f t="shared" si="179"/>
        <v>0</v>
      </c>
      <c r="AI275" s="640"/>
      <c r="AJ275" s="641">
        <f t="shared" si="180"/>
        <v>0</v>
      </c>
      <c r="AK275" s="642"/>
      <c r="AL275" s="642" t="s">
        <v>364</v>
      </c>
      <c r="AM275" s="643"/>
      <c r="AN275" s="642"/>
      <c r="AO275" s="644">
        <v>268</v>
      </c>
      <c r="AP275" s="565"/>
      <c r="AQ275" s="566"/>
      <c r="AR275" s="566"/>
      <c r="AS275" s="566"/>
      <c r="AT275" s="566"/>
      <c r="AU275" s="566"/>
      <c r="AV275" s="566"/>
      <c r="AW275" s="566"/>
      <c r="AX275" s="566"/>
      <c r="AY275" s="566"/>
      <c r="AZ275" s="566"/>
      <c r="BA275" s="566"/>
      <c r="BB275" s="566"/>
      <c r="BC275" s="566"/>
      <c r="BD275" s="566"/>
      <c r="BE275" s="566"/>
      <c r="BF275" s="566"/>
      <c r="BG275" s="566"/>
    </row>
    <row r="276" spans="1:59">
      <c r="A276" s="591"/>
      <c r="B276" s="618"/>
      <c r="C276" s="609"/>
      <c r="D276" s="594">
        <v>1</v>
      </c>
      <c r="E276" s="595" t="s">
        <v>366</v>
      </c>
      <c r="F276" s="593" t="s">
        <v>369</v>
      </c>
      <c r="G276" s="610" t="s">
        <v>552</v>
      </c>
      <c r="H276" s="610" t="s">
        <v>553</v>
      </c>
      <c r="I276" s="610"/>
      <c r="J276" s="610"/>
      <c r="K276" s="610"/>
      <c r="L276" s="611" t="s">
        <v>803</v>
      </c>
      <c r="M276" s="612">
        <f t="shared" si="175"/>
        <v>0</v>
      </c>
      <c r="N276" s="613"/>
      <c r="O276" s="614" t="s">
        <v>991</v>
      </c>
      <c r="P276" s="615">
        <v>100</v>
      </c>
      <c r="Q276" s="616">
        <f t="shared" si="171"/>
        <v>190</v>
      </c>
      <c r="R276" s="613"/>
      <c r="S276" s="603"/>
      <c r="T276" s="606"/>
      <c r="U276" s="606"/>
      <c r="V276" s="593">
        <f t="shared" si="178"/>
        <v>0</v>
      </c>
      <c r="W276" s="606"/>
      <c r="X276" s="606"/>
      <c r="Y276" s="606"/>
      <c r="Z276" s="606"/>
      <c r="AA276" s="606"/>
      <c r="AB276" s="606"/>
      <c r="AC276" s="607"/>
      <c r="AD276" s="606"/>
      <c r="AE276" s="608"/>
      <c r="AF276" s="639">
        <v>190</v>
      </c>
      <c r="AG276" s="639">
        <f t="shared" si="177"/>
        <v>190</v>
      </c>
      <c r="AH276" s="639">
        <f t="shared" si="179"/>
        <v>0</v>
      </c>
      <c r="AI276" s="640"/>
      <c r="AJ276" s="641">
        <f t="shared" si="180"/>
        <v>0</v>
      </c>
      <c r="AK276" s="642"/>
      <c r="AL276" s="642" t="s">
        <v>364</v>
      </c>
      <c r="AM276" s="643"/>
      <c r="AN276" s="642"/>
      <c r="AO276" s="644">
        <v>269</v>
      </c>
      <c r="AP276" s="565"/>
      <c r="AQ276" s="566"/>
      <c r="AR276" s="566"/>
      <c r="AS276" s="566"/>
      <c r="AT276" s="566"/>
      <c r="AU276" s="566"/>
      <c r="AV276" s="566"/>
      <c r="AW276" s="566"/>
      <c r="AX276" s="566"/>
      <c r="AY276" s="566"/>
      <c r="AZ276" s="566"/>
      <c r="BA276" s="566"/>
      <c r="BB276" s="566"/>
      <c r="BC276" s="566"/>
      <c r="BD276" s="566"/>
      <c r="BE276" s="566"/>
      <c r="BF276" s="566"/>
      <c r="BG276" s="566"/>
    </row>
    <row r="277" spans="1:59">
      <c r="A277" s="591"/>
      <c r="B277" s="592"/>
      <c r="C277" s="593"/>
      <c r="D277" s="594">
        <v>1</v>
      </c>
      <c r="E277" s="595" t="s">
        <v>366</v>
      </c>
      <c r="F277" s="593" t="s">
        <v>369</v>
      </c>
      <c r="G277" s="596" t="s">
        <v>554</v>
      </c>
      <c r="H277" s="596"/>
      <c r="I277" s="596"/>
      <c r="J277" s="596"/>
      <c r="K277" s="596"/>
      <c r="L277" s="591" t="s">
        <v>837</v>
      </c>
      <c r="M277" s="597" t="str">
        <f t="shared" si="175"/>
        <v>Pantry</v>
      </c>
      <c r="N277" s="591" t="s">
        <v>938</v>
      </c>
      <c r="O277" s="598"/>
      <c r="P277" s="599"/>
      <c r="Q277" s="600">
        <f t="shared" si="171"/>
        <v>0</v>
      </c>
      <c r="R277" s="601">
        <f>AF277</f>
        <v>24</v>
      </c>
      <c r="S277" s="647">
        <v>110200</v>
      </c>
      <c r="T277" s="602"/>
      <c r="U277" s="645">
        <v>1</v>
      </c>
      <c r="V277" s="593">
        <f t="shared" si="178"/>
        <v>200</v>
      </c>
      <c r="W277" s="604">
        <f t="shared" ref="W277:W278" si="184">Z277*R277*U277</f>
        <v>0</v>
      </c>
      <c r="X277" s="604">
        <f t="shared" ref="X277:X278" si="185">AA277*R277</f>
        <v>0</v>
      </c>
      <c r="Y277" s="604">
        <f t="shared" ref="Y277:Y278" si="186">AB277*R277</f>
        <v>0</v>
      </c>
      <c r="Z277" s="605">
        <f>VLOOKUP(S277,Kengetal,6,FALSE)</f>
        <v>0</v>
      </c>
      <c r="AA277" s="751">
        <f>VLOOKUP(S277,Kengetal,7,FALSE)</f>
        <v>0</v>
      </c>
      <c r="AB277" s="605">
        <f>VLOOKUP(T277,Kengetal,6,FALSE)</f>
        <v>0</v>
      </c>
      <c r="AC277" s="607"/>
      <c r="AD277" s="591" t="str">
        <f>AL277</f>
        <v>Friesland College</v>
      </c>
      <c r="AE277" s="608"/>
      <c r="AF277" s="639">
        <v>24</v>
      </c>
      <c r="AG277" s="639">
        <f t="shared" si="177"/>
        <v>24</v>
      </c>
      <c r="AH277" s="639">
        <f t="shared" si="179"/>
        <v>0</v>
      </c>
      <c r="AI277" s="640"/>
      <c r="AJ277" s="641">
        <f t="shared" si="180"/>
        <v>0</v>
      </c>
      <c r="AK277" s="642"/>
      <c r="AL277" s="642" t="s">
        <v>364</v>
      </c>
      <c r="AM277" s="643"/>
      <c r="AN277" s="642"/>
      <c r="AO277" s="644">
        <v>270</v>
      </c>
      <c r="AP277" s="565"/>
      <c r="AQ277" s="566"/>
      <c r="AR277" s="566"/>
      <c r="AS277" s="566"/>
      <c r="AT277" s="566"/>
      <c r="AU277" s="566"/>
      <c r="AV277" s="566"/>
      <c r="AW277" s="566"/>
      <c r="AX277" s="566"/>
      <c r="AY277" s="566"/>
      <c r="AZ277" s="566"/>
      <c r="BA277" s="566"/>
      <c r="BB277" s="566"/>
      <c r="BC277" s="566"/>
      <c r="BD277" s="566"/>
      <c r="BE277" s="566"/>
      <c r="BF277" s="566"/>
      <c r="BG277" s="566"/>
    </row>
    <row r="278" spans="1:59">
      <c r="A278" s="591"/>
      <c r="B278" s="592"/>
      <c r="C278" s="593"/>
      <c r="D278" s="594">
        <v>1</v>
      </c>
      <c r="E278" s="595" t="s">
        <v>366</v>
      </c>
      <c r="F278" s="593" t="s">
        <v>369</v>
      </c>
      <c r="G278" s="596" t="s">
        <v>555</v>
      </c>
      <c r="H278" s="596" t="s">
        <v>556</v>
      </c>
      <c r="I278" s="596"/>
      <c r="J278" s="596"/>
      <c r="K278" s="596"/>
      <c r="L278" s="591" t="s">
        <v>838</v>
      </c>
      <c r="M278" s="597" t="str">
        <f t="shared" si="175"/>
        <v>Onderwijsruimte (theorie)</v>
      </c>
      <c r="N278" s="591" t="s">
        <v>78</v>
      </c>
      <c r="O278" s="598"/>
      <c r="P278" s="599"/>
      <c r="Q278" s="600">
        <f t="shared" si="171"/>
        <v>0</v>
      </c>
      <c r="R278" s="601">
        <f>AF278</f>
        <v>54</v>
      </c>
      <c r="S278" s="647">
        <v>102200</v>
      </c>
      <c r="T278" s="602"/>
      <c r="U278" s="645">
        <v>1</v>
      </c>
      <c r="V278" s="593">
        <f t="shared" si="178"/>
        <v>200</v>
      </c>
      <c r="W278" s="604">
        <f t="shared" si="184"/>
        <v>0</v>
      </c>
      <c r="X278" s="604">
        <f t="shared" si="185"/>
        <v>0</v>
      </c>
      <c r="Y278" s="604">
        <f t="shared" si="186"/>
        <v>0</v>
      </c>
      <c r="Z278" s="605">
        <f>VLOOKUP(S278,Kengetal,6,FALSE)</f>
        <v>0</v>
      </c>
      <c r="AA278" s="751">
        <f>VLOOKUP(S278,Kengetal,7,FALSE)</f>
        <v>0</v>
      </c>
      <c r="AB278" s="605">
        <f>VLOOKUP(T278,Kengetal,6,FALSE)</f>
        <v>0</v>
      </c>
      <c r="AC278" s="607"/>
      <c r="AD278" s="591" t="str">
        <f>AL278</f>
        <v>Friesland College</v>
      </c>
      <c r="AE278" s="608"/>
      <c r="AF278" s="639">
        <v>54</v>
      </c>
      <c r="AG278" s="639">
        <f t="shared" si="177"/>
        <v>54</v>
      </c>
      <c r="AH278" s="639">
        <f t="shared" si="179"/>
        <v>0</v>
      </c>
      <c r="AI278" s="640"/>
      <c r="AJ278" s="641">
        <f t="shared" si="180"/>
        <v>0</v>
      </c>
      <c r="AK278" s="642"/>
      <c r="AL278" s="642" t="s">
        <v>364</v>
      </c>
      <c r="AM278" s="643"/>
      <c r="AN278" s="642"/>
      <c r="AO278" s="644">
        <v>271</v>
      </c>
      <c r="AP278" s="565"/>
      <c r="AQ278" s="566"/>
      <c r="AR278" s="566"/>
      <c r="AS278" s="566"/>
      <c r="AT278" s="566"/>
      <c r="AU278" s="566"/>
      <c r="AV278" s="566"/>
      <c r="AW278" s="566"/>
      <c r="AX278" s="566"/>
      <c r="AY278" s="566"/>
      <c r="AZ278" s="566"/>
      <c r="BA278" s="566"/>
      <c r="BB278" s="566"/>
      <c r="BC278" s="566"/>
      <c r="BD278" s="566"/>
      <c r="BE278" s="566"/>
      <c r="BF278" s="566"/>
      <c r="BG278" s="566"/>
    </row>
    <row r="279" spans="1:59">
      <c r="A279" s="591"/>
      <c r="B279" s="618"/>
      <c r="C279" s="609"/>
      <c r="D279" s="594">
        <v>1</v>
      </c>
      <c r="E279" s="595" t="s">
        <v>366</v>
      </c>
      <c r="F279" s="593" t="s">
        <v>369</v>
      </c>
      <c r="G279" s="610" t="s">
        <v>555</v>
      </c>
      <c r="H279" s="610" t="s">
        <v>556</v>
      </c>
      <c r="I279" s="610"/>
      <c r="J279" s="610"/>
      <c r="K279" s="610"/>
      <c r="L279" s="611" t="s">
        <v>838</v>
      </c>
      <c r="M279" s="612">
        <f t="shared" si="175"/>
        <v>0</v>
      </c>
      <c r="N279" s="613"/>
      <c r="O279" s="614" t="s">
        <v>991</v>
      </c>
      <c r="P279" s="615">
        <v>100</v>
      </c>
      <c r="Q279" s="616">
        <f t="shared" si="171"/>
        <v>12</v>
      </c>
      <c r="R279" s="613"/>
      <c r="S279" s="603"/>
      <c r="T279" s="606"/>
      <c r="U279" s="606"/>
      <c r="V279" s="593">
        <f t="shared" si="178"/>
        <v>0</v>
      </c>
      <c r="W279" s="606"/>
      <c r="X279" s="606"/>
      <c r="Y279" s="606"/>
      <c r="Z279" s="606"/>
      <c r="AA279" s="606"/>
      <c r="AB279" s="606"/>
      <c r="AC279" s="607"/>
      <c r="AD279" s="606"/>
      <c r="AE279" s="608"/>
      <c r="AF279" s="639">
        <v>12</v>
      </c>
      <c r="AG279" s="639">
        <f t="shared" si="177"/>
        <v>12</v>
      </c>
      <c r="AH279" s="639">
        <f t="shared" si="179"/>
        <v>0</v>
      </c>
      <c r="AI279" s="640"/>
      <c r="AJ279" s="641">
        <f t="shared" si="180"/>
        <v>0</v>
      </c>
      <c r="AK279" s="642"/>
      <c r="AL279" s="642" t="s">
        <v>364</v>
      </c>
      <c r="AM279" s="643"/>
      <c r="AN279" s="642"/>
      <c r="AO279" s="644">
        <v>272</v>
      </c>
      <c r="AP279" s="565"/>
      <c r="AQ279" s="566"/>
      <c r="AR279" s="566"/>
      <c r="AS279" s="566"/>
      <c r="AT279" s="566"/>
      <c r="AU279" s="566"/>
      <c r="AV279" s="566"/>
      <c r="AW279" s="566"/>
      <c r="AX279" s="566"/>
      <c r="AY279" s="566"/>
      <c r="AZ279" s="566"/>
      <c r="BA279" s="566"/>
      <c r="BB279" s="566"/>
      <c r="BC279" s="566"/>
      <c r="BD279" s="566"/>
      <c r="BE279" s="566"/>
      <c r="BF279" s="566"/>
      <c r="BG279" s="566"/>
    </row>
    <row r="280" spans="1:59">
      <c r="A280" s="591"/>
      <c r="B280" s="592"/>
      <c r="C280" s="593"/>
      <c r="D280" s="594">
        <v>1</v>
      </c>
      <c r="E280" s="595" t="s">
        <v>366</v>
      </c>
      <c r="F280" s="593" t="s">
        <v>369</v>
      </c>
      <c r="G280" s="596" t="s">
        <v>557</v>
      </c>
      <c r="H280" s="596"/>
      <c r="I280" s="596"/>
      <c r="J280" s="596"/>
      <c r="K280" s="596"/>
      <c r="L280" s="591" t="s">
        <v>839</v>
      </c>
      <c r="M280" s="597" t="str">
        <f t="shared" si="175"/>
        <v>Gang, hal, pantry, aula, repro, gardarobe</v>
      </c>
      <c r="N280" s="591" t="s">
        <v>938</v>
      </c>
      <c r="O280" s="598"/>
      <c r="P280" s="599"/>
      <c r="Q280" s="600">
        <f t="shared" si="171"/>
        <v>0</v>
      </c>
      <c r="R280" s="601">
        <f>AF280</f>
        <v>30.5</v>
      </c>
      <c r="S280" s="647">
        <v>104200</v>
      </c>
      <c r="T280" s="602"/>
      <c r="U280" s="645">
        <v>1</v>
      </c>
      <c r="V280" s="593">
        <f t="shared" si="178"/>
        <v>200</v>
      </c>
      <c r="W280" s="604">
        <f t="shared" ref="W280:W281" si="187">Z280*R280*U280</f>
        <v>0</v>
      </c>
      <c r="X280" s="604">
        <f t="shared" ref="X280:X281" si="188">AA280*R280</f>
        <v>0</v>
      </c>
      <c r="Y280" s="604">
        <f t="shared" ref="Y280:Y281" si="189">AB280*R280</f>
        <v>0</v>
      </c>
      <c r="Z280" s="605">
        <f>VLOOKUP(S280,Kengetal,6,FALSE)</f>
        <v>0</v>
      </c>
      <c r="AA280" s="751">
        <f>VLOOKUP(S280,Kengetal,7,FALSE)</f>
        <v>0</v>
      </c>
      <c r="AB280" s="605">
        <f>VLOOKUP(T280,Kengetal,6,FALSE)</f>
        <v>0</v>
      </c>
      <c r="AC280" s="607"/>
      <c r="AD280" s="591" t="str">
        <f>AL280</f>
        <v>Friesland College</v>
      </c>
      <c r="AE280" s="608"/>
      <c r="AF280" s="639">
        <v>30.5</v>
      </c>
      <c r="AG280" s="639">
        <f t="shared" si="177"/>
        <v>30.5</v>
      </c>
      <c r="AH280" s="639">
        <f t="shared" si="179"/>
        <v>0</v>
      </c>
      <c r="AI280" s="640"/>
      <c r="AJ280" s="641">
        <f t="shared" si="180"/>
        <v>0</v>
      </c>
      <c r="AK280" s="642"/>
      <c r="AL280" s="642" t="s">
        <v>364</v>
      </c>
      <c r="AM280" s="643"/>
      <c r="AN280" s="642"/>
      <c r="AO280" s="644">
        <v>273</v>
      </c>
      <c r="AP280" s="565"/>
      <c r="AQ280" s="566"/>
      <c r="AR280" s="566"/>
      <c r="AS280" s="566"/>
      <c r="AT280" s="566"/>
      <c r="AU280" s="566"/>
      <c r="AV280" s="566"/>
      <c r="AW280" s="566"/>
      <c r="AX280" s="566"/>
      <c r="AY280" s="566"/>
      <c r="AZ280" s="566"/>
      <c r="BA280" s="566"/>
      <c r="BB280" s="566"/>
      <c r="BC280" s="566"/>
      <c r="BD280" s="566"/>
      <c r="BE280" s="566"/>
      <c r="BF280" s="566"/>
      <c r="BG280" s="566"/>
    </row>
    <row r="281" spans="1:59">
      <c r="A281" s="591"/>
      <c r="B281" s="592"/>
      <c r="C281" s="593"/>
      <c r="D281" s="594">
        <v>1</v>
      </c>
      <c r="E281" s="595" t="s">
        <v>366</v>
      </c>
      <c r="F281" s="593" t="s">
        <v>369</v>
      </c>
      <c r="G281" s="596" t="s">
        <v>558</v>
      </c>
      <c r="H281" s="596" t="s">
        <v>559</v>
      </c>
      <c r="I281" s="596"/>
      <c r="J281" s="596"/>
      <c r="K281" s="596"/>
      <c r="L281" s="591" t="s">
        <v>840</v>
      </c>
      <c r="M281" s="597" t="str">
        <f t="shared" si="175"/>
        <v>Administratieve -, personeels- en vergaderruimte</v>
      </c>
      <c r="N281" s="591" t="s">
        <v>78</v>
      </c>
      <c r="O281" s="598"/>
      <c r="P281" s="599"/>
      <c r="Q281" s="600">
        <f t="shared" si="171"/>
        <v>0</v>
      </c>
      <c r="R281" s="601">
        <f>AF281</f>
        <v>16</v>
      </c>
      <c r="S281" s="647">
        <v>101100</v>
      </c>
      <c r="T281" s="602"/>
      <c r="U281" s="645">
        <v>1</v>
      </c>
      <c r="V281" s="593">
        <f t="shared" si="178"/>
        <v>100</v>
      </c>
      <c r="W281" s="604">
        <f t="shared" si="187"/>
        <v>0</v>
      </c>
      <c r="X281" s="604">
        <f t="shared" si="188"/>
        <v>0</v>
      </c>
      <c r="Y281" s="604">
        <f t="shared" si="189"/>
        <v>0</v>
      </c>
      <c r="Z281" s="605">
        <f>VLOOKUP(S281,Kengetal,6,FALSE)</f>
        <v>0</v>
      </c>
      <c r="AA281" s="751">
        <f>VLOOKUP(S281,Kengetal,7,FALSE)</f>
        <v>0</v>
      </c>
      <c r="AB281" s="605">
        <f>VLOOKUP(T281,Kengetal,6,FALSE)</f>
        <v>0</v>
      </c>
      <c r="AC281" s="607"/>
      <c r="AD281" s="591" t="str">
        <f>AL281</f>
        <v>Friesland College</v>
      </c>
      <c r="AE281" s="608"/>
      <c r="AF281" s="639">
        <v>16</v>
      </c>
      <c r="AG281" s="639">
        <f t="shared" si="177"/>
        <v>16</v>
      </c>
      <c r="AH281" s="639">
        <f t="shared" si="179"/>
        <v>0</v>
      </c>
      <c r="AI281" s="640"/>
      <c r="AJ281" s="641">
        <f t="shared" si="180"/>
        <v>0</v>
      </c>
      <c r="AK281" s="642"/>
      <c r="AL281" s="642" t="s">
        <v>364</v>
      </c>
      <c r="AM281" s="643"/>
      <c r="AN281" s="642"/>
      <c r="AO281" s="644">
        <v>274</v>
      </c>
      <c r="AP281" s="565"/>
      <c r="AQ281" s="566"/>
      <c r="AR281" s="566"/>
      <c r="AS281" s="566"/>
      <c r="AT281" s="566"/>
      <c r="AU281" s="566"/>
      <c r="AV281" s="566"/>
      <c r="AW281" s="566"/>
      <c r="AX281" s="566"/>
      <c r="AY281" s="566"/>
      <c r="AZ281" s="566"/>
      <c r="BA281" s="566"/>
      <c r="BB281" s="566"/>
      <c r="BC281" s="566"/>
      <c r="BD281" s="566"/>
      <c r="BE281" s="566"/>
      <c r="BF281" s="566"/>
      <c r="BG281" s="566"/>
    </row>
    <row r="282" spans="1:59">
      <c r="A282" s="591"/>
      <c r="B282" s="618"/>
      <c r="C282" s="609"/>
      <c r="D282" s="594">
        <v>1</v>
      </c>
      <c r="E282" s="595" t="s">
        <v>366</v>
      </c>
      <c r="F282" s="593" t="s">
        <v>369</v>
      </c>
      <c r="G282" s="610" t="s">
        <v>558</v>
      </c>
      <c r="H282" s="610" t="s">
        <v>559</v>
      </c>
      <c r="I282" s="610"/>
      <c r="J282" s="610"/>
      <c r="K282" s="610"/>
      <c r="L282" s="611" t="s">
        <v>840</v>
      </c>
      <c r="M282" s="612">
        <f t="shared" si="175"/>
        <v>0</v>
      </c>
      <c r="N282" s="613"/>
      <c r="O282" s="614" t="s">
        <v>991</v>
      </c>
      <c r="P282" s="615">
        <v>100</v>
      </c>
      <c r="Q282" s="616">
        <f t="shared" si="171"/>
        <v>16</v>
      </c>
      <c r="R282" s="613"/>
      <c r="S282" s="603"/>
      <c r="T282" s="606"/>
      <c r="U282" s="606"/>
      <c r="V282" s="593">
        <f t="shared" si="178"/>
        <v>0</v>
      </c>
      <c r="W282" s="606"/>
      <c r="X282" s="606"/>
      <c r="Y282" s="606"/>
      <c r="Z282" s="606"/>
      <c r="AA282" s="606"/>
      <c r="AB282" s="606"/>
      <c r="AC282" s="607"/>
      <c r="AD282" s="606"/>
      <c r="AE282" s="608"/>
      <c r="AF282" s="639">
        <v>16</v>
      </c>
      <c r="AG282" s="639">
        <f t="shared" si="177"/>
        <v>16</v>
      </c>
      <c r="AH282" s="639">
        <f t="shared" si="179"/>
        <v>0</v>
      </c>
      <c r="AI282" s="640"/>
      <c r="AJ282" s="641">
        <f t="shared" si="180"/>
        <v>0</v>
      </c>
      <c r="AK282" s="642"/>
      <c r="AL282" s="642" t="s">
        <v>364</v>
      </c>
      <c r="AM282" s="643"/>
      <c r="AN282" s="642"/>
      <c r="AO282" s="644">
        <v>275</v>
      </c>
      <c r="AP282" s="565"/>
      <c r="AQ282" s="566"/>
      <c r="AR282" s="566"/>
      <c r="AS282" s="566"/>
      <c r="AT282" s="566"/>
      <c r="AU282" s="566"/>
      <c r="AV282" s="566"/>
      <c r="AW282" s="566"/>
      <c r="AX282" s="566"/>
      <c r="AY282" s="566"/>
      <c r="AZ282" s="566"/>
      <c r="BA282" s="566"/>
      <c r="BB282" s="566"/>
      <c r="BC282" s="566"/>
      <c r="BD282" s="566"/>
      <c r="BE282" s="566"/>
      <c r="BF282" s="566"/>
      <c r="BG282" s="566"/>
    </row>
    <row r="283" spans="1:59">
      <c r="A283" s="591"/>
      <c r="B283" s="592"/>
      <c r="C283" s="593"/>
      <c r="D283" s="594">
        <v>1</v>
      </c>
      <c r="E283" s="595" t="s">
        <v>366</v>
      </c>
      <c r="F283" s="593" t="s">
        <v>369</v>
      </c>
      <c r="G283" s="596" t="s">
        <v>560</v>
      </c>
      <c r="H283" s="596"/>
      <c r="I283" s="596"/>
      <c r="J283" s="596"/>
      <c r="K283" s="596"/>
      <c r="L283" s="591" t="s">
        <v>319</v>
      </c>
      <c r="M283" s="597" t="str">
        <f t="shared" si="175"/>
        <v>Gang, hal, pantry, aula, repro, gardarobe</v>
      </c>
      <c r="N283" s="591" t="s">
        <v>938</v>
      </c>
      <c r="O283" s="598"/>
      <c r="P283" s="599"/>
      <c r="Q283" s="600">
        <f t="shared" si="171"/>
        <v>0</v>
      </c>
      <c r="R283" s="601">
        <f t="shared" ref="R283:R288" si="190">AF283</f>
        <v>32</v>
      </c>
      <c r="S283" s="647">
        <v>104200</v>
      </c>
      <c r="T283" s="602"/>
      <c r="U283" s="645">
        <v>1</v>
      </c>
      <c r="V283" s="593">
        <f t="shared" si="178"/>
        <v>200</v>
      </c>
      <c r="W283" s="604">
        <f t="shared" ref="W283:W288" si="191">Z283*R283*U283</f>
        <v>0</v>
      </c>
      <c r="X283" s="604">
        <f t="shared" ref="X283:X288" si="192">AA283*R283</f>
        <v>0</v>
      </c>
      <c r="Y283" s="604">
        <f t="shared" ref="Y283:Y288" si="193">AB283*R283</f>
        <v>0</v>
      </c>
      <c r="Z283" s="605">
        <f t="shared" ref="Z283:Z288" si="194">VLOOKUP(S283,Kengetal,6,FALSE)</f>
        <v>0</v>
      </c>
      <c r="AA283" s="751">
        <f t="shared" ref="AA283:AA288" si="195">VLOOKUP(S283,Kengetal,7,FALSE)</f>
        <v>0</v>
      </c>
      <c r="AB283" s="605">
        <f t="shared" ref="AB283:AB288" si="196">VLOOKUP(T283,Kengetal,6,FALSE)</f>
        <v>0</v>
      </c>
      <c r="AC283" s="607"/>
      <c r="AD283" s="591" t="str">
        <f t="shared" ref="AD283:AD288" si="197">AL283</f>
        <v>Friesland College</v>
      </c>
      <c r="AE283" s="608"/>
      <c r="AF283" s="639">
        <v>32</v>
      </c>
      <c r="AG283" s="639">
        <f t="shared" si="177"/>
        <v>32</v>
      </c>
      <c r="AH283" s="639">
        <f t="shared" si="179"/>
        <v>0</v>
      </c>
      <c r="AI283" s="640"/>
      <c r="AJ283" s="641">
        <f t="shared" si="180"/>
        <v>0</v>
      </c>
      <c r="AK283" s="642"/>
      <c r="AL283" s="642" t="s">
        <v>364</v>
      </c>
      <c r="AM283" s="643"/>
      <c r="AN283" s="642"/>
      <c r="AO283" s="644">
        <v>276</v>
      </c>
      <c r="AP283" s="565"/>
      <c r="AQ283" s="566"/>
      <c r="AR283" s="566"/>
      <c r="AS283" s="566"/>
      <c r="AT283" s="566"/>
      <c r="AU283" s="566"/>
      <c r="AV283" s="566"/>
      <c r="AW283" s="566"/>
      <c r="AX283" s="566"/>
      <c r="AY283" s="566"/>
      <c r="AZ283" s="566"/>
      <c r="BA283" s="566"/>
      <c r="BB283" s="566"/>
      <c r="BC283" s="566"/>
      <c r="BD283" s="566"/>
      <c r="BE283" s="566"/>
      <c r="BF283" s="566"/>
      <c r="BG283" s="566"/>
    </row>
    <row r="284" spans="1:59">
      <c r="A284" s="591"/>
      <c r="B284" s="592"/>
      <c r="C284" s="593"/>
      <c r="D284" s="594">
        <v>1</v>
      </c>
      <c r="E284" s="595" t="s">
        <v>366</v>
      </c>
      <c r="F284" s="593" t="s">
        <v>369</v>
      </c>
      <c r="G284" s="596" t="s">
        <v>561</v>
      </c>
      <c r="H284" s="596"/>
      <c r="I284" s="596"/>
      <c r="J284" s="596"/>
      <c r="K284" s="596"/>
      <c r="L284" s="591" t="s">
        <v>777</v>
      </c>
      <c r="M284" s="597" t="str">
        <f t="shared" si="175"/>
        <v>Trappenhuis-bordes</v>
      </c>
      <c r="N284" s="591" t="s">
        <v>942</v>
      </c>
      <c r="O284" s="598"/>
      <c r="P284" s="599"/>
      <c r="Q284" s="600">
        <f t="shared" si="171"/>
        <v>0</v>
      </c>
      <c r="R284" s="601">
        <f t="shared" si="190"/>
        <v>13</v>
      </c>
      <c r="S284" s="647">
        <v>108200</v>
      </c>
      <c r="T284" s="602"/>
      <c r="U284" s="645">
        <v>1</v>
      </c>
      <c r="V284" s="593">
        <f t="shared" si="178"/>
        <v>200</v>
      </c>
      <c r="W284" s="604">
        <f t="shared" si="191"/>
        <v>0</v>
      </c>
      <c r="X284" s="604">
        <f t="shared" si="192"/>
        <v>0</v>
      </c>
      <c r="Y284" s="604">
        <f t="shared" si="193"/>
        <v>0</v>
      </c>
      <c r="Z284" s="605">
        <f t="shared" si="194"/>
        <v>0</v>
      </c>
      <c r="AA284" s="751">
        <f t="shared" si="195"/>
        <v>0</v>
      </c>
      <c r="AB284" s="605">
        <f t="shared" si="196"/>
        <v>0</v>
      </c>
      <c r="AC284" s="607"/>
      <c r="AD284" s="591" t="str">
        <f t="shared" si="197"/>
        <v>Friesland College</v>
      </c>
      <c r="AE284" s="608"/>
      <c r="AF284" s="639">
        <v>13</v>
      </c>
      <c r="AG284" s="639">
        <f t="shared" si="177"/>
        <v>13</v>
      </c>
      <c r="AH284" s="639">
        <f t="shared" si="179"/>
        <v>0</v>
      </c>
      <c r="AI284" s="640"/>
      <c r="AJ284" s="641">
        <f t="shared" si="180"/>
        <v>0</v>
      </c>
      <c r="AK284" s="642"/>
      <c r="AL284" s="642" t="s">
        <v>364</v>
      </c>
      <c r="AM284" s="643"/>
      <c r="AN284" s="642"/>
      <c r="AO284" s="644">
        <v>277</v>
      </c>
      <c r="AP284" s="565"/>
      <c r="AQ284" s="566"/>
      <c r="AR284" s="566"/>
      <c r="AS284" s="566"/>
      <c r="AT284" s="566"/>
      <c r="AU284" s="566"/>
      <c r="AV284" s="566"/>
      <c r="AW284" s="566"/>
      <c r="AX284" s="566"/>
      <c r="AY284" s="566"/>
      <c r="AZ284" s="566"/>
      <c r="BA284" s="566"/>
      <c r="BB284" s="566"/>
      <c r="BC284" s="566"/>
      <c r="BD284" s="566"/>
      <c r="BE284" s="566"/>
      <c r="BF284" s="566"/>
      <c r="BG284" s="566"/>
    </row>
    <row r="285" spans="1:59">
      <c r="A285" s="591"/>
      <c r="B285" s="592"/>
      <c r="C285" s="593"/>
      <c r="D285" s="594">
        <v>1</v>
      </c>
      <c r="E285" s="595" t="s">
        <v>366</v>
      </c>
      <c r="F285" s="593" t="s">
        <v>369</v>
      </c>
      <c r="G285" s="596" t="s">
        <v>562</v>
      </c>
      <c r="H285" s="596"/>
      <c r="I285" s="596"/>
      <c r="J285" s="596"/>
      <c r="K285" s="596"/>
      <c r="L285" s="591" t="s">
        <v>779</v>
      </c>
      <c r="M285" s="597" t="str">
        <f t="shared" si="175"/>
        <v>Sanitaire ruimte (toilet-/doucheruimte)</v>
      </c>
      <c r="N285" s="591" t="s">
        <v>85</v>
      </c>
      <c r="O285" s="598"/>
      <c r="P285" s="599"/>
      <c r="Q285" s="600">
        <f t="shared" si="171"/>
        <v>0</v>
      </c>
      <c r="R285" s="601">
        <f t="shared" si="190"/>
        <v>7</v>
      </c>
      <c r="S285" s="647">
        <v>103200</v>
      </c>
      <c r="T285" s="647">
        <v>103400</v>
      </c>
      <c r="U285" s="645">
        <v>1</v>
      </c>
      <c r="V285" s="593">
        <f t="shared" si="178"/>
        <v>400</v>
      </c>
      <c r="W285" s="604">
        <f t="shared" si="191"/>
        <v>0</v>
      </c>
      <c r="X285" s="604">
        <f t="shared" si="192"/>
        <v>0</v>
      </c>
      <c r="Y285" s="604">
        <f t="shared" si="193"/>
        <v>0</v>
      </c>
      <c r="Z285" s="605">
        <f t="shared" si="194"/>
        <v>0</v>
      </c>
      <c r="AA285" s="751">
        <f t="shared" si="195"/>
        <v>0</v>
      </c>
      <c r="AB285" s="605">
        <f t="shared" si="196"/>
        <v>0</v>
      </c>
      <c r="AC285" s="607"/>
      <c r="AD285" s="591" t="str">
        <f t="shared" si="197"/>
        <v>Friesland College</v>
      </c>
      <c r="AE285" s="608"/>
      <c r="AF285" s="639">
        <v>7</v>
      </c>
      <c r="AG285" s="639">
        <f t="shared" si="177"/>
        <v>7</v>
      </c>
      <c r="AH285" s="639">
        <f t="shared" si="179"/>
        <v>0</v>
      </c>
      <c r="AI285" s="640"/>
      <c r="AJ285" s="641">
        <f t="shared" si="180"/>
        <v>0</v>
      </c>
      <c r="AK285" s="642"/>
      <c r="AL285" s="642" t="s">
        <v>364</v>
      </c>
      <c r="AM285" s="643"/>
      <c r="AN285" s="642"/>
      <c r="AO285" s="644">
        <v>278</v>
      </c>
      <c r="AP285" s="565"/>
      <c r="AQ285" s="566"/>
      <c r="AR285" s="566"/>
      <c r="AS285" s="566"/>
      <c r="AT285" s="566"/>
      <c r="AU285" s="566"/>
      <c r="AV285" s="566"/>
      <c r="AW285" s="566"/>
      <c r="AX285" s="566"/>
      <c r="AY285" s="566"/>
      <c r="AZ285" s="566"/>
      <c r="BA285" s="566"/>
      <c r="BB285" s="566"/>
      <c r="BC285" s="566"/>
      <c r="BD285" s="566"/>
      <c r="BE285" s="566"/>
      <c r="BF285" s="566"/>
      <c r="BG285" s="566"/>
    </row>
    <row r="286" spans="1:59">
      <c r="A286" s="591"/>
      <c r="B286" s="592"/>
      <c r="C286" s="593"/>
      <c r="D286" s="594">
        <v>1</v>
      </c>
      <c r="E286" s="595" t="s">
        <v>366</v>
      </c>
      <c r="F286" s="593" t="s">
        <v>369</v>
      </c>
      <c r="G286" s="596" t="s">
        <v>563</v>
      </c>
      <c r="H286" s="596"/>
      <c r="I286" s="596"/>
      <c r="J286" s="596"/>
      <c r="K286" s="596"/>
      <c r="L286" s="591" t="s">
        <v>841</v>
      </c>
      <c r="M286" s="597" t="str">
        <f t="shared" si="175"/>
        <v>Op afroep (in overleg)</v>
      </c>
      <c r="N286" s="591" t="s">
        <v>323</v>
      </c>
      <c r="O286" s="598"/>
      <c r="P286" s="599"/>
      <c r="Q286" s="600">
        <f t="shared" si="171"/>
        <v>0</v>
      </c>
      <c r="R286" s="601">
        <f t="shared" si="190"/>
        <v>22</v>
      </c>
      <c r="S286" s="603" t="s">
        <v>959</v>
      </c>
      <c r="T286" s="602"/>
      <c r="U286" s="603"/>
      <c r="V286" s="593">
        <f t="shared" si="178"/>
        <v>0</v>
      </c>
      <c r="W286" s="604">
        <f t="shared" si="191"/>
        <v>0</v>
      </c>
      <c r="X286" s="604">
        <f t="shared" si="192"/>
        <v>0</v>
      </c>
      <c r="Y286" s="604">
        <f t="shared" si="193"/>
        <v>0</v>
      </c>
      <c r="Z286" s="605">
        <f t="shared" si="194"/>
        <v>0</v>
      </c>
      <c r="AA286" s="751">
        <f t="shared" si="195"/>
        <v>0</v>
      </c>
      <c r="AB286" s="605">
        <f t="shared" si="196"/>
        <v>0</v>
      </c>
      <c r="AC286" s="607"/>
      <c r="AD286" s="591" t="str">
        <f t="shared" si="197"/>
        <v>Friesland College</v>
      </c>
      <c r="AE286" s="608"/>
      <c r="AF286" s="639">
        <v>22</v>
      </c>
      <c r="AG286" s="639">
        <f t="shared" si="177"/>
        <v>22</v>
      </c>
      <c r="AH286" s="639">
        <f t="shared" si="179"/>
        <v>0</v>
      </c>
      <c r="AI286" s="640"/>
      <c r="AJ286" s="641">
        <f t="shared" si="180"/>
        <v>0</v>
      </c>
      <c r="AK286" s="642"/>
      <c r="AL286" s="642" t="s">
        <v>364</v>
      </c>
      <c r="AM286" s="643"/>
      <c r="AN286" s="642"/>
      <c r="AO286" s="644">
        <v>279</v>
      </c>
      <c r="AP286" s="565"/>
      <c r="AQ286" s="566"/>
      <c r="AR286" s="566"/>
      <c r="AS286" s="566"/>
      <c r="AT286" s="566"/>
      <c r="AU286" s="566"/>
      <c r="AV286" s="566"/>
      <c r="AW286" s="566"/>
      <c r="AX286" s="566"/>
      <c r="AY286" s="566"/>
      <c r="AZ286" s="566"/>
      <c r="BA286" s="566"/>
      <c r="BB286" s="566"/>
      <c r="BC286" s="566"/>
      <c r="BD286" s="566"/>
      <c r="BE286" s="566"/>
      <c r="BF286" s="566"/>
      <c r="BG286" s="566"/>
    </row>
    <row r="287" spans="1:59">
      <c r="A287" s="591"/>
      <c r="B287" s="592"/>
      <c r="C287" s="593"/>
      <c r="D287" s="594">
        <v>1</v>
      </c>
      <c r="E287" s="595" t="s">
        <v>366</v>
      </c>
      <c r="F287" s="593" t="s">
        <v>369</v>
      </c>
      <c r="G287" s="596" t="s">
        <v>564</v>
      </c>
      <c r="H287" s="596"/>
      <c r="I287" s="596"/>
      <c r="J287" s="596"/>
      <c r="K287" s="596"/>
      <c r="L287" s="591" t="s">
        <v>319</v>
      </c>
      <c r="M287" s="597" t="str">
        <f t="shared" si="175"/>
        <v>Gang, hal, pantry, aula, repro, gardarobe</v>
      </c>
      <c r="N287" s="591" t="s">
        <v>78</v>
      </c>
      <c r="O287" s="598"/>
      <c r="P287" s="599"/>
      <c r="Q287" s="600">
        <f t="shared" si="171"/>
        <v>0</v>
      </c>
      <c r="R287" s="601">
        <f t="shared" si="190"/>
        <v>68</v>
      </c>
      <c r="S287" s="647">
        <v>104200</v>
      </c>
      <c r="T287" s="602"/>
      <c r="U287" s="645">
        <v>1</v>
      </c>
      <c r="V287" s="593">
        <f t="shared" si="178"/>
        <v>200</v>
      </c>
      <c r="W287" s="604">
        <f t="shared" si="191"/>
        <v>0</v>
      </c>
      <c r="X287" s="604">
        <f t="shared" si="192"/>
        <v>0</v>
      </c>
      <c r="Y287" s="604">
        <f t="shared" si="193"/>
        <v>0</v>
      </c>
      <c r="Z287" s="605">
        <f t="shared" si="194"/>
        <v>0</v>
      </c>
      <c r="AA287" s="751">
        <f t="shared" si="195"/>
        <v>0</v>
      </c>
      <c r="AB287" s="605">
        <f t="shared" si="196"/>
        <v>0</v>
      </c>
      <c r="AC287" s="607"/>
      <c r="AD287" s="591" t="str">
        <f t="shared" si="197"/>
        <v>Friesland College</v>
      </c>
      <c r="AE287" s="608"/>
      <c r="AF287" s="639">
        <v>68</v>
      </c>
      <c r="AG287" s="639">
        <f t="shared" si="177"/>
        <v>68</v>
      </c>
      <c r="AH287" s="639">
        <f t="shared" si="179"/>
        <v>0</v>
      </c>
      <c r="AI287" s="640"/>
      <c r="AJ287" s="641">
        <f t="shared" si="180"/>
        <v>0</v>
      </c>
      <c r="AK287" s="642"/>
      <c r="AL287" s="642" t="s">
        <v>364</v>
      </c>
      <c r="AM287" s="643"/>
      <c r="AN287" s="642"/>
      <c r="AO287" s="644">
        <v>280</v>
      </c>
      <c r="AP287" s="565"/>
      <c r="AQ287" s="566"/>
      <c r="AR287" s="566"/>
      <c r="AS287" s="566"/>
      <c r="AT287" s="566"/>
      <c r="AU287" s="566"/>
      <c r="AV287" s="566"/>
      <c r="AW287" s="566"/>
      <c r="AX287" s="566"/>
      <c r="AY287" s="566"/>
      <c r="AZ287" s="566"/>
      <c r="BA287" s="566"/>
      <c r="BB287" s="566"/>
      <c r="BC287" s="566"/>
      <c r="BD287" s="566"/>
      <c r="BE287" s="566"/>
      <c r="BF287" s="566"/>
      <c r="BG287" s="566"/>
    </row>
    <row r="288" spans="1:59">
      <c r="A288" s="591"/>
      <c r="B288" s="592"/>
      <c r="C288" s="593"/>
      <c r="D288" s="594">
        <v>1</v>
      </c>
      <c r="E288" s="595" t="s">
        <v>366</v>
      </c>
      <c r="F288" s="593" t="s">
        <v>369</v>
      </c>
      <c r="G288" s="596" t="s">
        <v>566</v>
      </c>
      <c r="H288" s="596" t="s">
        <v>583</v>
      </c>
      <c r="I288" s="596"/>
      <c r="J288" s="596"/>
      <c r="K288" s="596"/>
      <c r="L288" s="591" t="s">
        <v>1016</v>
      </c>
      <c r="M288" s="597" t="str">
        <f t="shared" si="175"/>
        <v>Onderwijsruimte (theorie)</v>
      </c>
      <c r="N288" s="591" t="s">
        <v>78</v>
      </c>
      <c r="O288" s="598"/>
      <c r="P288" s="599"/>
      <c r="Q288" s="600">
        <f t="shared" si="171"/>
        <v>0</v>
      </c>
      <c r="R288" s="601">
        <f t="shared" si="190"/>
        <v>40</v>
      </c>
      <c r="S288" s="647">
        <v>102200</v>
      </c>
      <c r="T288" s="602"/>
      <c r="U288" s="645">
        <v>1</v>
      </c>
      <c r="V288" s="593">
        <f t="shared" si="178"/>
        <v>200</v>
      </c>
      <c r="W288" s="604">
        <f t="shared" si="191"/>
        <v>0</v>
      </c>
      <c r="X288" s="604">
        <f t="shared" si="192"/>
        <v>0</v>
      </c>
      <c r="Y288" s="604">
        <f t="shared" si="193"/>
        <v>0</v>
      </c>
      <c r="Z288" s="605">
        <f t="shared" si="194"/>
        <v>0</v>
      </c>
      <c r="AA288" s="751">
        <f t="shared" si="195"/>
        <v>0</v>
      </c>
      <c r="AB288" s="605">
        <f t="shared" si="196"/>
        <v>0</v>
      </c>
      <c r="AC288" s="607"/>
      <c r="AD288" s="591" t="str">
        <f t="shared" si="197"/>
        <v>Friesland College</v>
      </c>
      <c r="AE288" s="608"/>
      <c r="AF288" s="639">
        <v>40</v>
      </c>
      <c r="AG288" s="639">
        <f t="shared" si="177"/>
        <v>40</v>
      </c>
      <c r="AH288" s="639">
        <f t="shared" si="179"/>
        <v>0</v>
      </c>
      <c r="AI288" s="640"/>
      <c r="AJ288" s="641">
        <f t="shared" si="180"/>
        <v>0</v>
      </c>
      <c r="AK288" s="642"/>
      <c r="AL288" s="642" t="s">
        <v>364</v>
      </c>
      <c r="AM288" s="643"/>
      <c r="AN288" s="642"/>
      <c r="AO288" s="644">
        <v>281</v>
      </c>
      <c r="AP288" s="565"/>
      <c r="AQ288" s="566"/>
      <c r="AR288" s="566"/>
      <c r="AS288" s="566"/>
      <c r="AT288" s="566"/>
      <c r="AU288" s="566"/>
      <c r="AV288" s="566"/>
      <c r="AW288" s="566"/>
      <c r="AX288" s="566"/>
      <c r="AY288" s="566"/>
      <c r="AZ288" s="566"/>
      <c r="BA288" s="566"/>
      <c r="BB288" s="566"/>
      <c r="BC288" s="566"/>
      <c r="BD288" s="566"/>
      <c r="BE288" s="566"/>
      <c r="BF288" s="566"/>
      <c r="BG288" s="566"/>
    </row>
    <row r="289" spans="1:59">
      <c r="A289" s="591"/>
      <c r="B289" s="618"/>
      <c r="C289" s="609"/>
      <c r="D289" s="594">
        <v>1</v>
      </c>
      <c r="E289" s="595" t="s">
        <v>366</v>
      </c>
      <c r="F289" s="593" t="s">
        <v>369</v>
      </c>
      <c r="G289" s="610" t="s">
        <v>566</v>
      </c>
      <c r="H289" s="610" t="s">
        <v>583</v>
      </c>
      <c r="I289" s="610"/>
      <c r="J289" s="610"/>
      <c r="K289" s="610"/>
      <c r="L289" s="611" t="s">
        <v>1016</v>
      </c>
      <c r="M289" s="612">
        <f t="shared" si="175"/>
        <v>0</v>
      </c>
      <c r="N289" s="613"/>
      <c r="O289" s="614" t="s">
        <v>988</v>
      </c>
      <c r="P289" s="615">
        <v>100</v>
      </c>
      <c r="Q289" s="616">
        <f t="shared" si="171"/>
        <v>40</v>
      </c>
      <c r="R289" s="613"/>
      <c r="S289" s="603"/>
      <c r="T289" s="606"/>
      <c r="U289" s="606"/>
      <c r="V289" s="593">
        <f t="shared" si="178"/>
        <v>0</v>
      </c>
      <c r="W289" s="606"/>
      <c r="X289" s="606"/>
      <c r="Y289" s="606"/>
      <c r="Z289" s="606"/>
      <c r="AA289" s="606"/>
      <c r="AB289" s="606"/>
      <c r="AC289" s="607"/>
      <c r="AD289" s="606"/>
      <c r="AE289" s="608"/>
      <c r="AF289" s="639">
        <v>40</v>
      </c>
      <c r="AG289" s="639">
        <f t="shared" si="177"/>
        <v>40</v>
      </c>
      <c r="AH289" s="639">
        <f t="shared" si="179"/>
        <v>0</v>
      </c>
      <c r="AI289" s="640"/>
      <c r="AJ289" s="641">
        <f t="shared" si="180"/>
        <v>0</v>
      </c>
      <c r="AK289" s="642"/>
      <c r="AL289" s="642" t="s">
        <v>364</v>
      </c>
      <c r="AM289" s="643"/>
      <c r="AN289" s="642"/>
      <c r="AO289" s="644">
        <v>282</v>
      </c>
      <c r="AP289" s="565"/>
      <c r="AQ289" s="566"/>
      <c r="AR289" s="566"/>
      <c r="AS289" s="566"/>
      <c r="AT289" s="566"/>
      <c r="AU289" s="566"/>
      <c r="AV289" s="566"/>
      <c r="AW289" s="566"/>
      <c r="AX289" s="566"/>
      <c r="AY289" s="566"/>
      <c r="AZ289" s="566"/>
      <c r="BA289" s="566"/>
      <c r="BB289" s="566"/>
      <c r="BC289" s="566"/>
      <c r="BD289" s="566"/>
      <c r="BE289" s="566"/>
      <c r="BF289" s="566"/>
      <c r="BG289" s="566"/>
    </row>
    <row r="290" spans="1:59">
      <c r="A290" s="591"/>
      <c r="B290" s="592"/>
      <c r="C290" s="593"/>
      <c r="D290" s="594">
        <v>1</v>
      </c>
      <c r="E290" s="595" t="s">
        <v>366</v>
      </c>
      <c r="F290" s="593" t="s">
        <v>369</v>
      </c>
      <c r="G290" s="596" t="s">
        <v>567</v>
      </c>
      <c r="H290" s="596" t="s">
        <v>568</v>
      </c>
      <c r="I290" s="596"/>
      <c r="J290" s="596"/>
      <c r="K290" s="596"/>
      <c r="L290" s="591" t="s">
        <v>1017</v>
      </c>
      <c r="M290" s="597" t="str">
        <f t="shared" si="175"/>
        <v>Administratieve -, personeels- en vergaderruimte</v>
      </c>
      <c r="N290" s="591" t="s">
        <v>78</v>
      </c>
      <c r="O290" s="598"/>
      <c r="P290" s="599"/>
      <c r="Q290" s="600">
        <f t="shared" si="171"/>
        <v>0</v>
      </c>
      <c r="R290" s="601">
        <f>AF290</f>
        <v>20</v>
      </c>
      <c r="S290" s="647">
        <v>101100</v>
      </c>
      <c r="T290" s="602"/>
      <c r="U290" s="645">
        <v>1</v>
      </c>
      <c r="V290" s="593">
        <f t="shared" si="178"/>
        <v>100</v>
      </c>
      <c r="W290" s="604">
        <f>Z290*R290*U290</f>
        <v>0</v>
      </c>
      <c r="X290" s="604">
        <f>AA290*R290</f>
        <v>0</v>
      </c>
      <c r="Y290" s="604">
        <f>AB290*R290</f>
        <v>0</v>
      </c>
      <c r="Z290" s="605">
        <f>VLOOKUP(S290,Kengetal,6,FALSE)</f>
        <v>0</v>
      </c>
      <c r="AA290" s="751">
        <f>VLOOKUP(S290,Kengetal,7,FALSE)</f>
        <v>0</v>
      </c>
      <c r="AB290" s="605">
        <f>VLOOKUP(T290,Kengetal,6,FALSE)</f>
        <v>0</v>
      </c>
      <c r="AC290" s="607"/>
      <c r="AD290" s="591" t="str">
        <f>AL290</f>
        <v>Friesland College</v>
      </c>
      <c r="AE290" s="608"/>
      <c r="AF290" s="639">
        <v>20</v>
      </c>
      <c r="AG290" s="639">
        <f t="shared" si="177"/>
        <v>20</v>
      </c>
      <c r="AH290" s="639">
        <f t="shared" si="179"/>
        <v>0</v>
      </c>
      <c r="AI290" s="640"/>
      <c r="AJ290" s="641">
        <f t="shared" si="180"/>
        <v>0</v>
      </c>
      <c r="AK290" s="642"/>
      <c r="AL290" s="642" t="s">
        <v>364</v>
      </c>
      <c r="AM290" s="643"/>
      <c r="AN290" s="642"/>
      <c r="AO290" s="644">
        <v>283</v>
      </c>
      <c r="AP290" s="565"/>
      <c r="AQ290" s="566"/>
      <c r="AR290" s="566"/>
      <c r="AS290" s="566"/>
      <c r="AT290" s="566"/>
      <c r="AU290" s="566"/>
      <c r="AV290" s="566"/>
      <c r="AW290" s="566"/>
      <c r="AX290" s="566"/>
      <c r="AY290" s="566"/>
      <c r="AZ290" s="566"/>
      <c r="BA290" s="566"/>
      <c r="BB290" s="566"/>
      <c r="BC290" s="566"/>
      <c r="BD290" s="566"/>
      <c r="BE290" s="566"/>
      <c r="BF290" s="566"/>
      <c r="BG290" s="566"/>
    </row>
    <row r="291" spans="1:59">
      <c r="A291" s="591"/>
      <c r="B291" s="618"/>
      <c r="C291" s="609"/>
      <c r="D291" s="594">
        <v>1</v>
      </c>
      <c r="E291" s="595" t="s">
        <v>366</v>
      </c>
      <c r="F291" s="593" t="s">
        <v>369</v>
      </c>
      <c r="G291" s="610" t="s">
        <v>567</v>
      </c>
      <c r="H291" s="610" t="s">
        <v>568</v>
      </c>
      <c r="I291" s="610"/>
      <c r="J291" s="610"/>
      <c r="K291" s="610"/>
      <c r="L291" s="611" t="s">
        <v>1017</v>
      </c>
      <c r="M291" s="612">
        <f t="shared" si="175"/>
        <v>0</v>
      </c>
      <c r="N291" s="613"/>
      <c r="O291" s="614" t="s">
        <v>988</v>
      </c>
      <c r="P291" s="615">
        <v>100</v>
      </c>
      <c r="Q291" s="616">
        <f t="shared" si="171"/>
        <v>20</v>
      </c>
      <c r="R291" s="613"/>
      <c r="S291" s="603"/>
      <c r="T291" s="606"/>
      <c r="U291" s="606"/>
      <c r="V291" s="593">
        <f t="shared" si="178"/>
        <v>0</v>
      </c>
      <c r="W291" s="606"/>
      <c r="X291" s="606"/>
      <c r="Y291" s="606"/>
      <c r="Z291" s="606"/>
      <c r="AA291" s="606"/>
      <c r="AB291" s="606"/>
      <c r="AC291" s="607"/>
      <c r="AD291" s="606"/>
      <c r="AE291" s="608"/>
      <c r="AF291" s="639">
        <v>20</v>
      </c>
      <c r="AG291" s="639">
        <f t="shared" si="177"/>
        <v>20</v>
      </c>
      <c r="AH291" s="639">
        <f t="shared" si="179"/>
        <v>0</v>
      </c>
      <c r="AI291" s="640"/>
      <c r="AJ291" s="641">
        <f t="shared" si="180"/>
        <v>0</v>
      </c>
      <c r="AK291" s="642"/>
      <c r="AL291" s="642" t="s">
        <v>364</v>
      </c>
      <c r="AM291" s="643"/>
      <c r="AN291" s="642"/>
      <c r="AO291" s="644">
        <v>284</v>
      </c>
      <c r="AP291" s="565"/>
      <c r="AQ291" s="566"/>
      <c r="AR291" s="566"/>
      <c r="AS291" s="566"/>
      <c r="AT291" s="566"/>
      <c r="AU291" s="566"/>
      <c r="AV291" s="566"/>
      <c r="AW291" s="566"/>
      <c r="AX291" s="566"/>
      <c r="AY291" s="566"/>
      <c r="AZ291" s="566"/>
      <c r="BA291" s="566"/>
      <c r="BB291" s="566"/>
      <c r="BC291" s="566"/>
      <c r="BD291" s="566"/>
      <c r="BE291" s="566"/>
      <c r="BF291" s="566"/>
      <c r="BG291" s="566"/>
    </row>
    <row r="292" spans="1:59">
      <c r="A292" s="591"/>
      <c r="B292" s="592"/>
      <c r="C292" s="593"/>
      <c r="D292" s="594">
        <v>1</v>
      </c>
      <c r="E292" s="595" t="s">
        <v>366</v>
      </c>
      <c r="F292" s="593" t="s">
        <v>369</v>
      </c>
      <c r="G292" s="596" t="s">
        <v>569</v>
      </c>
      <c r="H292" s="596" t="s">
        <v>570</v>
      </c>
      <c r="I292" s="596"/>
      <c r="J292" s="596"/>
      <c r="K292" s="596"/>
      <c r="L292" s="591" t="s">
        <v>803</v>
      </c>
      <c r="M292" s="597" t="str">
        <f t="shared" si="175"/>
        <v>Onderwijsruimte (theorie)</v>
      </c>
      <c r="N292" s="591" t="s">
        <v>78</v>
      </c>
      <c r="O292" s="598"/>
      <c r="P292" s="599"/>
      <c r="Q292" s="600">
        <f t="shared" si="171"/>
        <v>0</v>
      </c>
      <c r="R292" s="601">
        <f>AF292</f>
        <v>42</v>
      </c>
      <c r="S292" s="647">
        <v>102200</v>
      </c>
      <c r="T292" s="602"/>
      <c r="U292" s="645">
        <v>1</v>
      </c>
      <c r="V292" s="593">
        <f t="shared" si="178"/>
        <v>200</v>
      </c>
      <c r="W292" s="604">
        <f>Z292*R292*U292</f>
        <v>0</v>
      </c>
      <c r="X292" s="604">
        <f>AA292*R292</f>
        <v>0</v>
      </c>
      <c r="Y292" s="604">
        <f>AB292*R292</f>
        <v>0</v>
      </c>
      <c r="Z292" s="605">
        <f>VLOOKUP(S292,Kengetal,6,FALSE)</f>
        <v>0</v>
      </c>
      <c r="AA292" s="751">
        <f>VLOOKUP(S292,Kengetal,7,FALSE)</f>
        <v>0</v>
      </c>
      <c r="AB292" s="605">
        <f>VLOOKUP(T292,Kengetal,6,FALSE)</f>
        <v>0</v>
      </c>
      <c r="AC292" s="607"/>
      <c r="AD292" s="591" t="str">
        <f>AL292</f>
        <v>Friesland College</v>
      </c>
      <c r="AE292" s="608"/>
      <c r="AF292" s="639">
        <v>42</v>
      </c>
      <c r="AG292" s="639">
        <f t="shared" si="177"/>
        <v>42</v>
      </c>
      <c r="AH292" s="639">
        <f t="shared" si="179"/>
        <v>0</v>
      </c>
      <c r="AI292" s="640"/>
      <c r="AJ292" s="641">
        <f t="shared" si="180"/>
        <v>0</v>
      </c>
      <c r="AK292" s="642"/>
      <c r="AL292" s="642" t="s">
        <v>364</v>
      </c>
      <c r="AM292" s="643"/>
      <c r="AN292" s="642"/>
      <c r="AO292" s="644">
        <v>285</v>
      </c>
      <c r="AP292" s="565"/>
      <c r="AQ292" s="566"/>
      <c r="AR292" s="566"/>
      <c r="AS292" s="566"/>
      <c r="AT292" s="566"/>
      <c r="AU292" s="566"/>
      <c r="AV292" s="566"/>
      <c r="AW292" s="566"/>
      <c r="AX292" s="566"/>
      <c r="AY292" s="566"/>
      <c r="AZ292" s="566"/>
      <c r="BA292" s="566"/>
      <c r="BB292" s="566"/>
      <c r="BC292" s="566"/>
      <c r="BD292" s="566"/>
      <c r="BE292" s="566"/>
      <c r="BF292" s="566"/>
      <c r="BG292" s="566"/>
    </row>
    <row r="293" spans="1:59">
      <c r="A293" s="591"/>
      <c r="B293" s="618"/>
      <c r="C293" s="609"/>
      <c r="D293" s="594">
        <v>1</v>
      </c>
      <c r="E293" s="595" t="s">
        <v>366</v>
      </c>
      <c r="F293" s="593" t="s">
        <v>369</v>
      </c>
      <c r="G293" s="610" t="s">
        <v>569</v>
      </c>
      <c r="H293" s="610" t="s">
        <v>570</v>
      </c>
      <c r="I293" s="610"/>
      <c r="J293" s="610"/>
      <c r="K293" s="610"/>
      <c r="L293" s="611" t="s">
        <v>803</v>
      </c>
      <c r="M293" s="612">
        <f t="shared" si="175"/>
        <v>0</v>
      </c>
      <c r="N293" s="613"/>
      <c r="O293" s="614" t="s">
        <v>988</v>
      </c>
      <c r="P293" s="615">
        <v>100</v>
      </c>
      <c r="Q293" s="616">
        <f t="shared" si="171"/>
        <v>42</v>
      </c>
      <c r="R293" s="613"/>
      <c r="S293" s="603"/>
      <c r="T293" s="606"/>
      <c r="U293" s="606"/>
      <c r="V293" s="593">
        <f t="shared" si="178"/>
        <v>0</v>
      </c>
      <c r="W293" s="606"/>
      <c r="X293" s="606"/>
      <c r="Y293" s="606"/>
      <c r="Z293" s="606"/>
      <c r="AA293" s="606"/>
      <c r="AB293" s="606"/>
      <c r="AC293" s="607"/>
      <c r="AD293" s="606"/>
      <c r="AE293" s="608"/>
      <c r="AF293" s="639">
        <v>42</v>
      </c>
      <c r="AG293" s="639">
        <f t="shared" si="177"/>
        <v>42</v>
      </c>
      <c r="AH293" s="639">
        <f t="shared" si="179"/>
        <v>0</v>
      </c>
      <c r="AI293" s="640"/>
      <c r="AJ293" s="641">
        <f t="shared" si="180"/>
        <v>0</v>
      </c>
      <c r="AK293" s="642"/>
      <c r="AL293" s="642" t="s">
        <v>364</v>
      </c>
      <c r="AM293" s="643"/>
      <c r="AN293" s="642"/>
      <c r="AO293" s="644">
        <v>286</v>
      </c>
      <c r="AP293" s="565"/>
      <c r="AQ293" s="566"/>
      <c r="AR293" s="566"/>
      <c r="AS293" s="566"/>
      <c r="AT293" s="566"/>
      <c r="AU293" s="566"/>
      <c r="AV293" s="566"/>
      <c r="AW293" s="566"/>
      <c r="AX293" s="566"/>
      <c r="AY293" s="566"/>
      <c r="AZ293" s="566"/>
      <c r="BA293" s="566"/>
      <c r="BB293" s="566"/>
      <c r="BC293" s="566"/>
      <c r="BD293" s="566"/>
      <c r="BE293" s="566"/>
      <c r="BF293" s="566"/>
      <c r="BG293" s="566"/>
    </row>
    <row r="294" spans="1:59">
      <c r="A294" s="591"/>
      <c r="B294" s="592"/>
      <c r="C294" s="593"/>
      <c r="D294" s="594">
        <v>1</v>
      </c>
      <c r="E294" s="595" t="s">
        <v>366</v>
      </c>
      <c r="F294" s="593" t="s">
        <v>369</v>
      </c>
      <c r="G294" s="596" t="s">
        <v>571</v>
      </c>
      <c r="H294" s="596" t="s">
        <v>1018</v>
      </c>
      <c r="I294" s="596"/>
      <c r="J294" s="596"/>
      <c r="K294" s="596"/>
      <c r="L294" s="591" t="s">
        <v>793</v>
      </c>
      <c r="M294" s="597" t="str">
        <f t="shared" si="175"/>
        <v>Administratieve -, personeels- en vergaderruimte</v>
      </c>
      <c r="N294" s="591" t="s">
        <v>78</v>
      </c>
      <c r="O294" s="598"/>
      <c r="P294" s="599"/>
      <c r="Q294" s="600">
        <f t="shared" si="171"/>
        <v>0</v>
      </c>
      <c r="R294" s="601">
        <f>AF294</f>
        <v>13</v>
      </c>
      <c r="S294" s="647">
        <v>101100</v>
      </c>
      <c r="T294" s="602"/>
      <c r="U294" s="645">
        <v>1</v>
      </c>
      <c r="V294" s="593">
        <f t="shared" si="178"/>
        <v>100</v>
      </c>
      <c r="W294" s="604">
        <f>Z294*R294*U294</f>
        <v>0</v>
      </c>
      <c r="X294" s="604">
        <f>AA294*R294</f>
        <v>0</v>
      </c>
      <c r="Y294" s="604">
        <f>AB294*R294</f>
        <v>0</v>
      </c>
      <c r="Z294" s="605">
        <f>VLOOKUP(S294,Kengetal,6,FALSE)</f>
        <v>0</v>
      </c>
      <c r="AA294" s="751">
        <f>VLOOKUP(S294,Kengetal,7,FALSE)</f>
        <v>0</v>
      </c>
      <c r="AB294" s="605">
        <f>VLOOKUP(T294,Kengetal,6,FALSE)</f>
        <v>0</v>
      </c>
      <c r="AC294" s="607"/>
      <c r="AD294" s="591" t="str">
        <f>AL294</f>
        <v>Friesland College</v>
      </c>
      <c r="AE294" s="608"/>
      <c r="AF294" s="639">
        <v>13</v>
      </c>
      <c r="AG294" s="639">
        <f t="shared" si="177"/>
        <v>13</v>
      </c>
      <c r="AH294" s="639">
        <f t="shared" si="179"/>
        <v>0</v>
      </c>
      <c r="AI294" s="640"/>
      <c r="AJ294" s="641">
        <f t="shared" si="180"/>
        <v>0</v>
      </c>
      <c r="AK294" s="642"/>
      <c r="AL294" s="642" t="s">
        <v>364</v>
      </c>
      <c r="AM294" s="643"/>
      <c r="AN294" s="642"/>
      <c r="AO294" s="644">
        <v>287</v>
      </c>
      <c r="AP294" s="565"/>
      <c r="AQ294" s="566"/>
      <c r="AR294" s="566"/>
      <c r="AS294" s="566"/>
      <c r="AT294" s="566"/>
      <c r="AU294" s="566"/>
      <c r="AV294" s="566"/>
      <c r="AW294" s="566"/>
      <c r="AX294" s="566"/>
      <c r="AY294" s="566"/>
      <c r="AZ294" s="566"/>
      <c r="BA294" s="566"/>
      <c r="BB294" s="566"/>
      <c r="BC294" s="566"/>
      <c r="BD294" s="566"/>
      <c r="BE294" s="566"/>
      <c r="BF294" s="566"/>
      <c r="BG294" s="566"/>
    </row>
    <row r="295" spans="1:59">
      <c r="A295" s="591"/>
      <c r="B295" s="618"/>
      <c r="C295" s="609"/>
      <c r="D295" s="594">
        <v>1</v>
      </c>
      <c r="E295" s="595" t="s">
        <v>366</v>
      </c>
      <c r="F295" s="593" t="s">
        <v>369</v>
      </c>
      <c r="G295" s="610" t="s">
        <v>571</v>
      </c>
      <c r="H295" s="610" t="s">
        <v>1018</v>
      </c>
      <c r="I295" s="610"/>
      <c r="J295" s="610"/>
      <c r="K295" s="610"/>
      <c r="L295" s="611" t="s">
        <v>793</v>
      </c>
      <c r="M295" s="612">
        <f t="shared" si="175"/>
        <v>0</v>
      </c>
      <c r="N295" s="613"/>
      <c r="O295" s="614" t="s">
        <v>988</v>
      </c>
      <c r="P295" s="615">
        <v>100</v>
      </c>
      <c r="Q295" s="616">
        <f t="shared" si="171"/>
        <v>13</v>
      </c>
      <c r="R295" s="613"/>
      <c r="S295" s="603"/>
      <c r="T295" s="606"/>
      <c r="U295" s="606"/>
      <c r="V295" s="593">
        <f t="shared" si="178"/>
        <v>0</v>
      </c>
      <c r="W295" s="606"/>
      <c r="X295" s="606"/>
      <c r="Y295" s="606"/>
      <c r="Z295" s="606"/>
      <c r="AA295" s="606"/>
      <c r="AB295" s="606"/>
      <c r="AC295" s="607"/>
      <c r="AD295" s="606"/>
      <c r="AE295" s="608"/>
      <c r="AF295" s="639">
        <v>13</v>
      </c>
      <c r="AG295" s="639">
        <f t="shared" si="177"/>
        <v>13</v>
      </c>
      <c r="AH295" s="639">
        <f t="shared" si="179"/>
        <v>0</v>
      </c>
      <c r="AI295" s="640"/>
      <c r="AJ295" s="641">
        <f t="shared" si="180"/>
        <v>0</v>
      </c>
      <c r="AK295" s="642"/>
      <c r="AL295" s="642" t="s">
        <v>364</v>
      </c>
      <c r="AM295" s="643"/>
      <c r="AN295" s="642"/>
      <c r="AO295" s="644">
        <v>288</v>
      </c>
      <c r="AP295" s="565"/>
      <c r="AQ295" s="566"/>
      <c r="AR295" s="566"/>
      <c r="AS295" s="566"/>
      <c r="AT295" s="566"/>
      <c r="AU295" s="566"/>
      <c r="AV295" s="566"/>
      <c r="AW295" s="566"/>
      <c r="AX295" s="566"/>
      <c r="AY295" s="566"/>
      <c r="AZ295" s="566"/>
      <c r="BA295" s="566"/>
      <c r="BB295" s="566"/>
      <c r="BC295" s="566"/>
      <c r="BD295" s="566"/>
      <c r="BE295" s="566"/>
      <c r="BF295" s="566"/>
      <c r="BG295" s="566"/>
    </row>
    <row r="296" spans="1:59">
      <c r="A296" s="591"/>
      <c r="B296" s="592"/>
      <c r="C296" s="593"/>
      <c r="D296" s="594">
        <v>1</v>
      </c>
      <c r="E296" s="595" t="s">
        <v>366</v>
      </c>
      <c r="F296" s="593" t="s">
        <v>369</v>
      </c>
      <c r="G296" s="596" t="s">
        <v>572</v>
      </c>
      <c r="H296" s="596" t="s">
        <v>573</v>
      </c>
      <c r="I296" s="596"/>
      <c r="J296" s="596"/>
      <c r="K296" s="596"/>
      <c r="L296" s="591" t="s">
        <v>786</v>
      </c>
      <c r="M296" s="597" t="str">
        <f t="shared" si="175"/>
        <v>Op afroep (in overleg)</v>
      </c>
      <c r="N296" s="591" t="s">
        <v>938</v>
      </c>
      <c r="O296" s="598"/>
      <c r="P296" s="599"/>
      <c r="Q296" s="600">
        <f t="shared" si="171"/>
        <v>0</v>
      </c>
      <c r="R296" s="601">
        <f>AF296</f>
        <v>7</v>
      </c>
      <c r="S296" s="603" t="s">
        <v>959</v>
      </c>
      <c r="T296" s="602"/>
      <c r="U296" s="603"/>
      <c r="V296" s="593">
        <f t="shared" si="178"/>
        <v>0</v>
      </c>
      <c r="W296" s="604">
        <f>Z296*R296*U296</f>
        <v>0</v>
      </c>
      <c r="X296" s="604">
        <f>AA296*R296</f>
        <v>0</v>
      </c>
      <c r="Y296" s="604">
        <f>AB296*R296</f>
        <v>0</v>
      </c>
      <c r="Z296" s="605">
        <f>VLOOKUP(S296,Kengetal,6,FALSE)</f>
        <v>0</v>
      </c>
      <c r="AA296" s="751">
        <f>VLOOKUP(S296,Kengetal,7,FALSE)</f>
        <v>0</v>
      </c>
      <c r="AB296" s="605">
        <f>VLOOKUP(T296,Kengetal,6,FALSE)</f>
        <v>0</v>
      </c>
      <c r="AC296" s="607"/>
      <c r="AD296" s="591" t="str">
        <f>AL296</f>
        <v>Friesland College</v>
      </c>
      <c r="AE296" s="608"/>
      <c r="AF296" s="639">
        <v>7</v>
      </c>
      <c r="AG296" s="639">
        <f t="shared" si="177"/>
        <v>7</v>
      </c>
      <c r="AH296" s="639">
        <f t="shared" si="179"/>
        <v>0</v>
      </c>
      <c r="AI296" s="640"/>
      <c r="AJ296" s="641">
        <f t="shared" si="180"/>
        <v>0</v>
      </c>
      <c r="AK296" s="642"/>
      <c r="AL296" s="642" t="s">
        <v>364</v>
      </c>
      <c r="AM296" s="643"/>
      <c r="AN296" s="642"/>
      <c r="AO296" s="644">
        <v>289</v>
      </c>
      <c r="AP296" s="565"/>
      <c r="AQ296" s="566"/>
      <c r="AR296" s="566"/>
      <c r="AS296" s="566"/>
      <c r="AT296" s="566"/>
      <c r="AU296" s="566"/>
      <c r="AV296" s="566"/>
      <c r="AW296" s="566"/>
      <c r="AX296" s="566"/>
      <c r="AY296" s="566"/>
      <c r="AZ296" s="566"/>
      <c r="BA296" s="566"/>
      <c r="BB296" s="566"/>
      <c r="BC296" s="566"/>
      <c r="BD296" s="566"/>
      <c r="BE296" s="566"/>
      <c r="BF296" s="566"/>
      <c r="BG296" s="566"/>
    </row>
    <row r="297" spans="1:59">
      <c r="A297" s="591"/>
      <c r="B297" s="609"/>
      <c r="C297" s="609"/>
      <c r="D297" s="594">
        <v>1</v>
      </c>
      <c r="E297" s="595" t="s">
        <v>366</v>
      </c>
      <c r="F297" s="593" t="s">
        <v>369</v>
      </c>
      <c r="G297" s="610" t="s">
        <v>572</v>
      </c>
      <c r="H297" s="610" t="s">
        <v>573</v>
      </c>
      <c r="I297" s="610"/>
      <c r="J297" s="610"/>
      <c r="K297" s="610"/>
      <c r="L297" s="611" t="s">
        <v>786</v>
      </c>
      <c r="M297" s="612">
        <f t="shared" ref="M297:M314" si="198">VLOOKUP(S297,Kengetal,4,FALSE)</f>
        <v>0</v>
      </c>
      <c r="N297" s="613"/>
      <c r="O297" s="614" t="s">
        <v>988</v>
      </c>
      <c r="P297" s="615">
        <v>100</v>
      </c>
      <c r="Q297" s="616">
        <f t="shared" si="171"/>
        <v>7</v>
      </c>
      <c r="R297" s="613"/>
      <c r="S297" s="603"/>
      <c r="T297" s="606"/>
      <c r="U297" s="606"/>
      <c r="V297" s="593">
        <f t="shared" si="178"/>
        <v>0</v>
      </c>
      <c r="W297" s="606"/>
      <c r="X297" s="606"/>
      <c r="Y297" s="606"/>
      <c r="Z297" s="606"/>
      <c r="AA297" s="606"/>
      <c r="AB297" s="606"/>
      <c r="AC297" s="607"/>
      <c r="AD297" s="606"/>
      <c r="AE297" s="608"/>
      <c r="AF297" s="639">
        <v>7</v>
      </c>
      <c r="AG297" s="639">
        <f t="shared" si="177"/>
        <v>7</v>
      </c>
      <c r="AH297" s="639">
        <f t="shared" si="179"/>
        <v>0</v>
      </c>
      <c r="AI297" s="640"/>
      <c r="AJ297" s="641">
        <f t="shared" si="180"/>
        <v>0</v>
      </c>
      <c r="AK297" s="642"/>
      <c r="AL297" s="642" t="s">
        <v>364</v>
      </c>
      <c r="AM297" s="643"/>
      <c r="AN297" s="642"/>
      <c r="AO297" s="644">
        <v>290</v>
      </c>
      <c r="AP297" s="565"/>
      <c r="AQ297" s="566"/>
      <c r="AR297" s="566"/>
      <c r="AS297" s="566"/>
      <c r="AT297" s="566"/>
      <c r="AU297" s="566"/>
      <c r="AV297" s="566"/>
      <c r="AW297" s="566"/>
      <c r="AX297" s="566"/>
      <c r="AY297" s="566"/>
      <c r="AZ297" s="566"/>
      <c r="BA297" s="566"/>
      <c r="BB297" s="566"/>
      <c r="BC297" s="566"/>
      <c r="BD297" s="566"/>
      <c r="BE297" s="566"/>
      <c r="BF297" s="566"/>
      <c r="BG297" s="566"/>
    </row>
    <row r="298" spans="1:59">
      <c r="A298" s="591"/>
      <c r="B298" s="592"/>
      <c r="C298" s="593"/>
      <c r="D298" s="594">
        <v>1</v>
      </c>
      <c r="E298" s="595" t="s">
        <v>366</v>
      </c>
      <c r="F298" s="593" t="s">
        <v>369</v>
      </c>
      <c r="G298" s="596" t="s">
        <v>574</v>
      </c>
      <c r="H298" s="596" t="s">
        <v>575</v>
      </c>
      <c r="I298" s="596"/>
      <c r="J298" s="596"/>
      <c r="K298" s="596"/>
      <c r="L298" s="591" t="s">
        <v>786</v>
      </c>
      <c r="M298" s="597" t="str">
        <f t="shared" si="198"/>
        <v>Op afroep (in overleg)</v>
      </c>
      <c r="N298" s="591" t="s">
        <v>938</v>
      </c>
      <c r="O298" s="598"/>
      <c r="P298" s="599"/>
      <c r="Q298" s="600">
        <f t="shared" si="171"/>
        <v>0</v>
      </c>
      <c r="R298" s="601">
        <f>AF298</f>
        <v>15</v>
      </c>
      <c r="S298" s="603" t="s">
        <v>959</v>
      </c>
      <c r="T298" s="602"/>
      <c r="U298" s="603"/>
      <c r="V298" s="593">
        <f t="shared" si="178"/>
        <v>0</v>
      </c>
      <c r="W298" s="604">
        <f>Z298*R298*U298</f>
        <v>0</v>
      </c>
      <c r="X298" s="604">
        <f>AA298*R298</f>
        <v>0</v>
      </c>
      <c r="Y298" s="604">
        <f>AB298*R298</f>
        <v>0</v>
      </c>
      <c r="Z298" s="605">
        <f>VLOOKUP(S298,Kengetal,6,FALSE)</f>
        <v>0</v>
      </c>
      <c r="AA298" s="751">
        <f>VLOOKUP(S298,Kengetal,7,FALSE)</f>
        <v>0</v>
      </c>
      <c r="AB298" s="605">
        <f>VLOOKUP(T298,Kengetal,6,FALSE)</f>
        <v>0</v>
      </c>
      <c r="AC298" s="607"/>
      <c r="AD298" s="591" t="str">
        <f>AL298</f>
        <v>Friesland College</v>
      </c>
      <c r="AE298" s="608"/>
      <c r="AF298" s="639">
        <v>15</v>
      </c>
      <c r="AG298" s="639">
        <f t="shared" si="177"/>
        <v>15</v>
      </c>
      <c r="AH298" s="639">
        <f t="shared" si="179"/>
        <v>0</v>
      </c>
      <c r="AI298" s="640"/>
      <c r="AJ298" s="641">
        <f t="shared" si="180"/>
        <v>0</v>
      </c>
      <c r="AK298" s="642"/>
      <c r="AL298" s="642" t="s">
        <v>364</v>
      </c>
      <c r="AM298" s="643"/>
      <c r="AN298" s="642"/>
      <c r="AO298" s="644">
        <v>291</v>
      </c>
      <c r="AP298" s="565"/>
      <c r="AQ298" s="566"/>
      <c r="AR298" s="566"/>
      <c r="AS298" s="566"/>
      <c r="AT298" s="566"/>
      <c r="AU298" s="566"/>
      <c r="AV298" s="566"/>
      <c r="AW298" s="566"/>
      <c r="AX298" s="566"/>
      <c r="AY298" s="566"/>
      <c r="AZ298" s="566"/>
      <c r="BA298" s="566"/>
      <c r="BB298" s="566"/>
      <c r="BC298" s="566"/>
      <c r="BD298" s="566"/>
      <c r="BE298" s="566"/>
      <c r="BF298" s="566"/>
      <c r="BG298" s="566"/>
    </row>
    <row r="299" spans="1:59">
      <c r="A299" s="591"/>
      <c r="B299" s="609"/>
      <c r="C299" s="609"/>
      <c r="D299" s="594">
        <v>1</v>
      </c>
      <c r="E299" s="595" t="s">
        <v>366</v>
      </c>
      <c r="F299" s="593" t="s">
        <v>369</v>
      </c>
      <c r="G299" s="610" t="s">
        <v>574</v>
      </c>
      <c r="H299" s="610" t="s">
        <v>575</v>
      </c>
      <c r="I299" s="610"/>
      <c r="J299" s="610"/>
      <c r="K299" s="610"/>
      <c r="L299" s="611" t="s">
        <v>786</v>
      </c>
      <c r="M299" s="612">
        <f t="shared" si="198"/>
        <v>0</v>
      </c>
      <c r="N299" s="613"/>
      <c r="O299" s="614" t="s">
        <v>1009</v>
      </c>
      <c r="P299" s="615">
        <v>100</v>
      </c>
      <c r="Q299" s="616">
        <f t="shared" si="171"/>
        <v>15</v>
      </c>
      <c r="R299" s="613"/>
      <c r="S299" s="603"/>
      <c r="T299" s="606"/>
      <c r="U299" s="606"/>
      <c r="V299" s="593">
        <f t="shared" si="178"/>
        <v>0</v>
      </c>
      <c r="W299" s="606"/>
      <c r="X299" s="606"/>
      <c r="Y299" s="606"/>
      <c r="Z299" s="606"/>
      <c r="AA299" s="606"/>
      <c r="AB299" s="606"/>
      <c r="AC299" s="607"/>
      <c r="AD299" s="606"/>
      <c r="AE299" s="608"/>
      <c r="AF299" s="639">
        <v>15</v>
      </c>
      <c r="AG299" s="639">
        <f t="shared" si="177"/>
        <v>15</v>
      </c>
      <c r="AH299" s="639">
        <f t="shared" si="179"/>
        <v>0</v>
      </c>
      <c r="AI299" s="640"/>
      <c r="AJ299" s="641">
        <f t="shared" si="180"/>
        <v>0</v>
      </c>
      <c r="AK299" s="642"/>
      <c r="AL299" s="642" t="s">
        <v>364</v>
      </c>
      <c r="AM299" s="643"/>
      <c r="AN299" s="642"/>
      <c r="AO299" s="644">
        <v>292</v>
      </c>
      <c r="AP299" s="565"/>
      <c r="AQ299" s="566"/>
      <c r="AR299" s="566"/>
      <c r="AS299" s="566"/>
      <c r="AT299" s="566"/>
      <c r="AU299" s="566"/>
      <c r="AV299" s="566"/>
      <c r="AW299" s="566"/>
      <c r="AX299" s="566"/>
      <c r="AY299" s="566"/>
      <c r="AZ299" s="566"/>
      <c r="BA299" s="566"/>
      <c r="BB299" s="566"/>
      <c r="BC299" s="566"/>
      <c r="BD299" s="566"/>
      <c r="BE299" s="566"/>
      <c r="BF299" s="566"/>
      <c r="BG299" s="566"/>
    </row>
    <row r="300" spans="1:59">
      <c r="A300" s="591"/>
      <c r="B300" s="592"/>
      <c r="C300" s="593"/>
      <c r="D300" s="594">
        <v>1</v>
      </c>
      <c r="E300" s="595" t="s">
        <v>366</v>
      </c>
      <c r="F300" s="593" t="s">
        <v>369</v>
      </c>
      <c r="G300" s="596" t="s">
        <v>576</v>
      </c>
      <c r="H300" s="596" t="s">
        <v>577</v>
      </c>
      <c r="I300" s="596"/>
      <c r="J300" s="596"/>
      <c r="K300" s="596"/>
      <c r="L300" s="591" t="s">
        <v>1019</v>
      </c>
      <c r="M300" s="597" t="str">
        <f t="shared" si="198"/>
        <v>Administratieve -, personeels- en vergaderruimte</v>
      </c>
      <c r="N300" s="591" t="s">
        <v>78</v>
      </c>
      <c r="O300" s="598"/>
      <c r="P300" s="599"/>
      <c r="Q300" s="600">
        <f t="shared" si="171"/>
        <v>0</v>
      </c>
      <c r="R300" s="601">
        <f>AF300</f>
        <v>19</v>
      </c>
      <c r="S300" s="647">
        <v>101100</v>
      </c>
      <c r="T300" s="602"/>
      <c r="U300" s="645">
        <v>1</v>
      </c>
      <c r="V300" s="593">
        <f t="shared" si="178"/>
        <v>100</v>
      </c>
      <c r="W300" s="604">
        <f>Z300*R300*U300</f>
        <v>0</v>
      </c>
      <c r="X300" s="604">
        <f>AA300*R300</f>
        <v>0</v>
      </c>
      <c r="Y300" s="604">
        <f>AB300*R300</f>
        <v>0</v>
      </c>
      <c r="Z300" s="605">
        <f>VLOOKUP(S300,Kengetal,6,FALSE)</f>
        <v>0</v>
      </c>
      <c r="AA300" s="751">
        <f>VLOOKUP(S300,Kengetal,7,FALSE)</f>
        <v>0</v>
      </c>
      <c r="AB300" s="605">
        <f>VLOOKUP(T300,Kengetal,6,FALSE)</f>
        <v>0</v>
      </c>
      <c r="AC300" s="607"/>
      <c r="AD300" s="591" t="str">
        <f>AL300</f>
        <v>Friesland College</v>
      </c>
      <c r="AE300" s="608"/>
      <c r="AF300" s="639">
        <v>19</v>
      </c>
      <c r="AG300" s="639">
        <f t="shared" si="177"/>
        <v>19</v>
      </c>
      <c r="AH300" s="639">
        <f t="shared" si="179"/>
        <v>0</v>
      </c>
      <c r="AI300" s="640"/>
      <c r="AJ300" s="641">
        <f t="shared" si="180"/>
        <v>0</v>
      </c>
      <c r="AK300" s="642"/>
      <c r="AL300" s="642" t="s">
        <v>364</v>
      </c>
      <c r="AM300" s="643"/>
      <c r="AN300" s="642"/>
      <c r="AO300" s="644">
        <v>293</v>
      </c>
      <c r="AP300" s="565"/>
      <c r="AQ300" s="566"/>
      <c r="AR300" s="566"/>
      <c r="AS300" s="566"/>
      <c r="AT300" s="566"/>
      <c r="AU300" s="566"/>
      <c r="AV300" s="566"/>
      <c r="AW300" s="566"/>
      <c r="AX300" s="566"/>
      <c r="AY300" s="566"/>
      <c r="AZ300" s="566"/>
      <c r="BA300" s="566"/>
      <c r="BB300" s="566"/>
      <c r="BC300" s="566"/>
      <c r="BD300" s="566"/>
      <c r="BE300" s="566"/>
      <c r="BF300" s="566"/>
      <c r="BG300" s="566"/>
    </row>
    <row r="301" spans="1:59">
      <c r="A301" s="591"/>
      <c r="B301" s="618"/>
      <c r="C301" s="609"/>
      <c r="D301" s="594">
        <v>1</v>
      </c>
      <c r="E301" s="595" t="s">
        <v>366</v>
      </c>
      <c r="F301" s="593" t="s">
        <v>369</v>
      </c>
      <c r="G301" s="610" t="s">
        <v>576</v>
      </c>
      <c r="H301" s="610" t="s">
        <v>577</v>
      </c>
      <c r="I301" s="610"/>
      <c r="J301" s="610"/>
      <c r="K301" s="610"/>
      <c r="L301" s="611" t="s">
        <v>1019</v>
      </c>
      <c r="M301" s="612">
        <f t="shared" si="198"/>
        <v>0</v>
      </c>
      <c r="N301" s="613"/>
      <c r="O301" s="614" t="s">
        <v>988</v>
      </c>
      <c r="P301" s="615">
        <v>100</v>
      </c>
      <c r="Q301" s="616">
        <f t="shared" si="171"/>
        <v>19</v>
      </c>
      <c r="R301" s="613"/>
      <c r="S301" s="603"/>
      <c r="T301" s="606"/>
      <c r="U301" s="606"/>
      <c r="V301" s="593">
        <f t="shared" si="178"/>
        <v>0</v>
      </c>
      <c r="W301" s="606"/>
      <c r="X301" s="606"/>
      <c r="Y301" s="606"/>
      <c r="Z301" s="606"/>
      <c r="AA301" s="606"/>
      <c r="AB301" s="606"/>
      <c r="AC301" s="607"/>
      <c r="AD301" s="606"/>
      <c r="AE301" s="608"/>
      <c r="AF301" s="639">
        <v>19</v>
      </c>
      <c r="AG301" s="639">
        <f t="shared" si="177"/>
        <v>19</v>
      </c>
      <c r="AH301" s="639">
        <f t="shared" si="179"/>
        <v>0</v>
      </c>
      <c r="AI301" s="640"/>
      <c r="AJ301" s="641">
        <f t="shared" si="180"/>
        <v>0</v>
      </c>
      <c r="AK301" s="642"/>
      <c r="AL301" s="642" t="s">
        <v>364</v>
      </c>
      <c r="AM301" s="643"/>
      <c r="AN301" s="642"/>
      <c r="AO301" s="644">
        <v>294</v>
      </c>
      <c r="AP301" s="565"/>
      <c r="AQ301" s="566"/>
      <c r="AR301" s="566"/>
      <c r="AS301" s="566"/>
      <c r="AT301" s="566"/>
      <c r="AU301" s="566"/>
      <c r="AV301" s="566"/>
      <c r="AW301" s="566"/>
      <c r="AX301" s="566"/>
      <c r="AY301" s="566"/>
      <c r="AZ301" s="566"/>
      <c r="BA301" s="566"/>
      <c r="BB301" s="566"/>
      <c r="BC301" s="566"/>
      <c r="BD301" s="566"/>
      <c r="BE301" s="566"/>
      <c r="BF301" s="566"/>
      <c r="BG301" s="566"/>
    </row>
    <row r="302" spans="1:59">
      <c r="A302" s="591"/>
      <c r="B302" s="592"/>
      <c r="C302" s="593"/>
      <c r="D302" s="594">
        <v>1</v>
      </c>
      <c r="E302" s="595" t="s">
        <v>366</v>
      </c>
      <c r="F302" s="593" t="s">
        <v>369</v>
      </c>
      <c r="G302" s="596" t="s">
        <v>578</v>
      </c>
      <c r="H302" s="596" t="s">
        <v>579</v>
      </c>
      <c r="I302" s="596"/>
      <c r="J302" s="596"/>
      <c r="K302" s="596"/>
      <c r="L302" s="591" t="s">
        <v>1020</v>
      </c>
      <c r="M302" s="597" t="str">
        <f t="shared" si="198"/>
        <v>Onderwijsruimte (theorie)</v>
      </c>
      <c r="N302" s="591" t="s">
        <v>78</v>
      </c>
      <c r="O302" s="598"/>
      <c r="P302" s="599"/>
      <c r="Q302" s="600">
        <f t="shared" si="171"/>
        <v>0</v>
      </c>
      <c r="R302" s="601">
        <f>AF302</f>
        <v>36</v>
      </c>
      <c r="S302" s="647">
        <v>102200</v>
      </c>
      <c r="T302" s="602"/>
      <c r="U302" s="645">
        <v>1</v>
      </c>
      <c r="V302" s="593">
        <f t="shared" si="178"/>
        <v>200</v>
      </c>
      <c r="W302" s="604">
        <f>Z302*R302*U302</f>
        <v>0</v>
      </c>
      <c r="X302" s="604">
        <f>AA302*R302</f>
        <v>0</v>
      </c>
      <c r="Y302" s="604">
        <f>AB302*R302</f>
        <v>0</v>
      </c>
      <c r="Z302" s="605">
        <f>VLOOKUP(S302,Kengetal,6,FALSE)</f>
        <v>0</v>
      </c>
      <c r="AA302" s="751">
        <f>VLOOKUP(S302,Kengetal,7,FALSE)</f>
        <v>0</v>
      </c>
      <c r="AB302" s="605">
        <f>VLOOKUP(T302,Kengetal,6,FALSE)</f>
        <v>0</v>
      </c>
      <c r="AC302" s="607"/>
      <c r="AD302" s="591" t="str">
        <f>AL302</f>
        <v>Friesland College</v>
      </c>
      <c r="AE302" s="608"/>
      <c r="AF302" s="639">
        <v>36</v>
      </c>
      <c r="AG302" s="639">
        <f t="shared" si="177"/>
        <v>36</v>
      </c>
      <c r="AH302" s="639">
        <f t="shared" si="179"/>
        <v>0</v>
      </c>
      <c r="AI302" s="640"/>
      <c r="AJ302" s="641">
        <f t="shared" si="180"/>
        <v>0</v>
      </c>
      <c r="AK302" s="642"/>
      <c r="AL302" s="642" t="s">
        <v>364</v>
      </c>
      <c r="AM302" s="643"/>
      <c r="AN302" s="642"/>
      <c r="AO302" s="644">
        <v>295</v>
      </c>
      <c r="AP302" s="565"/>
      <c r="AQ302" s="566"/>
      <c r="AR302" s="566"/>
      <c r="AS302" s="566"/>
      <c r="AT302" s="566"/>
      <c r="AU302" s="566"/>
      <c r="AV302" s="566"/>
      <c r="AW302" s="566"/>
      <c r="AX302" s="566"/>
      <c r="AY302" s="566"/>
      <c r="AZ302" s="566"/>
      <c r="BA302" s="566"/>
      <c r="BB302" s="566"/>
      <c r="BC302" s="566"/>
      <c r="BD302" s="566"/>
      <c r="BE302" s="566"/>
      <c r="BF302" s="566"/>
      <c r="BG302" s="566"/>
    </row>
    <row r="303" spans="1:59">
      <c r="A303" s="591"/>
      <c r="B303" s="618"/>
      <c r="C303" s="609"/>
      <c r="D303" s="594">
        <v>1</v>
      </c>
      <c r="E303" s="595" t="s">
        <v>366</v>
      </c>
      <c r="F303" s="593" t="s">
        <v>369</v>
      </c>
      <c r="G303" s="610" t="s">
        <v>578</v>
      </c>
      <c r="H303" s="610" t="s">
        <v>579</v>
      </c>
      <c r="I303" s="610"/>
      <c r="J303" s="610"/>
      <c r="K303" s="610"/>
      <c r="L303" s="611" t="s">
        <v>1020</v>
      </c>
      <c r="M303" s="612">
        <f t="shared" si="198"/>
        <v>0</v>
      </c>
      <c r="N303" s="613"/>
      <c r="O303" s="614" t="s">
        <v>988</v>
      </c>
      <c r="P303" s="615">
        <v>100</v>
      </c>
      <c r="Q303" s="616">
        <f t="shared" si="171"/>
        <v>36</v>
      </c>
      <c r="R303" s="613"/>
      <c r="S303" s="603"/>
      <c r="T303" s="606"/>
      <c r="U303" s="606"/>
      <c r="V303" s="593">
        <f t="shared" si="178"/>
        <v>0</v>
      </c>
      <c r="W303" s="606"/>
      <c r="X303" s="606"/>
      <c r="Y303" s="606"/>
      <c r="Z303" s="606"/>
      <c r="AA303" s="606"/>
      <c r="AB303" s="606"/>
      <c r="AC303" s="607"/>
      <c r="AD303" s="606"/>
      <c r="AE303" s="608"/>
      <c r="AF303" s="639">
        <v>36</v>
      </c>
      <c r="AG303" s="639">
        <f t="shared" si="177"/>
        <v>36</v>
      </c>
      <c r="AH303" s="639">
        <f t="shared" si="179"/>
        <v>0</v>
      </c>
      <c r="AI303" s="640"/>
      <c r="AJ303" s="641">
        <f t="shared" si="180"/>
        <v>0</v>
      </c>
      <c r="AK303" s="642"/>
      <c r="AL303" s="642" t="s">
        <v>364</v>
      </c>
      <c r="AM303" s="643"/>
      <c r="AN303" s="642"/>
      <c r="AO303" s="644">
        <v>296</v>
      </c>
      <c r="AP303" s="565"/>
      <c r="AQ303" s="566"/>
      <c r="AR303" s="566"/>
      <c r="AS303" s="566"/>
      <c r="AT303" s="566"/>
      <c r="AU303" s="566"/>
      <c r="AV303" s="566"/>
      <c r="AW303" s="566"/>
      <c r="AX303" s="566"/>
      <c r="AY303" s="566"/>
      <c r="AZ303" s="566"/>
      <c r="BA303" s="566"/>
      <c r="BB303" s="566"/>
      <c r="BC303" s="566"/>
      <c r="BD303" s="566"/>
      <c r="BE303" s="566"/>
      <c r="BF303" s="566"/>
      <c r="BG303" s="566"/>
    </row>
    <row r="304" spans="1:59">
      <c r="A304" s="591"/>
      <c r="B304" s="592"/>
      <c r="C304" s="593"/>
      <c r="D304" s="594">
        <v>1</v>
      </c>
      <c r="E304" s="595" t="s">
        <v>366</v>
      </c>
      <c r="F304" s="593" t="s">
        <v>369</v>
      </c>
      <c r="G304" s="596" t="s">
        <v>580</v>
      </c>
      <c r="H304" s="596" t="s">
        <v>581</v>
      </c>
      <c r="I304" s="596"/>
      <c r="J304" s="596"/>
      <c r="K304" s="596"/>
      <c r="L304" s="591" t="s">
        <v>1014</v>
      </c>
      <c r="M304" s="597" t="str">
        <f t="shared" si="198"/>
        <v>Onderwijsruimte (theorie)</v>
      </c>
      <c r="N304" s="591" t="s">
        <v>78</v>
      </c>
      <c r="O304" s="598"/>
      <c r="P304" s="599"/>
      <c r="Q304" s="600">
        <f t="shared" si="171"/>
        <v>0</v>
      </c>
      <c r="R304" s="601">
        <f t="shared" ref="R304:R314" si="199">AF304</f>
        <v>94</v>
      </c>
      <c r="S304" s="647">
        <v>102200</v>
      </c>
      <c r="T304" s="602"/>
      <c r="U304" s="645">
        <v>1</v>
      </c>
      <c r="V304" s="593">
        <f t="shared" si="178"/>
        <v>200</v>
      </c>
      <c r="W304" s="604">
        <f t="shared" ref="W304:W314" si="200">Z304*R304*U304</f>
        <v>0</v>
      </c>
      <c r="X304" s="604">
        <f t="shared" ref="X304:X314" si="201">AA304*R304</f>
        <v>0</v>
      </c>
      <c r="Y304" s="604">
        <f t="shared" ref="Y304:Y314" si="202">AB304*R304</f>
        <v>0</v>
      </c>
      <c r="Z304" s="605">
        <f t="shared" ref="Z304:Z314" si="203">VLOOKUP(S304,Kengetal,6,FALSE)</f>
        <v>0</v>
      </c>
      <c r="AA304" s="751">
        <f t="shared" ref="AA304:AA314" si="204">VLOOKUP(S304,Kengetal,7,FALSE)</f>
        <v>0</v>
      </c>
      <c r="AB304" s="605">
        <f t="shared" ref="AB304:AB314" si="205">VLOOKUP(T304,Kengetal,6,FALSE)</f>
        <v>0</v>
      </c>
      <c r="AC304" s="607"/>
      <c r="AD304" s="591" t="str">
        <f t="shared" ref="AD304:AD314" si="206">AL304</f>
        <v>Friesland College</v>
      </c>
      <c r="AE304" s="608"/>
      <c r="AF304" s="639">
        <v>94</v>
      </c>
      <c r="AG304" s="639">
        <f t="shared" si="177"/>
        <v>94</v>
      </c>
      <c r="AH304" s="639">
        <f t="shared" si="179"/>
        <v>0</v>
      </c>
      <c r="AI304" s="640"/>
      <c r="AJ304" s="641">
        <f t="shared" si="180"/>
        <v>0</v>
      </c>
      <c r="AK304" s="642"/>
      <c r="AL304" s="642" t="s">
        <v>364</v>
      </c>
      <c r="AM304" s="643"/>
      <c r="AN304" s="642"/>
      <c r="AO304" s="644">
        <v>297</v>
      </c>
      <c r="AP304" s="565"/>
      <c r="AQ304" s="566"/>
      <c r="AR304" s="566"/>
      <c r="AS304" s="566"/>
      <c r="AT304" s="566"/>
      <c r="AU304" s="566"/>
      <c r="AV304" s="566"/>
      <c r="AW304" s="566"/>
      <c r="AX304" s="566"/>
      <c r="AY304" s="566"/>
      <c r="AZ304" s="566"/>
      <c r="BA304" s="566"/>
      <c r="BB304" s="566"/>
      <c r="BC304" s="566"/>
      <c r="BD304" s="566"/>
      <c r="BE304" s="566"/>
      <c r="BF304" s="566"/>
      <c r="BG304" s="566"/>
    </row>
    <row r="305" spans="1:59">
      <c r="A305" s="591"/>
      <c r="B305" s="592"/>
      <c r="C305" s="593"/>
      <c r="D305" s="594">
        <v>1</v>
      </c>
      <c r="E305" s="595" t="s">
        <v>366</v>
      </c>
      <c r="F305" s="593" t="s">
        <v>369</v>
      </c>
      <c r="G305" s="596" t="s">
        <v>582</v>
      </c>
      <c r="H305" s="596" t="s">
        <v>565</v>
      </c>
      <c r="I305" s="596"/>
      <c r="J305" s="596"/>
      <c r="K305" s="596"/>
      <c r="L305" s="591" t="s">
        <v>1015</v>
      </c>
      <c r="M305" s="597" t="str">
        <f t="shared" si="198"/>
        <v>Administratieve -, personeels- en vergaderruimte</v>
      </c>
      <c r="N305" s="591" t="s">
        <v>938</v>
      </c>
      <c r="O305" s="598"/>
      <c r="P305" s="599"/>
      <c r="Q305" s="600">
        <f t="shared" si="171"/>
        <v>0</v>
      </c>
      <c r="R305" s="601">
        <f t="shared" si="199"/>
        <v>18</v>
      </c>
      <c r="S305" s="647">
        <v>101100</v>
      </c>
      <c r="T305" s="602"/>
      <c r="U305" s="645">
        <v>1</v>
      </c>
      <c r="V305" s="593">
        <f t="shared" si="178"/>
        <v>100</v>
      </c>
      <c r="W305" s="604">
        <f t="shared" si="200"/>
        <v>0</v>
      </c>
      <c r="X305" s="604">
        <f t="shared" si="201"/>
        <v>0</v>
      </c>
      <c r="Y305" s="604">
        <f t="shared" si="202"/>
        <v>0</v>
      </c>
      <c r="Z305" s="605">
        <f t="shared" si="203"/>
        <v>0</v>
      </c>
      <c r="AA305" s="751">
        <f t="shared" si="204"/>
        <v>0</v>
      </c>
      <c r="AB305" s="605">
        <f t="shared" si="205"/>
        <v>0</v>
      </c>
      <c r="AC305" s="607"/>
      <c r="AD305" s="591" t="str">
        <f t="shared" si="206"/>
        <v>Friesland College</v>
      </c>
      <c r="AE305" s="608"/>
      <c r="AF305" s="639">
        <v>18</v>
      </c>
      <c r="AG305" s="639">
        <f t="shared" si="177"/>
        <v>18</v>
      </c>
      <c r="AH305" s="639">
        <f t="shared" si="179"/>
        <v>0</v>
      </c>
      <c r="AI305" s="640"/>
      <c r="AJ305" s="641">
        <f t="shared" si="180"/>
        <v>0</v>
      </c>
      <c r="AK305" s="642"/>
      <c r="AL305" s="642" t="s">
        <v>364</v>
      </c>
      <c r="AM305" s="643"/>
      <c r="AN305" s="642"/>
      <c r="AO305" s="644">
        <v>298</v>
      </c>
      <c r="AP305" s="565"/>
      <c r="AQ305" s="566"/>
      <c r="AR305" s="566"/>
      <c r="AS305" s="566"/>
      <c r="AT305" s="566"/>
      <c r="AU305" s="566"/>
      <c r="AV305" s="566"/>
      <c r="AW305" s="566"/>
      <c r="AX305" s="566"/>
      <c r="AY305" s="566"/>
      <c r="AZ305" s="566"/>
      <c r="BA305" s="566"/>
      <c r="BB305" s="566"/>
      <c r="BC305" s="566"/>
      <c r="BD305" s="566"/>
      <c r="BE305" s="566"/>
      <c r="BF305" s="566"/>
      <c r="BG305" s="566"/>
    </row>
    <row r="306" spans="1:59">
      <c r="A306" s="591"/>
      <c r="B306" s="592"/>
      <c r="C306" s="593"/>
      <c r="D306" s="594">
        <v>1</v>
      </c>
      <c r="E306" s="595" t="s">
        <v>366</v>
      </c>
      <c r="F306" s="593" t="s">
        <v>369</v>
      </c>
      <c r="G306" s="596" t="s">
        <v>584</v>
      </c>
      <c r="H306" s="596"/>
      <c r="I306" s="596"/>
      <c r="J306" s="596"/>
      <c r="K306" s="596"/>
      <c r="L306" s="591" t="s">
        <v>842</v>
      </c>
      <c r="M306" s="597" t="str">
        <f t="shared" si="198"/>
        <v>Pantry</v>
      </c>
      <c r="N306" s="591" t="s">
        <v>938</v>
      </c>
      <c r="O306" s="598"/>
      <c r="P306" s="599"/>
      <c r="Q306" s="600">
        <f t="shared" si="171"/>
        <v>0</v>
      </c>
      <c r="R306" s="601">
        <f t="shared" si="199"/>
        <v>20</v>
      </c>
      <c r="S306" s="647">
        <v>110200</v>
      </c>
      <c r="T306" s="602"/>
      <c r="U306" s="645">
        <v>1</v>
      </c>
      <c r="V306" s="593">
        <f t="shared" si="178"/>
        <v>200</v>
      </c>
      <c r="W306" s="604">
        <f t="shared" si="200"/>
        <v>0</v>
      </c>
      <c r="X306" s="604">
        <f t="shared" si="201"/>
        <v>0</v>
      </c>
      <c r="Y306" s="604">
        <f t="shared" si="202"/>
        <v>0</v>
      </c>
      <c r="Z306" s="605">
        <f t="shared" si="203"/>
        <v>0</v>
      </c>
      <c r="AA306" s="751">
        <f t="shared" si="204"/>
        <v>0</v>
      </c>
      <c r="AB306" s="605">
        <f t="shared" si="205"/>
        <v>0</v>
      </c>
      <c r="AC306" s="607"/>
      <c r="AD306" s="591" t="str">
        <f t="shared" si="206"/>
        <v>Friesland College</v>
      </c>
      <c r="AE306" s="608"/>
      <c r="AF306" s="639">
        <v>20</v>
      </c>
      <c r="AG306" s="639">
        <f t="shared" si="177"/>
        <v>20</v>
      </c>
      <c r="AH306" s="639">
        <f t="shared" si="179"/>
        <v>0</v>
      </c>
      <c r="AI306" s="640"/>
      <c r="AJ306" s="641">
        <f t="shared" si="180"/>
        <v>0</v>
      </c>
      <c r="AK306" s="642"/>
      <c r="AL306" s="642" t="s">
        <v>364</v>
      </c>
      <c r="AM306" s="643"/>
      <c r="AN306" s="642"/>
      <c r="AO306" s="644">
        <v>299</v>
      </c>
      <c r="AP306" s="565"/>
      <c r="AQ306" s="566"/>
      <c r="AR306" s="566"/>
      <c r="AS306" s="566"/>
      <c r="AT306" s="566"/>
      <c r="AU306" s="566"/>
      <c r="AV306" s="566"/>
      <c r="AW306" s="566"/>
      <c r="AX306" s="566"/>
      <c r="AY306" s="566"/>
      <c r="AZ306" s="566"/>
      <c r="BA306" s="566"/>
      <c r="BB306" s="566"/>
      <c r="BC306" s="566"/>
      <c r="BD306" s="566"/>
      <c r="BE306" s="566"/>
      <c r="BF306" s="566"/>
      <c r="BG306" s="566"/>
    </row>
    <row r="307" spans="1:59">
      <c r="A307" s="591"/>
      <c r="B307" s="592"/>
      <c r="C307" s="593"/>
      <c r="D307" s="594">
        <v>1</v>
      </c>
      <c r="E307" s="595" t="s">
        <v>366</v>
      </c>
      <c r="F307" s="593" t="s">
        <v>369</v>
      </c>
      <c r="G307" s="596" t="s">
        <v>585</v>
      </c>
      <c r="H307" s="596"/>
      <c r="I307" s="596"/>
      <c r="J307" s="596"/>
      <c r="K307" s="596"/>
      <c r="L307" s="591" t="s">
        <v>773</v>
      </c>
      <c r="M307" s="597" t="str">
        <f t="shared" si="198"/>
        <v>Sanitaire ruimte (toilet-/doucheruimte)</v>
      </c>
      <c r="N307" s="591" t="s">
        <v>85</v>
      </c>
      <c r="O307" s="598"/>
      <c r="P307" s="599"/>
      <c r="Q307" s="600">
        <f t="shared" si="171"/>
        <v>0</v>
      </c>
      <c r="R307" s="601">
        <f t="shared" si="199"/>
        <v>40</v>
      </c>
      <c r="S307" s="647">
        <v>103200</v>
      </c>
      <c r="T307" s="647">
        <v>103400</v>
      </c>
      <c r="U307" s="645">
        <v>1</v>
      </c>
      <c r="V307" s="593">
        <f t="shared" si="178"/>
        <v>400</v>
      </c>
      <c r="W307" s="604">
        <f t="shared" si="200"/>
        <v>0</v>
      </c>
      <c r="X307" s="604">
        <f t="shared" si="201"/>
        <v>0</v>
      </c>
      <c r="Y307" s="604">
        <f t="shared" si="202"/>
        <v>0</v>
      </c>
      <c r="Z307" s="605">
        <f t="shared" si="203"/>
        <v>0</v>
      </c>
      <c r="AA307" s="751">
        <f t="shared" si="204"/>
        <v>0</v>
      </c>
      <c r="AB307" s="605">
        <f t="shared" si="205"/>
        <v>0</v>
      </c>
      <c r="AC307" s="607"/>
      <c r="AD307" s="591" t="str">
        <f t="shared" si="206"/>
        <v>Friesland College</v>
      </c>
      <c r="AE307" s="608"/>
      <c r="AF307" s="639">
        <v>40</v>
      </c>
      <c r="AG307" s="639">
        <f t="shared" si="177"/>
        <v>40</v>
      </c>
      <c r="AH307" s="639">
        <f t="shared" si="179"/>
        <v>0</v>
      </c>
      <c r="AI307" s="640"/>
      <c r="AJ307" s="641">
        <f t="shared" si="180"/>
        <v>0</v>
      </c>
      <c r="AK307" s="642"/>
      <c r="AL307" s="642" t="s">
        <v>364</v>
      </c>
      <c r="AM307" s="643"/>
      <c r="AN307" s="642"/>
      <c r="AO307" s="644">
        <v>300</v>
      </c>
      <c r="AP307" s="565"/>
      <c r="AQ307" s="566"/>
      <c r="AR307" s="566"/>
      <c r="AS307" s="566"/>
      <c r="AT307" s="566"/>
      <c r="AU307" s="566"/>
      <c r="AV307" s="566"/>
      <c r="AW307" s="566"/>
      <c r="AX307" s="566"/>
      <c r="AY307" s="566"/>
      <c r="AZ307" s="566"/>
      <c r="BA307" s="566"/>
      <c r="BB307" s="566"/>
      <c r="BC307" s="566"/>
      <c r="BD307" s="566"/>
      <c r="BE307" s="566"/>
      <c r="BF307" s="566"/>
      <c r="BG307" s="566"/>
    </row>
    <row r="308" spans="1:59">
      <c r="A308" s="591"/>
      <c r="B308" s="592"/>
      <c r="C308" s="593"/>
      <c r="D308" s="594">
        <v>1</v>
      </c>
      <c r="E308" s="595" t="s">
        <v>366</v>
      </c>
      <c r="F308" s="593" t="s">
        <v>369</v>
      </c>
      <c r="G308" s="596" t="s">
        <v>586</v>
      </c>
      <c r="H308" s="596"/>
      <c r="I308" s="596"/>
      <c r="J308" s="596"/>
      <c r="K308" s="596"/>
      <c r="L308" s="591" t="s">
        <v>796</v>
      </c>
      <c r="M308" s="597" t="str">
        <f t="shared" si="198"/>
        <v>Niet van toepassing</v>
      </c>
      <c r="N308" s="591" t="s">
        <v>323</v>
      </c>
      <c r="O308" s="598"/>
      <c r="P308" s="599"/>
      <c r="Q308" s="600">
        <f t="shared" si="171"/>
        <v>0</v>
      </c>
      <c r="R308" s="601">
        <f t="shared" si="199"/>
        <v>3</v>
      </c>
      <c r="S308" s="603" t="s">
        <v>28</v>
      </c>
      <c r="T308" s="602"/>
      <c r="U308" s="603"/>
      <c r="V308" s="593">
        <f t="shared" si="178"/>
        <v>0</v>
      </c>
      <c r="W308" s="604">
        <f t="shared" si="200"/>
        <v>0</v>
      </c>
      <c r="X308" s="604">
        <f t="shared" si="201"/>
        <v>0</v>
      </c>
      <c r="Y308" s="604">
        <f t="shared" si="202"/>
        <v>0</v>
      </c>
      <c r="Z308" s="605">
        <f t="shared" si="203"/>
        <v>0</v>
      </c>
      <c r="AA308" s="751">
        <f t="shared" si="204"/>
        <v>0</v>
      </c>
      <c r="AB308" s="605">
        <f t="shared" si="205"/>
        <v>0</v>
      </c>
      <c r="AC308" s="607"/>
      <c r="AD308" s="591" t="str">
        <f t="shared" si="206"/>
        <v>Friesland College</v>
      </c>
      <c r="AE308" s="608"/>
      <c r="AF308" s="639">
        <v>3</v>
      </c>
      <c r="AG308" s="639">
        <f t="shared" si="177"/>
        <v>3</v>
      </c>
      <c r="AH308" s="639">
        <f t="shared" si="179"/>
        <v>0</v>
      </c>
      <c r="AI308" s="640"/>
      <c r="AJ308" s="641">
        <f t="shared" si="180"/>
        <v>0</v>
      </c>
      <c r="AK308" s="642"/>
      <c r="AL308" s="642" t="s">
        <v>364</v>
      </c>
      <c r="AM308" s="643"/>
      <c r="AN308" s="642"/>
      <c r="AO308" s="644">
        <v>301</v>
      </c>
      <c r="AP308" s="565"/>
      <c r="AQ308" s="566"/>
      <c r="AR308" s="566"/>
      <c r="AS308" s="566"/>
      <c r="AT308" s="566"/>
      <c r="AU308" s="566"/>
      <c r="AV308" s="566"/>
      <c r="AW308" s="566"/>
      <c r="AX308" s="566"/>
      <c r="AY308" s="566"/>
      <c r="AZ308" s="566"/>
      <c r="BA308" s="566"/>
      <c r="BB308" s="566"/>
      <c r="BC308" s="566"/>
      <c r="BD308" s="566"/>
      <c r="BE308" s="566"/>
      <c r="BF308" s="566"/>
      <c r="BG308" s="566"/>
    </row>
    <row r="309" spans="1:59">
      <c r="A309" s="591"/>
      <c r="B309" s="592"/>
      <c r="C309" s="593"/>
      <c r="D309" s="594">
        <v>1</v>
      </c>
      <c r="E309" s="595" t="s">
        <v>366</v>
      </c>
      <c r="F309" s="593" t="s">
        <v>369</v>
      </c>
      <c r="G309" s="596" t="s">
        <v>587</v>
      </c>
      <c r="H309" s="596"/>
      <c r="I309" s="596"/>
      <c r="J309" s="596"/>
      <c r="K309" s="596"/>
      <c r="L309" s="591" t="s">
        <v>771</v>
      </c>
      <c r="M309" s="597" t="str">
        <f t="shared" si="198"/>
        <v>Niet van toepassing</v>
      </c>
      <c r="N309" s="591" t="s">
        <v>323</v>
      </c>
      <c r="O309" s="598"/>
      <c r="P309" s="599"/>
      <c r="Q309" s="600">
        <f t="shared" si="171"/>
        <v>0</v>
      </c>
      <c r="R309" s="601">
        <f t="shared" si="199"/>
        <v>5</v>
      </c>
      <c r="S309" s="603" t="s">
        <v>28</v>
      </c>
      <c r="T309" s="602"/>
      <c r="U309" s="603"/>
      <c r="V309" s="593">
        <f t="shared" si="178"/>
        <v>0</v>
      </c>
      <c r="W309" s="604">
        <f t="shared" si="200"/>
        <v>0</v>
      </c>
      <c r="X309" s="604">
        <f t="shared" si="201"/>
        <v>0</v>
      </c>
      <c r="Y309" s="604">
        <f t="shared" si="202"/>
        <v>0</v>
      </c>
      <c r="Z309" s="605">
        <f t="shared" si="203"/>
        <v>0</v>
      </c>
      <c r="AA309" s="751">
        <f t="shared" si="204"/>
        <v>0</v>
      </c>
      <c r="AB309" s="605">
        <f t="shared" si="205"/>
        <v>0</v>
      </c>
      <c r="AC309" s="607"/>
      <c r="AD309" s="591" t="str">
        <f t="shared" si="206"/>
        <v>Friesland College</v>
      </c>
      <c r="AE309" s="608"/>
      <c r="AF309" s="639">
        <v>5</v>
      </c>
      <c r="AG309" s="639">
        <f t="shared" si="177"/>
        <v>5</v>
      </c>
      <c r="AH309" s="639">
        <f t="shared" si="179"/>
        <v>0</v>
      </c>
      <c r="AI309" s="640"/>
      <c r="AJ309" s="641">
        <f t="shared" si="180"/>
        <v>0</v>
      </c>
      <c r="AK309" s="642"/>
      <c r="AL309" s="642" t="s">
        <v>364</v>
      </c>
      <c r="AM309" s="643"/>
      <c r="AN309" s="642"/>
      <c r="AO309" s="644">
        <v>302</v>
      </c>
      <c r="AP309" s="565"/>
      <c r="AQ309" s="566"/>
      <c r="AR309" s="566"/>
      <c r="AS309" s="566"/>
      <c r="AT309" s="566"/>
      <c r="AU309" s="566"/>
      <c r="AV309" s="566"/>
      <c r="AW309" s="566"/>
      <c r="AX309" s="566"/>
      <c r="AY309" s="566"/>
      <c r="AZ309" s="566"/>
      <c r="BA309" s="566"/>
      <c r="BB309" s="566"/>
      <c r="BC309" s="566"/>
      <c r="BD309" s="566"/>
      <c r="BE309" s="566"/>
      <c r="BF309" s="566"/>
      <c r="BG309" s="566"/>
    </row>
    <row r="310" spans="1:59">
      <c r="A310" s="591"/>
      <c r="B310" s="592"/>
      <c r="C310" s="593"/>
      <c r="D310" s="594">
        <v>1</v>
      </c>
      <c r="E310" s="595" t="s">
        <v>366</v>
      </c>
      <c r="F310" s="593" t="s">
        <v>369</v>
      </c>
      <c r="G310" s="596" t="s">
        <v>588</v>
      </c>
      <c r="H310" s="596"/>
      <c r="I310" s="596"/>
      <c r="J310" s="596"/>
      <c r="K310" s="596"/>
      <c r="L310" s="591" t="s">
        <v>796</v>
      </c>
      <c r="M310" s="597" t="str">
        <f t="shared" si="198"/>
        <v>Niet van toepassing</v>
      </c>
      <c r="N310" s="591" t="s">
        <v>323</v>
      </c>
      <c r="O310" s="598"/>
      <c r="P310" s="599"/>
      <c r="Q310" s="600">
        <f t="shared" ref="Q310:Q373" si="207">AF310*P310/100</f>
        <v>0</v>
      </c>
      <c r="R310" s="601">
        <f t="shared" si="199"/>
        <v>3</v>
      </c>
      <c r="S310" s="603" t="s">
        <v>28</v>
      </c>
      <c r="T310" s="602"/>
      <c r="U310" s="603"/>
      <c r="V310" s="593">
        <f t="shared" si="178"/>
        <v>0</v>
      </c>
      <c r="W310" s="604">
        <f t="shared" si="200"/>
        <v>0</v>
      </c>
      <c r="X310" s="604">
        <f t="shared" si="201"/>
        <v>0</v>
      </c>
      <c r="Y310" s="604">
        <f t="shared" si="202"/>
        <v>0</v>
      </c>
      <c r="Z310" s="605">
        <f t="shared" si="203"/>
        <v>0</v>
      </c>
      <c r="AA310" s="751">
        <f t="shared" si="204"/>
        <v>0</v>
      </c>
      <c r="AB310" s="605">
        <f t="shared" si="205"/>
        <v>0</v>
      </c>
      <c r="AC310" s="607"/>
      <c r="AD310" s="591" t="str">
        <f t="shared" si="206"/>
        <v>Friesland College</v>
      </c>
      <c r="AE310" s="608"/>
      <c r="AF310" s="639">
        <v>3</v>
      </c>
      <c r="AG310" s="639">
        <f t="shared" si="177"/>
        <v>3</v>
      </c>
      <c r="AH310" s="639">
        <f t="shared" si="179"/>
        <v>0</v>
      </c>
      <c r="AI310" s="640"/>
      <c r="AJ310" s="641">
        <f t="shared" si="180"/>
        <v>0</v>
      </c>
      <c r="AK310" s="642"/>
      <c r="AL310" s="642" t="s">
        <v>364</v>
      </c>
      <c r="AM310" s="643"/>
      <c r="AN310" s="642"/>
      <c r="AO310" s="644">
        <v>303</v>
      </c>
      <c r="AP310" s="565"/>
      <c r="AQ310" s="566"/>
      <c r="AR310" s="566"/>
      <c r="AS310" s="566"/>
      <c r="AT310" s="566"/>
      <c r="AU310" s="566"/>
      <c r="AV310" s="566"/>
      <c r="AW310" s="566"/>
      <c r="AX310" s="566"/>
      <c r="AY310" s="566"/>
      <c r="AZ310" s="566"/>
      <c r="BA310" s="566"/>
      <c r="BB310" s="566"/>
      <c r="BC310" s="566"/>
      <c r="BD310" s="566"/>
      <c r="BE310" s="566"/>
      <c r="BF310" s="566"/>
      <c r="BG310" s="566"/>
    </row>
    <row r="311" spans="1:59">
      <c r="A311" s="591"/>
      <c r="B311" s="592"/>
      <c r="C311" s="593"/>
      <c r="D311" s="594">
        <v>1</v>
      </c>
      <c r="E311" s="595" t="s">
        <v>366</v>
      </c>
      <c r="F311" s="593" t="s">
        <v>367</v>
      </c>
      <c r="G311" s="596">
        <v>1</v>
      </c>
      <c r="H311" s="596" t="s">
        <v>589</v>
      </c>
      <c r="I311" s="596"/>
      <c r="J311" s="596"/>
      <c r="K311" s="596"/>
      <c r="L311" s="591" t="s">
        <v>318</v>
      </c>
      <c r="M311" s="597" t="str">
        <f t="shared" si="198"/>
        <v>Gang, hal, pantry, aula, repro, gardarobe</v>
      </c>
      <c r="N311" s="591" t="s">
        <v>944</v>
      </c>
      <c r="O311" s="598"/>
      <c r="P311" s="599"/>
      <c r="Q311" s="600">
        <f t="shared" si="207"/>
        <v>0</v>
      </c>
      <c r="R311" s="601">
        <f t="shared" si="199"/>
        <v>22.8</v>
      </c>
      <c r="S311" s="647">
        <v>104200</v>
      </c>
      <c r="T311" s="602"/>
      <c r="U311" s="645">
        <v>1</v>
      </c>
      <c r="V311" s="593">
        <f t="shared" si="178"/>
        <v>200</v>
      </c>
      <c r="W311" s="604">
        <f t="shared" si="200"/>
        <v>0</v>
      </c>
      <c r="X311" s="604">
        <f t="shared" si="201"/>
        <v>0</v>
      </c>
      <c r="Y311" s="604">
        <f t="shared" si="202"/>
        <v>0</v>
      </c>
      <c r="Z311" s="605">
        <f t="shared" si="203"/>
        <v>0</v>
      </c>
      <c r="AA311" s="751">
        <f t="shared" si="204"/>
        <v>0</v>
      </c>
      <c r="AB311" s="605">
        <f t="shared" si="205"/>
        <v>0</v>
      </c>
      <c r="AC311" s="607"/>
      <c r="AD311" s="591" t="str">
        <f t="shared" si="206"/>
        <v>Friesland College</v>
      </c>
      <c r="AE311" s="608"/>
      <c r="AF311" s="639">
        <v>22.8</v>
      </c>
      <c r="AG311" s="639">
        <f t="shared" si="177"/>
        <v>22.8</v>
      </c>
      <c r="AH311" s="639">
        <v>0</v>
      </c>
      <c r="AI311" s="640"/>
      <c r="AJ311" s="641">
        <v>14.069879999999999</v>
      </c>
      <c r="AK311" s="642"/>
      <c r="AL311" s="642" t="s">
        <v>364</v>
      </c>
      <c r="AM311" s="643"/>
      <c r="AN311" s="642"/>
      <c r="AO311" s="644">
        <v>304</v>
      </c>
      <c r="AP311" s="565"/>
      <c r="AQ311" s="566"/>
      <c r="AR311" s="566"/>
      <c r="AS311" s="566"/>
      <c r="AT311" s="566"/>
      <c r="AU311" s="566"/>
      <c r="AV311" s="566"/>
      <c r="AW311" s="566"/>
      <c r="AX311" s="566"/>
      <c r="AY311" s="566"/>
      <c r="AZ311" s="566"/>
      <c r="BA311" s="566"/>
      <c r="BB311" s="566"/>
      <c r="BC311" s="566"/>
      <c r="BD311" s="566"/>
      <c r="BE311" s="566"/>
      <c r="BF311" s="566"/>
      <c r="BG311" s="566"/>
    </row>
    <row r="312" spans="1:59">
      <c r="A312" s="591"/>
      <c r="B312" s="592"/>
      <c r="C312" s="593"/>
      <c r="D312" s="594">
        <v>1</v>
      </c>
      <c r="E312" s="595" t="s">
        <v>366</v>
      </c>
      <c r="F312" s="593" t="s">
        <v>367</v>
      </c>
      <c r="G312" s="596">
        <v>2</v>
      </c>
      <c r="H312" s="596" t="s">
        <v>589</v>
      </c>
      <c r="I312" s="596"/>
      <c r="J312" s="596"/>
      <c r="K312" s="596"/>
      <c r="L312" s="591" t="s">
        <v>766</v>
      </c>
      <c r="M312" s="597" t="str">
        <f t="shared" si="198"/>
        <v>Gang, hal, pantry, aula, repro, gardarobe</v>
      </c>
      <c r="N312" s="591" t="s">
        <v>323</v>
      </c>
      <c r="O312" s="598"/>
      <c r="P312" s="599"/>
      <c r="Q312" s="600">
        <f t="shared" si="207"/>
        <v>0</v>
      </c>
      <c r="R312" s="601">
        <f t="shared" si="199"/>
        <v>81</v>
      </c>
      <c r="S312" s="647">
        <v>104200</v>
      </c>
      <c r="T312" s="602"/>
      <c r="U312" s="645">
        <v>1</v>
      </c>
      <c r="V312" s="593">
        <f t="shared" si="178"/>
        <v>200</v>
      </c>
      <c r="W312" s="604">
        <f t="shared" si="200"/>
        <v>0</v>
      </c>
      <c r="X312" s="604">
        <f t="shared" si="201"/>
        <v>0</v>
      </c>
      <c r="Y312" s="604">
        <f t="shared" si="202"/>
        <v>0</v>
      </c>
      <c r="Z312" s="605">
        <f t="shared" si="203"/>
        <v>0</v>
      </c>
      <c r="AA312" s="751">
        <f t="shared" si="204"/>
        <v>0</v>
      </c>
      <c r="AB312" s="605">
        <f t="shared" si="205"/>
        <v>0</v>
      </c>
      <c r="AC312" s="607"/>
      <c r="AD312" s="591" t="str">
        <f t="shared" si="206"/>
        <v>Friesland College</v>
      </c>
      <c r="AE312" s="608"/>
      <c r="AF312" s="639">
        <v>81</v>
      </c>
      <c r="AG312" s="639">
        <f t="shared" si="177"/>
        <v>81</v>
      </c>
      <c r="AH312" s="639">
        <v>0</v>
      </c>
      <c r="AI312" s="640"/>
      <c r="AJ312" s="641">
        <v>31.444200000000002</v>
      </c>
      <c r="AK312" s="642"/>
      <c r="AL312" s="642" t="s">
        <v>364</v>
      </c>
      <c r="AM312" s="643"/>
      <c r="AN312" s="642"/>
      <c r="AO312" s="644">
        <v>305</v>
      </c>
      <c r="AP312" s="565"/>
      <c r="AQ312" s="566"/>
      <c r="AR312" s="566"/>
      <c r="AS312" s="566"/>
      <c r="AT312" s="566"/>
      <c r="AU312" s="566"/>
      <c r="AV312" s="566"/>
      <c r="AW312" s="566"/>
      <c r="AX312" s="566"/>
      <c r="AY312" s="566"/>
      <c r="AZ312" s="566"/>
      <c r="BA312" s="566"/>
      <c r="BB312" s="566"/>
      <c r="BC312" s="566"/>
      <c r="BD312" s="566"/>
      <c r="BE312" s="566"/>
      <c r="BF312" s="566"/>
      <c r="BG312" s="566"/>
    </row>
    <row r="313" spans="1:59">
      <c r="A313" s="591"/>
      <c r="B313" s="592"/>
      <c r="C313" s="593"/>
      <c r="D313" s="594">
        <v>1</v>
      </c>
      <c r="E313" s="595" t="s">
        <v>366</v>
      </c>
      <c r="F313" s="593" t="s">
        <v>367</v>
      </c>
      <c r="G313" s="596">
        <v>3</v>
      </c>
      <c r="H313" s="596" t="s">
        <v>589</v>
      </c>
      <c r="I313" s="596"/>
      <c r="J313" s="596"/>
      <c r="K313" s="596"/>
      <c r="L313" s="591" t="s">
        <v>843</v>
      </c>
      <c r="M313" s="597" t="str">
        <f t="shared" si="198"/>
        <v>Gang, hal, pantry, aula, repro, gardarobe</v>
      </c>
      <c r="N313" s="591" t="s">
        <v>944</v>
      </c>
      <c r="O313" s="598"/>
      <c r="P313" s="599"/>
      <c r="Q313" s="600">
        <f t="shared" si="207"/>
        <v>0</v>
      </c>
      <c r="R313" s="601">
        <f t="shared" si="199"/>
        <v>12</v>
      </c>
      <c r="S313" s="647">
        <v>104200</v>
      </c>
      <c r="T313" s="602"/>
      <c r="U313" s="645">
        <v>1</v>
      </c>
      <c r="V313" s="593">
        <f t="shared" si="178"/>
        <v>200</v>
      </c>
      <c r="W313" s="604">
        <f t="shared" si="200"/>
        <v>0</v>
      </c>
      <c r="X313" s="604">
        <f t="shared" si="201"/>
        <v>0</v>
      </c>
      <c r="Y313" s="604">
        <f t="shared" si="202"/>
        <v>0</v>
      </c>
      <c r="Z313" s="605">
        <f t="shared" si="203"/>
        <v>0</v>
      </c>
      <c r="AA313" s="751">
        <f t="shared" si="204"/>
        <v>0</v>
      </c>
      <c r="AB313" s="605">
        <f t="shared" si="205"/>
        <v>0</v>
      </c>
      <c r="AC313" s="607"/>
      <c r="AD313" s="591" t="str">
        <f t="shared" si="206"/>
        <v>Friesland College</v>
      </c>
      <c r="AE313" s="608"/>
      <c r="AF313" s="639">
        <v>12</v>
      </c>
      <c r="AG313" s="639">
        <f t="shared" si="177"/>
        <v>12</v>
      </c>
      <c r="AH313" s="639">
        <v>0</v>
      </c>
      <c r="AI313" s="640"/>
      <c r="AJ313" s="641">
        <v>7.4051999999999998</v>
      </c>
      <c r="AK313" s="642"/>
      <c r="AL313" s="642" t="s">
        <v>364</v>
      </c>
      <c r="AM313" s="643"/>
      <c r="AN313" s="642"/>
      <c r="AO313" s="644">
        <v>306</v>
      </c>
      <c r="AP313" s="565"/>
      <c r="AQ313" s="566"/>
      <c r="AR313" s="566"/>
      <c r="AS313" s="566"/>
      <c r="AT313" s="566"/>
      <c r="AU313" s="566"/>
      <c r="AV313" s="566"/>
      <c r="AW313" s="566"/>
      <c r="AX313" s="566"/>
      <c r="AY313" s="566"/>
      <c r="AZ313" s="566"/>
      <c r="BA313" s="566"/>
      <c r="BB313" s="566"/>
      <c r="BC313" s="566"/>
      <c r="BD313" s="566"/>
      <c r="BE313" s="566"/>
      <c r="BF313" s="566"/>
      <c r="BG313" s="566"/>
    </row>
    <row r="314" spans="1:59">
      <c r="A314" s="591"/>
      <c r="B314" s="592"/>
      <c r="C314" s="593"/>
      <c r="D314" s="594">
        <v>1</v>
      </c>
      <c r="E314" s="595" t="s">
        <v>366</v>
      </c>
      <c r="F314" s="593" t="s">
        <v>367</v>
      </c>
      <c r="G314" s="596">
        <v>4</v>
      </c>
      <c r="H314" s="596" t="s">
        <v>589</v>
      </c>
      <c r="I314" s="596"/>
      <c r="J314" s="596"/>
      <c r="K314" s="596"/>
      <c r="L314" s="591" t="s">
        <v>844</v>
      </c>
      <c r="M314" s="597" t="str">
        <f t="shared" si="198"/>
        <v>Administratieve -, personeels- en vergaderruimte</v>
      </c>
      <c r="N314" s="591" t="s">
        <v>78</v>
      </c>
      <c r="O314" s="598"/>
      <c r="P314" s="599"/>
      <c r="Q314" s="600">
        <f t="shared" si="207"/>
        <v>0</v>
      </c>
      <c r="R314" s="601">
        <f t="shared" si="199"/>
        <v>22</v>
      </c>
      <c r="S314" s="647">
        <v>101100</v>
      </c>
      <c r="T314" s="602"/>
      <c r="U314" s="645">
        <v>1</v>
      </c>
      <c r="V314" s="593">
        <f t="shared" si="178"/>
        <v>100</v>
      </c>
      <c r="W314" s="604">
        <f t="shared" si="200"/>
        <v>0</v>
      </c>
      <c r="X314" s="604">
        <f t="shared" si="201"/>
        <v>0</v>
      </c>
      <c r="Y314" s="604">
        <f t="shared" si="202"/>
        <v>0</v>
      </c>
      <c r="Z314" s="605">
        <f t="shared" si="203"/>
        <v>0</v>
      </c>
      <c r="AA314" s="751">
        <f t="shared" si="204"/>
        <v>0</v>
      </c>
      <c r="AB314" s="605">
        <f t="shared" si="205"/>
        <v>0</v>
      </c>
      <c r="AC314" s="607"/>
      <c r="AD314" s="591" t="str">
        <f t="shared" si="206"/>
        <v>Friesland College</v>
      </c>
      <c r="AE314" s="608"/>
      <c r="AF314" s="639">
        <v>22</v>
      </c>
      <c r="AG314" s="639">
        <f t="shared" si="177"/>
        <v>22</v>
      </c>
      <c r="AH314" s="639">
        <v>0</v>
      </c>
      <c r="AI314" s="640"/>
      <c r="AJ314" s="641">
        <v>7.8011999999999997</v>
      </c>
      <c r="AK314" s="642"/>
      <c r="AL314" s="642" t="s">
        <v>364</v>
      </c>
      <c r="AM314" s="643"/>
      <c r="AN314" s="642"/>
      <c r="AO314" s="644">
        <v>307</v>
      </c>
      <c r="AP314" s="565"/>
      <c r="AQ314" s="566"/>
      <c r="AR314" s="566"/>
      <c r="AS314" s="566"/>
      <c r="AT314" s="566"/>
      <c r="AU314" s="566"/>
      <c r="AV314" s="566"/>
      <c r="AW314" s="566"/>
      <c r="AX314" s="566"/>
      <c r="AY314" s="566"/>
      <c r="AZ314" s="566"/>
      <c r="BA314" s="566"/>
      <c r="BB314" s="566"/>
      <c r="BC314" s="566"/>
      <c r="BD314" s="566"/>
      <c r="BE314" s="566"/>
      <c r="BF314" s="566"/>
      <c r="BG314" s="566"/>
    </row>
    <row r="315" spans="1:59">
      <c r="A315" s="591"/>
      <c r="B315" s="609"/>
      <c r="C315" s="609"/>
      <c r="D315" s="594">
        <v>1</v>
      </c>
      <c r="E315" s="595" t="s">
        <v>366</v>
      </c>
      <c r="F315" s="593" t="s">
        <v>367</v>
      </c>
      <c r="G315" s="610">
        <v>4</v>
      </c>
      <c r="H315" s="610" t="s">
        <v>589</v>
      </c>
      <c r="I315" s="610"/>
      <c r="J315" s="610"/>
      <c r="K315" s="610"/>
      <c r="L315" s="611" t="s">
        <v>844</v>
      </c>
      <c r="M315" s="612">
        <f>VLOOKUP(S315,Kengetal,4,FALSE)</f>
        <v>0</v>
      </c>
      <c r="N315" s="613"/>
      <c r="O315" s="614" t="s">
        <v>984</v>
      </c>
      <c r="P315" s="615">
        <v>100</v>
      </c>
      <c r="Q315" s="616">
        <f t="shared" si="207"/>
        <v>22</v>
      </c>
      <c r="R315" s="613"/>
      <c r="S315" s="603"/>
      <c r="T315" s="606"/>
      <c r="U315" s="606"/>
      <c r="V315" s="593">
        <f t="shared" si="178"/>
        <v>0</v>
      </c>
      <c r="W315" s="606"/>
      <c r="X315" s="606"/>
      <c r="Y315" s="606"/>
      <c r="Z315" s="606"/>
      <c r="AA315" s="606"/>
      <c r="AB315" s="606"/>
      <c r="AC315" s="607"/>
      <c r="AD315" s="606"/>
      <c r="AE315" s="608"/>
      <c r="AF315" s="639">
        <v>22</v>
      </c>
      <c r="AG315" s="639">
        <f t="shared" si="177"/>
        <v>22</v>
      </c>
      <c r="AH315" s="639">
        <v>0</v>
      </c>
      <c r="AI315" s="640"/>
      <c r="AJ315" s="641">
        <v>7.8011999999999997</v>
      </c>
      <c r="AK315" s="642"/>
      <c r="AL315" s="642" t="s">
        <v>364</v>
      </c>
      <c r="AM315" s="643"/>
      <c r="AN315" s="642"/>
      <c r="AO315" s="644">
        <v>308</v>
      </c>
      <c r="AP315" s="565"/>
      <c r="AQ315" s="566"/>
      <c r="AR315" s="566"/>
      <c r="AS315" s="566"/>
      <c r="AT315" s="566"/>
      <c r="AU315" s="566"/>
      <c r="AV315" s="566"/>
      <c r="AW315" s="566"/>
      <c r="AX315" s="566"/>
      <c r="AY315" s="566"/>
      <c r="AZ315" s="566"/>
      <c r="BA315" s="566"/>
      <c r="BB315" s="566"/>
      <c r="BC315" s="566"/>
      <c r="BD315" s="566"/>
      <c r="BE315" s="566"/>
      <c r="BF315" s="566"/>
      <c r="BG315" s="566"/>
    </row>
    <row r="316" spans="1:59">
      <c r="A316" s="591"/>
      <c r="B316" s="592"/>
      <c r="C316" s="593"/>
      <c r="D316" s="594">
        <v>1</v>
      </c>
      <c r="E316" s="595" t="s">
        <v>366</v>
      </c>
      <c r="F316" s="593" t="s">
        <v>367</v>
      </c>
      <c r="G316" s="596">
        <v>5</v>
      </c>
      <c r="H316" s="596" t="s">
        <v>589</v>
      </c>
      <c r="I316" s="596"/>
      <c r="J316" s="596"/>
      <c r="K316" s="596"/>
      <c r="L316" s="591" t="s">
        <v>765</v>
      </c>
      <c r="M316" s="597" t="str">
        <f>VLOOKUP(S316,Kengetal,4,FALSE)</f>
        <v>Lift</v>
      </c>
      <c r="N316" s="591" t="s">
        <v>945</v>
      </c>
      <c r="O316" s="598"/>
      <c r="P316" s="599"/>
      <c r="Q316" s="600">
        <f t="shared" si="207"/>
        <v>0</v>
      </c>
      <c r="R316" s="601">
        <f t="shared" ref="R316:R322" si="208">AF316</f>
        <v>2.5</v>
      </c>
      <c r="S316" s="647">
        <v>109200</v>
      </c>
      <c r="T316" s="602"/>
      <c r="U316" s="645">
        <v>1</v>
      </c>
      <c r="V316" s="593">
        <f t="shared" si="178"/>
        <v>200</v>
      </c>
      <c r="W316" s="604">
        <f t="shared" ref="W316:W322" si="209">Z316*R316*U316</f>
        <v>0</v>
      </c>
      <c r="X316" s="604">
        <f t="shared" ref="X316:X322" si="210">AA316*R316</f>
        <v>0</v>
      </c>
      <c r="Y316" s="604">
        <f t="shared" ref="Y316:Y322" si="211">AB316*R316</f>
        <v>0</v>
      </c>
      <c r="Z316" s="605">
        <f t="shared" ref="Z316:Z322" si="212">VLOOKUP(S316,Kengetal,6,FALSE)</f>
        <v>0</v>
      </c>
      <c r="AA316" s="751">
        <f t="shared" ref="AA316:AA322" si="213">VLOOKUP(S316,Kengetal,7,FALSE)</f>
        <v>0</v>
      </c>
      <c r="AB316" s="605">
        <f t="shared" ref="AB316:AB322" si="214">VLOOKUP(T316,Kengetal,6,FALSE)</f>
        <v>0</v>
      </c>
      <c r="AC316" s="607"/>
      <c r="AD316" s="591" t="str">
        <f t="shared" ref="AD316:AD322" si="215">AL316</f>
        <v>Friesland College</v>
      </c>
      <c r="AE316" s="608"/>
      <c r="AF316" s="639">
        <v>2.5</v>
      </c>
      <c r="AG316" s="639">
        <f t="shared" si="177"/>
        <v>2.5</v>
      </c>
      <c r="AH316" s="639">
        <v>0</v>
      </c>
      <c r="AI316" s="640"/>
      <c r="AJ316" s="641">
        <v>4.2714999999999996</v>
      </c>
      <c r="AK316" s="642"/>
      <c r="AL316" s="642" t="s">
        <v>364</v>
      </c>
      <c r="AM316" s="643"/>
      <c r="AN316" s="642"/>
      <c r="AO316" s="644">
        <v>309</v>
      </c>
      <c r="AP316" s="565"/>
      <c r="AQ316" s="566"/>
      <c r="AR316" s="566"/>
      <c r="AS316" s="566"/>
      <c r="AT316" s="566"/>
      <c r="AU316" s="566"/>
      <c r="AV316" s="566"/>
      <c r="AW316" s="566"/>
      <c r="AX316" s="566"/>
      <c r="AY316" s="566"/>
      <c r="AZ316" s="566"/>
      <c r="BA316" s="566"/>
      <c r="BB316" s="566"/>
      <c r="BC316" s="566"/>
      <c r="BD316" s="566"/>
      <c r="BE316" s="566"/>
      <c r="BF316" s="566"/>
      <c r="BG316" s="566"/>
    </row>
    <row r="317" spans="1:59">
      <c r="A317" s="591"/>
      <c r="B317" s="592"/>
      <c r="C317" s="593"/>
      <c r="D317" s="594">
        <v>1</v>
      </c>
      <c r="E317" s="595" t="s">
        <v>366</v>
      </c>
      <c r="F317" s="593" t="s">
        <v>367</v>
      </c>
      <c r="G317" s="596">
        <v>6</v>
      </c>
      <c r="H317" s="596" t="s">
        <v>589</v>
      </c>
      <c r="I317" s="596"/>
      <c r="J317" s="596"/>
      <c r="K317" s="596"/>
      <c r="L317" s="591" t="s">
        <v>319</v>
      </c>
      <c r="M317" s="597" t="str">
        <f t="shared" ref="M317:M322" si="216">VLOOKUP(S317,Kengetal,4,FALSE)</f>
        <v>Gang, hal, pantry, aula, repro, gardarobe</v>
      </c>
      <c r="N317" s="591" t="s">
        <v>945</v>
      </c>
      <c r="O317" s="598"/>
      <c r="P317" s="599"/>
      <c r="Q317" s="600">
        <f t="shared" si="207"/>
        <v>0</v>
      </c>
      <c r="R317" s="601">
        <f t="shared" si="208"/>
        <v>19</v>
      </c>
      <c r="S317" s="647">
        <v>104200</v>
      </c>
      <c r="T317" s="602"/>
      <c r="U317" s="645">
        <v>1</v>
      </c>
      <c r="V317" s="593">
        <f t="shared" si="178"/>
        <v>200</v>
      </c>
      <c r="W317" s="604">
        <f t="shared" si="209"/>
        <v>0</v>
      </c>
      <c r="X317" s="604">
        <f t="shared" si="210"/>
        <v>0</v>
      </c>
      <c r="Y317" s="604">
        <f t="shared" si="211"/>
        <v>0</v>
      </c>
      <c r="Z317" s="605">
        <f t="shared" si="212"/>
        <v>0</v>
      </c>
      <c r="AA317" s="751">
        <f t="shared" si="213"/>
        <v>0</v>
      </c>
      <c r="AB317" s="605">
        <f t="shared" si="214"/>
        <v>0</v>
      </c>
      <c r="AC317" s="607"/>
      <c r="AD317" s="591" t="str">
        <f t="shared" si="215"/>
        <v>Friesland College</v>
      </c>
      <c r="AE317" s="608"/>
      <c r="AF317" s="639">
        <v>19</v>
      </c>
      <c r="AG317" s="639">
        <f t="shared" si="177"/>
        <v>19</v>
      </c>
      <c r="AH317" s="639">
        <v>0</v>
      </c>
      <c r="AI317" s="640"/>
      <c r="AJ317" s="641">
        <v>7.3757999999999999</v>
      </c>
      <c r="AK317" s="642"/>
      <c r="AL317" s="642" t="s">
        <v>364</v>
      </c>
      <c r="AM317" s="643"/>
      <c r="AN317" s="642"/>
      <c r="AO317" s="644">
        <v>310</v>
      </c>
      <c r="AP317" s="565"/>
      <c r="AQ317" s="566"/>
      <c r="AR317" s="566"/>
      <c r="AS317" s="566"/>
      <c r="AT317" s="566"/>
      <c r="AU317" s="566"/>
      <c r="AV317" s="566"/>
      <c r="AW317" s="566"/>
      <c r="AX317" s="566"/>
      <c r="AY317" s="566"/>
      <c r="AZ317" s="566"/>
      <c r="BA317" s="566"/>
      <c r="BB317" s="566"/>
      <c r="BC317" s="566"/>
      <c r="BD317" s="566"/>
      <c r="BE317" s="566"/>
      <c r="BF317" s="566"/>
      <c r="BG317" s="566"/>
    </row>
    <row r="318" spans="1:59">
      <c r="A318" s="591"/>
      <c r="B318" s="592"/>
      <c r="C318" s="593"/>
      <c r="D318" s="594">
        <v>1</v>
      </c>
      <c r="E318" s="595" t="s">
        <v>366</v>
      </c>
      <c r="F318" s="593" t="s">
        <v>367</v>
      </c>
      <c r="G318" s="596">
        <v>7</v>
      </c>
      <c r="H318" s="596" t="s">
        <v>589</v>
      </c>
      <c r="I318" s="596"/>
      <c r="J318" s="596"/>
      <c r="K318" s="596"/>
      <c r="L318" s="591" t="s">
        <v>319</v>
      </c>
      <c r="M318" s="597" t="str">
        <f t="shared" si="216"/>
        <v>Gang, hal, pantry, aula, repro, gardarobe</v>
      </c>
      <c r="N318" s="591" t="s">
        <v>945</v>
      </c>
      <c r="O318" s="598"/>
      <c r="P318" s="599"/>
      <c r="Q318" s="600">
        <f t="shared" si="207"/>
        <v>0</v>
      </c>
      <c r="R318" s="601">
        <f t="shared" si="208"/>
        <v>23.5</v>
      </c>
      <c r="S318" s="647">
        <v>104200</v>
      </c>
      <c r="T318" s="602"/>
      <c r="U318" s="645">
        <v>1</v>
      </c>
      <c r="V318" s="593">
        <f t="shared" si="178"/>
        <v>200</v>
      </c>
      <c r="W318" s="604">
        <f t="shared" si="209"/>
        <v>0</v>
      </c>
      <c r="X318" s="604">
        <f t="shared" si="210"/>
        <v>0</v>
      </c>
      <c r="Y318" s="604">
        <f t="shared" si="211"/>
        <v>0</v>
      </c>
      <c r="Z318" s="605">
        <f t="shared" si="212"/>
        <v>0</v>
      </c>
      <c r="AA318" s="751">
        <f t="shared" si="213"/>
        <v>0</v>
      </c>
      <c r="AB318" s="605">
        <f t="shared" si="214"/>
        <v>0</v>
      </c>
      <c r="AC318" s="607"/>
      <c r="AD318" s="591" t="str">
        <f t="shared" si="215"/>
        <v>Friesland College</v>
      </c>
      <c r="AE318" s="608"/>
      <c r="AF318" s="639">
        <v>23.5</v>
      </c>
      <c r="AG318" s="639">
        <f t="shared" si="177"/>
        <v>23.5</v>
      </c>
      <c r="AH318" s="639">
        <v>0</v>
      </c>
      <c r="AI318" s="640"/>
      <c r="AJ318" s="641">
        <v>9.1227</v>
      </c>
      <c r="AK318" s="642"/>
      <c r="AL318" s="642" t="s">
        <v>364</v>
      </c>
      <c r="AM318" s="643"/>
      <c r="AN318" s="642"/>
      <c r="AO318" s="644">
        <v>311</v>
      </c>
      <c r="AP318" s="565"/>
      <c r="AQ318" s="566"/>
      <c r="AR318" s="566"/>
      <c r="AS318" s="566"/>
      <c r="AT318" s="566"/>
      <c r="AU318" s="566"/>
      <c r="AV318" s="566"/>
      <c r="AW318" s="566"/>
      <c r="AX318" s="566"/>
      <c r="AY318" s="566"/>
      <c r="AZ318" s="566"/>
      <c r="BA318" s="566"/>
      <c r="BB318" s="566"/>
      <c r="BC318" s="566"/>
      <c r="BD318" s="566"/>
      <c r="BE318" s="566"/>
      <c r="BF318" s="566"/>
      <c r="BG318" s="566"/>
    </row>
    <row r="319" spans="1:59">
      <c r="A319" s="591"/>
      <c r="B319" s="592"/>
      <c r="C319" s="593"/>
      <c r="D319" s="594">
        <v>1</v>
      </c>
      <c r="E319" s="595" t="s">
        <v>366</v>
      </c>
      <c r="F319" s="593" t="s">
        <v>367</v>
      </c>
      <c r="G319" s="596">
        <v>8</v>
      </c>
      <c r="H319" s="596" t="s">
        <v>589</v>
      </c>
      <c r="I319" s="596"/>
      <c r="J319" s="596"/>
      <c r="K319" s="596"/>
      <c r="L319" s="591" t="s">
        <v>845</v>
      </c>
      <c r="M319" s="597" t="str">
        <f t="shared" si="216"/>
        <v>Sanitaire ruimte (toilet-/doucheruimte)</v>
      </c>
      <c r="N319" s="591" t="s">
        <v>323</v>
      </c>
      <c r="O319" s="598"/>
      <c r="P319" s="599"/>
      <c r="Q319" s="600">
        <f t="shared" si="207"/>
        <v>0</v>
      </c>
      <c r="R319" s="601">
        <f t="shared" si="208"/>
        <v>3.9</v>
      </c>
      <c r="S319" s="647">
        <v>103200</v>
      </c>
      <c r="T319" s="647">
        <v>103400</v>
      </c>
      <c r="U319" s="645">
        <v>1</v>
      </c>
      <c r="V319" s="593">
        <f t="shared" si="178"/>
        <v>400</v>
      </c>
      <c r="W319" s="604">
        <f t="shared" si="209"/>
        <v>0</v>
      </c>
      <c r="X319" s="604">
        <f t="shared" si="210"/>
        <v>0</v>
      </c>
      <c r="Y319" s="604">
        <f t="shared" si="211"/>
        <v>0</v>
      </c>
      <c r="Z319" s="605">
        <f t="shared" si="212"/>
        <v>0</v>
      </c>
      <c r="AA319" s="751">
        <f t="shared" si="213"/>
        <v>0</v>
      </c>
      <c r="AB319" s="605">
        <f t="shared" si="214"/>
        <v>0</v>
      </c>
      <c r="AC319" s="607"/>
      <c r="AD319" s="591" t="str">
        <f t="shared" si="215"/>
        <v>Friesland College</v>
      </c>
      <c r="AE319" s="608"/>
      <c r="AF319" s="639">
        <v>3.9</v>
      </c>
      <c r="AG319" s="639">
        <f t="shared" si="177"/>
        <v>3.9</v>
      </c>
      <c r="AH319" s="639">
        <v>0</v>
      </c>
      <c r="AI319" s="640"/>
      <c r="AJ319" s="641">
        <v>20.123999999999999</v>
      </c>
      <c r="AK319" s="642"/>
      <c r="AL319" s="642" t="s">
        <v>364</v>
      </c>
      <c r="AM319" s="643"/>
      <c r="AN319" s="642"/>
      <c r="AO319" s="644">
        <v>312</v>
      </c>
      <c r="AP319" s="565"/>
      <c r="AQ319" s="566"/>
      <c r="AR319" s="566"/>
      <c r="AS319" s="566"/>
      <c r="AT319" s="566"/>
      <c r="AU319" s="566"/>
      <c r="AV319" s="566"/>
      <c r="AW319" s="566"/>
      <c r="AX319" s="566"/>
      <c r="AY319" s="566"/>
      <c r="AZ319" s="566"/>
      <c r="BA319" s="566"/>
      <c r="BB319" s="566"/>
      <c r="BC319" s="566"/>
      <c r="BD319" s="566"/>
      <c r="BE319" s="566"/>
      <c r="BF319" s="566"/>
      <c r="BG319" s="566"/>
    </row>
    <row r="320" spans="1:59">
      <c r="A320" s="591"/>
      <c r="B320" s="592"/>
      <c r="C320" s="593"/>
      <c r="D320" s="594">
        <v>1</v>
      </c>
      <c r="E320" s="595" t="s">
        <v>366</v>
      </c>
      <c r="F320" s="593" t="s">
        <v>367</v>
      </c>
      <c r="G320" s="596">
        <v>9</v>
      </c>
      <c r="H320" s="596" t="s">
        <v>589</v>
      </c>
      <c r="I320" s="596"/>
      <c r="J320" s="596"/>
      <c r="K320" s="596"/>
      <c r="L320" s="591" t="s">
        <v>773</v>
      </c>
      <c r="M320" s="597" t="str">
        <f t="shared" si="216"/>
        <v>Sanitaire ruimte (toilet-/doucheruimte)</v>
      </c>
      <c r="N320" s="591" t="s">
        <v>323</v>
      </c>
      <c r="O320" s="598"/>
      <c r="P320" s="599"/>
      <c r="Q320" s="600">
        <f t="shared" si="207"/>
        <v>0</v>
      </c>
      <c r="R320" s="601">
        <f t="shared" si="208"/>
        <v>11.5</v>
      </c>
      <c r="S320" s="647">
        <v>103200</v>
      </c>
      <c r="T320" s="647">
        <v>103400</v>
      </c>
      <c r="U320" s="645">
        <v>1</v>
      </c>
      <c r="V320" s="593">
        <f t="shared" si="178"/>
        <v>400</v>
      </c>
      <c r="W320" s="604">
        <f t="shared" si="209"/>
        <v>0</v>
      </c>
      <c r="X320" s="604">
        <f t="shared" si="210"/>
        <v>0</v>
      </c>
      <c r="Y320" s="604">
        <f t="shared" si="211"/>
        <v>0</v>
      </c>
      <c r="Z320" s="605">
        <f t="shared" si="212"/>
        <v>0</v>
      </c>
      <c r="AA320" s="751">
        <f t="shared" si="213"/>
        <v>0</v>
      </c>
      <c r="AB320" s="605">
        <f t="shared" si="214"/>
        <v>0</v>
      </c>
      <c r="AC320" s="607"/>
      <c r="AD320" s="591" t="str">
        <f t="shared" si="215"/>
        <v>Friesland College</v>
      </c>
      <c r="AE320" s="608"/>
      <c r="AF320" s="639">
        <v>11.5</v>
      </c>
      <c r="AG320" s="639">
        <f t="shared" si="177"/>
        <v>11.5</v>
      </c>
      <c r="AH320" s="639">
        <v>0</v>
      </c>
      <c r="AI320" s="640"/>
      <c r="AJ320" s="641">
        <v>59.34</v>
      </c>
      <c r="AK320" s="642"/>
      <c r="AL320" s="642" t="s">
        <v>364</v>
      </c>
      <c r="AM320" s="643"/>
      <c r="AN320" s="642"/>
      <c r="AO320" s="644">
        <v>313</v>
      </c>
      <c r="AP320" s="565"/>
      <c r="AQ320" s="566"/>
      <c r="AR320" s="566"/>
      <c r="AS320" s="566"/>
      <c r="AT320" s="566"/>
      <c r="AU320" s="566"/>
      <c r="AV320" s="566"/>
      <c r="AW320" s="566"/>
      <c r="AX320" s="566"/>
      <c r="AY320" s="566"/>
      <c r="AZ320" s="566"/>
      <c r="BA320" s="566"/>
      <c r="BB320" s="566"/>
      <c r="BC320" s="566"/>
      <c r="BD320" s="566"/>
      <c r="BE320" s="566"/>
      <c r="BF320" s="566"/>
      <c r="BG320" s="566"/>
    </row>
    <row r="321" spans="1:59">
      <c r="A321" s="591"/>
      <c r="B321" s="592"/>
      <c r="C321" s="593"/>
      <c r="D321" s="594">
        <v>1</v>
      </c>
      <c r="E321" s="595" t="s">
        <v>366</v>
      </c>
      <c r="F321" s="593" t="s">
        <v>367</v>
      </c>
      <c r="G321" s="596">
        <v>10</v>
      </c>
      <c r="H321" s="596" t="s">
        <v>589</v>
      </c>
      <c r="I321" s="596"/>
      <c r="J321" s="596"/>
      <c r="K321" s="596"/>
      <c r="L321" s="591" t="s">
        <v>773</v>
      </c>
      <c r="M321" s="597" t="str">
        <f t="shared" si="216"/>
        <v>Sanitaire ruimte (toilet-/doucheruimte)</v>
      </c>
      <c r="N321" s="591" t="s">
        <v>323</v>
      </c>
      <c r="O321" s="598"/>
      <c r="P321" s="599"/>
      <c r="Q321" s="600">
        <f t="shared" si="207"/>
        <v>0</v>
      </c>
      <c r="R321" s="601">
        <f t="shared" si="208"/>
        <v>15.5</v>
      </c>
      <c r="S321" s="647">
        <v>103200</v>
      </c>
      <c r="T321" s="647">
        <v>103400</v>
      </c>
      <c r="U321" s="645">
        <v>1</v>
      </c>
      <c r="V321" s="593">
        <f t="shared" si="178"/>
        <v>400</v>
      </c>
      <c r="W321" s="604">
        <f t="shared" si="209"/>
        <v>0</v>
      </c>
      <c r="X321" s="604">
        <f t="shared" si="210"/>
        <v>0</v>
      </c>
      <c r="Y321" s="604">
        <f t="shared" si="211"/>
        <v>0</v>
      </c>
      <c r="Z321" s="605">
        <f t="shared" si="212"/>
        <v>0</v>
      </c>
      <c r="AA321" s="751">
        <f t="shared" si="213"/>
        <v>0</v>
      </c>
      <c r="AB321" s="605">
        <f t="shared" si="214"/>
        <v>0</v>
      </c>
      <c r="AC321" s="607"/>
      <c r="AD321" s="591" t="str">
        <f t="shared" si="215"/>
        <v>Friesland College</v>
      </c>
      <c r="AE321" s="608"/>
      <c r="AF321" s="639">
        <v>15.5</v>
      </c>
      <c r="AG321" s="639">
        <f t="shared" si="177"/>
        <v>15.5</v>
      </c>
      <c r="AH321" s="639">
        <v>0</v>
      </c>
      <c r="AI321" s="640"/>
      <c r="AJ321" s="641">
        <v>79.98</v>
      </c>
      <c r="AK321" s="642"/>
      <c r="AL321" s="642" t="s">
        <v>364</v>
      </c>
      <c r="AM321" s="643"/>
      <c r="AN321" s="642"/>
      <c r="AO321" s="644">
        <v>314</v>
      </c>
      <c r="AP321" s="565"/>
      <c r="AQ321" s="566"/>
      <c r="AR321" s="566"/>
      <c r="AS321" s="566"/>
      <c r="AT321" s="566"/>
      <c r="AU321" s="566"/>
      <c r="AV321" s="566"/>
      <c r="AW321" s="566"/>
      <c r="AX321" s="566"/>
      <c r="AY321" s="566"/>
      <c r="AZ321" s="566"/>
      <c r="BA321" s="566"/>
      <c r="BB321" s="566"/>
      <c r="BC321" s="566"/>
      <c r="BD321" s="566"/>
      <c r="BE321" s="566"/>
      <c r="BF321" s="566"/>
      <c r="BG321" s="566"/>
    </row>
    <row r="322" spans="1:59">
      <c r="A322" s="591"/>
      <c r="B322" s="592"/>
      <c r="C322" s="593"/>
      <c r="D322" s="594">
        <v>1</v>
      </c>
      <c r="E322" s="595" t="s">
        <v>366</v>
      </c>
      <c r="F322" s="593" t="s">
        <v>367</v>
      </c>
      <c r="G322" s="596">
        <v>11</v>
      </c>
      <c r="H322" s="596" t="s">
        <v>590</v>
      </c>
      <c r="I322" s="596"/>
      <c r="J322" s="596"/>
      <c r="K322" s="596"/>
      <c r="L322" s="591" t="s">
        <v>846</v>
      </c>
      <c r="M322" s="597" t="str">
        <f t="shared" si="216"/>
        <v>Restaurant, kantine, atrium</v>
      </c>
      <c r="N322" s="591" t="s">
        <v>945</v>
      </c>
      <c r="O322" s="598"/>
      <c r="P322" s="599"/>
      <c r="Q322" s="600">
        <f t="shared" si="207"/>
        <v>0</v>
      </c>
      <c r="R322" s="601">
        <f t="shared" si="208"/>
        <v>217</v>
      </c>
      <c r="S322" s="648">
        <v>106200</v>
      </c>
      <c r="T322" s="602"/>
      <c r="U322" s="645">
        <v>1</v>
      </c>
      <c r="V322" s="593">
        <f t="shared" si="178"/>
        <v>200</v>
      </c>
      <c r="W322" s="604">
        <f t="shared" si="209"/>
        <v>0</v>
      </c>
      <c r="X322" s="604">
        <f t="shared" si="210"/>
        <v>0</v>
      </c>
      <c r="Y322" s="604">
        <f t="shared" si="211"/>
        <v>0</v>
      </c>
      <c r="Z322" s="605">
        <f t="shared" si="212"/>
        <v>0</v>
      </c>
      <c r="AA322" s="751">
        <f t="shared" si="213"/>
        <v>0</v>
      </c>
      <c r="AB322" s="605">
        <f t="shared" si="214"/>
        <v>0</v>
      </c>
      <c r="AC322" s="607"/>
      <c r="AD322" s="591" t="str">
        <f t="shared" si="215"/>
        <v>Friesland College</v>
      </c>
      <c r="AE322" s="608"/>
      <c r="AF322" s="639">
        <v>217</v>
      </c>
      <c r="AG322" s="639">
        <f t="shared" si="177"/>
        <v>217</v>
      </c>
      <c r="AH322" s="639">
        <v>0</v>
      </c>
      <c r="AI322" s="640"/>
      <c r="AJ322" s="641">
        <v>191.30720000000002</v>
      </c>
      <c r="AK322" s="642"/>
      <c r="AL322" s="642" t="s">
        <v>364</v>
      </c>
      <c r="AM322" s="643"/>
      <c r="AN322" s="642"/>
      <c r="AO322" s="644">
        <v>315</v>
      </c>
      <c r="AP322" s="565"/>
      <c r="AQ322" s="566"/>
      <c r="AR322" s="566"/>
      <c r="AS322" s="566"/>
      <c r="AT322" s="566"/>
      <c r="AU322" s="566"/>
      <c r="AV322" s="566"/>
      <c r="AW322" s="566"/>
      <c r="AX322" s="566"/>
      <c r="AY322" s="566"/>
      <c r="AZ322" s="566"/>
      <c r="BA322" s="566"/>
      <c r="BB322" s="566"/>
      <c r="BC322" s="566"/>
      <c r="BD322" s="566"/>
      <c r="BE322" s="566"/>
      <c r="BF322" s="566"/>
      <c r="BG322" s="566"/>
    </row>
    <row r="323" spans="1:59">
      <c r="A323" s="591"/>
      <c r="B323" s="609"/>
      <c r="C323" s="609"/>
      <c r="D323" s="594">
        <v>1</v>
      </c>
      <c r="E323" s="595" t="s">
        <v>366</v>
      </c>
      <c r="F323" s="593" t="s">
        <v>367</v>
      </c>
      <c r="G323" s="610">
        <v>11</v>
      </c>
      <c r="H323" s="610" t="s">
        <v>590</v>
      </c>
      <c r="I323" s="610"/>
      <c r="J323" s="610"/>
      <c r="K323" s="610"/>
      <c r="L323" s="611" t="s">
        <v>846</v>
      </c>
      <c r="M323" s="612">
        <f>VLOOKUP(S323,Kengetal,4,FALSE)</f>
        <v>0</v>
      </c>
      <c r="N323" s="613"/>
      <c r="O323" s="614" t="s">
        <v>1010</v>
      </c>
      <c r="P323" s="615">
        <v>100</v>
      </c>
      <c r="Q323" s="616">
        <f t="shared" si="207"/>
        <v>217</v>
      </c>
      <c r="R323" s="613"/>
      <c r="S323" s="628"/>
      <c r="T323" s="606"/>
      <c r="U323" s="606"/>
      <c r="V323" s="593">
        <f t="shared" si="178"/>
        <v>0</v>
      </c>
      <c r="W323" s="606"/>
      <c r="X323" s="606"/>
      <c r="Y323" s="606"/>
      <c r="Z323" s="606"/>
      <c r="AA323" s="606"/>
      <c r="AB323" s="606"/>
      <c r="AC323" s="607"/>
      <c r="AD323" s="606"/>
      <c r="AE323" s="608"/>
      <c r="AF323" s="639">
        <v>217</v>
      </c>
      <c r="AG323" s="639">
        <f t="shared" si="177"/>
        <v>217</v>
      </c>
      <c r="AH323" s="639">
        <v>0</v>
      </c>
      <c r="AI323" s="640"/>
      <c r="AJ323" s="641">
        <v>191.30720000000002</v>
      </c>
      <c r="AK323" s="642"/>
      <c r="AL323" s="642" t="s">
        <v>364</v>
      </c>
      <c r="AM323" s="643"/>
      <c r="AN323" s="642"/>
      <c r="AO323" s="644">
        <v>316</v>
      </c>
      <c r="AP323" s="565"/>
      <c r="AQ323" s="566"/>
      <c r="AR323" s="566"/>
      <c r="AS323" s="566"/>
      <c r="AT323" s="566"/>
      <c r="AU323" s="566"/>
      <c r="AV323" s="566"/>
      <c r="AW323" s="566"/>
      <c r="AX323" s="566"/>
      <c r="AY323" s="566"/>
      <c r="AZ323" s="566"/>
      <c r="BA323" s="566"/>
      <c r="BB323" s="566"/>
      <c r="BC323" s="566"/>
      <c r="BD323" s="566"/>
      <c r="BE323" s="566"/>
      <c r="BF323" s="566"/>
      <c r="BG323" s="566"/>
    </row>
    <row r="324" spans="1:59">
      <c r="A324" s="591"/>
      <c r="B324" s="592"/>
      <c r="C324" s="593"/>
      <c r="D324" s="594">
        <v>1</v>
      </c>
      <c r="E324" s="595" t="s">
        <v>366</v>
      </c>
      <c r="F324" s="593" t="s">
        <v>367</v>
      </c>
      <c r="G324" s="596">
        <v>12</v>
      </c>
      <c r="H324" s="596" t="s">
        <v>589</v>
      </c>
      <c r="I324" s="596"/>
      <c r="J324" s="596"/>
      <c r="K324" s="596"/>
      <c r="L324" s="591" t="s">
        <v>847</v>
      </c>
      <c r="M324" s="597" t="s">
        <v>1022</v>
      </c>
      <c r="N324" s="591" t="s">
        <v>946</v>
      </c>
      <c r="O324" s="598"/>
      <c r="P324" s="599"/>
      <c r="Q324" s="600">
        <f t="shared" si="207"/>
        <v>0</v>
      </c>
      <c r="R324" s="601">
        <f>AF324</f>
        <v>13.8</v>
      </c>
      <c r="S324" s="603" t="s">
        <v>959</v>
      </c>
      <c r="T324" s="602"/>
      <c r="U324" s="603"/>
      <c r="V324" s="593">
        <f t="shared" si="178"/>
        <v>0</v>
      </c>
      <c r="W324" s="604">
        <f t="shared" ref="W324:W325" si="217">Z324*R324*U324</f>
        <v>0</v>
      </c>
      <c r="X324" s="604">
        <f t="shared" ref="X324:X325" si="218">AA324*R324</f>
        <v>0</v>
      </c>
      <c r="Y324" s="604">
        <f t="shared" ref="Y324:Y325" si="219">AB324*R324</f>
        <v>0</v>
      </c>
      <c r="Z324" s="605">
        <f>VLOOKUP(S324,Kengetal,6,FALSE)</f>
        <v>0</v>
      </c>
      <c r="AA324" s="751">
        <f>VLOOKUP(S324,Kengetal,7,FALSE)</f>
        <v>0</v>
      </c>
      <c r="AB324" s="605">
        <f>VLOOKUP(T324,Kengetal,6,FALSE)</f>
        <v>0</v>
      </c>
      <c r="AC324" s="607"/>
      <c r="AD324" s="591" t="str">
        <f>AL324</f>
        <v>Friesland College</v>
      </c>
      <c r="AE324" s="608"/>
      <c r="AF324" s="639">
        <v>13.8</v>
      </c>
      <c r="AG324" s="639">
        <f t="shared" si="177"/>
        <v>13.8</v>
      </c>
      <c r="AH324" s="639">
        <v>0</v>
      </c>
      <c r="AI324" s="640"/>
      <c r="AJ324" s="641">
        <v>1.3984000000000001</v>
      </c>
      <c r="AK324" s="642"/>
      <c r="AL324" s="642" t="s">
        <v>364</v>
      </c>
      <c r="AM324" s="643"/>
      <c r="AN324" s="642"/>
      <c r="AO324" s="644">
        <v>317</v>
      </c>
      <c r="AP324" s="565"/>
      <c r="AQ324" s="566"/>
      <c r="AR324" s="566"/>
      <c r="AS324" s="566"/>
      <c r="AT324" s="566"/>
      <c r="AU324" s="566"/>
      <c r="AV324" s="566"/>
      <c r="AW324" s="566"/>
      <c r="AX324" s="566"/>
      <c r="AY324" s="566"/>
      <c r="AZ324" s="566"/>
      <c r="BA324" s="566"/>
      <c r="BB324" s="566"/>
      <c r="BC324" s="566"/>
      <c r="BD324" s="566"/>
      <c r="BE324" s="566"/>
      <c r="BF324" s="566"/>
      <c r="BG324" s="566"/>
    </row>
    <row r="325" spans="1:59">
      <c r="A325" s="591"/>
      <c r="B325" s="592"/>
      <c r="C325" s="593"/>
      <c r="D325" s="594">
        <v>1</v>
      </c>
      <c r="E325" s="595" t="s">
        <v>366</v>
      </c>
      <c r="F325" s="593" t="s">
        <v>367</v>
      </c>
      <c r="G325" s="596">
        <v>13</v>
      </c>
      <c r="H325" s="596" t="s">
        <v>591</v>
      </c>
      <c r="I325" s="596"/>
      <c r="J325" s="596"/>
      <c r="K325" s="596"/>
      <c r="L325" s="591" t="s">
        <v>848</v>
      </c>
      <c r="M325" s="597" t="str">
        <f t="shared" ref="M325" si="220">VLOOKUP(S325,Kengetal,4,FALSE)</f>
        <v>Onderwijsruimte (theorie)</v>
      </c>
      <c r="N325" s="591" t="s">
        <v>78</v>
      </c>
      <c r="O325" s="598"/>
      <c r="P325" s="599"/>
      <c r="Q325" s="600">
        <f t="shared" si="207"/>
        <v>0</v>
      </c>
      <c r="R325" s="601">
        <f>AF325</f>
        <v>174</v>
      </c>
      <c r="S325" s="647">
        <v>102200</v>
      </c>
      <c r="T325" s="602"/>
      <c r="U325" s="645">
        <v>1</v>
      </c>
      <c r="V325" s="593">
        <f t="shared" si="178"/>
        <v>200</v>
      </c>
      <c r="W325" s="604">
        <f t="shared" si="217"/>
        <v>0</v>
      </c>
      <c r="X325" s="604">
        <f t="shared" si="218"/>
        <v>0</v>
      </c>
      <c r="Y325" s="604">
        <f t="shared" si="219"/>
        <v>0</v>
      </c>
      <c r="Z325" s="605">
        <f>VLOOKUP(S325,Kengetal,6,FALSE)</f>
        <v>0</v>
      </c>
      <c r="AA325" s="751">
        <f>VLOOKUP(S325,Kengetal,7,FALSE)</f>
        <v>0</v>
      </c>
      <c r="AB325" s="605">
        <f>VLOOKUP(T325,Kengetal,6,FALSE)</f>
        <v>0</v>
      </c>
      <c r="AC325" s="607"/>
      <c r="AD325" s="591" t="str">
        <f>AL325</f>
        <v>Friesland College</v>
      </c>
      <c r="AE325" s="608"/>
      <c r="AF325" s="639">
        <v>174</v>
      </c>
      <c r="AG325" s="639">
        <f t="shared" si="177"/>
        <v>174</v>
      </c>
      <c r="AH325" s="639">
        <v>0</v>
      </c>
      <c r="AI325" s="640"/>
      <c r="AJ325" s="641">
        <v>114.0744</v>
      </c>
      <c r="AK325" s="642"/>
      <c r="AL325" s="642" t="s">
        <v>364</v>
      </c>
      <c r="AM325" s="643"/>
      <c r="AN325" s="642"/>
      <c r="AO325" s="644">
        <v>318</v>
      </c>
      <c r="AP325" s="565"/>
      <c r="AQ325" s="566"/>
      <c r="AR325" s="566"/>
      <c r="AS325" s="566"/>
      <c r="AT325" s="566"/>
      <c r="AU325" s="566"/>
      <c r="AV325" s="566"/>
      <c r="AW325" s="566"/>
      <c r="AX325" s="566"/>
      <c r="AY325" s="566"/>
      <c r="AZ325" s="566"/>
      <c r="BA325" s="566"/>
      <c r="BB325" s="566"/>
      <c r="BC325" s="566"/>
      <c r="BD325" s="566"/>
      <c r="BE325" s="566"/>
      <c r="BF325" s="566"/>
      <c r="BG325" s="566"/>
    </row>
    <row r="326" spans="1:59">
      <c r="A326" s="591"/>
      <c r="B326" s="609"/>
      <c r="C326" s="609"/>
      <c r="D326" s="594">
        <v>1</v>
      </c>
      <c r="E326" s="595" t="s">
        <v>366</v>
      </c>
      <c r="F326" s="593" t="s">
        <v>367</v>
      </c>
      <c r="G326" s="610">
        <v>13</v>
      </c>
      <c r="H326" s="610" t="s">
        <v>591</v>
      </c>
      <c r="I326" s="610"/>
      <c r="J326" s="610"/>
      <c r="K326" s="610"/>
      <c r="L326" s="611" t="s">
        <v>848</v>
      </c>
      <c r="M326" s="612">
        <f>VLOOKUP(S326,Kengetal,4,FALSE)</f>
        <v>0</v>
      </c>
      <c r="N326" s="613"/>
      <c r="O326" s="614" t="s">
        <v>1023</v>
      </c>
      <c r="P326" s="615">
        <v>100</v>
      </c>
      <c r="Q326" s="616">
        <f t="shared" si="207"/>
        <v>174</v>
      </c>
      <c r="R326" s="613"/>
      <c r="S326" s="603"/>
      <c r="T326" s="606"/>
      <c r="U326" s="606"/>
      <c r="V326" s="593">
        <f t="shared" si="178"/>
        <v>0</v>
      </c>
      <c r="W326" s="606"/>
      <c r="X326" s="606"/>
      <c r="Y326" s="606"/>
      <c r="Z326" s="606"/>
      <c r="AA326" s="606"/>
      <c r="AB326" s="606"/>
      <c r="AC326" s="607"/>
      <c r="AD326" s="606"/>
      <c r="AE326" s="608"/>
      <c r="AF326" s="639">
        <v>174</v>
      </c>
      <c r="AG326" s="639">
        <f t="shared" si="177"/>
        <v>174</v>
      </c>
      <c r="AH326" s="639">
        <v>0</v>
      </c>
      <c r="AI326" s="640"/>
      <c r="AJ326" s="641">
        <v>114.0744</v>
      </c>
      <c r="AK326" s="642"/>
      <c r="AL326" s="642" t="s">
        <v>364</v>
      </c>
      <c r="AM326" s="643"/>
      <c r="AN326" s="642"/>
      <c r="AO326" s="644">
        <v>319</v>
      </c>
      <c r="AP326" s="565"/>
      <c r="AQ326" s="566"/>
      <c r="AR326" s="566"/>
      <c r="AS326" s="566"/>
      <c r="AT326" s="566"/>
      <c r="AU326" s="566"/>
      <c r="AV326" s="566"/>
      <c r="AW326" s="566"/>
      <c r="AX326" s="566"/>
      <c r="AY326" s="566"/>
      <c r="AZ326" s="566"/>
      <c r="BA326" s="566"/>
      <c r="BB326" s="566"/>
      <c r="BC326" s="566"/>
      <c r="BD326" s="566"/>
      <c r="BE326" s="566"/>
      <c r="BF326" s="566"/>
      <c r="BG326" s="566"/>
    </row>
    <row r="327" spans="1:59">
      <c r="A327" s="591"/>
      <c r="B327" s="592"/>
      <c r="C327" s="593"/>
      <c r="D327" s="594">
        <v>1</v>
      </c>
      <c r="E327" s="595" t="s">
        <v>366</v>
      </c>
      <c r="F327" s="593" t="s">
        <v>367</v>
      </c>
      <c r="G327" s="596">
        <v>14</v>
      </c>
      <c r="H327" s="596" t="s">
        <v>593</v>
      </c>
      <c r="I327" s="596"/>
      <c r="J327" s="596"/>
      <c r="K327" s="596"/>
      <c r="L327" s="591" t="s">
        <v>1024</v>
      </c>
      <c r="M327" s="597" t="str">
        <f t="shared" ref="M327" si="221">VLOOKUP(S327,Kengetal,4,FALSE)</f>
        <v>Administratieve -, personeels- en vergaderruimte</v>
      </c>
      <c r="N327" s="591" t="s">
        <v>78</v>
      </c>
      <c r="O327" s="598"/>
      <c r="P327" s="599"/>
      <c r="Q327" s="600">
        <f t="shared" si="207"/>
        <v>0</v>
      </c>
      <c r="R327" s="601">
        <f>AF327</f>
        <v>18.2</v>
      </c>
      <c r="S327" s="647">
        <v>101100</v>
      </c>
      <c r="T327" s="602"/>
      <c r="U327" s="645">
        <v>1</v>
      </c>
      <c r="V327" s="593">
        <f t="shared" si="178"/>
        <v>100</v>
      </c>
      <c r="W327" s="604">
        <f>Z327*R327*U327</f>
        <v>0</v>
      </c>
      <c r="X327" s="604">
        <f>AA327*R327</f>
        <v>0</v>
      </c>
      <c r="Y327" s="604">
        <f>AB327*R327</f>
        <v>0</v>
      </c>
      <c r="Z327" s="605">
        <f>VLOOKUP(S327,Kengetal,6,FALSE)</f>
        <v>0</v>
      </c>
      <c r="AA327" s="751">
        <f>VLOOKUP(S327,Kengetal,7,FALSE)</f>
        <v>0</v>
      </c>
      <c r="AB327" s="605">
        <f>VLOOKUP(T327,Kengetal,6,FALSE)</f>
        <v>0</v>
      </c>
      <c r="AC327" s="607"/>
      <c r="AD327" s="591" t="str">
        <f>AL327</f>
        <v>Friesland College</v>
      </c>
      <c r="AE327" s="608"/>
      <c r="AF327" s="639">
        <v>18.2</v>
      </c>
      <c r="AG327" s="639">
        <f t="shared" si="177"/>
        <v>18.2</v>
      </c>
      <c r="AH327" s="639">
        <v>0</v>
      </c>
      <c r="AI327" s="640"/>
      <c r="AJ327" s="641">
        <v>6.4537199999999997</v>
      </c>
      <c r="AK327" s="642"/>
      <c r="AL327" s="642" t="s">
        <v>364</v>
      </c>
      <c r="AM327" s="643"/>
      <c r="AN327" s="642"/>
      <c r="AO327" s="644">
        <v>320</v>
      </c>
      <c r="AP327" s="565"/>
      <c r="AQ327" s="566"/>
      <c r="AR327" s="566"/>
      <c r="AS327" s="566"/>
      <c r="AT327" s="566"/>
      <c r="AU327" s="566"/>
      <c r="AV327" s="566"/>
      <c r="AW327" s="566"/>
      <c r="AX327" s="566"/>
      <c r="AY327" s="566"/>
      <c r="AZ327" s="566"/>
      <c r="BA327" s="566"/>
      <c r="BB327" s="566"/>
      <c r="BC327" s="566"/>
      <c r="BD327" s="566"/>
      <c r="BE327" s="566"/>
      <c r="BF327" s="566"/>
      <c r="BG327" s="566"/>
    </row>
    <row r="328" spans="1:59">
      <c r="A328" s="591"/>
      <c r="B328" s="609"/>
      <c r="C328" s="609"/>
      <c r="D328" s="594">
        <v>1</v>
      </c>
      <c r="E328" s="595" t="s">
        <v>366</v>
      </c>
      <c r="F328" s="593" t="s">
        <v>367</v>
      </c>
      <c r="G328" s="610">
        <v>14</v>
      </c>
      <c r="H328" s="610" t="s">
        <v>593</v>
      </c>
      <c r="I328" s="610"/>
      <c r="J328" s="610"/>
      <c r="K328" s="610"/>
      <c r="L328" s="611" t="s">
        <v>1024</v>
      </c>
      <c r="M328" s="612">
        <f>VLOOKUP(S328,Kengetal,4,FALSE)</f>
        <v>0</v>
      </c>
      <c r="N328" s="613"/>
      <c r="O328" s="614" t="s">
        <v>1023</v>
      </c>
      <c r="P328" s="615">
        <v>100</v>
      </c>
      <c r="Q328" s="616">
        <f t="shared" si="207"/>
        <v>18.2</v>
      </c>
      <c r="R328" s="613"/>
      <c r="S328" s="603"/>
      <c r="T328" s="606"/>
      <c r="U328" s="606"/>
      <c r="V328" s="593">
        <f t="shared" si="178"/>
        <v>0</v>
      </c>
      <c r="W328" s="606"/>
      <c r="X328" s="606"/>
      <c r="Y328" s="606"/>
      <c r="Z328" s="606"/>
      <c r="AA328" s="606"/>
      <c r="AB328" s="606"/>
      <c r="AC328" s="607"/>
      <c r="AD328" s="606"/>
      <c r="AE328" s="608"/>
      <c r="AF328" s="639">
        <v>18.2</v>
      </c>
      <c r="AG328" s="639">
        <f t="shared" si="177"/>
        <v>18.2</v>
      </c>
      <c r="AH328" s="639">
        <v>0</v>
      </c>
      <c r="AI328" s="640"/>
      <c r="AJ328" s="641">
        <v>6.4537199999999997</v>
      </c>
      <c r="AK328" s="642"/>
      <c r="AL328" s="642" t="s">
        <v>364</v>
      </c>
      <c r="AM328" s="643"/>
      <c r="AN328" s="642"/>
      <c r="AO328" s="644">
        <v>321</v>
      </c>
      <c r="AP328" s="565"/>
      <c r="AQ328" s="566"/>
      <c r="AR328" s="566"/>
      <c r="AS328" s="566"/>
      <c r="AT328" s="566"/>
      <c r="AU328" s="566"/>
      <c r="AV328" s="566"/>
      <c r="AW328" s="566"/>
      <c r="AX328" s="566"/>
      <c r="AY328" s="566"/>
      <c r="AZ328" s="566"/>
      <c r="BA328" s="566"/>
      <c r="BB328" s="566"/>
      <c r="BC328" s="566"/>
      <c r="BD328" s="566"/>
      <c r="BE328" s="566"/>
      <c r="BF328" s="566"/>
      <c r="BG328" s="566"/>
    </row>
    <row r="329" spans="1:59">
      <c r="A329" s="591"/>
      <c r="B329" s="592"/>
      <c r="C329" s="593"/>
      <c r="D329" s="594">
        <v>1</v>
      </c>
      <c r="E329" s="595" t="s">
        <v>366</v>
      </c>
      <c r="F329" s="593" t="s">
        <v>367</v>
      </c>
      <c r="G329" s="596">
        <v>15</v>
      </c>
      <c r="H329" s="596" t="s">
        <v>592</v>
      </c>
      <c r="I329" s="596"/>
      <c r="J329" s="596"/>
      <c r="K329" s="596"/>
      <c r="L329" s="591" t="s">
        <v>1025</v>
      </c>
      <c r="M329" s="597" t="str">
        <f t="shared" ref="M329" si="222">VLOOKUP(S329,Kengetal,4,FALSE)</f>
        <v>Administratieve -, personeels- en vergaderruimte</v>
      </c>
      <c r="N329" s="591" t="s">
        <v>343</v>
      </c>
      <c r="O329" s="598"/>
      <c r="P329" s="599"/>
      <c r="Q329" s="600">
        <f t="shared" si="207"/>
        <v>0</v>
      </c>
      <c r="R329" s="601">
        <f>AF329</f>
        <v>18.2</v>
      </c>
      <c r="S329" s="647">
        <v>101100</v>
      </c>
      <c r="T329" s="602"/>
      <c r="U329" s="645">
        <v>1</v>
      </c>
      <c r="V329" s="593">
        <f t="shared" si="178"/>
        <v>100</v>
      </c>
      <c r="W329" s="604">
        <f>Z329*R329*U329</f>
        <v>0</v>
      </c>
      <c r="X329" s="604">
        <f>AA329*R329</f>
        <v>0</v>
      </c>
      <c r="Y329" s="604">
        <f>AB329*R329</f>
        <v>0</v>
      </c>
      <c r="Z329" s="605">
        <f>VLOOKUP(S329,Kengetal,6,FALSE)</f>
        <v>0</v>
      </c>
      <c r="AA329" s="751">
        <f>VLOOKUP(S329,Kengetal,7,FALSE)</f>
        <v>0</v>
      </c>
      <c r="AB329" s="605">
        <f>VLOOKUP(T329,Kengetal,6,FALSE)</f>
        <v>0</v>
      </c>
      <c r="AC329" s="607"/>
      <c r="AD329" s="591" t="str">
        <f>AL329</f>
        <v>Friesland College</v>
      </c>
      <c r="AE329" s="608"/>
      <c r="AF329" s="639">
        <v>18.2</v>
      </c>
      <c r="AG329" s="639">
        <f t="shared" si="177"/>
        <v>18.2</v>
      </c>
      <c r="AH329" s="639">
        <v>0</v>
      </c>
      <c r="AI329" s="640"/>
      <c r="AJ329" s="641">
        <v>6.4537199999999997</v>
      </c>
      <c r="AK329" s="642"/>
      <c r="AL329" s="642" t="s">
        <v>364</v>
      </c>
      <c r="AM329" s="643"/>
      <c r="AN329" s="642"/>
      <c r="AO329" s="644">
        <v>322</v>
      </c>
      <c r="AP329" s="565"/>
      <c r="AQ329" s="566"/>
      <c r="AR329" s="566"/>
      <c r="AS329" s="566"/>
      <c r="AT329" s="566"/>
      <c r="AU329" s="566"/>
      <c r="AV329" s="566"/>
      <c r="AW329" s="566"/>
      <c r="AX329" s="566"/>
      <c r="AY329" s="566"/>
      <c r="AZ329" s="566"/>
      <c r="BA329" s="566"/>
      <c r="BB329" s="566"/>
      <c r="BC329" s="566"/>
      <c r="BD329" s="566"/>
      <c r="BE329" s="566"/>
      <c r="BF329" s="566"/>
      <c r="BG329" s="566"/>
    </row>
    <row r="330" spans="1:59">
      <c r="A330" s="591"/>
      <c r="B330" s="609"/>
      <c r="C330" s="609"/>
      <c r="D330" s="594">
        <v>1</v>
      </c>
      <c r="E330" s="595" t="s">
        <v>366</v>
      </c>
      <c r="F330" s="593" t="s">
        <v>367</v>
      </c>
      <c r="G330" s="610">
        <v>15</v>
      </c>
      <c r="H330" s="610" t="s">
        <v>592</v>
      </c>
      <c r="I330" s="610"/>
      <c r="J330" s="610"/>
      <c r="K330" s="610"/>
      <c r="L330" s="611" t="s">
        <v>1025</v>
      </c>
      <c r="M330" s="612">
        <f>VLOOKUP(S330,Kengetal,4,FALSE)</f>
        <v>0</v>
      </c>
      <c r="N330" s="613"/>
      <c r="O330" s="614" t="s">
        <v>1023</v>
      </c>
      <c r="P330" s="615">
        <v>100</v>
      </c>
      <c r="Q330" s="616">
        <f t="shared" si="207"/>
        <v>18.2</v>
      </c>
      <c r="R330" s="613"/>
      <c r="S330" s="603"/>
      <c r="T330" s="606"/>
      <c r="U330" s="606"/>
      <c r="V330" s="593">
        <f t="shared" si="178"/>
        <v>0</v>
      </c>
      <c r="W330" s="606"/>
      <c r="X330" s="606"/>
      <c r="Y330" s="606"/>
      <c r="Z330" s="606"/>
      <c r="AA330" s="606"/>
      <c r="AB330" s="606"/>
      <c r="AC330" s="607"/>
      <c r="AD330" s="606"/>
      <c r="AE330" s="608"/>
      <c r="AF330" s="639">
        <v>18.2</v>
      </c>
      <c r="AG330" s="639">
        <f t="shared" si="177"/>
        <v>18.2</v>
      </c>
      <c r="AH330" s="639">
        <v>0</v>
      </c>
      <c r="AI330" s="640"/>
      <c r="AJ330" s="641">
        <v>6.4537199999999997</v>
      </c>
      <c r="AK330" s="642"/>
      <c r="AL330" s="642" t="s">
        <v>364</v>
      </c>
      <c r="AM330" s="643"/>
      <c r="AN330" s="642"/>
      <c r="AO330" s="644">
        <v>323</v>
      </c>
      <c r="AP330" s="565"/>
      <c r="AQ330" s="566"/>
      <c r="AR330" s="566"/>
      <c r="AS330" s="566"/>
      <c r="AT330" s="566"/>
      <c r="AU330" s="566"/>
      <c r="AV330" s="566"/>
      <c r="AW330" s="566"/>
      <c r="AX330" s="566"/>
      <c r="AY330" s="566"/>
      <c r="AZ330" s="566"/>
      <c r="BA330" s="566"/>
      <c r="BB330" s="566"/>
      <c r="BC330" s="566"/>
      <c r="BD330" s="566"/>
      <c r="BE330" s="566"/>
      <c r="BF330" s="566"/>
      <c r="BG330" s="566"/>
    </row>
    <row r="331" spans="1:59">
      <c r="A331" s="591"/>
      <c r="B331" s="592"/>
      <c r="C331" s="593"/>
      <c r="D331" s="594">
        <v>1</v>
      </c>
      <c r="E331" s="595" t="s">
        <v>366</v>
      </c>
      <c r="F331" s="593" t="s">
        <v>367</v>
      </c>
      <c r="G331" s="596">
        <v>16</v>
      </c>
      <c r="H331" s="596" t="s">
        <v>589</v>
      </c>
      <c r="I331" s="596"/>
      <c r="J331" s="596"/>
      <c r="K331" s="596"/>
      <c r="L331" s="591" t="s">
        <v>851</v>
      </c>
      <c r="M331" s="597" t="str">
        <f t="shared" ref="M331:M333" si="223">VLOOKUP(S331,Kengetal,4,FALSE)</f>
        <v>Trappenhuis-bordes</v>
      </c>
      <c r="N331" s="591" t="s">
        <v>343</v>
      </c>
      <c r="O331" s="598"/>
      <c r="P331" s="599"/>
      <c r="Q331" s="600">
        <f t="shared" si="207"/>
        <v>0</v>
      </c>
      <c r="R331" s="601">
        <f t="shared" ref="R331:R339" si="224">AF331</f>
        <v>38.22</v>
      </c>
      <c r="S331" s="647">
        <v>108200</v>
      </c>
      <c r="T331" s="602"/>
      <c r="U331" s="645">
        <v>1</v>
      </c>
      <c r="V331" s="593">
        <f t="shared" ref="V331:V339" si="225">VLOOKUP(S331,Kengetal,3,FALSE)+VLOOKUP(T331,Kengetal,3,FALSE)</f>
        <v>200</v>
      </c>
      <c r="W331" s="604">
        <f t="shared" ref="W331:W339" si="226">Z331*R331*U331</f>
        <v>0</v>
      </c>
      <c r="X331" s="604">
        <f t="shared" ref="X331:X339" si="227">AA331*R331</f>
        <v>0</v>
      </c>
      <c r="Y331" s="604">
        <f t="shared" ref="Y331:Y339" si="228">AB331*R331</f>
        <v>0</v>
      </c>
      <c r="Z331" s="605">
        <f t="shared" ref="Z331:Z339" si="229">VLOOKUP(S331,Kengetal,6,FALSE)</f>
        <v>0</v>
      </c>
      <c r="AA331" s="751">
        <f t="shared" ref="AA331:AA339" si="230">VLOOKUP(S331,Kengetal,7,FALSE)</f>
        <v>0</v>
      </c>
      <c r="AB331" s="605">
        <f t="shared" ref="AB331:AB339" si="231">VLOOKUP(T331,Kengetal,6,FALSE)</f>
        <v>0</v>
      </c>
      <c r="AC331" s="607"/>
      <c r="AD331" s="591" t="str">
        <f t="shared" ref="AD331:AD339" si="232">AL331</f>
        <v>Friesland College</v>
      </c>
      <c r="AE331" s="608"/>
      <c r="AF331" s="639">
        <v>38.22</v>
      </c>
      <c r="AG331" s="639">
        <f t="shared" ref="AG331:AG394" si="233">IF(AND(C331="t"),-AF331,IF(AND(C331="v"),-AF331,IF(AND(C331="W"),-AF331,IF(AND(C331=""),AF331))))</f>
        <v>38.22</v>
      </c>
      <c r="AH331" s="639">
        <v>0</v>
      </c>
      <c r="AI331" s="640"/>
      <c r="AJ331" s="641">
        <v>26.023997999999999</v>
      </c>
      <c r="AK331" s="642"/>
      <c r="AL331" s="642" t="s">
        <v>364</v>
      </c>
      <c r="AM331" s="643"/>
      <c r="AN331" s="642"/>
      <c r="AO331" s="644">
        <v>324</v>
      </c>
      <c r="AP331" s="565"/>
      <c r="AQ331" s="566"/>
      <c r="AR331" s="566"/>
      <c r="AS331" s="566"/>
      <c r="AT331" s="566"/>
      <c r="AU331" s="566"/>
      <c r="AV331" s="566"/>
      <c r="AW331" s="566"/>
      <c r="AX331" s="566"/>
      <c r="AY331" s="566"/>
      <c r="AZ331" s="566"/>
      <c r="BA331" s="566"/>
      <c r="BB331" s="566"/>
      <c r="BC331" s="566"/>
      <c r="BD331" s="566"/>
      <c r="BE331" s="566"/>
      <c r="BF331" s="566"/>
      <c r="BG331" s="566"/>
    </row>
    <row r="332" spans="1:59">
      <c r="A332" s="591"/>
      <c r="B332" s="592"/>
      <c r="C332" s="593"/>
      <c r="D332" s="594">
        <v>1</v>
      </c>
      <c r="E332" s="595" t="s">
        <v>366</v>
      </c>
      <c r="F332" s="593" t="s">
        <v>367</v>
      </c>
      <c r="G332" s="596">
        <v>17</v>
      </c>
      <c r="H332" s="596" t="s">
        <v>589</v>
      </c>
      <c r="I332" s="596"/>
      <c r="J332" s="596"/>
      <c r="K332" s="596"/>
      <c r="L332" s="591" t="s">
        <v>852</v>
      </c>
      <c r="M332" s="597" t="str">
        <f t="shared" si="223"/>
        <v>Gang, hal, pantry, aula, repro, gardarobe</v>
      </c>
      <c r="N332" s="591" t="s">
        <v>343</v>
      </c>
      <c r="O332" s="598"/>
      <c r="P332" s="599"/>
      <c r="Q332" s="600">
        <f t="shared" si="207"/>
        <v>0</v>
      </c>
      <c r="R332" s="601">
        <f t="shared" si="224"/>
        <v>28.15</v>
      </c>
      <c r="S332" s="647">
        <v>104200</v>
      </c>
      <c r="T332" s="602"/>
      <c r="U332" s="645">
        <v>1</v>
      </c>
      <c r="V332" s="593">
        <f t="shared" si="225"/>
        <v>200</v>
      </c>
      <c r="W332" s="604">
        <f t="shared" si="226"/>
        <v>0</v>
      </c>
      <c r="X332" s="604">
        <f t="shared" si="227"/>
        <v>0</v>
      </c>
      <c r="Y332" s="604">
        <f t="shared" si="228"/>
        <v>0</v>
      </c>
      <c r="Z332" s="605">
        <f t="shared" si="229"/>
        <v>0</v>
      </c>
      <c r="AA332" s="751">
        <f t="shared" si="230"/>
        <v>0</v>
      </c>
      <c r="AB332" s="605">
        <f t="shared" si="231"/>
        <v>0</v>
      </c>
      <c r="AC332" s="607"/>
      <c r="AD332" s="591" t="str">
        <f t="shared" si="232"/>
        <v>Friesland College</v>
      </c>
      <c r="AE332" s="608"/>
      <c r="AF332" s="639">
        <v>28.15</v>
      </c>
      <c r="AG332" s="639">
        <f t="shared" si="233"/>
        <v>28.15</v>
      </c>
      <c r="AH332" s="639">
        <v>0</v>
      </c>
      <c r="AI332" s="640"/>
      <c r="AJ332" s="641">
        <v>19.167334999999998</v>
      </c>
      <c r="AK332" s="642"/>
      <c r="AL332" s="642" t="s">
        <v>364</v>
      </c>
      <c r="AM332" s="643"/>
      <c r="AN332" s="642"/>
      <c r="AO332" s="644">
        <v>325</v>
      </c>
      <c r="AP332" s="565"/>
      <c r="AQ332" s="566"/>
      <c r="AR332" s="566"/>
      <c r="AS332" s="566"/>
      <c r="AT332" s="566"/>
      <c r="AU332" s="566"/>
      <c r="AV332" s="566"/>
      <c r="AW332" s="566"/>
      <c r="AX332" s="566"/>
      <c r="AY332" s="566"/>
      <c r="AZ332" s="566"/>
      <c r="BA332" s="566"/>
      <c r="BB332" s="566"/>
      <c r="BC332" s="566"/>
      <c r="BD332" s="566"/>
      <c r="BE332" s="566"/>
      <c r="BF332" s="566"/>
      <c r="BG332" s="566"/>
    </row>
    <row r="333" spans="1:59">
      <c r="A333" s="591"/>
      <c r="B333" s="592"/>
      <c r="C333" s="593"/>
      <c r="D333" s="594">
        <v>1</v>
      </c>
      <c r="E333" s="595" t="s">
        <v>366</v>
      </c>
      <c r="F333" s="593" t="s">
        <v>367</v>
      </c>
      <c r="G333" s="596">
        <v>18</v>
      </c>
      <c r="H333" s="596" t="s">
        <v>589</v>
      </c>
      <c r="I333" s="596"/>
      <c r="J333" s="596"/>
      <c r="K333" s="596"/>
      <c r="L333" s="591" t="s">
        <v>853</v>
      </c>
      <c r="M333" s="597" t="str">
        <f t="shared" si="223"/>
        <v>Trappenhuis-bordes</v>
      </c>
      <c r="N333" s="591" t="s">
        <v>945</v>
      </c>
      <c r="O333" s="598"/>
      <c r="P333" s="599"/>
      <c r="Q333" s="600">
        <f t="shared" si="207"/>
        <v>0</v>
      </c>
      <c r="R333" s="601">
        <f t="shared" si="224"/>
        <v>32.5</v>
      </c>
      <c r="S333" s="647">
        <v>108200</v>
      </c>
      <c r="T333" s="602"/>
      <c r="U333" s="645">
        <v>1</v>
      </c>
      <c r="V333" s="593">
        <f t="shared" si="225"/>
        <v>200</v>
      </c>
      <c r="W333" s="604">
        <f t="shared" si="226"/>
        <v>0</v>
      </c>
      <c r="X333" s="604">
        <f t="shared" si="227"/>
        <v>0</v>
      </c>
      <c r="Y333" s="604">
        <f t="shared" si="228"/>
        <v>0</v>
      </c>
      <c r="Z333" s="605">
        <f t="shared" si="229"/>
        <v>0</v>
      </c>
      <c r="AA333" s="751">
        <f t="shared" si="230"/>
        <v>0</v>
      </c>
      <c r="AB333" s="605">
        <f t="shared" si="231"/>
        <v>0</v>
      </c>
      <c r="AC333" s="607"/>
      <c r="AD333" s="591" t="str">
        <f t="shared" si="232"/>
        <v>Friesland College</v>
      </c>
      <c r="AE333" s="608"/>
      <c r="AF333" s="639">
        <v>32.5</v>
      </c>
      <c r="AG333" s="639">
        <f t="shared" si="233"/>
        <v>32.5</v>
      </c>
      <c r="AH333" s="639">
        <v>0</v>
      </c>
      <c r="AI333" s="640"/>
      <c r="AJ333" s="641">
        <v>22.129249999999999</v>
      </c>
      <c r="AK333" s="642"/>
      <c r="AL333" s="642" t="s">
        <v>364</v>
      </c>
      <c r="AM333" s="643"/>
      <c r="AN333" s="642"/>
      <c r="AO333" s="644">
        <v>326</v>
      </c>
      <c r="AP333" s="565"/>
      <c r="AQ333" s="566"/>
      <c r="AR333" s="566"/>
      <c r="AS333" s="566"/>
      <c r="AT333" s="566"/>
      <c r="AU333" s="566"/>
      <c r="AV333" s="566"/>
      <c r="AW333" s="566"/>
      <c r="AX333" s="566"/>
      <c r="AY333" s="566"/>
      <c r="AZ333" s="566"/>
      <c r="BA333" s="566"/>
      <c r="BB333" s="566"/>
      <c r="BC333" s="566"/>
      <c r="BD333" s="566"/>
      <c r="BE333" s="566"/>
      <c r="BF333" s="566"/>
      <c r="BG333" s="566"/>
    </row>
    <row r="334" spans="1:59">
      <c r="A334" s="591"/>
      <c r="B334" s="592"/>
      <c r="C334" s="593"/>
      <c r="D334" s="594">
        <v>1</v>
      </c>
      <c r="E334" s="595" t="s">
        <v>366</v>
      </c>
      <c r="F334" s="593" t="s">
        <v>339</v>
      </c>
      <c r="G334" s="596">
        <v>101</v>
      </c>
      <c r="H334" s="596" t="s">
        <v>589</v>
      </c>
      <c r="I334" s="596"/>
      <c r="J334" s="596"/>
      <c r="K334" s="596"/>
      <c r="L334" s="591" t="s">
        <v>854</v>
      </c>
      <c r="M334" s="597" t="str">
        <f>VLOOKUP(S334,Kengetal,4,FALSE)</f>
        <v>Lift</v>
      </c>
      <c r="N334" s="591" t="s">
        <v>78</v>
      </c>
      <c r="O334" s="598"/>
      <c r="P334" s="599"/>
      <c r="Q334" s="600">
        <f t="shared" si="207"/>
        <v>0</v>
      </c>
      <c r="R334" s="601">
        <f t="shared" si="224"/>
        <v>34</v>
      </c>
      <c r="S334" s="647">
        <v>109200</v>
      </c>
      <c r="T334" s="602"/>
      <c r="U334" s="645">
        <v>1</v>
      </c>
      <c r="V334" s="593">
        <f t="shared" si="225"/>
        <v>200</v>
      </c>
      <c r="W334" s="604">
        <f t="shared" si="226"/>
        <v>0</v>
      </c>
      <c r="X334" s="604">
        <f t="shared" si="227"/>
        <v>0</v>
      </c>
      <c r="Y334" s="604">
        <f t="shared" si="228"/>
        <v>0</v>
      </c>
      <c r="Z334" s="605">
        <f t="shared" si="229"/>
        <v>0</v>
      </c>
      <c r="AA334" s="751">
        <f t="shared" si="230"/>
        <v>0</v>
      </c>
      <c r="AB334" s="605">
        <f t="shared" si="231"/>
        <v>0</v>
      </c>
      <c r="AC334" s="607"/>
      <c r="AD334" s="591" t="str">
        <f t="shared" si="232"/>
        <v>Friesland College</v>
      </c>
      <c r="AE334" s="608"/>
      <c r="AF334" s="639">
        <v>34</v>
      </c>
      <c r="AG334" s="639">
        <f t="shared" si="233"/>
        <v>34</v>
      </c>
      <c r="AH334" s="639">
        <v>0</v>
      </c>
      <c r="AI334" s="640"/>
      <c r="AJ334" s="641">
        <v>13.1988</v>
      </c>
      <c r="AK334" s="642"/>
      <c r="AL334" s="642" t="s">
        <v>364</v>
      </c>
      <c r="AM334" s="643"/>
      <c r="AN334" s="642"/>
      <c r="AO334" s="644">
        <v>327</v>
      </c>
      <c r="AP334" s="565"/>
      <c r="AQ334" s="566"/>
      <c r="AR334" s="566"/>
      <c r="AS334" s="566"/>
      <c r="AT334" s="566"/>
      <c r="AU334" s="566"/>
      <c r="AV334" s="566"/>
      <c r="AW334" s="566"/>
      <c r="AX334" s="566"/>
      <c r="AY334" s="566"/>
      <c r="AZ334" s="566"/>
      <c r="BA334" s="566"/>
      <c r="BB334" s="566"/>
      <c r="BC334" s="566"/>
      <c r="BD334" s="566"/>
      <c r="BE334" s="566"/>
      <c r="BF334" s="566"/>
      <c r="BG334" s="566"/>
    </row>
    <row r="335" spans="1:59">
      <c r="A335" s="591"/>
      <c r="B335" s="592"/>
      <c r="C335" s="593"/>
      <c r="D335" s="594">
        <v>1</v>
      </c>
      <c r="E335" s="595" t="s">
        <v>366</v>
      </c>
      <c r="F335" s="593" t="s">
        <v>339</v>
      </c>
      <c r="G335" s="596">
        <v>102</v>
      </c>
      <c r="H335" s="596" t="s">
        <v>589</v>
      </c>
      <c r="I335" s="596"/>
      <c r="J335" s="596"/>
      <c r="K335" s="596"/>
      <c r="L335" s="591" t="s">
        <v>854</v>
      </c>
      <c r="M335" s="597" t="str">
        <f>VLOOKUP(S335,Kengetal,4,FALSE)</f>
        <v>Lift</v>
      </c>
      <c r="N335" s="591" t="s">
        <v>945</v>
      </c>
      <c r="O335" s="598"/>
      <c r="P335" s="599"/>
      <c r="Q335" s="600">
        <f t="shared" si="207"/>
        <v>0</v>
      </c>
      <c r="R335" s="601">
        <f t="shared" si="224"/>
        <v>43</v>
      </c>
      <c r="S335" s="647">
        <v>109200</v>
      </c>
      <c r="T335" s="602"/>
      <c r="U335" s="645">
        <v>1</v>
      </c>
      <c r="V335" s="593">
        <f t="shared" si="225"/>
        <v>200</v>
      </c>
      <c r="W335" s="604">
        <f t="shared" si="226"/>
        <v>0</v>
      </c>
      <c r="X335" s="604">
        <f t="shared" si="227"/>
        <v>0</v>
      </c>
      <c r="Y335" s="604">
        <f t="shared" si="228"/>
        <v>0</v>
      </c>
      <c r="Z335" s="605">
        <f t="shared" si="229"/>
        <v>0</v>
      </c>
      <c r="AA335" s="751">
        <f t="shared" si="230"/>
        <v>0</v>
      </c>
      <c r="AB335" s="605">
        <f t="shared" si="231"/>
        <v>0</v>
      </c>
      <c r="AC335" s="607"/>
      <c r="AD335" s="591" t="str">
        <f t="shared" si="232"/>
        <v>Friesland College</v>
      </c>
      <c r="AE335" s="608"/>
      <c r="AF335" s="639">
        <v>43</v>
      </c>
      <c r="AG335" s="639">
        <f t="shared" si="233"/>
        <v>43</v>
      </c>
      <c r="AH335" s="639">
        <v>0</v>
      </c>
      <c r="AI335" s="640"/>
      <c r="AJ335" s="641">
        <v>16.692599999999999</v>
      </c>
      <c r="AK335" s="642"/>
      <c r="AL335" s="642" t="s">
        <v>364</v>
      </c>
      <c r="AM335" s="643"/>
      <c r="AN335" s="642"/>
      <c r="AO335" s="644">
        <v>328</v>
      </c>
      <c r="AP335" s="565"/>
      <c r="AQ335" s="566"/>
      <c r="AR335" s="566"/>
      <c r="AS335" s="566"/>
      <c r="AT335" s="566"/>
      <c r="AU335" s="566"/>
      <c r="AV335" s="566"/>
      <c r="AW335" s="566"/>
      <c r="AX335" s="566"/>
      <c r="AY335" s="566"/>
      <c r="AZ335" s="566"/>
      <c r="BA335" s="566"/>
      <c r="BB335" s="566"/>
      <c r="BC335" s="566"/>
      <c r="BD335" s="566"/>
      <c r="BE335" s="566"/>
      <c r="BF335" s="566"/>
      <c r="BG335" s="566"/>
    </row>
    <row r="336" spans="1:59">
      <c r="A336" s="591"/>
      <c r="B336" s="592"/>
      <c r="C336" s="593"/>
      <c r="D336" s="594">
        <v>1</v>
      </c>
      <c r="E336" s="595" t="s">
        <v>366</v>
      </c>
      <c r="F336" s="593" t="s">
        <v>339</v>
      </c>
      <c r="G336" s="596">
        <v>103</v>
      </c>
      <c r="H336" s="596" t="s">
        <v>589</v>
      </c>
      <c r="I336" s="596"/>
      <c r="J336" s="596"/>
      <c r="K336" s="596"/>
      <c r="L336" s="591" t="s">
        <v>839</v>
      </c>
      <c r="M336" s="597" t="str">
        <f t="shared" ref="M336:M339" si="234">VLOOKUP(S336,Kengetal,4,FALSE)</f>
        <v>Gang, hal, pantry, aula, repro, gardarobe</v>
      </c>
      <c r="N336" s="591" t="s">
        <v>945</v>
      </c>
      <c r="O336" s="598"/>
      <c r="P336" s="599"/>
      <c r="Q336" s="600">
        <f t="shared" si="207"/>
        <v>0</v>
      </c>
      <c r="R336" s="601">
        <f t="shared" si="224"/>
        <v>24.4</v>
      </c>
      <c r="S336" s="647">
        <v>104200</v>
      </c>
      <c r="T336" s="602"/>
      <c r="U336" s="645">
        <v>1</v>
      </c>
      <c r="V336" s="593">
        <f t="shared" si="225"/>
        <v>200</v>
      </c>
      <c r="W336" s="604">
        <f t="shared" si="226"/>
        <v>0</v>
      </c>
      <c r="X336" s="604">
        <f t="shared" si="227"/>
        <v>0</v>
      </c>
      <c r="Y336" s="604">
        <f t="shared" si="228"/>
        <v>0</v>
      </c>
      <c r="Z336" s="605">
        <f t="shared" si="229"/>
        <v>0</v>
      </c>
      <c r="AA336" s="751">
        <f t="shared" si="230"/>
        <v>0</v>
      </c>
      <c r="AB336" s="605">
        <f t="shared" si="231"/>
        <v>0</v>
      </c>
      <c r="AC336" s="607"/>
      <c r="AD336" s="591" t="str">
        <f t="shared" si="232"/>
        <v>Friesland College</v>
      </c>
      <c r="AE336" s="608"/>
      <c r="AF336" s="639">
        <v>24.4</v>
      </c>
      <c r="AG336" s="639">
        <f t="shared" si="233"/>
        <v>24.4</v>
      </c>
      <c r="AH336" s="639">
        <v>0</v>
      </c>
      <c r="AI336" s="640"/>
      <c r="AJ336" s="641">
        <v>9.4720799999999983</v>
      </c>
      <c r="AK336" s="642"/>
      <c r="AL336" s="642" t="s">
        <v>364</v>
      </c>
      <c r="AM336" s="643"/>
      <c r="AN336" s="642"/>
      <c r="AO336" s="644">
        <v>329</v>
      </c>
      <c r="AP336" s="565"/>
      <c r="AQ336" s="566"/>
      <c r="AR336" s="566"/>
      <c r="AS336" s="566"/>
      <c r="AT336" s="566"/>
      <c r="AU336" s="566"/>
      <c r="AV336" s="566"/>
      <c r="AW336" s="566"/>
      <c r="AX336" s="566"/>
      <c r="AY336" s="566"/>
      <c r="AZ336" s="566"/>
      <c r="BA336" s="566"/>
      <c r="BB336" s="566"/>
      <c r="BC336" s="566"/>
      <c r="BD336" s="566"/>
      <c r="BE336" s="566"/>
      <c r="BF336" s="566"/>
      <c r="BG336" s="566"/>
    </row>
    <row r="337" spans="1:59">
      <c r="A337" s="591"/>
      <c r="B337" s="592"/>
      <c r="C337" s="593"/>
      <c r="D337" s="594">
        <v>1</v>
      </c>
      <c r="E337" s="595" t="s">
        <v>366</v>
      </c>
      <c r="F337" s="593" t="s">
        <v>339</v>
      </c>
      <c r="G337" s="596">
        <v>104</v>
      </c>
      <c r="H337" s="596" t="s">
        <v>589</v>
      </c>
      <c r="I337" s="596"/>
      <c r="J337" s="596"/>
      <c r="K337" s="596"/>
      <c r="L337" s="591" t="s">
        <v>773</v>
      </c>
      <c r="M337" s="597" t="str">
        <f t="shared" si="234"/>
        <v>Sanitaire ruimte (toilet-/doucheruimte)</v>
      </c>
      <c r="N337" s="591" t="s">
        <v>323</v>
      </c>
      <c r="O337" s="598"/>
      <c r="P337" s="599"/>
      <c r="Q337" s="600">
        <f t="shared" si="207"/>
        <v>0</v>
      </c>
      <c r="R337" s="601">
        <f t="shared" si="224"/>
        <v>11.5</v>
      </c>
      <c r="S337" s="647">
        <v>103200</v>
      </c>
      <c r="T337" s="647">
        <v>103400</v>
      </c>
      <c r="U337" s="645">
        <v>1</v>
      </c>
      <c r="V337" s="593">
        <f t="shared" si="225"/>
        <v>400</v>
      </c>
      <c r="W337" s="604">
        <f t="shared" si="226"/>
        <v>0</v>
      </c>
      <c r="X337" s="604">
        <f t="shared" si="227"/>
        <v>0</v>
      </c>
      <c r="Y337" s="604">
        <f t="shared" si="228"/>
        <v>0</v>
      </c>
      <c r="Z337" s="605">
        <f t="shared" si="229"/>
        <v>0</v>
      </c>
      <c r="AA337" s="751">
        <f t="shared" si="230"/>
        <v>0</v>
      </c>
      <c r="AB337" s="605">
        <f t="shared" si="231"/>
        <v>0</v>
      </c>
      <c r="AC337" s="607"/>
      <c r="AD337" s="591" t="str">
        <f t="shared" si="232"/>
        <v>Friesland College</v>
      </c>
      <c r="AE337" s="608"/>
      <c r="AF337" s="639">
        <v>11.5</v>
      </c>
      <c r="AG337" s="639">
        <f t="shared" si="233"/>
        <v>11.5</v>
      </c>
      <c r="AH337" s="639">
        <v>0</v>
      </c>
      <c r="AI337" s="640"/>
      <c r="AJ337" s="641">
        <v>59.34</v>
      </c>
      <c r="AK337" s="642"/>
      <c r="AL337" s="642" t="s">
        <v>364</v>
      </c>
      <c r="AM337" s="643"/>
      <c r="AN337" s="642"/>
      <c r="AO337" s="644">
        <v>330</v>
      </c>
      <c r="AP337" s="565"/>
      <c r="AQ337" s="566"/>
      <c r="AR337" s="566"/>
      <c r="AS337" s="566"/>
      <c r="AT337" s="566"/>
      <c r="AU337" s="566"/>
      <c r="AV337" s="566"/>
      <c r="AW337" s="566"/>
      <c r="AX337" s="566"/>
      <c r="AY337" s="566"/>
      <c r="AZ337" s="566"/>
      <c r="BA337" s="566"/>
      <c r="BB337" s="566"/>
      <c r="BC337" s="566"/>
      <c r="BD337" s="566"/>
      <c r="BE337" s="566"/>
      <c r="BF337" s="566"/>
      <c r="BG337" s="566"/>
    </row>
    <row r="338" spans="1:59">
      <c r="A338" s="591"/>
      <c r="B338" s="592"/>
      <c r="C338" s="593"/>
      <c r="D338" s="594">
        <v>1</v>
      </c>
      <c r="E338" s="595" t="s">
        <v>366</v>
      </c>
      <c r="F338" s="593" t="s">
        <v>339</v>
      </c>
      <c r="G338" s="596">
        <v>105</v>
      </c>
      <c r="H338" s="596" t="s">
        <v>589</v>
      </c>
      <c r="I338" s="596"/>
      <c r="J338" s="596"/>
      <c r="K338" s="596"/>
      <c r="L338" s="591" t="s">
        <v>773</v>
      </c>
      <c r="M338" s="597" t="str">
        <f t="shared" si="234"/>
        <v>Sanitaire ruimte (toilet-/doucheruimte)</v>
      </c>
      <c r="N338" s="591" t="s">
        <v>323</v>
      </c>
      <c r="O338" s="598"/>
      <c r="P338" s="599"/>
      <c r="Q338" s="600">
        <f t="shared" si="207"/>
        <v>0</v>
      </c>
      <c r="R338" s="601">
        <f t="shared" si="224"/>
        <v>15.5</v>
      </c>
      <c r="S338" s="647">
        <v>103200</v>
      </c>
      <c r="T338" s="647">
        <v>103400</v>
      </c>
      <c r="U338" s="645">
        <v>1</v>
      </c>
      <c r="V338" s="593">
        <f t="shared" si="225"/>
        <v>400</v>
      </c>
      <c r="W338" s="604">
        <f t="shared" si="226"/>
        <v>0</v>
      </c>
      <c r="X338" s="604">
        <f t="shared" si="227"/>
        <v>0</v>
      </c>
      <c r="Y338" s="604">
        <f t="shared" si="228"/>
        <v>0</v>
      </c>
      <c r="Z338" s="605">
        <f t="shared" si="229"/>
        <v>0</v>
      </c>
      <c r="AA338" s="751">
        <f t="shared" si="230"/>
        <v>0</v>
      </c>
      <c r="AB338" s="605">
        <f t="shared" si="231"/>
        <v>0</v>
      </c>
      <c r="AC338" s="607"/>
      <c r="AD338" s="591" t="str">
        <f t="shared" si="232"/>
        <v>Friesland College</v>
      </c>
      <c r="AE338" s="608"/>
      <c r="AF338" s="639">
        <v>15.5</v>
      </c>
      <c r="AG338" s="639">
        <f t="shared" si="233"/>
        <v>15.5</v>
      </c>
      <c r="AH338" s="639">
        <v>0</v>
      </c>
      <c r="AI338" s="640"/>
      <c r="AJ338" s="641">
        <v>79.98</v>
      </c>
      <c r="AK338" s="642"/>
      <c r="AL338" s="642" t="s">
        <v>364</v>
      </c>
      <c r="AM338" s="643"/>
      <c r="AN338" s="642"/>
      <c r="AO338" s="644">
        <v>331</v>
      </c>
      <c r="AP338" s="565"/>
      <c r="AQ338" s="566"/>
      <c r="AR338" s="566"/>
      <c r="AS338" s="566"/>
      <c r="AT338" s="566"/>
      <c r="AU338" s="566"/>
      <c r="AV338" s="566"/>
      <c r="AW338" s="566"/>
      <c r="AX338" s="566"/>
      <c r="AY338" s="566"/>
      <c r="AZ338" s="566"/>
      <c r="BA338" s="566"/>
      <c r="BB338" s="566"/>
      <c r="BC338" s="566"/>
      <c r="BD338" s="566"/>
      <c r="BE338" s="566"/>
      <c r="BF338" s="566"/>
      <c r="BG338" s="566"/>
    </row>
    <row r="339" spans="1:59">
      <c r="A339" s="591"/>
      <c r="B339" s="592"/>
      <c r="C339" s="593"/>
      <c r="D339" s="594">
        <v>1</v>
      </c>
      <c r="E339" s="595" t="s">
        <v>366</v>
      </c>
      <c r="F339" s="593" t="s">
        <v>339</v>
      </c>
      <c r="G339" s="596">
        <v>106</v>
      </c>
      <c r="H339" s="596" t="s">
        <v>594</v>
      </c>
      <c r="I339" s="596"/>
      <c r="J339" s="596"/>
      <c r="K339" s="596"/>
      <c r="L339" s="591" t="s">
        <v>1026</v>
      </c>
      <c r="M339" s="597" t="str">
        <f t="shared" si="234"/>
        <v>Onderwijsruimte (theorie)</v>
      </c>
      <c r="N339" s="591" t="s">
        <v>78</v>
      </c>
      <c r="O339" s="598"/>
      <c r="P339" s="599"/>
      <c r="Q339" s="600">
        <f t="shared" si="207"/>
        <v>0</v>
      </c>
      <c r="R339" s="601">
        <f t="shared" si="224"/>
        <v>135.80000000000001</v>
      </c>
      <c r="S339" s="647">
        <v>102200</v>
      </c>
      <c r="T339" s="602"/>
      <c r="U339" s="645">
        <v>1</v>
      </c>
      <c r="V339" s="593">
        <f t="shared" si="225"/>
        <v>200</v>
      </c>
      <c r="W339" s="604">
        <f t="shared" si="226"/>
        <v>0</v>
      </c>
      <c r="X339" s="604">
        <f t="shared" si="227"/>
        <v>0</v>
      </c>
      <c r="Y339" s="604">
        <f t="shared" si="228"/>
        <v>0</v>
      </c>
      <c r="Z339" s="605">
        <f t="shared" si="229"/>
        <v>0</v>
      </c>
      <c r="AA339" s="751">
        <f t="shared" si="230"/>
        <v>0</v>
      </c>
      <c r="AB339" s="605">
        <f t="shared" si="231"/>
        <v>0</v>
      </c>
      <c r="AC339" s="607"/>
      <c r="AD339" s="591" t="str">
        <f t="shared" si="232"/>
        <v>Friesland College</v>
      </c>
      <c r="AE339" s="608"/>
      <c r="AF339" s="639">
        <v>135.80000000000001</v>
      </c>
      <c r="AG339" s="639">
        <f t="shared" si="233"/>
        <v>135.80000000000001</v>
      </c>
      <c r="AH339" s="639">
        <v>0</v>
      </c>
      <c r="AI339" s="640"/>
      <c r="AJ339" s="641">
        <v>89.030480000000011</v>
      </c>
      <c r="AK339" s="642"/>
      <c r="AL339" s="642" t="s">
        <v>364</v>
      </c>
      <c r="AM339" s="643"/>
      <c r="AN339" s="642"/>
      <c r="AO339" s="644">
        <v>332</v>
      </c>
      <c r="AP339" s="565"/>
      <c r="AQ339" s="566"/>
      <c r="AR339" s="566"/>
      <c r="AS339" s="566"/>
      <c r="AT339" s="566"/>
      <c r="AU339" s="566"/>
      <c r="AV339" s="566"/>
      <c r="AW339" s="566"/>
      <c r="AX339" s="566"/>
      <c r="AY339" s="566"/>
      <c r="AZ339" s="566"/>
      <c r="BA339" s="566"/>
      <c r="BB339" s="566"/>
      <c r="BC339" s="566"/>
      <c r="BD339" s="566"/>
      <c r="BE339" s="566"/>
      <c r="BF339" s="566"/>
      <c r="BG339" s="566"/>
    </row>
    <row r="340" spans="1:59">
      <c r="A340" s="591"/>
      <c r="B340" s="609"/>
      <c r="C340" s="609"/>
      <c r="D340" s="594">
        <v>1</v>
      </c>
      <c r="E340" s="595" t="s">
        <v>366</v>
      </c>
      <c r="F340" s="593" t="s">
        <v>339</v>
      </c>
      <c r="G340" s="610">
        <v>106</v>
      </c>
      <c r="H340" s="610" t="s">
        <v>594</v>
      </c>
      <c r="I340" s="610"/>
      <c r="J340" s="610"/>
      <c r="K340" s="610"/>
      <c r="L340" s="611" t="s">
        <v>1026</v>
      </c>
      <c r="M340" s="612">
        <f>VLOOKUP(S340,Kengetal,4,FALSE)</f>
        <v>0</v>
      </c>
      <c r="N340" s="613"/>
      <c r="O340" s="614" t="s">
        <v>1023</v>
      </c>
      <c r="P340" s="615">
        <v>100</v>
      </c>
      <c r="Q340" s="616">
        <f t="shared" si="207"/>
        <v>135.80000000000001</v>
      </c>
      <c r="R340" s="613"/>
      <c r="S340" s="603"/>
      <c r="T340" s="606"/>
      <c r="U340" s="606"/>
      <c r="V340" s="593">
        <f t="shared" ref="V340:V394" si="235">VLOOKUP(S340,Kengetal,3,FALSE)+VLOOKUP(T340,Kengetal,3,FALSE)</f>
        <v>0</v>
      </c>
      <c r="W340" s="606"/>
      <c r="X340" s="606"/>
      <c r="Y340" s="606"/>
      <c r="Z340" s="606"/>
      <c r="AA340" s="606"/>
      <c r="AB340" s="606"/>
      <c r="AC340" s="607"/>
      <c r="AD340" s="606"/>
      <c r="AE340" s="608"/>
      <c r="AF340" s="639">
        <v>135.80000000000001</v>
      </c>
      <c r="AG340" s="639">
        <f t="shared" si="233"/>
        <v>135.80000000000001</v>
      </c>
      <c r="AH340" s="639">
        <v>0</v>
      </c>
      <c r="AI340" s="640"/>
      <c r="AJ340" s="641">
        <v>89.030480000000011</v>
      </c>
      <c r="AK340" s="642"/>
      <c r="AL340" s="642" t="s">
        <v>364</v>
      </c>
      <c r="AM340" s="643"/>
      <c r="AN340" s="642"/>
      <c r="AO340" s="644">
        <v>333</v>
      </c>
      <c r="AP340" s="565"/>
      <c r="AQ340" s="566"/>
      <c r="AR340" s="566"/>
      <c r="AS340" s="566"/>
      <c r="AT340" s="566"/>
      <c r="AU340" s="566"/>
      <c r="AV340" s="566"/>
      <c r="AW340" s="566"/>
      <c r="AX340" s="566"/>
      <c r="AY340" s="566"/>
      <c r="AZ340" s="566"/>
      <c r="BA340" s="566"/>
      <c r="BB340" s="566"/>
      <c r="BC340" s="566"/>
      <c r="BD340" s="566"/>
      <c r="BE340" s="566"/>
      <c r="BF340" s="566"/>
      <c r="BG340" s="566"/>
    </row>
    <row r="341" spans="1:59">
      <c r="A341" s="591"/>
      <c r="B341" s="592"/>
      <c r="C341" s="593"/>
      <c r="D341" s="594">
        <v>1</v>
      </c>
      <c r="E341" s="595" t="s">
        <v>366</v>
      </c>
      <c r="F341" s="593" t="s">
        <v>339</v>
      </c>
      <c r="G341" s="596">
        <v>107</v>
      </c>
      <c r="H341" s="596" t="s">
        <v>596</v>
      </c>
      <c r="I341" s="596"/>
      <c r="J341" s="596"/>
      <c r="K341" s="596"/>
      <c r="L341" s="591" t="s">
        <v>873</v>
      </c>
      <c r="M341" s="597" t="str">
        <f t="shared" ref="M341" si="236">VLOOKUP(S341,Kengetal,4,FALSE)</f>
        <v>Administratieve -, personeels- en vergaderruimte</v>
      </c>
      <c r="N341" s="591" t="s">
        <v>945</v>
      </c>
      <c r="O341" s="598"/>
      <c r="P341" s="599"/>
      <c r="Q341" s="600">
        <f t="shared" si="207"/>
        <v>0</v>
      </c>
      <c r="R341" s="601" t="str">
        <f>AF341</f>
        <v>14,2</v>
      </c>
      <c r="S341" s="647">
        <v>101120</v>
      </c>
      <c r="T341" s="602"/>
      <c r="U341" s="645">
        <v>1</v>
      </c>
      <c r="V341" s="593">
        <f t="shared" si="235"/>
        <v>120</v>
      </c>
      <c r="W341" s="604">
        <f>Z341*R341*U341</f>
        <v>0</v>
      </c>
      <c r="X341" s="604">
        <f>AA341*R341</f>
        <v>0</v>
      </c>
      <c r="Y341" s="604">
        <f>AB341*R341</f>
        <v>0</v>
      </c>
      <c r="Z341" s="605">
        <f>VLOOKUP(S341,Kengetal,6,FALSE)</f>
        <v>0</v>
      </c>
      <c r="AA341" s="751">
        <f>VLOOKUP(S341,Kengetal,7,FALSE)</f>
        <v>0</v>
      </c>
      <c r="AB341" s="605">
        <f>VLOOKUP(T341,Kengetal,6,FALSE)</f>
        <v>0</v>
      </c>
      <c r="AC341" s="607"/>
      <c r="AD341" s="591" t="str">
        <f>AL341</f>
        <v>Friesland College</v>
      </c>
      <c r="AE341" s="608"/>
      <c r="AF341" s="639" t="s">
        <v>951</v>
      </c>
      <c r="AG341" s="639" t="str">
        <f t="shared" si="233"/>
        <v>14,2</v>
      </c>
      <c r="AH341" s="639">
        <v>0</v>
      </c>
      <c r="AI341" s="640"/>
      <c r="AJ341" s="641">
        <v>15.074719999999999</v>
      </c>
      <c r="AK341" s="642"/>
      <c r="AL341" s="642" t="s">
        <v>364</v>
      </c>
      <c r="AM341" s="643"/>
      <c r="AN341" s="642"/>
      <c r="AO341" s="644">
        <v>334</v>
      </c>
      <c r="AP341" s="565"/>
      <c r="AQ341" s="566"/>
      <c r="AR341" s="566"/>
      <c r="AS341" s="566"/>
      <c r="AT341" s="566"/>
      <c r="AU341" s="566"/>
      <c r="AV341" s="566"/>
      <c r="AW341" s="566"/>
      <c r="AX341" s="566"/>
      <c r="AY341" s="566"/>
      <c r="AZ341" s="566"/>
      <c r="BA341" s="566"/>
      <c r="BB341" s="566"/>
      <c r="BC341" s="566"/>
      <c r="BD341" s="566"/>
      <c r="BE341" s="566"/>
      <c r="BF341" s="566"/>
      <c r="BG341" s="566"/>
    </row>
    <row r="342" spans="1:59">
      <c r="A342" s="591"/>
      <c r="B342" s="618"/>
      <c r="C342" s="609"/>
      <c r="D342" s="594">
        <v>1</v>
      </c>
      <c r="E342" s="595" t="s">
        <v>366</v>
      </c>
      <c r="F342" s="593" t="s">
        <v>339</v>
      </c>
      <c r="G342" s="610">
        <v>107</v>
      </c>
      <c r="H342" s="610" t="s">
        <v>596</v>
      </c>
      <c r="I342" s="610"/>
      <c r="J342" s="610"/>
      <c r="K342" s="610"/>
      <c r="L342" s="611" t="s">
        <v>855</v>
      </c>
      <c r="M342" s="612">
        <f>VLOOKUP(S342,Kengetal,4,FALSE)</f>
        <v>0</v>
      </c>
      <c r="N342" s="613"/>
      <c r="O342" s="614" t="s">
        <v>1023</v>
      </c>
      <c r="P342" s="615">
        <v>100</v>
      </c>
      <c r="Q342" s="616">
        <f t="shared" si="207"/>
        <v>14.2</v>
      </c>
      <c r="R342" s="613"/>
      <c r="S342" s="603"/>
      <c r="T342" s="606"/>
      <c r="U342" s="606"/>
      <c r="V342" s="593">
        <f t="shared" si="235"/>
        <v>0</v>
      </c>
      <c r="W342" s="606"/>
      <c r="X342" s="606"/>
      <c r="Y342" s="606"/>
      <c r="Z342" s="606"/>
      <c r="AA342" s="606"/>
      <c r="AB342" s="606"/>
      <c r="AC342" s="607"/>
      <c r="AD342" s="606"/>
      <c r="AE342" s="608"/>
      <c r="AF342" s="639" t="s">
        <v>951</v>
      </c>
      <c r="AG342" s="639" t="str">
        <f t="shared" si="233"/>
        <v>14,2</v>
      </c>
      <c r="AH342" s="639">
        <v>0</v>
      </c>
      <c r="AI342" s="640"/>
      <c r="AJ342" s="641">
        <v>15.074719999999999</v>
      </c>
      <c r="AK342" s="642"/>
      <c r="AL342" s="642" t="s">
        <v>364</v>
      </c>
      <c r="AM342" s="643"/>
      <c r="AN342" s="642"/>
      <c r="AO342" s="644">
        <v>335</v>
      </c>
      <c r="AP342" s="565"/>
      <c r="AQ342" s="566"/>
      <c r="AR342" s="566"/>
      <c r="AS342" s="566"/>
      <c r="AT342" s="566"/>
      <c r="AU342" s="566"/>
      <c r="AV342" s="566"/>
      <c r="AW342" s="566"/>
      <c r="AX342" s="566"/>
      <c r="AY342" s="566"/>
      <c r="AZ342" s="566"/>
      <c r="BA342" s="566"/>
      <c r="BB342" s="566"/>
      <c r="BC342" s="566"/>
      <c r="BD342" s="566"/>
      <c r="BE342" s="566"/>
      <c r="BF342" s="566"/>
      <c r="BG342" s="566"/>
    </row>
    <row r="343" spans="1:59">
      <c r="A343" s="591"/>
      <c r="B343" s="592"/>
      <c r="C343" s="593"/>
      <c r="D343" s="594">
        <v>1</v>
      </c>
      <c r="E343" s="595" t="s">
        <v>366</v>
      </c>
      <c r="F343" s="593" t="s">
        <v>339</v>
      </c>
      <c r="G343" s="596">
        <v>108</v>
      </c>
      <c r="H343" s="596" t="s">
        <v>597</v>
      </c>
      <c r="I343" s="596"/>
      <c r="J343" s="596"/>
      <c r="K343" s="596"/>
      <c r="L343" s="591" t="s">
        <v>850</v>
      </c>
      <c r="M343" s="597" t="str">
        <f t="shared" ref="M343" si="237">VLOOKUP(S343,Kengetal,4,FALSE)</f>
        <v>Administratieve -, personeels- en vergaderruimte</v>
      </c>
      <c r="N343" s="591" t="s">
        <v>78</v>
      </c>
      <c r="O343" s="598"/>
      <c r="P343" s="599"/>
      <c r="Q343" s="600">
        <f t="shared" si="207"/>
        <v>0</v>
      </c>
      <c r="R343" s="601">
        <f>AF343</f>
        <v>17.5</v>
      </c>
      <c r="S343" s="647">
        <v>101100</v>
      </c>
      <c r="T343" s="602"/>
      <c r="U343" s="645">
        <v>1</v>
      </c>
      <c r="V343" s="593">
        <f t="shared" si="235"/>
        <v>100</v>
      </c>
      <c r="W343" s="604">
        <f>Z343*R343*U343</f>
        <v>0</v>
      </c>
      <c r="X343" s="604">
        <f>AA343*R343</f>
        <v>0</v>
      </c>
      <c r="Y343" s="604">
        <f>AB343*R343</f>
        <v>0</v>
      </c>
      <c r="Z343" s="605">
        <f>VLOOKUP(S343,Kengetal,6,FALSE)</f>
        <v>0</v>
      </c>
      <c r="AA343" s="751">
        <f>VLOOKUP(S343,Kengetal,7,FALSE)</f>
        <v>0</v>
      </c>
      <c r="AB343" s="605">
        <f>VLOOKUP(T343,Kengetal,6,FALSE)</f>
        <v>0</v>
      </c>
      <c r="AC343" s="607"/>
      <c r="AD343" s="591" t="str">
        <f>AL343</f>
        <v>Friesland College</v>
      </c>
      <c r="AE343" s="608"/>
      <c r="AF343" s="639">
        <v>17.5</v>
      </c>
      <c r="AG343" s="639">
        <f t="shared" si="233"/>
        <v>17.5</v>
      </c>
      <c r="AH343" s="639">
        <v>0</v>
      </c>
      <c r="AI343" s="640"/>
      <c r="AJ343" s="641">
        <v>6.2054999999999998</v>
      </c>
      <c r="AK343" s="642"/>
      <c r="AL343" s="642" t="s">
        <v>364</v>
      </c>
      <c r="AM343" s="643"/>
      <c r="AN343" s="642"/>
      <c r="AO343" s="644">
        <v>336</v>
      </c>
      <c r="AP343" s="565"/>
      <c r="AQ343" s="566"/>
      <c r="AR343" s="566"/>
      <c r="AS343" s="566"/>
      <c r="AT343" s="566"/>
      <c r="AU343" s="566"/>
      <c r="AV343" s="566"/>
      <c r="AW343" s="566"/>
      <c r="AX343" s="566"/>
      <c r="AY343" s="566"/>
      <c r="AZ343" s="566"/>
      <c r="BA343" s="566"/>
      <c r="BB343" s="566"/>
      <c r="BC343" s="566"/>
      <c r="BD343" s="566"/>
      <c r="BE343" s="566"/>
      <c r="BF343" s="566"/>
      <c r="BG343" s="566"/>
    </row>
    <row r="344" spans="1:59">
      <c r="A344" s="591"/>
      <c r="B344" s="609"/>
      <c r="C344" s="609"/>
      <c r="D344" s="594">
        <v>1</v>
      </c>
      <c r="E344" s="595" t="s">
        <v>366</v>
      </c>
      <c r="F344" s="593" t="s">
        <v>339</v>
      </c>
      <c r="G344" s="610">
        <v>108</v>
      </c>
      <c r="H344" s="610" t="s">
        <v>597</v>
      </c>
      <c r="I344" s="610"/>
      <c r="J344" s="610"/>
      <c r="K344" s="610"/>
      <c r="L344" s="611" t="s">
        <v>850</v>
      </c>
      <c r="M344" s="612">
        <f>VLOOKUP(S344,Kengetal,4,FALSE)</f>
        <v>0</v>
      </c>
      <c r="N344" s="613"/>
      <c r="O344" s="614" t="s">
        <v>1027</v>
      </c>
      <c r="P344" s="615">
        <v>100</v>
      </c>
      <c r="Q344" s="616">
        <f t="shared" si="207"/>
        <v>17.5</v>
      </c>
      <c r="R344" s="613"/>
      <c r="S344" s="603"/>
      <c r="T344" s="606"/>
      <c r="U344" s="606"/>
      <c r="V344" s="593">
        <f t="shared" si="235"/>
        <v>0</v>
      </c>
      <c r="W344" s="606"/>
      <c r="X344" s="606"/>
      <c r="Y344" s="606"/>
      <c r="Z344" s="606"/>
      <c r="AA344" s="606"/>
      <c r="AB344" s="606"/>
      <c r="AC344" s="607"/>
      <c r="AD344" s="606"/>
      <c r="AE344" s="608"/>
      <c r="AF344" s="639">
        <v>17.5</v>
      </c>
      <c r="AG344" s="639">
        <f t="shared" si="233"/>
        <v>17.5</v>
      </c>
      <c r="AH344" s="639">
        <v>0</v>
      </c>
      <c r="AI344" s="640"/>
      <c r="AJ344" s="641">
        <v>6.2054999999999998</v>
      </c>
      <c r="AK344" s="642"/>
      <c r="AL344" s="642" t="s">
        <v>364</v>
      </c>
      <c r="AM344" s="643"/>
      <c r="AN344" s="642"/>
      <c r="AO344" s="644">
        <v>337</v>
      </c>
      <c r="AP344" s="565"/>
      <c r="AQ344" s="566"/>
      <c r="AR344" s="566"/>
      <c r="AS344" s="566"/>
      <c r="AT344" s="566"/>
      <c r="AU344" s="566"/>
      <c r="AV344" s="566"/>
      <c r="AW344" s="566"/>
      <c r="AX344" s="566"/>
      <c r="AY344" s="566"/>
      <c r="AZ344" s="566"/>
      <c r="BA344" s="566"/>
      <c r="BB344" s="566"/>
      <c r="BC344" s="566"/>
      <c r="BD344" s="566"/>
      <c r="BE344" s="566"/>
      <c r="BF344" s="566"/>
      <c r="BG344" s="566"/>
    </row>
    <row r="345" spans="1:59">
      <c r="A345" s="591"/>
      <c r="B345" s="592"/>
      <c r="C345" s="593"/>
      <c r="D345" s="594">
        <v>1</v>
      </c>
      <c r="E345" s="595" t="s">
        <v>366</v>
      </c>
      <c r="F345" s="593" t="s">
        <v>339</v>
      </c>
      <c r="G345" s="596">
        <v>109</v>
      </c>
      <c r="H345" s="596" t="s">
        <v>1028</v>
      </c>
      <c r="I345" s="596"/>
      <c r="J345" s="596"/>
      <c r="K345" s="596"/>
      <c r="L345" s="591" t="s">
        <v>850</v>
      </c>
      <c r="M345" s="597" t="str">
        <f t="shared" ref="M345" si="238">VLOOKUP(S345,Kengetal,4,FALSE)</f>
        <v>Administratieve -, personeels- en vergaderruimte</v>
      </c>
      <c r="N345" s="591" t="s">
        <v>78</v>
      </c>
      <c r="O345" s="598"/>
      <c r="P345" s="599"/>
      <c r="Q345" s="600">
        <f t="shared" si="207"/>
        <v>0</v>
      </c>
      <c r="R345" s="601">
        <f>AF345</f>
        <v>17.5</v>
      </c>
      <c r="S345" s="647">
        <v>101100</v>
      </c>
      <c r="T345" s="602"/>
      <c r="U345" s="645">
        <v>1</v>
      </c>
      <c r="V345" s="593">
        <f t="shared" si="235"/>
        <v>100</v>
      </c>
      <c r="W345" s="604">
        <f>Z345*R345*U345</f>
        <v>0</v>
      </c>
      <c r="X345" s="604">
        <f>AA345*R345</f>
        <v>0</v>
      </c>
      <c r="Y345" s="604">
        <f>AB345*R345</f>
        <v>0</v>
      </c>
      <c r="Z345" s="605">
        <f>VLOOKUP(S345,Kengetal,6,FALSE)</f>
        <v>0</v>
      </c>
      <c r="AA345" s="751">
        <f>VLOOKUP(S345,Kengetal,7,FALSE)</f>
        <v>0</v>
      </c>
      <c r="AB345" s="605">
        <f>VLOOKUP(T345,Kengetal,6,FALSE)</f>
        <v>0</v>
      </c>
      <c r="AC345" s="607"/>
      <c r="AD345" s="591" t="str">
        <f>AL345</f>
        <v>Friesland College</v>
      </c>
      <c r="AE345" s="608"/>
      <c r="AF345" s="639">
        <v>17.5</v>
      </c>
      <c r="AG345" s="639">
        <f t="shared" si="233"/>
        <v>17.5</v>
      </c>
      <c r="AH345" s="639">
        <v>0</v>
      </c>
      <c r="AI345" s="640"/>
      <c r="AJ345" s="641">
        <v>6.2054999999999998</v>
      </c>
      <c r="AK345" s="642"/>
      <c r="AL345" s="642" t="s">
        <v>364</v>
      </c>
      <c r="AM345" s="643"/>
      <c r="AN345" s="642"/>
      <c r="AO345" s="644">
        <v>338</v>
      </c>
      <c r="AP345" s="565"/>
      <c r="AQ345" s="566"/>
      <c r="AR345" s="566"/>
      <c r="AS345" s="566"/>
      <c r="AT345" s="566"/>
      <c r="AU345" s="566"/>
      <c r="AV345" s="566"/>
      <c r="AW345" s="566"/>
      <c r="AX345" s="566"/>
      <c r="AY345" s="566"/>
      <c r="AZ345" s="566"/>
      <c r="BA345" s="566"/>
      <c r="BB345" s="566"/>
      <c r="BC345" s="566"/>
      <c r="BD345" s="566"/>
      <c r="BE345" s="566"/>
      <c r="BF345" s="566"/>
      <c r="BG345" s="566"/>
    </row>
    <row r="346" spans="1:59">
      <c r="A346" s="591"/>
      <c r="B346" s="609"/>
      <c r="C346" s="609"/>
      <c r="D346" s="594">
        <v>1</v>
      </c>
      <c r="E346" s="595" t="s">
        <v>366</v>
      </c>
      <c r="F346" s="593" t="s">
        <v>339</v>
      </c>
      <c r="G346" s="610">
        <v>109</v>
      </c>
      <c r="H346" s="610" t="s">
        <v>1028</v>
      </c>
      <c r="I346" s="610"/>
      <c r="J346" s="610"/>
      <c r="K346" s="610"/>
      <c r="L346" s="611" t="s">
        <v>850</v>
      </c>
      <c r="M346" s="612">
        <f>VLOOKUP(S346,Kengetal,4,FALSE)</f>
        <v>0</v>
      </c>
      <c r="N346" s="613"/>
      <c r="O346" s="614" t="s">
        <v>1023</v>
      </c>
      <c r="P346" s="615">
        <v>100</v>
      </c>
      <c r="Q346" s="616">
        <f t="shared" si="207"/>
        <v>17.5</v>
      </c>
      <c r="R346" s="613"/>
      <c r="S346" s="603"/>
      <c r="T346" s="606"/>
      <c r="U346" s="606"/>
      <c r="V346" s="593">
        <f t="shared" si="235"/>
        <v>0</v>
      </c>
      <c r="W346" s="606"/>
      <c r="X346" s="606"/>
      <c r="Y346" s="606"/>
      <c r="Z346" s="606"/>
      <c r="AA346" s="606"/>
      <c r="AB346" s="606"/>
      <c r="AC346" s="607"/>
      <c r="AD346" s="606"/>
      <c r="AE346" s="608"/>
      <c r="AF346" s="639">
        <v>17.5</v>
      </c>
      <c r="AG346" s="639">
        <f t="shared" si="233"/>
        <v>17.5</v>
      </c>
      <c r="AH346" s="639">
        <v>0</v>
      </c>
      <c r="AI346" s="640"/>
      <c r="AJ346" s="641">
        <v>6.2054999999999998</v>
      </c>
      <c r="AK346" s="642"/>
      <c r="AL346" s="642" t="s">
        <v>364</v>
      </c>
      <c r="AM346" s="643"/>
      <c r="AN346" s="642"/>
      <c r="AO346" s="644">
        <v>339</v>
      </c>
      <c r="AP346" s="565"/>
      <c r="AQ346" s="566"/>
      <c r="AR346" s="566"/>
      <c r="AS346" s="566"/>
      <c r="AT346" s="566"/>
      <c r="AU346" s="566"/>
      <c r="AV346" s="566"/>
      <c r="AW346" s="566"/>
      <c r="AX346" s="566"/>
      <c r="AY346" s="566"/>
      <c r="AZ346" s="566"/>
      <c r="BA346" s="566"/>
      <c r="BB346" s="566"/>
      <c r="BC346" s="566"/>
      <c r="BD346" s="566"/>
      <c r="BE346" s="566"/>
      <c r="BF346" s="566"/>
      <c r="BG346" s="566"/>
    </row>
    <row r="347" spans="1:59">
      <c r="A347" s="591"/>
      <c r="B347" s="592"/>
      <c r="C347" s="593"/>
      <c r="D347" s="594">
        <v>1</v>
      </c>
      <c r="E347" s="595" t="s">
        <v>366</v>
      </c>
      <c r="F347" s="593" t="s">
        <v>339</v>
      </c>
      <c r="G347" s="596">
        <v>110</v>
      </c>
      <c r="H347" s="596" t="s">
        <v>595</v>
      </c>
      <c r="I347" s="596"/>
      <c r="J347" s="596"/>
      <c r="K347" s="596"/>
      <c r="L347" s="591" t="s">
        <v>808</v>
      </c>
      <c r="M347" s="597" t="str">
        <f t="shared" ref="M347" si="239">VLOOKUP(S347,Kengetal,4,FALSE)</f>
        <v>Onderwijsruimte (theorie)</v>
      </c>
      <c r="N347" s="591" t="s">
        <v>78</v>
      </c>
      <c r="O347" s="598"/>
      <c r="P347" s="599"/>
      <c r="Q347" s="600">
        <f t="shared" si="207"/>
        <v>0</v>
      </c>
      <c r="R347" s="601">
        <f>AF347</f>
        <v>42.4</v>
      </c>
      <c r="S347" s="647">
        <v>102200</v>
      </c>
      <c r="T347" s="602"/>
      <c r="U347" s="645">
        <v>1</v>
      </c>
      <c r="V347" s="593">
        <f t="shared" si="235"/>
        <v>200</v>
      </c>
      <c r="W347" s="604">
        <f>Z347*R347*U347</f>
        <v>0</v>
      </c>
      <c r="X347" s="604">
        <f>AA347*R347</f>
        <v>0</v>
      </c>
      <c r="Y347" s="604">
        <f>AB347*R347</f>
        <v>0</v>
      </c>
      <c r="Z347" s="605">
        <f>VLOOKUP(S347,Kengetal,6,FALSE)</f>
        <v>0</v>
      </c>
      <c r="AA347" s="751">
        <f>VLOOKUP(S347,Kengetal,7,FALSE)</f>
        <v>0</v>
      </c>
      <c r="AB347" s="605">
        <f>VLOOKUP(T347,Kengetal,6,FALSE)</f>
        <v>0</v>
      </c>
      <c r="AC347" s="607"/>
      <c r="AD347" s="591" t="str">
        <f>AL347</f>
        <v>Friesland College</v>
      </c>
      <c r="AE347" s="608"/>
      <c r="AF347" s="639">
        <v>42.4</v>
      </c>
      <c r="AG347" s="639">
        <f t="shared" si="233"/>
        <v>42.4</v>
      </c>
      <c r="AH347" s="639">
        <v>0</v>
      </c>
      <c r="AI347" s="640"/>
      <c r="AJ347" s="641">
        <v>15.035039999999999</v>
      </c>
      <c r="AK347" s="642"/>
      <c r="AL347" s="642" t="s">
        <v>364</v>
      </c>
      <c r="AM347" s="643"/>
      <c r="AN347" s="642"/>
      <c r="AO347" s="644">
        <v>340</v>
      </c>
      <c r="AP347" s="565"/>
      <c r="AQ347" s="566"/>
      <c r="AR347" s="566"/>
      <c r="AS347" s="566"/>
      <c r="AT347" s="566"/>
      <c r="AU347" s="566"/>
      <c r="AV347" s="566"/>
      <c r="AW347" s="566"/>
      <c r="AX347" s="566"/>
      <c r="AY347" s="566"/>
      <c r="AZ347" s="566"/>
      <c r="BA347" s="566"/>
      <c r="BB347" s="566"/>
      <c r="BC347" s="566"/>
      <c r="BD347" s="566"/>
      <c r="BE347" s="566"/>
      <c r="BF347" s="566"/>
      <c r="BG347" s="566"/>
    </row>
    <row r="348" spans="1:59">
      <c r="A348" s="591"/>
      <c r="B348" s="609"/>
      <c r="C348" s="609"/>
      <c r="D348" s="594">
        <v>1</v>
      </c>
      <c r="E348" s="595" t="s">
        <v>366</v>
      </c>
      <c r="F348" s="593" t="s">
        <v>339</v>
      </c>
      <c r="G348" s="610">
        <v>110</v>
      </c>
      <c r="H348" s="610" t="s">
        <v>595</v>
      </c>
      <c r="I348" s="610"/>
      <c r="J348" s="610"/>
      <c r="K348" s="610"/>
      <c r="L348" s="611" t="s">
        <v>808</v>
      </c>
      <c r="M348" s="612">
        <f>VLOOKUP(S348,Kengetal,4,FALSE)</f>
        <v>0</v>
      </c>
      <c r="N348" s="613"/>
      <c r="O348" s="614" t="s">
        <v>1023</v>
      </c>
      <c r="P348" s="615">
        <v>100</v>
      </c>
      <c r="Q348" s="616">
        <f t="shared" si="207"/>
        <v>42.4</v>
      </c>
      <c r="R348" s="613"/>
      <c r="S348" s="603"/>
      <c r="T348" s="606"/>
      <c r="U348" s="606"/>
      <c r="V348" s="593">
        <f t="shared" si="235"/>
        <v>0</v>
      </c>
      <c r="W348" s="606"/>
      <c r="X348" s="606"/>
      <c r="Y348" s="606"/>
      <c r="Z348" s="606"/>
      <c r="AA348" s="606"/>
      <c r="AB348" s="606"/>
      <c r="AC348" s="607"/>
      <c r="AD348" s="606"/>
      <c r="AE348" s="608"/>
      <c r="AF348" s="639">
        <v>42.4</v>
      </c>
      <c r="AG348" s="639">
        <f t="shared" si="233"/>
        <v>42.4</v>
      </c>
      <c r="AH348" s="639">
        <v>0</v>
      </c>
      <c r="AI348" s="640"/>
      <c r="AJ348" s="641">
        <v>15.035039999999999</v>
      </c>
      <c r="AK348" s="642"/>
      <c r="AL348" s="642" t="s">
        <v>364</v>
      </c>
      <c r="AM348" s="643"/>
      <c r="AN348" s="642"/>
      <c r="AO348" s="644">
        <v>341</v>
      </c>
      <c r="AP348" s="565"/>
      <c r="AQ348" s="566"/>
      <c r="AR348" s="566"/>
      <c r="AS348" s="566"/>
      <c r="AT348" s="566"/>
      <c r="AU348" s="566"/>
      <c r="AV348" s="566"/>
      <c r="AW348" s="566"/>
      <c r="AX348" s="566"/>
      <c r="AY348" s="566"/>
      <c r="AZ348" s="566"/>
      <c r="BA348" s="566"/>
      <c r="BB348" s="566"/>
      <c r="BC348" s="566"/>
      <c r="BD348" s="566"/>
      <c r="BE348" s="566"/>
      <c r="BF348" s="566"/>
      <c r="BG348" s="566"/>
    </row>
    <row r="349" spans="1:59">
      <c r="A349" s="591"/>
      <c r="B349" s="592"/>
      <c r="C349" s="593"/>
      <c r="D349" s="594">
        <v>1</v>
      </c>
      <c r="E349" s="595" t="s">
        <v>366</v>
      </c>
      <c r="F349" s="593" t="s">
        <v>339</v>
      </c>
      <c r="G349" s="596">
        <v>111</v>
      </c>
      <c r="H349" s="596" t="s">
        <v>598</v>
      </c>
      <c r="I349" s="596"/>
      <c r="J349" s="596"/>
      <c r="K349" s="596"/>
      <c r="L349" s="591" t="s">
        <v>1029</v>
      </c>
      <c r="M349" s="597" t="str">
        <f t="shared" ref="M349" si="240">VLOOKUP(S349,Kengetal,4,FALSE)</f>
        <v>Onderwijsruimte (theorie)</v>
      </c>
      <c r="N349" s="591" t="s">
        <v>78</v>
      </c>
      <c r="O349" s="598"/>
      <c r="P349" s="599"/>
      <c r="Q349" s="600">
        <f t="shared" si="207"/>
        <v>0</v>
      </c>
      <c r="R349" s="601">
        <f>AF349</f>
        <v>168</v>
      </c>
      <c r="S349" s="647">
        <v>102200</v>
      </c>
      <c r="T349" s="602"/>
      <c r="U349" s="645">
        <v>1</v>
      </c>
      <c r="V349" s="593">
        <f t="shared" si="235"/>
        <v>200</v>
      </c>
      <c r="W349" s="604">
        <f>Z349*R349*U349</f>
        <v>0</v>
      </c>
      <c r="X349" s="604">
        <f>AA349*R349</f>
        <v>0</v>
      </c>
      <c r="Y349" s="604">
        <f>AB349*R349</f>
        <v>0</v>
      </c>
      <c r="Z349" s="605">
        <f>VLOOKUP(S349,Kengetal,6,FALSE)</f>
        <v>0</v>
      </c>
      <c r="AA349" s="751">
        <f>VLOOKUP(S349,Kengetal,7,FALSE)</f>
        <v>0</v>
      </c>
      <c r="AB349" s="605">
        <f>VLOOKUP(T349,Kengetal,6,FALSE)</f>
        <v>0</v>
      </c>
      <c r="AC349" s="607"/>
      <c r="AD349" s="591" t="str">
        <f>AL349</f>
        <v>Friesland College</v>
      </c>
      <c r="AE349" s="608"/>
      <c r="AF349" s="639">
        <v>168</v>
      </c>
      <c r="AG349" s="639">
        <f t="shared" si="233"/>
        <v>168</v>
      </c>
      <c r="AH349" s="639">
        <v>0</v>
      </c>
      <c r="AI349" s="640"/>
      <c r="AJ349" s="641">
        <v>110.1408</v>
      </c>
      <c r="AK349" s="642"/>
      <c r="AL349" s="642" t="s">
        <v>364</v>
      </c>
      <c r="AM349" s="643"/>
      <c r="AN349" s="642"/>
      <c r="AO349" s="644">
        <v>342</v>
      </c>
      <c r="AP349" s="565"/>
      <c r="AQ349" s="566"/>
      <c r="AR349" s="566"/>
      <c r="AS349" s="566"/>
      <c r="AT349" s="566"/>
      <c r="AU349" s="566"/>
      <c r="AV349" s="566"/>
      <c r="AW349" s="566"/>
      <c r="AX349" s="566"/>
      <c r="AY349" s="566"/>
      <c r="AZ349" s="566"/>
      <c r="BA349" s="566"/>
      <c r="BB349" s="566"/>
      <c r="BC349" s="566"/>
      <c r="BD349" s="566"/>
      <c r="BE349" s="566"/>
      <c r="BF349" s="566"/>
      <c r="BG349" s="566"/>
    </row>
    <row r="350" spans="1:59">
      <c r="A350" s="591"/>
      <c r="B350" s="609"/>
      <c r="C350" s="609"/>
      <c r="D350" s="594">
        <v>1</v>
      </c>
      <c r="E350" s="595" t="s">
        <v>366</v>
      </c>
      <c r="F350" s="593" t="s">
        <v>339</v>
      </c>
      <c r="G350" s="610">
        <v>111</v>
      </c>
      <c r="H350" s="610" t="s">
        <v>598</v>
      </c>
      <c r="I350" s="610"/>
      <c r="J350" s="610"/>
      <c r="K350" s="610"/>
      <c r="L350" s="611" t="s">
        <v>1029</v>
      </c>
      <c r="M350" s="612">
        <f>VLOOKUP(S350,Kengetal,4,FALSE)</f>
        <v>0</v>
      </c>
      <c r="N350" s="613"/>
      <c r="O350" s="614" t="s">
        <v>1023</v>
      </c>
      <c r="P350" s="615">
        <v>100</v>
      </c>
      <c r="Q350" s="616">
        <f t="shared" si="207"/>
        <v>168</v>
      </c>
      <c r="R350" s="613"/>
      <c r="S350" s="603"/>
      <c r="T350" s="606"/>
      <c r="U350" s="606"/>
      <c r="V350" s="593">
        <f t="shared" si="235"/>
        <v>0</v>
      </c>
      <c r="W350" s="606"/>
      <c r="X350" s="606"/>
      <c r="Y350" s="606"/>
      <c r="Z350" s="606"/>
      <c r="AA350" s="606"/>
      <c r="AB350" s="606"/>
      <c r="AC350" s="607"/>
      <c r="AD350" s="606"/>
      <c r="AE350" s="608"/>
      <c r="AF350" s="639">
        <v>168</v>
      </c>
      <c r="AG350" s="639">
        <f t="shared" si="233"/>
        <v>168</v>
      </c>
      <c r="AH350" s="639">
        <v>0</v>
      </c>
      <c r="AI350" s="640"/>
      <c r="AJ350" s="641">
        <v>110.1408</v>
      </c>
      <c r="AK350" s="642"/>
      <c r="AL350" s="642" t="s">
        <v>364</v>
      </c>
      <c r="AM350" s="643"/>
      <c r="AN350" s="642"/>
      <c r="AO350" s="644">
        <v>343</v>
      </c>
      <c r="AP350" s="565"/>
      <c r="AQ350" s="566"/>
      <c r="AR350" s="566"/>
      <c r="AS350" s="566"/>
      <c r="AT350" s="566"/>
      <c r="AU350" s="566"/>
      <c r="AV350" s="566"/>
      <c r="AW350" s="566"/>
      <c r="AX350" s="566"/>
      <c r="AY350" s="566"/>
      <c r="AZ350" s="566"/>
      <c r="BA350" s="566"/>
      <c r="BB350" s="566"/>
      <c r="BC350" s="566"/>
      <c r="BD350" s="566"/>
      <c r="BE350" s="566"/>
      <c r="BF350" s="566"/>
      <c r="BG350" s="566"/>
    </row>
    <row r="351" spans="1:59">
      <c r="A351" s="591"/>
      <c r="B351" s="592"/>
      <c r="C351" s="593"/>
      <c r="D351" s="594">
        <v>1</v>
      </c>
      <c r="E351" s="595" t="s">
        <v>366</v>
      </c>
      <c r="F351" s="593" t="s">
        <v>339</v>
      </c>
      <c r="G351" s="596">
        <v>112</v>
      </c>
      <c r="H351" s="596" t="s">
        <v>600</v>
      </c>
      <c r="I351" s="596"/>
      <c r="J351" s="596"/>
      <c r="K351" s="596"/>
      <c r="L351" s="591" t="s">
        <v>850</v>
      </c>
      <c r="M351" s="597" t="str">
        <f t="shared" ref="M351" si="241">VLOOKUP(S351,Kengetal,4,FALSE)</f>
        <v>Administratieve -, personeels- en vergaderruimte</v>
      </c>
      <c r="N351" s="591" t="s">
        <v>78</v>
      </c>
      <c r="O351" s="598"/>
      <c r="P351" s="599"/>
      <c r="Q351" s="600">
        <f t="shared" si="207"/>
        <v>0</v>
      </c>
      <c r="R351" s="601">
        <f>AF351</f>
        <v>18.5</v>
      </c>
      <c r="S351" s="647">
        <v>101100</v>
      </c>
      <c r="T351" s="602"/>
      <c r="U351" s="645">
        <v>1</v>
      </c>
      <c r="V351" s="593">
        <f t="shared" si="235"/>
        <v>100</v>
      </c>
      <c r="W351" s="604">
        <f>Z351*R351*U351</f>
        <v>0</v>
      </c>
      <c r="X351" s="604">
        <f>AA351*R351</f>
        <v>0</v>
      </c>
      <c r="Y351" s="604">
        <f>AB351*R351</f>
        <v>0</v>
      </c>
      <c r="Z351" s="605">
        <f>VLOOKUP(S351,Kengetal,6,FALSE)</f>
        <v>0</v>
      </c>
      <c r="AA351" s="751">
        <f>VLOOKUP(S351,Kengetal,7,FALSE)</f>
        <v>0</v>
      </c>
      <c r="AB351" s="605">
        <f>VLOOKUP(T351,Kengetal,6,FALSE)</f>
        <v>0</v>
      </c>
      <c r="AC351" s="607"/>
      <c r="AD351" s="591" t="str">
        <f>AL351</f>
        <v>Friesland College</v>
      </c>
      <c r="AE351" s="608"/>
      <c r="AF351" s="639">
        <v>18.5</v>
      </c>
      <c r="AG351" s="639">
        <f t="shared" si="233"/>
        <v>18.5</v>
      </c>
      <c r="AH351" s="639">
        <v>0</v>
      </c>
      <c r="AI351" s="640"/>
      <c r="AJ351" s="641">
        <v>6.5600999999999994</v>
      </c>
      <c r="AK351" s="642"/>
      <c r="AL351" s="642" t="s">
        <v>364</v>
      </c>
      <c r="AM351" s="643"/>
      <c r="AN351" s="642"/>
      <c r="AO351" s="644">
        <v>344</v>
      </c>
      <c r="AP351" s="565"/>
      <c r="AQ351" s="566"/>
      <c r="AR351" s="566"/>
      <c r="AS351" s="566"/>
      <c r="AT351" s="566"/>
      <c r="AU351" s="566"/>
      <c r="AV351" s="566"/>
      <c r="AW351" s="566"/>
      <c r="AX351" s="566"/>
      <c r="AY351" s="566"/>
      <c r="AZ351" s="566"/>
      <c r="BA351" s="566"/>
      <c r="BB351" s="566"/>
      <c r="BC351" s="566"/>
      <c r="BD351" s="566"/>
      <c r="BE351" s="566"/>
      <c r="BF351" s="566"/>
      <c r="BG351" s="566"/>
    </row>
    <row r="352" spans="1:59">
      <c r="A352" s="591"/>
      <c r="B352" s="609"/>
      <c r="C352" s="609"/>
      <c r="D352" s="594">
        <v>1</v>
      </c>
      <c r="E352" s="595" t="s">
        <v>366</v>
      </c>
      <c r="F352" s="593" t="s">
        <v>339</v>
      </c>
      <c r="G352" s="610">
        <v>112</v>
      </c>
      <c r="H352" s="610" t="s">
        <v>600</v>
      </c>
      <c r="I352" s="610"/>
      <c r="J352" s="610"/>
      <c r="K352" s="610"/>
      <c r="L352" s="611" t="s">
        <v>850</v>
      </c>
      <c r="M352" s="612">
        <f>VLOOKUP(S352,Kengetal,4,FALSE)</f>
        <v>0</v>
      </c>
      <c r="N352" s="613"/>
      <c r="O352" s="614" t="s">
        <v>1023</v>
      </c>
      <c r="P352" s="615">
        <v>100</v>
      </c>
      <c r="Q352" s="616">
        <f t="shared" si="207"/>
        <v>18.5</v>
      </c>
      <c r="R352" s="613"/>
      <c r="S352" s="603"/>
      <c r="T352" s="606"/>
      <c r="U352" s="606"/>
      <c r="V352" s="593">
        <f t="shared" si="235"/>
        <v>0</v>
      </c>
      <c r="W352" s="606"/>
      <c r="X352" s="606"/>
      <c r="Y352" s="606"/>
      <c r="Z352" s="606"/>
      <c r="AA352" s="606"/>
      <c r="AB352" s="606"/>
      <c r="AC352" s="607"/>
      <c r="AD352" s="606"/>
      <c r="AE352" s="608"/>
      <c r="AF352" s="639">
        <v>18.5</v>
      </c>
      <c r="AG352" s="639">
        <f t="shared" si="233"/>
        <v>18.5</v>
      </c>
      <c r="AH352" s="639">
        <v>0</v>
      </c>
      <c r="AI352" s="640"/>
      <c r="AJ352" s="641">
        <v>6.5600999999999994</v>
      </c>
      <c r="AK352" s="642"/>
      <c r="AL352" s="642" t="s">
        <v>364</v>
      </c>
      <c r="AM352" s="643"/>
      <c r="AN352" s="642"/>
      <c r="AO352" s="644">
        <v>345</v>
      </c>
      <c r="AP352" s="565"/>
      <c r="AQ352" s="566"/>
      <c r="AR352" s="566"/>
      <c r="AS352" s="566"/>
      <c r="AT352" s="566"/>
      <c r="AU352" s="566"/>
      <c r="AV352" s="566"/>
      <c r="AW352" s="566"/>
      <c r="AX352" s="566"/>
      <c r="AY352" s="566"/>
      <c r="AZ352" s="566"/>
      <c r="BA352" s="566"/>
      <c r="BB352" s="566"/>
      <c r="BC352" s="566"/>
      <c r="BD352" s="566"/>
      <c r="BE352" s="566"/>
      <c r="BF352" s="566"/>
      <c r="BG352" s="566"/>
    </row>
    <row r="353" spans="1:59">
      <c r="A353" s="591"/>
      <c r="B353" s="592"/>
      <c r="C353" s="593"/>
      <c r="D353" s="594">
        <v>1</v>
      </c>
      <c r="E353" s="595" t="s">
        <v>366</v>
      </c>
      <c r="F353" s="593" t="s">
        <v>339</v>
      </c>
      <c r="G353" s="596">
        <v>113</v>
      </c>
      <c r="H353" s="596" t="s">
        <v>599</v>
      </c>
      <c r="I353" s="596"/>
      <c r="J353" s="596"/>
      <c r="K353" s="596"/>
      <c r="L353" s="591" t="s">
        <v>808</v>
      </c>
      <c r="M353" s="597" t="str">
        <f t="shared" ref="M353" si="242">VLOOKUP(S353,Kengetal,4,FALSE)</f>
        <v>Onderwijsruimte (theorie)</v>
      </c>
      <c r="N353" s="591" t="s">
        <v>78</v>
      </c>
      <c r="O353" s="598"/>
      <c r="P353" s="599"/>
      <c r="Q353" s="600">
        <f t="shared" si="207"/>
        <v>0</v>
      </c>
      <c r="R353" s="601">
        <f>AF353</f>
        <v>18.5</v>
      </c>
      <c r="S353" s="647">
        <v>102200</v>
      </c>
      <c r="T353" s="602"/>
      <c r="U353" s="645">
        <v>1</v>
      </c>
      <c r="V353" s="593">
        <f t="shared" si="235"/>
        <v>200</v>
      </c>
      <c r="W353" s="604">
        <f>Z353*R353*U353</f>
        <v>0</v>
      </c>
      <c r="X353" s="604">
        <f>AA353*R353</f>
        <v>0</v>
      </c>
      <c r="Y353" s="604">
        <f>AB353*R353</f>
        <v>0</v>
      </c>
      <c r="Z353" s="605">
        <f>VLOOKUP(S353,Kengetal,6,FALSE)</f>
        <v>0</v>
      </c>
      <c r="AA353" s="751">
        <f>VLOOKUP(S353,Kengetal,7,FALSE)</f>
        <v>0</v>
      </c>
      <c r="AB353" s="605">
        <f>VLOOKUP(T353,Kengetal,6,FALSE)</f>
        <v>0</v>
      </c>
      <c r="AC353" s="607"/>
      <c r="AD353" s="591" t="str">
        <f>AL353</f>
        <v>Friesland College</v>
      </c>
      <c r="AE353" s="608"/>
      <c r="AF353" s="639">
        <v>18.5</v>
      </c>
      <c r="AG353" s="639">
        <f t="shared" si="233"/>
        <v>18.5</v>
      </c>
      <c r="AH353" s="639">
        <v>0</v>
      </c>
      <c r="AI353" s="640"/>
      <c r="AJ353" s="641">
        <v>6.5600999999999994</v>
      </c>
      <c r="AK353" s="642"/>
      <c r="AL353" s="642" t="s">
        <v>364</v>
      </c>
      <c r="AM353" s="643"/>
      <c r="AN353" s="642"/>
      <c r="AO353" s="644">
        <v>346</v>
      </c>
      <c r="AP353" s="565"/>
      <c r="AQ353" s="566"/>
      <c r="AR353" s="566"/>
      <c r="AS353" s="566"/>
      <c r="AT353" s="566"/>
      <c r="AU353" s="566"/>
      <c r="AV353" s="566"/>
      <c r="AW353" s="566"/>
      <c r="AX353" s="566"/>
      <c r="AY353" s="566"/>
      <c r="AZ353" s="566"/>
      <c r="BA353" s="566"/>
      <c r="BB353" s="566"/>
      <c r="BC353" s="566"/>
      <c r="BD353" s="566"/>
      <c r="BE353" s="566"/>
      <c r="BF353" s="566"/>
      <c r="BG353" s="566"/>
    </row>
    <row r="354" spans="1:59">
      <c r="A354" s="591"/>
      <c r="B354" s="609"/>
      <c r="C354" s="609"/>
      <c r="D354" s="594">
        <v>1</v>
      </c>
      <c r="E354" s="595" t="s">
        <v>366</v>
      </c>
      <c r="F354" s="593" t="s">
        <v>339</v>
      </c>
      <c r="G354" s="610">
        <v>113</v>
      </c>
      <c r="H354" s="610" t="s">
        <v>599</v>
      </c>
      <c r="I354" s="610"/>
      <c r="J354" s="610"/>
      <c r="K354" s="610"/>
      <c r="L354" s="611" t="s">
        <v>808</v>
      </c>
      <c r="M354" s="612">
        <f>VLOOKUP(S354,Kengetal,4,FALSE)</f>
        <v>0</v>
      </c>
      <c r="N354" s="613"/>
      <c r="O354" s="614" t="s">
        <v>1023</v>
      </c>
      <c r="P354" s="615">
        <v>100</v>
      </c>
      <c r="Q354" s="616">
        <f t="shared" si="207"/>
        <v>18.5</v>
      </c>
      <c r="R354" s="613"/>
      <c r="S354" s="603"/>
      <c r="T354" s="606"/>
      <c r="U354" s="606"/>
      <c r="V354" s="593">
        <f t="shared" si="235"/>
        <v>0</v>
      </c>
      <c r="W354" s="606"/>
      <c r="X354" s="606"/>
      <c r="Y354" s="606"/>
      <c r="Z354" s="606"/>
      <c r="AA354" s="606"/>
      <c r="AB354" s="606"/>
      <c r="AC354" s="607"/>
      <c r="AD354" s="606"/>
      <c r="AE354" s="608"/>
      <c r="AF354" s="639">
        <v>18.5</v>
      </c>
      <c r="AG354" s="639">
        <f t="shared" si="233"/>
        <v>18.5</v>
      </c>
      <c r="AH354" s="639">
        <v>0</v>
      </c>
      <c r="AI354" s="640"/>
      <c r="AJ354" s="641">
        <v>6.5600999999999994</v>
      </c>
      <c r="AK354" s="642"/>
      <c r="AL354" s="642" t="s">
        <v>364</v>
      </c>
      <c r="AM354" s="643"/>
      <c r="AN354" s="642"/>
      <c r="AO354" s="644">
        <v>347</v>
      </c>
      <c r="AP354" s="565"/>
      <c r="AQ354" s="566"/>
      <c r="AR354" s="566"/>
      <c r="AS354" s="566"/>
      <c r="AT354" s="566"/>
      <c r="AU354" s="566"/>
      <c r="AV354" s="566"/>
      <c r="AW354" s="566"/>
      <c r="AX354" s="566"/>
      <c r="AY354" s="566"/>
      <c r="AZ354" s="566"/>
      <c r="BA354" s="566"/>
      <c r="BB354" s="566"/>
      <c r="BC354" s="566"/>
      <c r="BD354" s="566"/>
      <c r="BE354" s="566"/>
      <c r="BF354" s="566"/>
      <c r="BG354" s="566"/>
    </row>
    <row r="355" spans="1:59">
      <c r="A355" s="591"/>
      <c r="B355" s="592"/>
      <c r="C355" s="593"/>
      <c r="D355" s="594">
        <v>1</v>
      </c>
      <c r="E355" s="595" t="s">
        <v>366</v>
      </c>
      <c r="F355" s="593" t="s">
        <v>339</v>
      </c>
      <c r="G355" s="596">
        <v>114</v>
      </c>
      <c r="H355" s="596" t="s">
        <v>589</v>
      </c>
      <c r="I355" s="596"/>
      <c r="J355" s="596"/>
      <c r="K355" s="596"/>
      <c r="L355" s="591" t="s">
        <v>856</v>
      </c>
      <c r="M355" s="597" t="str">
        <f t="shared" ref="M355:M357" si="243">VLOOKUP(S355,Kengetal,4,FALSE)</f>
        <v>Trappenhuis-bordes</v>
      </c>
      <c r="N355" s="591" t="s">
        <v>343</v>
      </c>
      <c r="O355" s="598"/>
      <c r="P355" s="599"/>
      <c r="Q355" s="600">
        <f t="shared" si="207"/>
        <v>0</v>
      </c>
      <c r="R355" s="601">
        <f t="shared" ref="R355:R362" si="244">AF355</f>
        <v>35.56</v>
      </c>
      <c r="S355" s="647">
        <v>108200</v>
      </c>
      <c r="T355" s="602"/>
      <c r="U355" s="645">
        <v>1</v>
      </c>
      <c r="V355" s="593">
        <f t="shared" si="235"/>
        <v>200</v>
      </c>
      <c r="W355" s="604">
        <f t="shared" ref="W355:W362" si="245">Z355*R355*U355</f>
        <v>0</v>
      </c>
      <c r="X355" s="604">
        <f t="shared" ref="X355:X362" si="246">AA355*R355</f>
        <v>0</v>
      </c>
      <c r="Y355" s="604">
        <f t="shared" ref="Y355:Y362" si="247">AB355*R355</f>
        <v>0</v>
      </c>
      <c r="Z355" s="605">
        <f t="shared" ref="Z355:Z362" si="248">VLOOKUP(S355,Kengetal,6,FALSE)</f>
        <v>0</v>
      </c>
      <c r="AA355" s="751">
        <f t="shared" ref="AA355:AA362" si="249">VLOOKUP(S355,Kengetal,7,FALSE)</f>
        <v>0</v>
      </c>
      <c r="AB355" s="605">
        <f t="shared" ref="AB355:AB362" si="250">VLOOKUP(T355,Kengetal,6,FALSE)</f>
        <v>0</v>
      </c>
      <c r="AC355" s="607"/>
      <c r="AD355" s="591" t="str">
        <f t="shared" ref="AD355:AD362" si="251">AL355</f>
        <v>Friesland College</v>
      </c>
      <c r="AE355" s="608"/>
      <c r="AF355" s="639">
        <v>35.56</v>
      </c>
      <c r="AG355" s="639">
        <f t="shared" si="233"/>
        <v>35.56</v>
      </c>
      <c r="AH355" s="639">
        <v>0</v>
      </c>
      <c r="AI355" s="640"/>
      <c r="AJ355" s="641">
        <v>24.212804000000002</v>
      </c>
      <c r="AK355" s="642"/>
      <c r="AL355" s="642" t="s">
        <v>364</v>
      </c>
      <c r="AM355" s="643"/>
      <c r="AN355" s="642"/>
      <c r="AO355" s="644">
        <v>348</v>
      </c>
      <c r="AP355" s="565"/>
      <c r="AQ355" s="566"/>
      <c r="AR355" s="566"/>
      <c r="AS355" s="566"/>
      <c r="AT355" s="566"/>
      <c r="AU355" s="566"/>
      <c r="AV355" s="566"/>
      <c r="AW355" s="566"/>
      <c r="AX355" s="566"/>
      <c r="AY355" s="566"/>
      <c r="AZ355" s="566"/>
      <c r="BA355" s="566"/>
      <c r="BB355" s="566"/>
      <c r="BC355" s="566"/>
      <c r="BD355" s="566"/>
      <c r="BE355" s="566"/>
      <c r="BF355" s="566"/>
      <c r="BG355" s="566"/>
    </row>
    <row r="356" spans="1:59">
      <c r="A356" s="591"/>
      <c r="B356" s="592"/>
      <c r="C356" s="593"/>
      <c r="D356" s="594">
        <v>1</v>
      </c>
      <c r="E356" s="595" t="s">
        <v>366</v>
      </c>
      <c r="F356" s="593" t="s">
        <v>339</v>
      </c>
      <c r="G356" s="596">
        <v>115</v>
      </c>
      <c r="H356" s="596" t="s">
        <v>589</v>
      </c>
      <c r="I356" s="596"/>
      <c r="J356" s="596"/>
      <c r="K356" s="596"/>
      <c r="L356" s="591" t="s">
        <v>857</v>
      </c>
      <c r="M356" s="597" t="str">
        <f t="shared" si="243"/>
        <v>Trappenhuis-bordes</v>
      </c>
      <c r="N356" s="591" t="s">
        <v>343</v>
      </c>
      <c r="O356" s="598"/>
      <c r="P356" s="599"/>
      <c r="Q356" s="600">
        <f t="shared" si="207"/>
        <v>0</v>
      </c>
      <c r="R356" s="601">
        <f t="shared" si="244"/>
        <v>28.15</v>
      </c>
      <c r="S356" s="647">
        <v>108200</v>
      </c>
      <c r="T356" s="602"/>
      <c r="U356" s="645">
        <v>1</v>
      </c>
      <c r="V356" s="593">
        <f t="shared" si="235"/>
        <v>200</v>
      </c>
      <c r="W356" s="604">
        <f t="shared" si="245"/>
        <v>0</v>
      </c>
      <c r="X356" s="604">
        <f t="shared" si="246"/>
        <v>0</v>
      </c>
      <c r="Y356" s="604">
        <f t="shared" si="247"/>
        <v>0</v>
      </c>
      <c r="Z356" s="605">
        <f t="shared" si="248"/>
        <v>0</v>
      </c>
      <c r="AA356" s="751">
        <f t="shared" si="249"/>
        <v>0</v>
      </c>
      <c r="AB356" s="605">
        <f t="shared" si="250"/>
        <v>0</v>
      </c>
      <c r="AC356" s="607"/>
      <c r="AD356" s="591" t="str">
        <f t="shared" si="251"/>
        <v>Friesland College</v>
      </c>
      <c r="AE356" s="608"/>
      <c r="AF356" s="639">
        <v>28.15</v>
      </c>
      <c r="AG356" s="639">
        <f t="shared" si="233"/>
        <v>28.15</v>
      </c>
      <c r="AH356" s="639">
        <v>0</v>
      </c>
      <c r="AI356" s="640"/>
      <c r="AJ356" s="641">
        <v>19.167334999999998</v>
      </c>
      <c r="AK356" s="642"/>
      <c r="AL356" s="642" t="s">
        <v>364</v>
      </c>
      <c r="AM356" s="643"/>
      <c r="AN356" s="642"/>
      <c r="AO356" s="644">
        <v>349</v>
      </c>
      <c r="AP356" s="565"/>
      <c r="AQ356" s="566"/>
      <c r="AR356" s="566"/>
      <c r="AS356" s="566"/>
      <c r="AT356" s="566"/>
      <c r="AU356" s="566"/>
      <c r="AV356" s="566"/>
      <c r="AW356" s="566"/>
      <c r="AX356" s="566"/>
      <c r="AY356" s="566"/>
      <c r="AZ356" s="566"/>
      <c r="BA356" s="566"/>
      <c r="BB356" s="566"/>
      <c r="BC356" s="566"/>
      <c r="BD356" s="566"/>
      <c r="BE356" s="566"/>
      <c r="BF356" s="566"/>
      <c r="BG356" s="566"/>
    </row>
    <row r="357" spans="1:59">
      <c r="A357" s="591"/>
      <c r="B357" s="592"/>
      <c r="C357" s="593"/>
      <c r="D357" s="594">
        <v>1</v>
      </c>
      <c r="E357" s="595" t="s">
        <v>366</v>
      </c>
      <c r="F357" s="593" t="s">
        <v>339</v>
      </c>
      <c r="G357" s="596">
        <v>116</v>
      </c>
      <c r="H357" s="596" t="s">
        <v>589</v>
      </c>
      <c r="I357" s="596"/>
      <c r="J357" s="596"/>
      <c r="K357" s="596"/>
      <c r="L357" s="591" t="s">
        <v>853</v>
      </c>
      <c r="M357" s="597" t="str">
        <f t="shared" si="243"/>
        <v>Trappenhuis-bordes</v>
      </c>
      <c r="N357" s="591" t="s">
        <v>945</v>
      </c>
      <c r="O357" s="598"/>
      <c r="P357" s="599"/>
      <c r="Q357" s="600">
        <f t="shared" si="207"/>
        <v>0</v>
      </c>
      <c r="R357" s="601">
        <f t="shared" si="244"/>
        <v>12.2</v>
      </c>
      <c r="S357" s="647">
        <v>108200</v>
      </c>
      <c r="T357" s="602"/>
      <c r="U357" s="645">
        <v>1</v>
      </c>
      <c r="V357" s="593">
        <f t="shared" si="235"/>
        <v>200</v>
      </c>
      <c r="W357" s="604">
        <f t="shared" si="245"/>
        <v>0</v>
      </c>
      <c r="X357" s="604">
        <f t="shared" si="246"/>
        <v>0</v>
      </c>
      <c r="Y357" s="604">
        <f t="shared" si="247"/>
        <v>0</v>
      </c>
      <c r="Z357" s="605">
        <f t="shared" si="248"/>
        <v>0</v>
      </c>
      <c r="AA357" s="751">
        <f t="shared" si="249"/>
        <v>0</v>
      </c>
      <c r="AB357" s="605">
        <f t="shared" si="250"/>
        <v>0</v>
      </c>
      <c r="AC357" s="607"/>
      <c r="AD357" s="591" t="str">
        <f t="shared" si="251"/>
        <v>Friesland College</v>
      </c>
      <c r="AE357" s="608"/>
      <c r="AF357" s="639">
        <v>12.2</v>
      </c>
      <c r="AG357" s="639">
        <f t="shared" si="233"/>
        <v>12.2</v>
      </c>
      <c r="AH357" s="639">
        <v>0</v>
      </c>
      <c r="AI357" s="640"/>
      <c r="AJ357" s="641">
        <v>8.3069799999999994</v>
      </c>
      <c r="AK357" s="642"/>
      <c r="AL357" s="642" t="s">
        <v>364</v>
      </c>
      <c r="AM357" s="643"/>
      <c r="AN357" s="642"/>
      <c r="AO357" s="644">
        <v>350</v>
      </c>
      <c r="AP357" s="565"/>
      <c r="AQ357" s="566"/>
      <c r="AR357" s="566"/>
      <c r="AS357" s="566"/>
      <c r="AT357" s="566"/>
      <c r="AU357" s="566"/>
      <c r="AV357" s="566"/>
      <c r="AW357" s="566"/>
      <c r="AX357" s="566"/>
      <c r="AY357" s="566"/>
      <c r="AZ357" s="566"/>
      <c r="BA357" s="566"/>
      <c r="BB357" s="566"/>
      <c r="BC357" s="566"/>
      <c r="BD357" s="566"/>
      <c r="BE357" s="566"/>
      <c r="BF357" s="566"/>
      <c r="BG357" s="566"/>
    </row>
    <row r="358" spans="1:59">
      <c r="A358" s="591"/>
      <c r="B358" s="592"/>
      <c r="C358" s="593"/>
      <c r="D358" s="594">
        <v>1</v>
      </c>
      <c r="E358" s="595" t="s">
        <v>366</v>
      </c>
      <c r="F358" s="593" t="s">
        <v>368</v>
      </c>
      <c r="G358" s="596">
        <v>201</v>
      </c>
      <c r="H358" s="596" t="s">
        <v>589</v>
      </c>
      <c r="I358" s="596"/>
      <c r="J358" s="596"/>
      <c r="K358" s="596"/>
      <c r="L358" s="591" t="s">
        <v>854</v>
      </c>
      <c r="M358" s="597" t="str">
        <f>VLOOKUP(S358,Kengetal,4,FALSE)</f>
        <v>Lift</v>
      </c>
      <c r="N358" s="591" t="s">
        <v>78</v>
      </c>
      <c r="O358" s="598"/>
      <c r="P358" s="599"/>
      <c r="Q358" s="600">
        <f t="shared" si="207"/>
        <v>0</v>
      </c>
      <c r="R358" s="601">
        <f t="shared" si="244"/>
        <v>45</v>
      </c>
      <c r="S358" s="647">
        <v>109200</v>
      </c>
      <c r="T358" s="602"/>
      <c r="U358" s="645">
        <v>1</v>
      </c>
      <c r="V358" s="593">
        <f t="shared" si="235"/>
        <v>200</v>
      </c>
      <c r="W358" s="604">
        <f t="shared" si="245"/>
        <v>0</v>
      </c>
      <c r="X358" s="604">
        <f t="shared" si="246"/>
        <v>0</v>
      </c>
      <c r="Y358" s="604">
        <f t="shared" si="247"/>
        <v>0</v>
      </c>
      <c r="Z358" s="605">
        <f t="shared" si="248"/>
        <v>0</v>
      </c>
      <c r="AA358" s="751">
        <f t="shared" si="249"/>
        <v>0</v>
      </c>
      <c r="AB358" s="605">
        <f t="shared" si="250"/>
        <v>0</v>
      </c>
      <c r="AC358" s="607"/>
      <c r="AD358" s="591" t="str">
        <f t="shared" si="251"/>
        <v>Friesland College</v>
      </c>
      <c r="AE358" s="608"/>
      <c r="AF358" s="639">
        <v>45</v>
      </c>
      <c r="AG358" s="639">
        <f t="shared" si="233"/>
        <v>45</v>
      </c>
      <c r="AH358" s="639">
        <v>0</v>
      </c>
      <c r="AI358" s="640"/>
      <c r="AJ358" s="641">
        <v>17.469000000000001</v>
      </c>
      <c r="AK358" s="642"/>
      <c r="AL358" s="642" t="s">
        <v>364</v>
      </c>
      <c r="AM358" s="643"/>
      <c r="AN358" s="642"/>
      <c r="AO358" s="644">
        <v>351</v>
      </c>
      <c r="AP358" s="565"/>
      <c r="AQ358" s="566"/>
      <c r="AR358" s="566"/>
      <c r="AS358" s="566"/>
      <c r="AT358" s="566"/>
      <c r="AU358" s="566"/>
      <c r="AV358" s="566"/>
      <c r="AW358" s="566"/>
      <c r="AX358" s="566"/>
      <c r="AY358" s="566"/>
      <c r="AZ358" s="566"/>
      <c r="BA358" s="566"/>
      <c r="BB358" s="566"/>
      <c r="BC358" s="566"/>
      <c r="BD358" s="566"/>
      <c r="BE358" s="566"/>
      <c r="BF358" s="566"/>
      <c r="BG358" s="566"/>
    </row>
    <row r="359" spans="1:59">
      <c r="A359" s="591"/>
      <c r="B359" s="592"/>
      <c r="C359" s="593"/>
      <c r="D359" s="594">
        <v>1</v>
      </c>
      <c r="E359" s="595" t="s">
        <v>366</v>
      </c>
      <c r="F359" s="593" t="s">
        <v>368</v>
      </c>
      <c r="G359" s="596">
        <v>202</v>
      </c>
      <c r="H359" s="596" t="s">
        <v>589</v>
      </c>
      <c r="I359" s="596"/>
      <c r="J359" s="596"/>
      <c r="K359" s="596"/>
      <c r="L359" s="591" t="s">
        <v>839</v>
      </c>
      <c r="M359" s="597" t="str">
        <f t="shared" ref="M359:M362" si="252">VLOOKUP(S359,Kengetal,4,FALSE)</f>
        <v>Gang, hal, pantry, aula, repro, gardarobe</v>
      </c>
      <c r="N359" s="591" t="s">
        <v>945</v>
      </c>
      <c r="O359" s="598"/>
      <c r="P359" s="599"/>
      <c r="Q359" s="600">
        <f t="shared" si="207"/>
        <v>0</v>
      </c>
      <c r="R359" s="601">
        <f t="shared" si="244"/>
        <v>24.4</v>
      </c>
      <c r="S359" s="647">
        <v>104200</v>
      </c>
      <c r="T359" s="602"/>
      <c r="U359" s="645">
        <v>1</v>
      </c>
      <c r="V359" s="593">
        <f t="shared" si="235"/>
        <v>200</v>
      </c>
      <c r="W359" s="604">
        <f t="shared" si="245"/>
        <v>0</v>
      </c>
      <c r="X359" s="604">
        <f t="shared" si="246"/>
        <v>0</v>
      </c>
      <c r="Y359" s="604">
        <f t="shared" si="247"/>
        <v>0</v>
      </c>
      <c r="Z359" s="605">
        <f t="shared" si="248"/>
        <v>0</v>
      </c>
      <c r="AA359" s="751">
        <f t="shared" si="249"/>
        <v>0</v>
      </c>
      <c r="AB359" s="605">
        <f t="shared" si="250"/>
        <v>0</v>
      </c>
      <c r="AC359" s="607"/>
      <c r="AD359" s="591" t="str">
        <f t="shared" si="251"/>
        <v>Friesland College</v>
      </c>
      <c r="AE359" s="608"/>
      <c r="AF359" s="639">
        <v>24.4</v>
      </c>
      <c r="AG359" s="639">
        <f t="shared" si="233"/>
        <v>24.4</v>
      </c>
      <c r="AH359" s="639">
        <v>0</v>
      </c>
      <c r="AI359" s="640"/>
      <c r="AJ359" s="641">
        <v>9.4720799999999983</v>
      </c>
      <c r="AK359" s="642"/>
      <c r="AL359" s="642" t="s">
        <v>364</v>
      </c>
      <c r="AM359" s="643"/>
      <c r="AN359" s="642"/>
      <c r="AO359" s="644">
        <v>352</v>
      </c>
      <c r="AP359" s="565"/>
      <c r="AQ359" s="566"/>
      <c r="AR359" s="566"/>
      <c r="AS359" s="566"/>
      <c r="AT359" s="566"/>
      <c r="AU359" s="566"/>
      <c r="AV359" s="566"/>
      <c r="AW359" s="566"/>
      <c r="AX359" s="566"/>
      <c r="AY359" s="566"/>
      <c r="AZ359" s="566"/>
      <c r="BA359" s="566"/>
      <c r="BB359" s="566"/>
      <c r="BC359" s="566"/>
      <c r="BD359" s="566"/>
      <c r="BE359" s="566"/>
      <c r="BF359" s="566"/>
      <c r="BG359" s="566"/>
    </row>
    <row r="360" spans="1:59">
      <c r="A360" s="591"/>
      <c r="B360" s="592"/>
      <c r="C360" s="593"/>
      <c r="D360" s="594">
        <v>1</v>
      </c>
      <c r="E360" s="595" t="s">
        <v>366</v>
      </c>
      <c r="F360" s="593" t="s">
        <v>368</v>
      </c>
      <c r="G360" s="596">
        <v>203</v>
      </c>
      <c r="H360" s="596" t="s">
        <v>589</v>
      </c>
      <c r="I360" s="596"/>
      <c r="J360" s="596"/>
      <c r="K360" s="596"/>
      <c r="L360" s="591" t="s">
        <v>773</v>
      </c>
      <c r="M360" s="597" t="str">
        <f t="shared" si="252"/>
        <v>Sanitaire ruimte (toilet-/doucheruimte)</v>
      </c>
      <c r="N360" s="591" t="s">
        <v>945</v>
      </c>
      <c r="O360" s="598"/>
      <c r="P360" s="599"/>
      <c r="Q360" s="600">
        <f t="shared" si="207"/>
        <v>0</v>
      </c>
      <c r="R360" s="601">
        <f t="shared" si="244"/>
        <v>11.5</v>
      </c>
      <c r="S360" s="647">
        <v>103200</v>
      </c>
      <c r="T360" s="647">
        <v>103400</v>
      </c>
      <c r="U360" s="645">
        <v>1</v>
      </c>
      <c r="V360" s="593">
        <f t="shared" si="235"/>
        <v>400</v>
      </c>
      <c r="W360" s="604">
        <f t="shared" si="245"/>
        <v>0</v>
      </c>
      <c r="X360" s="604">
        <f t="shared" si="246"/>
        <v>0</v>
      </c>
      <c r="Y360" s="604">
        <f t="shared" si="247"/>
        <v>0</v>
      </c>
      <c r="Z360" s="605">
        <f t="shared" si="248"/>
        <v>0</v>
      </c>
      <c r="AA360" s="751">
        <f t="shared" si="249"/>
        <v>0</v>
      </c>
      <c r="AB360" s="605">
        <f t="shared" si="250"/>
        <v>0</v>
      </c>
      <c r="AC360" s="607"/>
      <c r="AD360" s="591" t="str">
        <f t="shared" si="251"/>
        <v>Friesland College</v>
      </c>
      <c r="AE360" s="608"/>
      <c r="AF360" s="639">
        <v>11.5</v>
      </c>
      <c r="AG360" s="639">
        <f t="shared" si="233"/>
        <v>11.5</v>
      </c>
      <c r="AH360" s="639">
        <v>0</v>
      </c>
      <c r="AI360" s="640"/>
      <c r="AJ360" s="641">
        <v>59.34</v>
      </c>
      <c r="AK360" s="642"/>
      <c r="AL360" s="642" t="s">
        <v>364</v>
      </c>
      <c r="AM360" s="643"/>
      <c r="AN360" s="642"/>
      <c r="AO360" s="644">
        <v>353</v>
      </c>
      <c r="AP360" s="565"/>
      <c r="AQ360" s="566"/>
      <c r="AR360" s="566"/>
      <c r="AS360" s="566"/>
      <c r="AT360" s="566"/>
      <c r="AU360" s="566"/>
      <c r="AV360" s="566"/>
      <c r="AW360" s="566"/>
      <c r="AX360" s="566"/>
      <c r="AY360" s="566"/>
      <c r="AZ360" s="566"/>
      <c r="BA360" s="566"/>
      <c r="BB360" s="566"/>
      <c r="BC360" s="566"/>
      <c r="BD360" s="566"/>
      <c r="BE360" s="566"/>
      <c r="BF360" s="566"/>
      <c r="BG360" s="566"/>
    </row>
    <row r="361" spans="1:59">
      <c r="A361" s="591"/>
      <c r="B361" s="592"/>
      <c r="C361" s="593"/>
      <c r="D361" s="594">
        <v>1</v>
      </c>
      <c r="E361" s="595" t="s">
        <v>366</v>
      </c>
      <c r="F361" s="593" t="s">
        <v>368</v>
      </c>
      <c r="G361" s="596">
        <v>204</v>
      </c>
      <c r="H361" s="596" t="s">
        <v>589</v>
      </c>
      <c r="I361" s="596"/>
      <c r="J361" s="596"/>
      <c r="K361" s="596"/>
      <c r="L361" s="591" t="s">
        <v>773</v>
      </c>
      <c r="M361" s="597" t="str">
        <f t="shared" si="252"/>
        <v>Sanitaire ruimte (toilet-/doucheruimte)</v>
      </c>
      <c r="N361" s="591" t="s">
        <v>323</v>
      </c>
      <c r="O361" s="598"/>
      <c r="P361" s="599"/>
      <c r="Q361" s="600">
        <f t="shared" si="207"/>
        <v>0</v>
      </c>
      <c r="R361" s="601">
        <f t="shared" si="244"/>
        <v>15.5</v>
      </c>
      <c r="S361" s="647">
        <v>103200</v>
      </c>
      <c r="T361" s="647">
        <v>103400</v>
      </c>
      <c r="U361" s="645">
        <v>1</v>
      </c>
      <c r="V361" s="593">
        <f t="shared" si="235"/>
        <v>400</v>
      </c>
      <c r="W361" s="604">
        <f t="shared" si="245"/>
        <v>0</v>
      </c>
      <c r="X361" s="604">
        <f t="shared" si="246"/>
        <v>0</v>
      </c>
      <c r="Y361" s="604">
        <f t="shared" si="247"/>
        <v>0</v>
      </c>
      <c r="Z361" s="605">
        <f t="shared" si="248"/>
        <v>0</v>
      </c>
      <c r="AA361" s="751">
        <f t="shared" si="249"/>
        <v>0</v>
      </c>
      <c r="AB361" s="605">
        <f t="shared" si="250"/>
        <v>0</v>
      </c>
      <c r="AC361" s="607"/>
      <c r="AD361" s="591" t="str">
        <f t="shared" si="251"/>
        <v>Friesland College</v>
      </c>
      <c r="AE361" s="608"/>
      <c r="AF361" s="639">
        <v>15.5</v>
      </c>
      <c r="AG361" s="639">
        <f t="shared" si="233"/>
        <v>15.5</v>
      </c>
      <c r="AH361" s="639">
        <v>0</v>
      </c>
      <c r="AI361" s="640"/>
      <c r="AJ361" s="641">
        <v>79.98</v>
      </c>
      <c r="AK361" s="642"/>
      <c r="AL361" s="642" t="s">
        <v>364</v>
      </c>
      <c r="AM361" s="643"/>
      <c r="AN361" s="642"/>
      <c r="AO361" s="644">
        <v>354</v>
      </c>
      <c r="AP361" s="565"/>
      <c r="AQ361" s="566"/>
      <c r="AR361" s="566"/>
      <c r="AS361" s="566"/>
      <c r="AT361" s="566"/>
      <c r="AU361" s="566"/>
      <c r="AV361" s="566"/>
      <c r="AW361" s="566"/>
      <c r="AX361" s="566"/>
      <c r="AY361" s="566"/>
      <c r="AZ361" s="566"/>
      <c r="BA361" s="566"/>
      <c r="BB361" s="566"/>
      <c r="BC361" s="566"/>
      <c r="BD361" s="566"/>
      <c r="BE361" s="566"/>
      <c r="BF361" s="566"/>
      <c r="BG361" s="566"/>
    </row>
    <row r="362" spans="1:59">
      <c r="A362" s="591"/>
      <c r="B362" s="592"/>
      <c r="C362" s="593"/>
      <c r="D362" s="594">
        <v>1</v>
      </c>
      <c r="E362" s="595" t="s">
        <v>366</v>
      </c>
      <c r="F362" s="593" t="s">
        <v>368</v>
      </c>
      <c r="G362" s="596">
        <v>205</v>
      </c>
      <c r="H362" s="596" t="s">
        <v>601</v>
      </c>
      <c r="I362" s="596"/>
      <c r="J362" s="596"/>
      <c r="K362" s="596"/>
      <c r="L362" s="591" t="s">
        <v>858</v>
      </c>
      <c r="M362" s="597" t="str">
        <f t="shared" si="252"/>
        <v>Administratieve -, personeels- en vergaderruimte</v>
      </c>
      <c r="N362" s="591" t="s">
        <v>323</v>
      </c>
      <c r="O362" s="598"/>
      <c r="P362" s="599"/>
      <c r="Q362" s="600">
        <f t="shared" si="207"/>
        <v>0</v>
      </c>
      <c r="R362" s="601">
        <f t="shared" si="244"/>
        <v>20.8</v>
      </c>
      <c r="S362" s="647">
        <v>101100</v>
      </c>
      <c r="T362" s="602"/>
      <c r="U362" s="645">
        <v>1</v>
      </c>
      <c r="V362" s="593">
        <f t="shared" si="235"/>
        <v>100</v>
      </c>
      <c r="W362" s="604">
        <f t="shared" si="245"/>
        <v>0</v>
      </c>
      <c r="X362" s="604">
        <f t="shared" si="246"/>
        <v>0</v>
      </c>
      <c r="Y362" s="604">
        <f t="shared" si="247"/>
        <v>0</v>
      </c>
      <c r="Z362" s="605">
        <f t="shared" si="248"/>
        <v>0</v>
      </c>
      <c r="AA362" s="751">
        <f t="shared" si="249"/>
        <v>0</v>
      </c>
      <c r="AB362" s="605">
        <f t="shared" si="250"/>
        <v>0</v>
      </c>
      <c r="AC362" s="607"/>
      <c r="AD362" s="591" t="str">
        <f t="shared" si="251"/>
        <v>Friesland College</v>
      </c>
      <c r="AE362" s="608"/>
      <c r="AF362" s="639">
        <v>20.8</v>
      </c>
      <c r="AG362" s="639">
        <f t="shared" si="233"/>
        <v>20.8</v>
      </c>
      <c r="AH362" s="639">
        <v>0</v>
      </c>
      <c r="AI362" s="640"/>
      <c r="AJ362" s="641">
        <v>7.37568</v>
      </c>
      <c r="AK362" s="642"/>
      <c r="AL362" s="642" t="s">
        <v>364</v>
      </c>
      <c r="AM362" s="643"/>
      <c r="AN362" s="642"/>
      <c r="AO362" s="644">
        <v>355</v>
      </c>
      <c r="AP362" s="565"/>
      <c r="AQ362" s="566"/>
      <c r="AR362" s="566"/>
      <c r="AS362" s="566"/>
      <c r="AT362" s="566"/>
      <c r="AU362" s="566"/>
      <c r="AV362" s="566"/>
      <c r="AW362" s="566"/>
      <c r="AX362" s="566"/>
      <c r="AY362" s="566"/>
      <c r="AZ362" s="566"/>
      <c r="BA362" s="566"/>
      <c r="BB362" s="566"/>
      <c r="BC362" s="566"/>
      <c r="BD362" s="566"/>
      <c r="BE362" s="566"/>
      <c r="BF362" s="566"/>
      <c r="BG362" s="566"/>
    </row>
    <row r="363" spans="1:59">
      <c r="A363" s="591"/>
      <c r="B363" s="609"/>
      <c r="C363" s="609"/>
      <c r="D363" s="594">
        <v>1</v>
      </c>
      <c r="E363" s="595" t="s">
        <v>366</v>
      </c>
      <c r="F363" s="593" t="s">
        <v>368</v>
      </c>
      <c r="G363" s="610">
        <v>205</v>
      </c>
      <c r="H363" s="610" t="s">
        <v>601</v>
      </c>
      <c r="I363" s="610"/>
      <c r="J363" s="610"/>
      <c r="K363" s="610"/>
      <c r="L363" s="611" t="s">
        <v>858</v>
      </c>
      <c r="M363" s="612">
        <f>VLOOKUP(S363,Kengetal,4,FALSE)</f>
        <v>0</v>
      </c>
      <c r="N363" s="613"/>
      <c r="O363" s="614" t="s">
        <v>1009</v>
      </c>
      <c r="P363" s="615">
        <v>100</v>
      </c>
      <c r="Q363" s="616">
        <f t="shared" si="207"/>
        <v>20.8</v>
      </c>
      <c r="R363" s="613"/>
      <c r="S363" s="603"/>
      <c r="T363" s="606"/>
      <c r="U363" s="606"/>
      <c r="V363" s="593">
        <f t="shared" si="235"/>
        <v>0</v>
      </c>
      <c r="W363" s="606"/>
      <c r="X363" s="606"/>
      <c r="Y363" s="606"/>
      <c r="Z363" s="606"/>
      <c r="AA363" s="606"/>
      <c r="AB363" s="606"/>
      <c r="AC363" s="607"/>
      <c r="AD363" s="606"/>
      <c r="AE363" s="608"/>
      <c r="AF363" s="639">
        <v>20.8</v>
      </c>
      <c r="AG363" s="639">
        <f t="shared" si="233"/>
        <v>20.8</v>
      </c>
      <c r="AH363" s="639">
        <v>0</v>
      </c>
      <c r="AI363" s="640"/>
      <c r="AJ363" s="641">
        <v>7.37568</v>
      </c>
      <c r="AK363" s="642"/>
      <c r="AL363" s="642" t="s">
        <v>364</v>
      </c>
      <c r="AM363" s="643"/>
      <c r="AN363" s="642"/>
      <c r="AO363" s="644">
        <v>356</v>
      </c>
      <c r="AP363" s="565"/>
      <c r="AQ363" s="566"/>
      <c r="AR363" s="566"/>
      <c r="AS363" s="566"/>
      <c r="AT363" s="566"/>
      <c r="AU363" s="566"/>
      <c r="AV363" s="566"/>
      <c r="AW363" s="566"/>
      <c r="AX363" s="566"/>
      <c r="AY363" s="566"/>
      <c r="AZ363" s="566"/>
      <c r="BA363" s="566"/>
      <c r="BB363" s="566"/>
      <c r="BC363" s="566"/>
      <c r="BD363" s="566"/>
      <c r="BE363" s="566"/>
      <c r="BF363" s="566"/>
      <c r="BG363" s="566"/>
    </row>
    <row r="364" spans="1:59">
      <c r="A364" s="591"/>
      <c r="B364" s="592"/>
      <c r="C364" s="593"/>
      <c r="D364" s="594">
        <v>1</v>
      </c>
      <c r="E364" s="595" t="s">
        <v>366</v>
      </c>
      <c r="F364" s="593" t="s">
        <v>368</v>
      </c>
      <c r="G364" s="596">
        <v>206</v>
      </c>
      <c r="H364" s="596" t="s">
        <v>602</v>
      </c>
      <c r="I364" s="596"/>
      <c r="J364" s="596"/>
      <c r="K364" s="596"/>
      <c r="L364" s="591" t="s">
        <v>859</v>
      </c>
      <c r="M364" s="629" t="s">
        <v>860</v>
      </c>
      <c r="N364" s="591" t="s">
        <v>78</v>
      </c>
      <c r="O364" s="598"/>
      <c r="P364" s="599"/>
      <c r="Q364" s="600">
        <f t="shared" si="207"/>
        <v>0</v>
      </c>
      <c r="R364" s="601" t="str">
        <f>AF364</f>
        <v>14,2</v>
      </c>
      <c r="S364" s="603" t="s">
        <v>959</v>
      </c>
      <c r="T364" s="602"/>
      <c r="U364" s="603"/>
      <c r="V364" s="593">
        <f t="shared" si="235"/>
        <v>0</v>
      </c>
      <c r="W364" s="604">
        <f>Z364*R364*U364</f>
        <v>0</v>
      </c>
      <c r="X364" s="604">
        <f>AA364*R364</f>
        <v>0</v>
      </c>
      <c r="Y364" s="604">
        <f>AB364*R364</f>
        <v>0</v>
      </c>
      <c r="Z364" s="605">
        <f>VLOOKUP(S364,Kengetal,6,FALSE)</f>
        <v>0</v>
      </c>
      <c r="AA364" s="751">
        <f>VLOOKUP(S364,Kengetal,7,FALSE)</f>
        <v>0</v>
      </c>
      <c r="AB364" s="605">
        <f>VLOOKUP(T364,Kengetal,6,FALSE)</f>
        <v>0</v>
      </c>
      <c r="AC364" s="607"/>
      <c r="AD364" s="591" t="str">
        <f>AL364</f>
        <v>Friesland College</v>
      </c>
      <c r="AE364" s="608"/>
      <c r="AF364" s="639" t="s">
        <v>951</v>
      </c>
      <c r="AG364" s="639" t="str">
        <f t="shared" si="233"/>
        <v>14,2</v>
      </c>
      <c r="AH364" s="639">
        <v>0</v>
      </c>
      <c r="AI364" s="640"/>
      <c r="AJ364" s="641">
        <v>15.074719999999999</v>
      </c>
      <c r="AK364" s="642"/>
      <c r="AL364" s="642" t="s">
        <v>364</v>
      </c>
      <c r="AM364" s="643"/>
      <c r="AN364" s="642"/>
      <c r="AO364" s="644">
        <v>357</v>
      </c>
      <c r="AP364" s="565"/>
      <c r="AQ364" s="566"/>
      <c r="AR364" s="566"/>
      <c r="AS364" s="566"/>
      <c r="AT364" s="566"/>
      <c r="AU364" s="566"/>
      <c r="AV364" s="566"/>
      <c r="AW364" s="566"/>
      <c r="AX364" s="566"/>
      <c r="AY364" s="566"/>
      <c r="AZ364" s="566"/>
      <c r="BA364" s="566"/>
      <c r="BB364" s="566"/>
      <c r="BC364" s="566"/>
      <c r="BD364" s="566"/>
      <c r="BE364" s="566"/>
      <c r="BF364" s="566"/>
      <c r="BG364" s="566"/>
    </row>
    <row r="365" spans="1:59">
      <c r="A365" s="591"/>
      <c r="B365" s="618"/>
      <c r="C365" s="609"/>
      <c r="D365" s="594">
        <v>1</v>
      </c>
      <c r="E365" s="595" t="s">
        <v>366</v>
      </c>
      <c r="F365" s="593" t="s">
        <v>368</v>
      </c>
      <c r="G365" s="610">
        <v>206</v>
      </c>
      <c r="H365" s="610" t="s">
        <v>602</v>
      </c>
      <c r="I365" s="610"/>
      <c r="J365" s="610"/>
      <c r="K365" s="610"/>
      <c r="L365" s="611" t="s">
        <v>859</v>
      </c>
      <c r="M365" s="612">
        <f>VLOOKUP(S365,Kengetal,4,FALSE)</f>
        <v>0</v>
      </c>
      <c r="N365" s="613"/>
      <c r="O365" s="614" t="s">
        <v>1023</v>
      </c>
      <c r="P365" s="615">
        <v>100</v>
      </c>
      <c r="Q365" s="616">
        <f t="shared" si="207"/>
        <v>14.2</v>
      </c>
      <c r="R365" s="613"/>
      <c r="S365" s="603"/>
      <c r="T365" s="606"/>
      <c r="U365" s="606"/>
      <c r="V365" s="593">
        <f t="shared" si="235"/>
        <v>0</v>
      </c>
      <c r="W365" s="606"/>
      <c r="X365" s="606"/>
      <c r="Y365" s="606"/>
      <c r="Z365" s="606"/>
      <c r="AA365" s="606"/>
      <c r="AB365" s="606"/>
      <c r="AC365" s="607"/>
      <c r="AD365" s="606"/>
      <c r="AE365" s="608"/>
      <c r="AF365" s="639" t="s">
        <v>951</v>
      </c>
      <c r="AG365" s="639" t="str">
        <f t="shared" si="233"/>
        <v>14,2</v>
      </c>
      <c r="AH365" s="639">
        <v>0</v>
      </c>
      <c r="AI365" s="640"/>
      <c r="AJ365" s="641">
        <v>15.074719999999999</v>
      </c>
      <c r="AK365" s="642"/>
      <c r="AL365" s="642" t="s">
        <v>364</v>
      </c>
      <c r="AM365" s="643"/>
      <c r="AN365" s="642"/>
      <c r="AO365" s="644">
        <v>358</v>
      </c>
      <c r="AP365" s="565"/>
      <c r="AQ365" s="566"/>
      <c r="AR365" s="566"/>
      <c r="AS365" s="566"/>
      <c r="AT365" s="566"/>
      <c r="AU365" s="566"/>
      <c r="AV365" s="566"/>
      <c r="AW365" s="566"/>
      <c r="AX365" s="566"/>
      <c r="AY365" s="566"/>
      <c r="AZ365" s="566"/>
      <c r="BA365" s="566"/>
      <c r="BB365" s="566"/>
      <c r="BC365" s="566"/>
      <c r="BD365" s="566"/>
      <c r="BE365" s="566"/>
      <c r="BF365" s="566"/>
      <c r="BG365" s="566"/>
    </row>
    <row r="366" spans="1:59">
      <c r="A366" s="591"/>
      <c r="B366" s="592"/>
      <c r="C366" s="593"/>
      <c r="D366" s="594">
        <v>1</v>
      </c>
      <c r="E366" s="595" t="s">
        <v>366</v>
      </c>
      <c r="F366" s="593" t="s">
        <v>368</v>
      </c>
      <c r="G366" s="596">
        <v>207</v>
      </c>
      <c r="H366" s="596" t="s">
        <v>490</v>
      </c>
      <c r="I366" s="596"/>
      <c r="J366" s="596"/>
      <c r="K366" s="596"/>
      <c r="L366" s="591" t="s">
        <v>812</v>
      </c>
      <c r="M366" s="597" t="str">
        <f t="shared" ref="M366" si="253">VLOOKUP(S366,Kengetal,4,FALSE)</f>
        <v>Administratieve -, personeels- en vergaderruimte</v>
      </c>
      <c r="N366" s="591" t="s">
        <v>78</v>
      </c>
      <c r="O366" s="598"/>
      <c r="P366" s="599"/>
      <c r="Q366" s="600">
        <f t="shared" si="207"/>
        <v>0</v>
      </c>
      <c r="R366" s="601">
        <f>AF366</f>
        <v>21</v>
      </c>
      <c r="S366" s="647">
        <v>101100</v>
      </c>
      <c r="T366" s="602"/>
      <c r="U366" s="645">
        <v>1</v>
      </c>
      <c r="V366" s="593">
        <f t="shared" si="235"/>
        <v>100</v>
      </c>
      <c r="W366" s="604">
        <f>Z366*R366*U366</f>
        <v>0</v>
      </c>
      <c r="X366" s="604">
        <f>AA366*R366</f>
        <v>0</v>
      </c>
      <c r="Y366" s="604">
        <f>AB366*R366</f>
        <v>0</v>
      </c>
      <c r="Z366" s="605">
        <f>VLOOKUP(S366,Kengetal,6,FALSE)</f>
        <v>0</v>
      </c>
      <c r="AA366" s="751">
        <f>VLOOKUP(S366,Kengetal,7,FALSE)</f>
        <v>0</v>
      </c>
      <c r="AB366" s="605">
        <f>VLOOKUP(T366,Kengetal,6,FALSE)</f>
        <v>0</v>
      </c>
      <c r="AC366" s="607"/>
      <c r="AD366" s="591" t="str">
        <f>AL366</f>
        <v>Friesland College</v>
      </c>
      <c r="AE366" s="608"/>
      <c r="AF366" s="639">
        <v>21</v>
      </c>
      <c r="AG366" s="639">
        <f t="shared" si="233"/>
        <v>21</v>
      </c>
      <c r="AH366" s="639">
        <v>0</v>
      </c>
      <c r="AI366" s="640"/>
      <c r="AJ366" s="641">
        <v>104.24039999999999</v>
      </c>
      <c r="AK366" s="642"/>
      <c r="AL366" s="642" t="s">
        <v>364</v>
      </c>
      <c r="AM366" s="643"/>
      <c r="AN366" s="642"/>
      <c r="AO366" s="644">
        <v>359</v>
      </c>
      <c r="AP366" s="565"/>
      <c r="AQ366" s="566"/>
      <c r="AR366" s="566"/>
      <c r="AS366" s="566"/>
      <c r="AT366" s="566"/>
      <c r="AU366" s="566"/>
      <c r="AV366" s="566"/>
      <c r="AW366" s="566"/>
      <c r="AX366" s="566"/>
      <c r="AY366" s="566"/>
      <c r="AZ366" s="566"/>
      <c r="BA366" s="566"/>
      <c r="BB366" s="566"/>
      <c r="BC366" s="566"/>
      <c r="BD366" s="566"/>
      <c r="BE366" s="566"/>
      <c r="BF366" s="566"/>
      <c r="BG366" s="566"/>
    </row>
    <row r="367" spans="1:59">
      <c r="A367" s="591"/>
      <c r="B367" s="618"/>
      <c r="C367" s="609"/>
      <c r="D367" s="594">
        <v>1</v>
      </c>
      <c r="E367" s="595" t="s">
        <v>366</v>
      </c>
      <c r="F367" s="593" t="s">
        <v>368</v>
      </c>
      <c r="G367" s="610">
        <v>207</v>
      </c>
      <c r="H367" s="610" t="s">
        <v>490</v>
      </c>
      <c r="I367" s="610"/>
      <c r="J367" s="610"/>
      <c r="K367" s="610"/>
      <c r="L367" s="611" t="s">
        <v>758</v>
      </c>
      <c r="M367" s="612">
        <f>VLOOKUP(S367,Kengetal,4,FALSE)</f>
        <v>0</v>
      </c>
      <c r="N367" s="613"/>
      <c r="O367" s="614" t="s">
        <v>987</v>
      </c>
      <c r="P367" s="615">
        <v>100</v>
      </c>
      <c r="Q367" s="616">
        <f t="shared" si="207"/>
        <v>21</v>
      </c>
      <c r="R367" s="613"/>
      <c r="S367" s="603"/>
      <c r="T367" s="606"/>
      <c r="U367" s="606"/>
      <c r="V367" s="593">
        <f t="shared" si="235"/>
        <v>0</v>
      </c>
      <c r="W367" s="606"/>
      <c r="X367" s="606"/>
      <c r="Y367" s="606"/>
      <c r="Z367" s="606"/>
      <c r="AA367" s="606"/>
      <c r="AB367" s="606"/>
      <c r="AC367" s="607"/>
      <c r="AD367" s="606"/>
      <c r="AE367" s="608"/>
      <c r="AF367" s="639">
        <v>21</v>
      </c>
      <c r="AG367" s="639">
        <f t="shared" si="233"/>
        <v>21</v>
      </c>
      <c r="AH367" s="639">
        <v>0</v>
      </c>
      <c r="AI367" s="640"/>
      <c r="AJ367" s="641">
        <v>104.24039999999999</v>
      </c>
      <c r="AK367" s="642"/>
      <c r="AL367" s="642" t="s">
        <v>364</v>
      </c>
      <c r="AM367" s="643"/>
      <c r="AN367" s="642"/>
      <c r="AO367" s="644">
        <v>360</v>
      </c>
      <c r="AP367" s="565"/>
      <c r="AQ367" s="566"/>
      <c r="AR367" s="566"/>
      <c r="AS367" s="566"/>
      <c r="AT367" s="566"/>
      <c r="AU367" s="566"/>
      <c r="AV367" s="566"/>
      <c r="AW367" s="566"/>
      <c r="AX367" s="566"/>
      <c r="AY367" s="566"/>
      <c r="AZ367" s="566"/>
      <c r="BA367" s="566"/>
      <c r="BB367" s="566"/>
      <c r="BC367" s="566"/>
      <c r="BD367" s="566"/>
      <c r="BE367" s="566"/>
      <c r="BF367" s="566"/>
      <c r="BG367" s="566"/>
    </row>
    <row r="368" spans="1:59">
      <c r="A368" s="591"/>
      <c r="B368" s="592"/>
      <c r="C368" s="593"/>
      <c r="D368" s="594">
        <v>1</v>
      </c>
      <c r="E368" s="595" t="s">
        <v>366</v>
      </c>
      <c r="F368" s="593" t="s">
        <v>368</v>
      </c>
      <c r="G368" s="596">
        <v>207</v>
      </c>
      <c r="H368" s="596" t="s">
        <v>606</v>
      </c>
      <c r="I368" s="596"/>
      <c r="J368" s="596"/>
      <c r="K368" s="596"/>
      <c r="L368" s="591" t="s">
        <v>808</v>
      </c>
      <c r="M368" s="597" t="str">
        <f t="shared" ref="M368" si="254">VLOOKUP(S368,Kengetal,4,FALSE)</f>
        <v>Onderwijsruimte (theorie)</v>
      </c>
      <c r="N368" s="591" t="s">
        <v>78</v>
      </c>
      <c r="O368" s="598"/>
      <c r="P368" s="599"/>
      <c r="Q368" s="600">
        <f t="shared" si="207"/>
        <v>0</v>
      </c>
      <c r="R368" s="601">
        <f>AF368</f>
        <v>42</v>
      </c>
      <c r="S368" s="647">
        <v>102200</v>
      </c>
      <c r="T368" s="602"/>
      <c r="U368" s="645">
        <v>1</v>
      </c>
      <c r="V368" s="593">
        <f t="shared" si="235"/>
        <v>200</v>
      </c>
      <c r="W368" s="604">
        <f>Z368*R368*U368</f>
        <v>0</v>
      </c>
      <c r="X368" s="604">
        <f>AA368*R368</f>
        <v>0</v>
      </c>
      <c r="Y368" s="604">
        <f>AB368*R368</f>
        <v>0</v>
      </c>
      <c r="Z368" s="605">
        <f>VLOOKUP(S368,Kengetal,6,FALSE)</f>
        <v>0</v>
      </c>
      <c r="AA368" s="751">
        <f>VLOOKUP(S368,Kengetal,7,FALSE)</f>
        <v>0</v>
      </c>
      <c r="AB368" s="605">
        <f>VLOOKUP(T368,Kengetal,6,FALSE)</f>
        <v>0</v>
      </c>
      <c r="AC368" s="607"/>
      <c r="AD368" s="591" t="str">
        <f>AL368</f>
        <v>Friesland College</v>
      </c>
      <c r="AE368" s="608" t="s">
        <v>227</v>
      </c>
      <c r="AF368" s="639">
        <v>42</v>
      </c>
      <c r="AG368" s="639">
        <f t="shared" si="233"/>
        <v>42</v>
      </c>
      <c r="AH368" s="639">
        <v>0</v>
      </c>
      <c r="AI368" s="640"/>
      <c r="AJ368" s="641">
        <v>23.20824</v>
      </c>
      <c r="AK368" s="642"/>
      <c r="AL368" s="642" t="s">
        <v>364</v>
      </c>
      <c r="AM368" s="643"/>
      <c r="AN368" s="642"/>
      <c r="AO368" s="644">
        <v>361</v>
      </c>
      <c r="AP368" s="565"/>
      <c r="AQ368" s="566"/>
      <c r="AR368" s="566"/>
      <c r="AS368" s="566"/>
      <c r="AT368" s="566"/>
      <c r="AU368" s="566"/>
      <c r="AV368" s="566"/>
      <c r="AW368" s="566"/>
      <c r="AX368" s="566"/>
      <c r="AY368" s="566"/>
      <c r="AZ368" s="566"/>
      <c r="BA368" s="566"/>
      <c r="BB368" s="566"/>
      <c r="BC368" s="566"/>
      <c r="BD368" s="566"/>
      <c r="BE368" s="566"/>
      <c r="BF368" s="566"/>
      <c r="BG368" s="566"/>
    </row>
    <row r="369" spans="1:59">
      <c r="A369" s="591"/>
      <c r="B369" s="618"/>
      <c r="C369" s="609"/>
      <c r="D369" s="594">
        <v>1</v>
      </c>
      <c r="E369" s="595" t="s">
        <v>366</v>
      </c>
      <c r="F369" s="593" t="s">
        <v>368</v>
      </c>
      <c r="G369" s="610">
        <v>207</v>
      </c>
      <c r="H369" s="610" t="s">
        <v>606</v>
      </c>
      <c r="I369" s="610"/>
      <c r="J369" s="610"/>
      <c r="K369" s="610"/>
      <c r="L369" s="611" t="s">
        <v>808</v>
      </c>
      <c r="M369" s="612">
        <f>VLOOKUP(S369,Kengetal,4,FALSE)</f>
        <v>0</v>
      </c>
      <c r="N369" s="613"/>
      <c r="O369" s="614" t="s">
        <v>987</v>
      </c>
      <c r="P369" s="615">
        <v>100</v>
      </c>
      <c r="Q369" s="616">
        <f t="shared" si="207"/>
        <v>42</v>
      </c>
      <c r="R369" s="613"/>
      <c r="S369" s="603"/>
      <c r="T369" s="606"/>
      <c r="U369" s="606"/>
      <c r="V369" s="593">
        <f t="shared" si="235"/>
        <v>0</v>
      </c>
      <c r="W369" s="606"/>
      <c r="X369" s="606"/>
      <c r="Y369" s="606"/>
      <c r="Z369" s="606"/>
      <c r="AA369" s="606"/>
      <c r="AB369" s="606"/>
      <c r="AC369" s="607"/>
      <c r="AD369" s="606"/>
      <c r="AE369" s="608"/>
      <c r="AF369" s="639">
        <v>42</v>
      </c>
      <c r="AG369" s="639">
        <f t="shared" si="233"/>
        <v>42</v>
      </c>
      <c r="AH369" s="639">
        <v>0</v>
      </c>
      <c r="AI369" s="640"/>
      <c r="AJ369" s="641">
        <v>104.24039999999999</v>
      </c>
      <c r="AK369" s="642"/>
      <c r="AL369" s="642" t="s">
        <v>364</v>
      </c>
      <c r="AM369" s="643"/>
      <c r="AN369" s="642"/>
      <c r="AO369" s="644">
        <v>362</v>
      </c>
      <c r="AP369" s="565"/>
      <c r="AQ369" s="566"/>
      <c r="AR369" s="566"/>
      <c r="AS369" s="566"/>
      <c r="AT369" s="566"/>
      <c r="AU369" s="566"/>
      <c r="AV369" s="566"/>
      <c r="AW369" s="566"/>
      <c r="AX369" s="566"/>
      <c r="AY369" s="566"/>
      <c r="AZ369" s="566"/>
      <c r="BA369" s="566"/>
      <c r="BB369" s="566"/>
      <c r="BC369" s="566"/>
      <c r="BD369" s="566"/>
      <c r="BE369" s="566"/>
      <c r="BF369" s="566"/>
      <c r="BG369" s="566"/>
    </row>
    <row r="370" spans="1:59">
      <c r="A370" s="591"/>
      <c r="B370" s="592"/>
      <c r="C370" s="593"/>
      <c r="D370" s="594">
        <v>1</v>
      </c>
      <c r="E370" s="595" t="s">
        <v>366</v>
      </c>
      <c r="F370" s="593" t="s">
        <v>368</v>
      </c>
      <c r="G370" s="596">
        <v>208</v>
      </c>
      <c r="H370" s="596" t="s">
        <v>603</v>
      </c>
      <c r="I370" s="596"/>
      <c r="J370" s="596"/>
      <c r="K370" s="596"/>
      <c r="L370" s="591" t="s">
        <v>808</v>
      </c>
      <c r="M370" s="597" t="str">
        <f t="shared" ref="M370" si="255">VLOOKUP(S370,Kengetal,4,FALSE)</f>
        <v>Onderwijsruimte (theorie)</v>
      </c>
      <c r="N370" s="591" t="s">
        <v>78</v>
      </c>
      <c r="O370" s="598"/>
      <c r="P370" s="599"/>
      <c r="Q370" s="600">
        <f t="shared" si="207"/>
        <v>0</v>
      </c>
      <c r="R370" s="601">
        <f>AF370</f>
        <v>54</v>
      </c>
      <c r="S370" s="647">
        <v>102200</v>
      </c>
      <c r="T370" s="602"/>
      <c r="U370" s="645">
        <v>1</v>
      </c>
      <c r="V370" s="593">
        <f t="shared" si="235"/>
        <v>200</v>
      </c>
      <c r="W370" s="604">
        <f>Z370*R370*U370</f>
        <v>0</v>
      </c>
      <c r="X370" s="604">
        <f>AA370*R370</f>
        <v>0</v>
      </c>
      <c r="Y370" s="604">
        <f>AB370*R370</f>
        <v>0</v>
      </c>
      <c r="Z370" s="605">
        <f>VLOOKUP(S370,Kengetal,6,FALSE)</f>
        <v>0</v>
      </c>
      <c r="AA370" s="751">
        <f>VLOOKUP(S370,Kengetal,7,FALSE)</f>
        <v>0</v>
      </c>
      <c r="AB370" s="605">
        <f>VLOOKUP(T370,Kengetal,6,FALSE)</f>
        <v>0</v>
      </c>
      <c r="AC370" s="607"/>
      <c r="AD370" s="591" t="str">
        <f>AL370</f>
        <v>Friesland College</v>
      </c>
      <c r="AE370" s="608"/>
      <c r="AF370" s="639">
        <v>54</v>
      </c>
      <c r="AG370" s="639">
        <f t="shared" si="233"/>
        <v>54</v>
      </c>
      <c r="AH370" s="639">
        <v>0</v>
      </c>
      <c r="AI370" s="640"/>
      <c r="AJ370" s="641">
        <v>23.20824</v>
      </c>
      <c r="AK370" s="642"/>
      <c r="AL370" s="642" t="s">
        <v>364</v>
      </c>
      <c r="AM370" s="643"/>
      <c r="AN370" s="642"/>
      <c r="AO370" s="644">
        <v>363</v>
      </c>
      <c r="AP370" s="565"/>
      <c r="AQ370" s="566"/>
      <c r="AR370" s="566"/>
      <c r="AS370" s="566"/>
      <c r="AT370" s="566"/>
      <c r="AU370" s="566"/>
      <c r="AV370" s="566"/>
      <c r="AW370" s="566"/>
      <c r="AX370" s="566"/>
      <c r="AY370" s="566"/>
      <c r="AZ370" s="566"/>
      <c r="BA370" s="566"/>
      <c r="BB370" s="566"/>
      <c r="BC370" s="566"/>
      <c r="BD370" s="566"/>
      <c r="BE370" s="566"/>
      <c r="BF370" s="566"/>
      <c r="BG370" s="566"/>
    </row>
    <row r="371" spans="1:59">
      <c r="A371" s="591"/>
      <c r="B371" s="618"/>
      <c r="C371" s="609"/>
      <c r="D371" s="594">
        <v>1</v>
      </c>
      <c r="E371" s="595" t="s">
        <v>366</v>
      </c>
      <c r="F371" s="593" t="s">
        <v>368</v>
      </c>
      <c r="G371" s="610">
        <v>208</v>
      </c>
      <c r="H371" s="610" t="s">
        <v>603</v>
      </c>
      <c r="I371" s="610"/>
      <c r="J371" s="610"/>
      <c r="K371" s="610"/>
      <c r="L371" s="611" t="s">
        <v>808</v>
      </c>
      <c r="M371" s="612">
        <f>VLOOKUP(S371,Kengetal,4,FALSE)</f>
        <v>0</v>
      </c>
      <c r="N371" s="613"/>
      <c r="O371" s="614" t="s">
        <v>987</v>
      </c>
      <c r="P371" s="615">
        <v>100</v>
      </c>
      <c r="Q371" s="616">
        <f t="shared" si="207"/>
        <v>54</v>
      </c>
      <c r="R371" s="613"/>
      <c r="S371" s="603"/>
      <c r="T371" s="606"/>
      <c r="U371" s="606"/>
      <c r="V371" s="593">
        <f t="shared" si="235"/>
        <v>0</v>
      </c>
      <c r="W371" s="606"/>
      <c r="X371" s="606"/>
      <c r="Y371" s="606"/>
      <c r="Z371" s="606"/>
      <c r="AA371" s="606"/>
      <c r="AB371" s="606"/>
      <c r="AC371" s="607"/>
      <c r="AD371" s="606"/>
      <c r="AE371" s="608"/>
      <c r="AF371" s="639">
        <v>54</v>
      </c>
      <c r="AG371" s="639">
        <f t="shared" si="233"/>
        <v>54</v>
      </c>
      <c r="AH371" s="639">
        <v>0</v>
      </c>
      <c r="AI371" s="640"/>
      <c r="AJ371" s="641">
        <v>23.20824</v>
      </c>
      <c r="AK371" s="642"/>
      <c r="AL371" s="642" t="s">
        <v>364</v>
      </c>
      <c r="AM371" s="643"/>
      <c r="AN371" s="642"/>
      <c r="AO371" s="644">
        <v>364</v>
      </c>
      <c r="AP371" s="565"/>
      <c r="AQ371" s="566"/>
      <c r="AR371" s="566"/>
      <c r="AS371" s="566"/>
      <c r="AT371" s="566"/>
      <c r="AU371" s="566"/>
      <c r="AV371" s="566"/>
      <c r="AW371" s="566"/>
      <c r="AX371" s="566"/>
      <c r="AY371" s="566"/>
      <c r="AZ371" s="566"/>
      <c r="BA371" s="566"/>
      <c r="BB371" s="566"/>
      <c r="BC371" s="566"/>
      <c r="BD371" s="566"/>
      <c r="BE371" s="566"/>
      <c r="BF371" s="566"/>
      <c r="BG371" s="566"/>
    </row>
    <row r="372" spans="1:59">
      <c r="A372" s="591"/>
      <c r="B372" s="592"/>
      <c r="C372" s="593"/>
      <c r="D372" s="594">
        <v>1</v>
      </c>
      <c r="E372" s="595" t="s">
        <v>366</v>
      </c>
      <c r="F372" s="593" t="s">
        <v>368</v>
      </c>
      <c r="G372" s="596">
        <v>208</v>
      </c>
      <c r="H372" s="596" t="s">
        <v>604</v>
      </c>
      <c r="I372" s="596"/>
      <c r="J372" s="596"/>
      <c r="K372" s="596"/>
      <c r="L372" s="591" t="s">
        <v>808</v>
      </c>
      <c r="M372" s="597" t="str">
        <f t="shared" ref="M372" si="256">VLOOKUP(S372,Kengetal,4,FALSE)</f>
        <v>Onderwijsruimte (theorie)</v>
      </c>
      <c r="N372" s="591" t="s">
        <v>78</v>
      </c>
      <c r="O372" s="598"/>
      <c r="P372" s="599"/>
      <c r="Q372" s="600">
        <f t="shared" si="207"/>
        <v>0</v>
      </c>
      <c r="R372" s="601" t="str">
        <f>AF372</f>
        <v>35,4</v>
      </c>
      <c r="S372" s="647">
        <v>102200</v>
      </c>
      <c r="T372" s="602"/>
      <c r="U372" s="645">
        <v>1</v>
      </c>
      <c r="V372" s="593">
        <f t="shared" si="235"/>
        <v>200</v>
      </c>
      <c r="W372" s="604">
        <f>Z372*R372*U372</f>
        <v>0</v>
      </c>
      <c r="X372" s="604">
        <f>AA372*R372</f>
        <v>0</v>
      </c>
      <c r="Y372" s="604">
        <f>AB372*R372</f>
        <v>0</v>
      </c>
      <c r="Z372" s="605">
        <f>VLOOKUP(S372,Kengetal,6,FALSE)</f>
        <v>0</v>
      </c>
      <c r="AA372" s="751">
        <f>VLOOKUP(S372,Kengetal,7,FALSE)</f>
        <v>0</v>
      </c>
      <c r="AB372" s="605">
        <f>VLOOKUP(T372,Kengetal,6,FALSE)</f>
        <v>0</v>
      </c>
      <c r="AC372" s="607"/>
      <c r="AD372" s="591" t="str">
        <f>AL372</f>
        <v>Friesland College</v>
      </c>
      <c r="AE372" s="608"/>
      <c r="AF372" s="639" t="s">
        <v>952</v>
      </c>
      <c r="AG372" s="639" t="str">
        <f t="shared" si="233"/>
        <v>35,4</v>
      </c>
      <c r="AH372" s="639">
        <v>0</v>
      </c>
      <c r="AI372" s="640"/>
      <c r="AJ372" s="641">
        <v>23.20824</v>
      </c>
      <c r="AK372" s="642"/>
      <c r="AL372" s="642" t="s">
        <v>364</v>
      </c>
      <c r="AM372" s="643"/>
      <c r="AN372" s="642"/>
      <c r="AO372" s="644">
        <v>365</v>
      </c>
      <c r="AP372" s="565"/>
      <c r="AQ372" s="566"/>
      <c r="AR372" s="566"/>
      <c r="AS372" s="566"/>
      <c r="AT372" s="566"/>
      <c r="AU372" s="566"/>
      <c r="AV372" s="566"/>
      <c r="AW372" s="566"/>
      <c r="AX372" s="566"/>
      <c r="AY372" s="566"/>
      <c r="AZ372" s="566"/>
      <c r="BA372" s="566"/>
      <c r="BB372" s="566"/>
      <c r="BC372" s="566"/>
      <c r="BD372" s="566"/>
      <c r="BE372" s="566"/>
      <c r="BF372" s="566"/>
      <c r="BG372" s="566"/>
    </row>
    <row r="373" spans="1:59">
      <c r="A373" s="591"/>
      <c r="B373" s="618"/>
      <c r="C373" s="609"/>
      <c r="D373" s="594">
        <v>1</v>
      </c>
      <c r="E373" s="595" t="s">
        <v>366</v>
      </c>
      <c r="F373" s="593" t="s">
        <v>368</v>
      </c>
      <c r="G373" s="610">
        <v>208</v>
      </c>
      <c r="H373" s="610" t="s">
        <v>604</v>
      </c>
      <c r="I373" s="610"/>
      <c r="J373" s="610"/>
      <c r="K373" s="610"/>
      <c r="L373" s="611" t="s">
        <v>808</v>
      </c>
      <c r="M373" s="612">
        <f>VLOOKUP(S373,Kengetal,4,FALSE)</f>
        <v>0</v>
      </c>
      <c r="N373" s="613"/>
      <c r="O373" s="614" t="s">
        <v>1023</v>
      </c>
      <c r="P373" s="615">
        <v>100</v>
      </c>
      <c r="Q373" s="616">
        <f t="shared" si="207"/>
        <v>35.4</v>
      </c>
      <c r="R373" s="613"/>
      <c r="S373" s="603"/>
      <c r="T373" s="606"/>
      <c r="U373" s="606"/>
      <c r="V373" s="593">
        <f t="shared" si="235"/>
        <v>0</v>
      </c>
      <c r="W373" s="606"/>
      <c r="X373" s="606"/>
      <c r="Y373" s="606"/>
      <c r="Z373" s="606"/>
      <c r="AA373" s="606"/>
      <c r="AB373" s="606"/>
      <c r="AC373" s="607"/>
      <c r="AD373" s="606"/>
      <c r="AE373" s="608"/>
      <c r="AF373" s="639" t="s">
        <v>952</v>
      </c>
      <c r="AG373" s="639" t="str">
        <f t="shared" si="233"/>
        <v>35,4</v>
      </c>
      <c r="AH373" s="639">
        <v>0</v>
      </c>
      <c r="AI373" s="640"/>
      <c r="AJ373" s="641">
        <v>23.20824</v>
      </c>
      <c r="AK373" s="642"/>
      <c r="AL373" s="642" t="s">
        <v>364</v>
      </c>
      <c r="AM373" s="643"/>
      <c r="AN373" s="642"/>
      <c r="AO373" s="644">
        <v>366</v>
      </c>
      <c r="AP373" s="565"/>
      <c r="AQ373" s="566"/>
      <c r="AR373" s="566"/>
      <c r="AS373" s="566"/>
      <c r="AT373" s="566"/>
      <c r="AU373" s="566"/>
      <c r="AV373" s="566"/>
      <c r="AW373" s="566"/>
      <c r="AX373" s="566"/>
      <c r="AY373" s="566"/>
      <c r="AZ373" s="566"/>
      <c r="BA373" s="566"/>
      <c r="BB373" s="566"/>
      <c r="BC373" s="566"/>
      <c r="BD373" s="566"/>
      <c r="BE373" s="566"/>
      <c r="BF373" s="566"/>
      <c r="BG373" s="566"/>
    </row>
    <row r="374" spans="1:59">
      <c r="A374" s="591"/>
      <c r="B374" s="592"/>
      <c r="C374" s="593"/>
      <c r="D374" s="594">
        <v>1</v>
      </c>
      <c r="E374" s="595" t="s">
        <v>366</v>
      </c>
      <c r="F374" s="593" t="s">
        <v>368</v>
      </c>
      <c r="G374" s="596">
        <v>209</v>
      </c>
      <c r="H374" s="596" t="s">
        <v>609</v>
      </c>
      <c r="I374" s="596"/>
      <c r="J374" s="596"/>
      <c r="K374" s="596"/>
      <c r="L374" s="591" t="s">
        <v>808</v>
      </c>
      <c r="M374" s="597" t="str">
        <f t="shared" ref="M374" si="257">VLOOKUP(S374,Kengetal,4,FALSE)</f>
        <v>Onderwijsruimte (theorie)</v>
      </c>
      <c r="N374" s="591" t="s">
        <v>78</v>
      </c>
      <c r="O374" s="598"/>
      <c r="P374" s="599"/>
      <c r="Q374" s="600">
        <f t="shared" ref="Q374:Q384" si="258">AF374*P374/100</f>
        <v>0</v>
      </c>
      <c r="R374" s="601" t="str">
        <f>AF374</f>
        <v>42,5</v>
      </c>
      <c r="S374" s="647">
        <v>102200</v>
      </c>
      <c r="T374" s="602"/>
      <c r="U374" s="645">
        <v>1</v>
      </c>
      <c r="V374" s="593">
        <f t="shared" si="235"/>
        <v>200</v>
      </c>
      <c r="W374" s="604">
        <f>Z374*R374*U374</f>
        <v>0</v>
      </c>
      <c r="X374" s="604">
        <f>AA374*R374</f>
        <v>0</v>
      </c>
      <c r="Y374" s="604">
        <f>AB374*R374</f>
        <v>0</v>
      </c>
      <c r="Z374" s="605">
        <f>VLOOKUP(S374,Kengetal,6,FALSE)</f>
        <v>0</v>
      </c>
      <c r="AA374" s="751">
        <f>VLOOKUP(S374,Kengetal,7,FALSE)</f>
        <v>0</v>
      </c>
      <c r="AB374" s="605">
        <f>VLOOKUP(T374,Kengetal,6,FALSE)</f>
        <v>0</v>
      </c>
      <c r="AC374" s="607"/>
      <c r="AD374" s="591" t="str">
        <f>AL374</f>
        <v>Friesland College</v>
      </c>
      <c r="AE374" s="608"/>
      <c r="AF374" s="639" t="s">
        <v>953</v>
      </c>
      <c r="AG374" s="639" t="str">
        <f t="shared" si="233"/>
        <v>42,5</v>
      </c>
      <c r="AH374" s="639">
        <v>0</v>
      </c>
      <c r="AI374" s="640"/>
      <c r="AJ374" s="641">
        <v>27.863</v>
      </c>
      <c r="AK374" s="642"/>
      <c r="AL374" s="642" t="s">
        <v>364</v>
      </c>
      <c r="AM374" s="643"/>
      <c r="AN374" s="642"/>
      <c r="AO374" s="644">
        <v>367</v>
      </c>
      <c r="AP374" s="565"/>
      <c r="AQ374" s="566"/>
      <c r="AR374" s="566"/>
      <c r="AS374" s="566"/>
      <c r="AT374" s="566"/>
      <c r="AU374" s="566"/>
      <c r="AV374" s="566"/>
      <c r="AW374" s="566"/>
      <c r="AX374" s="566"/>
      <c r="AY374" s="566"/>
      <c r="AZ374" s="566"/>
      <c r="BA374" s="566"/>
      <c r="BB374" s="566"/>
      <c r="BC374" s="566"/>
      <c r="BD374" s="566"/>
      <c r="BE374" s="566"/>
      <c r="BF374" s="566"/>
      <c r="BG374" s="566"/>
    </row>
    <row r="375" spans="1:59">
      <c r="A375" s="591"/>
      <c r="B375" s="618"/>
      <c r="C375" s="609"/>
      <c r="D375" s="594">
        <v>1</v>
      </c>
      <c r="E375" s="595" t="s">
        <v>366</v>
      </c>
      <c r="F375" s="593" t="s">
        <v>368</v>
      </c>
      <c r="G375" s="610">
        <v>209</v>
      </c>
      <c r="H375" s="610" t="s">
        <v>609</v>
      </c>
      <c r="I375" s="610"/>
      <c r="J375" s="610"/>
      <c r="K375" s="610"/>
      <c r="L375" s="611" t="s">
        <v>808</v>
      </c>
      <c r="M375" s="612">
        <f>VLOOKUP(S375,Kengetal,4,FALSE)</f>
        <v>0</v>
      </c>
      <c r="N375" s="613"/>
      <c r="O375" s="614" t="s">
        <v>1023</v>
      </c>
      <c r="P375" s="615">
        <v>100</v>
      </c>
      <c r="Q375" s="616">
        <f t="shared" si="258"/>
        <v>42.5</v>
      </c>
      <c r="R375" s="613"/>
      <c r="S375" s="603"/>
      <c r="T375" s="606"/>
      <c r="U375" s="606"/>
      <c r="V375" s="593">
        <f t="shared" si="235"/>
        <v>0</v>
      </c>
      <c r="W375" s="606"/>
      <c r="X375" s="606"/>
      <c r="Y375" s="606"/>
      <c r="Z375" s="606"/>
      <c r="AA375" s="606"/>
      <c r="AB375" s="606"/>
      <c r="AC375" s="607"/>
      <c r="AD375" s="606"/>
      <c r="AE375" s="608"/>
      <c r="AF375" s="639" t="s">
        <v>953</v>
      </c>
      <c r="AG375" s="639" t="str">
        <f t="shared" si="233"/>
        <v>42,5</v>
      </c>
      <c r="AH375" s="639">
        <v>0</v>
      </c>
      <c r="AI375" s="640"/>
      <c r="AJ375" s="641">
        <v>27.863</v>
      </c>
      <c r="AK375" s="642"/>
      <c r="AL375" s="642" t="s">
        <v>364</v>
      </c>
      <c r="AM375" s="643"/>
      <c r="AN375" s="642"/>
      <c r="AO375" s="644">
        <v>368</v>
      </c>
      <c r="AP375" s="565"/>
      <c r="AQ375" s="566"/>
      <c r="AR375" s="566"/>
      <c r="AS375" s="566"/>
      <c r="AT375" s="566"/>
      <c r="AU375" s="566"/>
      <c r="AV375" s="566"/>
      <c r="AW375" s="566"/>
      <c r="AX375" s="566"/>
      <c r="AY375" s="566"/>
      <c r="AZ375" s="566"/>
      <c r="BA375" s="566"/>
      <c r="BB375" s="566"/>
      <c r="BC375" s="566"/>
      <c r="BD375" s="566"/>
      <c r="BE375" s="566"/>
      <c r="BF375" s="566"/>
      <c r="BG375" s="566"/>
    </row>
    <row r="376" spans="1:59">
      <c r="A376" s="591"/>
      <c r="B376" s="592"/>
      <c r="C376" s="593"/>
      <c r="D376" s="594">
        <v>1</v>
      </c>
      <c r="E376" s="595" t="s">
        <v>366</v>
      </c>
      <c r="F376" s="593" t="s">
        <v>368</v>
      </c>
      <c r="G376" s="596">
        <v>210</v>
      </c>
      <c r="H376" s="596" t="s">
        <v>605</v>
      </c>
      <c r="I376" s="596"/>
      <c r="J376" s="596"/>
      <c r="K376" s="596"/>
      <c r="L376" s="591" t="s">
        <v>849</v>
      </c>
      <c r="M376" s="597" t="str">
        <f t="shared" ref="M376" si="259">VLOOKUP(S376,Kengetal,4,FALSE)</f>
        <v>Administratieve -, personeels- en vergaderruimte</v>
      </c>
      <c r="N376" s="591" t="s">
        <v>78</v>
      </c>
      <c r="O376" s="598"/>
      <c r="P376" s="599"/>
      <c r="Q376" s="600">
        <f t="shared" si="258"/>
        <v>0</v>
      </c>
      <c r="R376" s="601">
        <f>AF376</f>
        <v>8</v>
      </c>
      <c r="S376" s="647">
        <v>101100</v>
      </c>
      <c r="T376" s="602"/>
      <c r="U376" s="645">
        <v>1</v>
      </c>
      <c r="V376" s="593">
        <f t="shared" si="235"/>
        <v>100</v>
      </c>
      <c r="W376" s="604">
        <f>Z376*R376*U376</f>
        <v>0</v>
      </c>
      <c r="X376" s="604">
        <f>AA376*R376</f>
        <v>0</v>
      </c>
      <c r="Y376" s="604">
        <f>AB376*R376</f>
        <v>0</v>
      </c>
      <c r="Z376" s="605">
        <f>VLOOKUP(S376,Kengetal,6,FALSE)</f>
        <v>0</v>
      </c>
      <c r="AA376" s="751">
        <f>VLOOKUP(S376,Kengetal,7,FALSE)</f>
        <v>0</v>
      </c>
      <c r="AB376" s="605">
        <f>VLOOKUP(T376,Kengetal,6,FALSE)</f>
        <v>0</v>
      </c>
      <c r="AC376" s="607"/>
      <c r="AD376" s="591" t="str">
        <f>AL376</f>
        <v>Friesland College</v>
      </c>
      <c r="AE376" s="608"/>
      <c r="AF376" s="639">
        <v>8</v>
      </c>
      <c r="AG376" s="639">
        <f t="shared" si="233"/>
        <v>8</v>
      </c>
      <c r="AH376" s="639">
        <v>0</v>
      </c>
      <c r="AI376" s="640"/>
      <c r="AJ376" s="641">
        <v>5.2447999999999997</v>
      </c>
      <c r="AK376" s="642"/>
      <c r="AL376" s="642" t="s">
        <v>364</v>
      </c>
      <c r="AM376" s="643"/>
      <c r="AN376" s="642"/>
      <c r="AO376" s="644">
        <v>369</v>
      </c>
      <c r="AP376" s="565"/>
      <c r="AQ376" s="566"/>
      <c r="AR376" s="566"/>
      <c r="AS376" s="566"/>
      <c r="AT376" s="566"/>
      <c r="AU376" s="566"/>
      <c r="AV376" s="566"/>
      <c r="AW376" s="566"/>
      <c r="AX376" s="566"/>
      <c r="AY376" s="566"/>
      <c r="AZ376" s="566"/>
      <c r="BA376" s="566"/>
      <c r="BB376" s="566"/>
      <c r="BC376" s="566"/>
      <c r="BD376" s="566"/>
      <c r="BE376" s="566"/>
      <c r="BF376" s="566"/>
      <c r="BG376" s="566"/>
    </row>
    <row r="377" spans="1:59">
      <c r="A377" s="591"/>
      <c r="B377" s="618"/>
      <c r="C377" s="609"/>
      <c r="D377" s="594">
        <v>1</v>
      </c>
      <c r="E377" s="595" t="s">
        <v>366</v>
      </c>
      <c r="F377" s="593" t="s">
        <v>368</v>
      </c>
      <c r="G377" s="610">
        <v>210</v>
      </c>
      <c r="H377" s="610" t="s">
        <v>605</v>
      </c>
      <c r="I377" s="610"/>
      <c r="J377" s="610"/>
      <c r="K377" s="610"/>
      <c r="L377" s="611" t="s">
        <v>849</v>
      </c>
      <c r="M377" s="612">
        <f>VLOOKUP(S377,Kengetal,4,FALSE)</f>
        <v>0</v>
      </c>
      <c r="N377" s="613"/>
      <c r="O377" s="614" t="s">
        <v>1023</v>
      </c>
      <c r="P377" s="615">
        <v>100</v>
      </c>
      <c r="Q377" s="616">
        <f t="shared" si="258"/>
        <v>8</v>
      </c>
      <c r="R377" s="613"/>
      <c r="S377" s="603"/>
      <c r="T377" s="606"/>
      <c r="U377" s="606"/>
      <c r="V377" s="593">
        <f t="shared" si="235"/>
        <v>0</v>
      </c>
      <c r="W377" s="606"/>
      <c r="X377" s="606"/>
      <c r="Y377" s="606"/>
      <c r="Z377" s="606"/>
      <c r="AA377" s="606"/>
      <c r="AB377" s="606"/>
      <c r="AC377" s="607"/>
      <c r="AD377" s="606"/>
      <c r="AE377" s="608"/>
      <c r="AF377" s="639">
        <v>8</v>
      </c>
      <c r="AG377" s="639">
        <f t="shared" si="233"/>
        <v>8</v>
      </c>
      <c r="AH377" s="639">
        <v>0</v>
      </c>
      <c r="AI377" s="640"/>
      <c r="AJ377" s="641">
        <v>5.2447999999999997</v>
      </c>
      <c r="AK377" s="642"/>
      <c r="AL377" s="642" t="s">
        <v>364</v>
      </c>
      <c r="AM377" s="643"/>
      <c r="AN377" s="642"/>
      <c r="AO377" s="644">
        <v>370</v>
      </c>
      <c r="AP377" s="565"/>
      <c r="AQ377" s="566"/>
      <c r="AR377" s="566"/>
      <c r="AS377" s="566"/>
      <c r="AT377" s="566"/>
      <c r="AU377" s="566"/>
      <c r="AV377" s="566"/>
      <c r="AW377" s="566"/>
      <c r="AX377" s="566"/>
      <c r="AY377" s="566"/>
      <c r="AZ377" s="566"/>
      <c r="BA377" s="566"/>
      <c r="BB377" s="566"/>
      <c r="BC377" s="566"/>
      <c r="BD377" s="566"/>
      <c r="BE377" s="566"/>
      <c r="BF377" s="566"/>
      <c r="BG377" s="566"/>
    </row>
    <row r="378" spans="1:59">
      <c r="A378" s="591"/>
      <c r="B378" s="592"/>
      <c r="C378" s="593"/>
      <c r="D378" s="594">
        <v>1</v>
      </c>
      <c r="E378" s="595" t="s">
        <v>366</v>
      </c>
      <c r="F378" s="593" t="s">
        <v>368</v>
      </c>
      <c r="G378" s="596">
        <v>211</v>
      </c>
      <c r="H378" s="596" t="s">
        <v>608</v>
      </c>
      <c r="I378" s="596"/>
      <c r="J378" s="596"/>
      <c r="K378" s="596"/>
      <c r="L378" s="591" t="s">
        <v>800</v>
      </c>
      <c r="M378" s="597" t="str">
        <f t="shared" ref="M378" si="260">VLOOKUP(S378,Kengetal,4,FALSE)</f>
        <v>Administratieve -, personeels- en vergaderruimte</v>
      </c>
      <c r="N378" s="591" t="s">
        <v>78</v>
      </c>
      <c r="O378" s="598"/>
      <c r="P378" s="599"/>
      <c r="Q378" s="600">
        <f t="shared" si="258"/>
        <v>0</v>
      </c>
      <c r="R378" s="601">
        <f>AF378</f>
        <v>8</v>
      </c>
      <c r="S378" s="647">
        <v>101100</v>
      </c>
      <c r="T378" s="602"/>
      <c r="U378" s="645">
        <v>1</v>
      </c>
      <c r="V378" s="593">
        <f t="shared" si="235"/>
        <v>100</v>
      </c>
      <c r="W378" s="604">
        <f>Z378*R378*U378</f>
        <v>0</v>
      </c>
      <c r="X378" s="604">
        <f>AA378*R378</f>
        <v>0</v>
      </c>
      <c r="Y378" s="604">
        <f>AB378*R378</f>
        <v>0</v>
      </c>
      <c r="Z378" s="605">
        <f>VLOOKUP(S378,Kengetal,6,FALSE)</f>
        <v>0</v>
      </c>
      <c r="AA378" s="751">
        <f>VLOOKUP(S378,Kengetal,7,FALSE)</f>
        <v>0</v>
      </c>
      <c r="AB378" s="605">
        <f>VLOOKUP(T378,Kengetal,6,FALSE)</f>
        <v>0</v>
      </c>
      <c r="AC378" s="607"/>
      <c r="AD378" s="591" t="str">
        <f>AL378</f>
        <v>Friesland College</v>
      </c>
      <c r="AE378" s="608"/>
      <c r="AF378" s="639">
        <v>8</v>
      </c>
      <c r="AG378" s="639">
        <f t="shared" si="233"/>
        <v>8</v>
      </c>
      <c r="AH378" s="639">
        <v>0</v>
      </c>
      <c r="AI378" s="640"/>
      <c r="AJ378" s="641">
        <v>5.2447999999999997</v>
      </c>
      <c r="AK378" s="642"/>
      <c r="AL378" s="642" t="s">
        <v>364</v>
      </c>
      <c r="AM378" s="643"/>
      <c r="AN378" s="642"/>
      <c r="AO378" s="644">
        <v>371</v>
      </c>
      <c r="AP378" s="565"/>
      <c r="AQ378" s="566"/>
      <c r="AR378" s="566"/>
      <c r="AS378" s="566"/>
      <c r="AT378" s="566"/>
      <c r="AU378" s="566"/>
      <c r="AV378" s="566"/>
      <c r="AW378" s="566"/>
      <c r="AX378" s="566"/>
      <c r="AY378" s="566"/>
      <c r="AZ378" s="566"/>
      <c r="BA378" s="566"/>
      <c r="BB378" s="566"/>
      <c r="BC378" s="566"/>
      <c r="BD378" s="566"/>
      <c r="BE378" s="566"/>
      <c r="BF378" s="566"/>
      <c r="BG378" s="566"/>
    </row>
    <row r="379" spans="1:59">
      <c r="A379" s="591"/>
      <c r="B379" s="618"/>
      <c r="C379" s="609"/>
      <c r="D379" s="594">
        <v>1</v>
      </c>
      <c r="E379" s="595" t="s">
        <v>366</v>
      </c>
      <c r="F379" s="593" t="s">
        <v>368</v>
      </c>
      <c r="G379" s="610">
        <v>211</v>
      </c>
      <c r="H379" s="610" t="s">
        <v>608</v>
      </c>
      <c r="I379" s="610"/>
      <c r="J379" s="610"/>
      <c r="K379" s="610"/>
      <c r="L379" s="611" t="s">
        <v>800</v>
      </c>
      <c r="M379" s="612">
        <f>VLOOKUP(S379,Kengetal,4,FALSE)</f>
        <v>0</v>
      </c>
      <c r="N379" s="613"/>
      <c r="O379" s="614" t="s">
        <v>1023</v>
      </c>
      <c r="P379" s="615">
        <v>100</v>
      </c>
      <c r="Q379" s="616">
        <f t="shared" si="258"/>
        <v>8</v>
      </c>
      <c r="R379" s="613"/>
      <c r="S379" s="603"/>
      <c r="T379" s="606"/>
      <c r="U379" s="606"/>
      <c r="V379" s="593">
        <f t="shared" si="235"/>
        <v>0</v>
      </c>
      <c r="W379" s="606"/>
      <c r="X379" s="606"/>
      <c r="Y379" s="606"/>
      <c r="Z379" s="606"/>
      <c r="AA379" s="606"/>
      <c r="AB379" s="606"/>
      <c r="AC379" s="607"/>
      <c r="AD379" s="606"/>
      <c r="AE379" s="608"/>
      <c r="AF379" s="639">
        <v>8</v>
      </c>
      <c r="AG379" s="639">
        <f t="shared" si="233"/>
        <v>8</v>
      </c>
      <c r="AH379" s="639">
        <v>0</v>
      </c>
      <c r="AI379" s="640"/>
      <c r="AJ379" s="641">
        <v>5.2447999999999997</v>
      </c>
      <c r="AK379" s="642"/>
      <c r="AL379" s="642" t="s">
        <v>364</v>
      </c>
      <c r="AM379" s="643"/>
      <c r="AN379" s="642"/>
      <c r="AO379" s="644">
        <v>372</v>
      </c>
      <c r="AP379" s="565"/>
      <c r="AQ379" s="566"/>
      <c r="AR379" s="566"/>
      <c r="AS379" s="566"/>
      <c r="AT379" s="566"/>
      <c r="AU379" s="566"/>
      <c r="AV379" s="566"/>
      <c r="AW379" s="566"/>
      <c r="AX379" s="566"/>
      <c r="AY379" s="566"/>
      <c r="AZ379" s="566"/>
      <c r="BA379" s="566"/>
      <c r="BB379" s="566"/>
      <c r="BC379" s="566"/>
      <c r="BD379" s="566"/>
      <c r="BE379" s="566"/>
      <c r="BF379" s="566"/>
      <c r="BG379" s="566"/>
    </row>
    <row r="380" spans="1:59">
      <c r="A380" s="591"/>
      <c r="B380" s="592"/>
      <c r="C380" s="593"/>
      <c r="D380" s="594">
        <v>1</v>
      </c>
      <c r="E380" s="595" t="s">
        <v>366</v>
      </c>
      <c r="F380" s="593" t="s">
        <v>368</v>
      </c>
      <c r="G380" s="596">
        <v>212</v>
      </c>
      <c r="H380" s="596" t="s">
        <v>611</v>
      </c>
      <c r="I380" s="596"/>
      <c r="J380" s="596"/>
      <c r="K380" s="596"/>
      <c r="L380" s="591" t="s">
        <v>800</v>
      </c>
      <c r="M380" s="597" t="str">
        <f t="shared" ref="M380" si="261">VLOOKUP(S380,Kengetal,4,FALSE)</f>
        <v>Onderwijsruimte (theorie)</v>
      </c>
      <c r="N380" s="591" t="s">
        <v>78</v>
      </c>
      <c r="O380" s="598"/>
      <c r="P380" s="599"/>
      <c r="Q380" s="600">
        <f t="shared" si="258"/>
        <v>0</v>
      </c>
      <c r="R380" s="601" t="str">
        <f>AF380</f>
        <v>8,2</v>
      </c>
      <c r="S380" s="647">
        <v>102200</v>
      </c>
      <c r="T380" s="602"/>
      <c r="U380" s="645">
        <v>1</v>
      </c>
      <c r="V380" s="593">
        <f t="shared" si="235"/>
        <v>200</v>
      </c>
      <c r="W380" s="604">
        <f>Z380*R380*U380</f>
        <v>0</v>
      </c>
      <c r="X380" s="604">
        <f>AA380*R380</f>
        <v>0</v>
      </c>
      <c r="Y380" s="604">
        <f>AB380*R380</f>
        <v>0</v>
      </c>
      <c r="Z380" s="605">
        <f>VLOOKUP(S380,Kengetal,6,FALSE)</f>
        <v>0</v>
      </c>
      <c r="AA380" s="751">
        <f>VLOOKUP(S380,Kengetal,7,FALSE)</f>
        <v>0</v>
      </c>
      <c r="AB380" s="605">
        <f>VLOOKUP(T380,Kengetal,6,FALSE)</f>
        <v>0</v>
      </c>
      <c r="AC380" s="607"/>
      <c r="AD380" s="591" t="str">
        <f>AL380</f>
        <v>Friesland College</v>
      </c>
      <c r="AE380" s="608"/>
      <c r="AF380" s="639" t="s">
        <v>1030</v>
      </c>
      <c r="AG380" s="639" t="str">
        <f t="shared" si="233"/>
        <v>8,2</v>
      </c>
      <c r="AH380" s="639">
        <v>0</v>
      </c>
      <c r="AI380" s="640"/>
      <c r="AJ380" s="641">
        <v>5.3759199999999998</v>
      </c>
      <c r="AK380" s="642"/>
      <c r="AL380" s="642" t="s">
        <v>364</v>
      </c>
      <c r="AM380" s="643"/>
      <c r="AN380" s="642"/>
      <c r="AO380" s="644">
        <v>373</v>
      </c>
      <c r="AP380" s="565"/>
      <c r="AQ380" s="566"/>
      <c r="AR380" s="566"/>
      <c r="AS380" s="566"/>
      <c r="AT380" s="566"/>
      <c r="AU380" s="566"/>
      <c r="AV380" s="566"/>
      <c r="AW380" s="566"/>
      <c r="AX380" s="566"/>
      <c r="AY380" s="566"/>
      <c r="AZ380" s="566"/>
      <c r="BA380" s="566"/>
      <c r="BB380" s="566"/>
      <c r="BC380" s="566"/>
      <c r="BD380" s="566"/>
      <c r="BE380" s="566"/>
      <c r="BF380" s="566"/>
      <c r="BG380" s="566"/>
    </row>
    <row r="381" spans="1:59">
      <c r="A381" s="591"/>
      <c r="B381" s="618"/>
      <c r="C381" s="609"/>
      <c r="D381" s="594">
        <v>1</v>
      </c>
      <c r="E381" s="595" t="s">
        <v>366</v>
      </c>
      <c r="F381" s="593" t="s">
        <v>368</v>
      </c>
      <c r="G381" s="610">
        <v>212</v>
      </c>
      <c r="H381" s="610" t="s">
        <v>611</v>
      </c>
      <c r="I381" s="610"/>
      <c r="J381" s="610"/>
      <c r="K381" s="610"/>
      <c r="L381" s="611" t="s">
        <v>800</v>
      </c>
      <c r="M381" s="612">
        <f>VLOOKUP(S381,Kengetal,4,FALSE)</f>
        <v>0</v>
      </c>
      <c r="N381" s="613"/>
      <c r="O381" s="614" t="s">
        <v>1023</v>
      </c>
      <c r="P381" s="615">
        <v>100</v>
      </c>
      <c r="Q381" s="616">
        <f t="shared" si="258"/>
        <v>8.1999999999999993</v>
      </c>
      <c r="R381" s="613"/>
      <c r="S381" s="603"/>
      <c r="T381" s="606"/>
      <c r="U381" s="606"/>
      <c r="V381" s="593">
        <f t="shared" si="235"/>
        <v>0</v>
      </c>
      <c r="W381" s="606"/>
      <c r="X381" s="606"/>
      <c r="Y381" s="606"/>
      <c r="Z381" s="606"/>
      <c r="AA381" s="606"/>
      <c r="AB381" s="606"/>
      <c r="AC381" s="607"/>
      <c r="AD381" s="606"/>
      <c r="AE381" s="608"/>
      <c r="AF381" s="639" t="s">
        <v>1030</v>
      </c>
      <c r="AG381" s="639" t="str">
        <f t="shared" si="233"/>
        <v>8,2</v>
      </c>
      <c r="AH381" s="639">
        <v>0</v>
      </c>
      <c r="AI381" s="640"/>
      <c r="AJ381" s="641">
        <v>5.3759199999999998</v>
      </c>
      <c r="AK381" s="642"/>
      <c r="AL381" s="642" t="s">
        <v>364</v>
      </c>
      <c r="AM381" s="643"/>
      <c r="AN381" s="642"/>
      <c r="AO381" s="644">
        <v>374</v>
      </c>
      <c r="AP381" s="565"/>
      <c r="AQ381" s="566"/>
      <c r="AR381" s="566"/>
      <c r="AS381" s="566"/>
      <c r="AT381" s="566"/>
      <c r="AU381" s="566"/>
      <c r="AV381" s="566"/>
      <c r="AW381" s="566"/>
      <c r="AX381" s="566"/>
      <c r="AY381" s="566"/>
      <c r="AZ381" s="566"/>
      <c r="BA381" s="566"/>
      <c r="BB381" s="566"/>
      <c r="BC381" s="566"/>
      <c r="BD381" s="566"/>
      <c r="BE381" s="566"/>
      <c r="BF381" s="566"/>
      <c r="BG381" s="566"/>
    </row>
    <row r="382" spans="1:59">
      <c r="A382" s="591"/>
      <c r="B382" s="592"/>
      <c r="C382" s="593"/>
      <c r="D382" s="594">
        <v>1</v>
      </c>
      <c r="E382" s="595" t="s">
        <v>366</v>
      </c>
      <c r="F382" s="593" t="s">
        <v>368</v>
      </c>
      <c r="G382" s="596">
        <v>213</v>
      </c>
      <c r="H382" s="596" t="s">
        <v>1031</v>
      </c>
      <c r="I382" s="596"/>
      <c r="J382" s="596"/>
      <c r="K382" s="596"/>
      <c r="L382" s="591" t="s">
        <v>849</v>
      </c>
      <c r="M382" s="597" t="str">
        <f t="shared" ref="M382" si="262">VLOOKUP(S382,Kengetal,4,FALSE)</f>
        <v>Administratieve -, personeels- en vergaderruimte</v>
      </c>
      <c r="N382" s="591" t="s">
        <v>78</v>
      </c>
      <c r="O382" s="598"/>
      <c r="P382" s="599"/>
      <c r="Q382" s="600">
        <f t="shared" si="258"/>
        <v>0</v>
      </c>
      <c r="R382" s="601" t="str">
        <f>AF382</f>
        <v>8,2</v>
      </c>
      <c r="S382" s="647">
        <v>101120</v>
      </c>
      <c r="T382" s="602"/>
      <c r="U382" s="645">
        <v>1</v>
      </c>
      <c r="V382" s="593">
        <f t="shared" si="235"/>
        <v>120</v>
      </c>
      <c r="W382" s="604">
        <f>Z382*R382*U382</f>
        <v>0</v>
      </c>
      <c r="X382" s="604">
        <f>AA382*R382</f>
        <v>0</v>
      </c>
      <c r="Y382" s="604">
        <f>AB382*R382</f>
        <v>0</v>
      </c>
      <c r="Z382" s="605">
        <f>VLOOKUP(S382,Kengetal,6,FALSE)</f>
        <v>0</v>
      </c>
      <c r="AA382" s="751">
        <f>VLOOKUP(S382,Kengetal,7,FALSE)</f>
        <v>0</v>
      </c>
      <c r="AB382" s="605">
        <f>VLOOKUP(T382,Kengetal,6,FALSE)</f>
        <v>0</v>
      </c>
      <c r="AC382" s="607"/>
      <c r="AD382" s="591" t="str">
        <f>AL382</f>
        <v>Friesland College</v>
      </c>
      <c r="AE382" s="608"/>
      <c r="AF382" s="639" t="s">
        <v>1030</v>
      </c>
      <c r="AG382" s="639" t="str">
        <f t="shared" si="233"/>
        <v>8,2</v>
      </c>
      <c r="AH382" s="639">
        <v>0</v>
      </c>
      <c r="AI382" s="640"/>
      <c r="AJ382" s="641">
        <v>5.3759199999999998</v>
      </c>
      <c r="AK382" s="642"/>
      <c r="AL382" s="642" t="s">
        <v>364</v>
      </c>
      <c r="AM382" s="643"/>
      <c r="AN382" s="642"/>
      <c r="AO382" s="644">
        <v>375</v>
      </c>
      <c r="AP382" s="565"/>
      <c r="AQ382" s="566"/>
      <c r="AR382" s="566"/>
      <c r="AS382" s="566"/>
      <c r="AT382" s="566"/>
      <c r="AU382" s="566"/>
      <c r="AV382" s="566"/>
      <c r="AW382" s="566"/>
      <c r="AX382" s="566"/>
      <c r="AY382" s="566"/>
      <c r="AZ382" s="566"/>
      <c r="BA382" s="566"/>
      <c r="BB382" s="566"/>
      <c r="BC382" s="566"/>
      <c r="BD382" s="566"/>
      <c r="BE382" s="566"/>
      <c r="BF382" s="566"/>
      <c r="BG382" s="566"/>
    </row>
    <row r="383" spans="1:59">
      <c r="A383" s="591"/>
      <c r="B383" s="618"/>
      <c r="C383" s="609"/>
      <c r="D383" s="594">
        <v>1</v>
      </c>
      <c r="E383" s="595" t="s">
        <v>366</v>
      </c>
      <c r="F383" s="593" t="s">
        <v>368</v>
      </c>
      <c r="G383" s="610">
        <v>213</v>
      </c>
      <c r="H383" s="610" t="s">
        <v>1031</v>
      </c>
      <c r="I383" s="610"/>
      <c r="J383" s="610"/>
      <c r="K383" s="610"/>
      <c r="L383" s="611" t="s">
        <v>849</v>
      </c>
      <c r="M383" s="612">
        <f>VLOOKUP(S383,Kengetal,4,FALSE)</f>
        <v>0</v>
      </c>
      <c r="N383" s="613"/>
      <c r="O383" s="614" t="s">
        <v>1023</v>
      </c>
      <c r="P383" s="615">
        <v>100</v>
      </c>
      <c r="Q383" s="616">
        <f t="shared" si="258"/>
        <v>8.1999999999999993</v>
      </c>
      <c r="R383" s="613"/>
      <c r="S383" s="603"/>
      <c r="T383" s="606"/>
      <c r="U383" s="606"/>
      <c r="V383" s="593">
        <f t="shared" si="235"/>
        <v>0</v>
      </c>
      <c r="W383" s="606"/>
      <c r="X383" s="606"/>
      <c r="Y383" s="606"/>
      <c r="Z383" s="606"/>
      <c r="AA383" s="606"/>
      <c r="AB383" s="606"/>
      <c r="AC383" s="607"/>
      <c r="AD383" s="606"/>
      <c r="AE383" s="608"/>
      <c r="AF383" s="639" t="s">
        <v>1030</v>
      </c>
      <c r="AG383" s="639" t="str">
        <f t="shared" si="233"/>
        <v>8,2</v>
      </c>
      <c r="AH383" s="639">
        <v>0</v>
      </c>
      <c r="AI383" s="640"/>
      <c r="AJ383" s="641">
        <v>5.3759199999999998</v>
      </c>
      <c r="AK383" s="642"/>
      <c r="AL383" s="642" t="s">
        <v>364</v>
      </c>
      <c r="AM383" s="643"/>
      <c r="AN383" s="642"/>
      <c r="AO383" s="644">
        <v>376</v>
      </c>
      <c r="AP383" s="565"/>
      <c r="AQ383" s="566"/>
      <c r="AR383" s="566"/>
      <c r="AS383" s="566"/>
      <c r="AT383" s="566"/>
      <c r="AU383" s="566"/>
      <c r="AV383" s="566"/>
      <c r="AW383" s="566"/>
      <c r="AX383" s="566"/>
      <c r="AY383" s="566"/>
      <c r="AZ383" s="566"/>
      <c r="BA383" s="566"/>
      <c r="BB383" s="566"/>
      <c r="BC383" s="566"/>
      <c r="BD383" s="566"/>
      <c r="BE383" s="566"/>
      <c r="BF383" s="566"/>
      <c r="BG383" s="566"/>
    </row>
    <row r="384" spans="1:59">
      <c r="A384" s="591"/>
      <c r="B384" s="592"/>
      <c r="C384" s="593"/>
      <c r="D384" s="594">
        <v>1</v>
      </c>
      <c r="E384" s="595" t="s">
        <v>366</v>
      </c>
      <c r="F384" s="593" t="s">
        <v>368</v>
      </c>
      <c r="G384" s="596">
        <v>214</v>
      </c>
      <c r="H384" s="596" t="s">
        <v>607</v>
      </c>
      <c r="I384" s="596"/>
      <c r="J384" s="596"/>
      <c r="K384" s="596"/>
      <c r="L384" s="591" t="s">
        <v>848</v>
      </c>
      <c r="M384" s="597" t="str">
        <f t="shared" ref="M384" si="263">VLOOKUP(S384,Kengetal,4,FALSE)</f>
        <v>Onderwijsruimte (theorie)</v>
      </c>
      <c r="N384" s="591" t="s">
        <v>78</v>
      </c>
      <c r="O384" s="598"/>
      <c r="P384" s="599"/>
      <c r="Q384" s="600">
        <f t="shared" si="258"/>
        <v>0</v>
      </c>
      <c r="R384" s="601">
        <f>AF384</f>
        <v>116</v>
      </c>
      <c r="S384" s="647">
        <v>102200</v>
      </c>
      <c r="T384" s="602"/>
      <c r="U384" s="645">
        <v>1</v>
      </c>
      <c r="V384" s="593">
        <f t="shared" si="235"/>
        <v>200</v>
      </c>
      <c r="W384" s="604">
        <f>Z384*R384*U384</f>
        <v>0</v>
      </c>
      <c r="X384" s="604">
        <f>AA384*R384</f>
        <v>0</v>
      </c>
      <c r="Y384" s="604">
        <f>AB384*R384</f>
        <v>0</v>
      </c>
      <c r="Z384" s="605">
        <f>VLOOKUP(S384,Kengetal,6,FALSE)</f>
        <v>0</v>
      </c>
      <c r="AA384" s="751">
        <f>VLOOKUP(S384,Kengetal,7,FALSE)</f>
        <v>0</v>
      </c>
      <c r="AB384" s="605">
        <f>VLOOKUP(T384,Kengetal,6,FALSE)</f>
        <v>0</v>
      </c>
      <c r="AC384" s="607"/>
      <c r="AD384" s="591" t="str">
        <f>AL384</f>
        <v>Friesland College</v>
      </c>
      <c r="AE384" s="608"/>
      <c r="AF384" s="639">
        <v>116</v>
      </c>
      <c r="AG384" s="639">
        <f t="shared" si="233"/>
        <v>116</v>
      </c>
      <c r="AH384" s="639">
        <v>0</v>
      </c>
      <c r="AI384" s="640"/>
      <c r="AJ384" s="641">
        <v>54.4148</v>
      </c>
      <c r="AK384" s="642"/>
      <c r="AL384" s="642" t="s">
        <v>364</v>
      </c>
      <c r="AM384" s="643"/>
      <c r="AN384" s="642"/>
      <c r="AO384" s="644">
        <v>377</v>
      </c>
      <c r="AP384" s="565"/>
      <c r="AQ384" s="566"/>
      <c r="AR384" s="566"/>
      <c r="AS384" s="566"/>
      <c r="AT384" s="566"/>
      <c r="AU384" s="566"/>
      <c r="AV384" s="566"/>
      <c r="AW384" s="566"/>
      <c r="AX384" s="566"/>
      <c r="AY384" s="566"/>
      <c r="AZ384" s="566"/>
      <c r="BA384" s="566"/>
      <c r="BB384" s="566"/>
      <c r="BC384" s="566"/>
      <c r="BD384" s="566"/>
      <c r="BE384" s="566"/>
      <c r="BF384" s="566"/>
      <c r="BG384" s="566"/>
    </row>
    <row r="385" spans="1:59">
      <c r="A385" s="591"/>
      <c r="B385" s="609"/>
      <c r="C385" s="609"/>
      <c r="D385" s="594">
        <v>1</v>
      </c>
      <c r="E385" s="595" t="s">
        <v>366</v>
      </c>
      <c r="F385" s="593" t="s">
        <v>368</v>
      </c>
      <c r="G385" s="610">
        <v>214</v>
      </c>
      <c r="H385" s="610" t="s">
        <v>607</v>
      </c>
      <c r="I385" s="610"/>
      <c r="J385" s="610"/>
      <c r="K385" s="610"/>
      <c r="L385" s="611" t="s">
        <v>848</v>
      </c>
      <c r="M385" s="612">
        <f>VLOOKUP(S385,Kengetal,4,FALSE)</f>
        <v>0</v>
      </c>
      <c r="N385" s="613"/>
      <c r="O385" s="614" t="s">
        <v>1023</v>
      </c>
      <c r="P385" s="615">
        <v>100</v>
      </c>
      <c r="Q385" s="616">
        <v>116</v>
      </c>
      <c r="R385" s="613"/>
      <c r="S385" s="603"/>
      <c r="T385" s="606"/>
      <c r="U385" s="606"/>
      <c r="V385" s="593">
        <f t="shared" si="235"/>
        <v>0</v>
      </c>
      <c r="W385" s="606"/>
      <c r="X385" s="606"/>
      <c r="Y385" s="606"/>
      <c r="Z385" s="606"/>
      <c r="AA385" s="606"/>
      <c r="AB385" s="606"/>
      <c r="AC385" s="607"/>
      <c r="AD385" s="606"/>
      <c r="AE385" s="608"/>
      <c r="AF385" s="639">
        <v>83</v>
      </c>
      <c r="AG385" s="639">
        <f t="shared" si="233"/>
        <v>83</v>
      </c>
      <c r="AH385" s="639">
        <v>0</v>
      </c>
      <c r="AI385" s="640"/>
      <c r="AJ385" s="641">
        <v>54.4148</v>
      </c>
      <c r="AK385" s="642"/>
      <c r="AL385" s="642" t="s">
        <v>364</v>
      </c>
      <c r="AM385" s="643"/>
      <c r="AN385" s="642"/>
      <c r="AO385" s="644">
        <v>378</v>
      </c>
      <c r="AP385" s="565"/>
      <c r="AQ385" s="566"/>
      <c r="AR385" s="566"/>
      <c r="AS385" s="566"/>
      <c r="AT385" s="566"/>
      <c r="AU385" s="566"/>
      <c r="AV385" s="566"/>
      <c r="AW385" s="566"/>
      <c r="AX385" s="566"/>
      <c r="AY385" s="566"/>
      <c r="AZ385" s="566"/>
      <c r="BA385" s="566"/>
      <c r="BB385" s="566"/>
      <c r="BC385" s="566"/>
      <c r="BD385" s="566"/>
      <c r="BE385" s="566"/>
      <c r="BF385" s="566"/>
      <c r="BG385" s="566"/>
    </row>
    <row r="386" spans="1:59">
      <c r="A386" s="591"/>
      <c r="B386" s="592"/>
      <c r="C386" s="593"/>
      <c r="D386" s="594">
        <v>1</v>
      </c>
      <c r="E386" s="595" t="s">
        <v>366</v>
      </c>
      <c r="F386" s="593" t="s">
        <v>368</v>
      </c>
      <c r="G386" s="596">
        <v>215</v>
      </c>
      <c r="H386" s="596" t="s">
        <v>610</v>
      </c>
      <c r="I386" s="596"/>
      <c r="J386" s="596"/>
      <c r="K386" s="596"/>
      <c r="L386" s="591" t="s">
        <v>849</v>
      </c>
      <c r="M386" s="597" t="str">
        <f t="shared" ref="M386" si="264">VLOOKUP(S386,Kengetal,4,FALSE)</f>
        <v>Administratieve -, personeels- en vergaderruimte</v>
      </c>
      <c r="N386" s="591" t="s">
        <v>78</v>
      </c>
      <c r="O386" s="598"/>
      <c r="P386" s="599"/>
      <c r="Q386" s="600">
        <f t="shared" ref="Q386:Q416" si="265">AF386*P386/100</f>
        <v>0</v>
      </c>
      <c r="R386" s="601" t="str">
        <f>AF386</f>
        <v>18,5</v>
      </c>
      <c r="S386" s="647">
        <v>101120</v>
      </c>
      <c r="T386" s="602"/>
      <c r="U386" s="645">
        <v>1</v>
      </c>
      <c r="V386" s="593">
        <f t="shared" si="235"/>
        <v>120</v>
      </c>
      <c r="W386" s="604">
        <f>Z386*R386*U386</f>
        <v>0</v>
      </c>
      <c r="X386" s="604">
        <f>AA386*R386</f>
        <v>0</v>
      </c>
      <c r="Y386" s="604">
        <f>AB386*R386</f>
        <v>0</v>
      </c>
      <c r="Z386" s="605">
        <f>VLOOKUP(S386,Kengetal,6,FALSE)</f>
        <v>0</v>
      </c>
      <c r="AA386" s="751">
        <f>VLOOKUP(S386,Kengetal,7,FALSE)</f>
        <v>0</v>
      </c>
      <c r="AB386" s="605">
        <f>VLOOKUP(T386,Kengetal,6,FALSE)</f>
        <v>0</v>
      </c>
      <c r="AC386" s="607"/>
      <c r="AD386" s="591" t="str">
        <f>AL386</f>
        <v>Friesland College</v>
      </c>
      <c r="AE386" s="608"/>
      <c r="AF386" s="639" t="s">
        <v>954</v>
      </c>
      <c r="AG386" s="639" t="str">
        <f t="shared" si="233"/>
        <v>18,5</v>
      </c>
      <c r="AH386" s="639">
        <v>0</v>
      </c>
      <c r="AI386" s="640"/>
      <c r="AJ386" s="641">
        <v>6.5600999999999994</v>
      </c>
      <c r="AK386" s="642"/>
      <c r="AL386" s="642" t="s">
        <v>364</v>
      </c>
      <c r="AM386" s="643"/>
      <c r="AN386" s="642"/>
      <c r="AO386" s="644">
        <v>379</v>
      </c>
      <c r="AP386" s="565"/>
      <c r="AQ386" s="566"/>
      <c r="AR386" s="566"/>
      <c r="AS386" s="566"/>
      <c r="AT386" s="566"/>
      <c r="AU386" s="566"/>
      <c r="AV386" s="566"/>
      <c r="AW386" s="566"/>
      <c r="AX386" s="566"/>
      <c r="AY386" s="566"/>
      <c r="AZ386" s="566"/>
      <c r="BA386" s="566"/>
      <c r="BB386" s="566"/>
      <c r="BC386" s="566"/>
      <c r="BD386" s="566"/>
      <c r="BE386" s="566"/>
      <c r="BF386" s="566"/>
      <c r="BG386" s="566"/>
    </row>
    <row r="387" spans="1:59">
      <c r="A387" s="591"/>
      <c r="B387" s="618"/>
      <c r="C387" s="609"/>
      <c r="D387" s="594">
        <v>1</v>
      </c>
      <c r="E387" s="595" t="s">
        <v>366</v>
      </c>
      <c r="F387" s="593" t="s">
        <v>368</v>
      </c>
      <c r="G387" s="610">
        <v>215</v>
      </c>
      <c r="H387" s="610" t="s">
        <v>610</v>
      </c>
      <c r="I387" s="610"/>
      <c r="J387" s="610"/>
      <c r="K387" s="610"/>
      <c r="L387" s="611" t="s">
        <v>849</v>
      </c>
      <c r="M387" s="612">
        <f>VLOOKUP(S387,Kengetal,4,FALSE)</f>
        <v>0</v>
      </c>
      <c r="N387" s="613"/>
      <c r="O387" s="614" t="s">
        <v>1032</v>
      </c>
      <c r="P387" s="615">
        <v>100</v>
      </c>
      <c r="Q387" s="616">
        <f t="shared" si="265"/>
        <v>18.5</v>
      </c>
      <c r="R387" s="613"/>
      <c r="S387" s="603"/>
      <c r="T387" s="606"/>
      <c r="U387" s="606"/>
      <c r="V387" s="593">
        <f t="shared" si="235"/>
        <v>0</v>
      </c>
      <c r="W387" s="606"/>
      <c r="X387" s="606"/>
      <c r="Y387" s="606"/>
      <c r="Z387" s="606"/>
      <c r="AA387" s="606"/>
      <c r="AB387" s="606"/>
      <c r="AC387" s="607"/>
      <c r="AD387" s="606"/>
      <c r="AE387" s="608"/>
      <c r="AF387" s="639" t="s">
        <v>954</v>
      </c>
      <c r="AG387" s="639" t="str">
        <f t="shared" si="233"/>
        <v>18,5</v>
      </c>
      <c r="AH387" s="639">
        <v>0</v>
      </c>
      <c r="AI387" s="640"/>
      <c r="AJ387" s="641">
        <v>6.5600999999999994</v>
      </c>
      <c r="AK387" s="642"/>
      <c r="AL387" s="642" t="s">
        <v>364</v>
      </c>
      <c r="AM387" s="643"/>
      <c r="AN387" s="642"/>
      <c r="AO387" s="644">
        <v>380</v>
      </c>
      <c r="AP387" s="565"/>
      <c r="AQ387" s="566"/>
      <c r="AR387" s="566"/>
      <c r="AS387" s="566"/>
      <c r="AT387" s="566"/>
      <c r="AU387" s="566"/>
      <c r="AV387" s="566"/>
      <c r="AW387" s="566"/>
      <c r="AX387" s="566"/>
      <c r="AY387" s="566"/>
      <c r="AZ387" s="566"/>
      <c r="BA387" s="566"/>
      <c r="BB387" s="566"/>
      <c r="BC387" s="566"/>
      <c r="BD387" s="566"/>
      <c r="BE387" s="566"/>
      <c r="BF387" s="566"/>
      <c r="BG387" s="566"/>
    </row>
    <row r="388" spans="1:59">
      <c r="A388" s="591"/>
      <c r="B388" s="592"/>
      <c r="C388" s="593"/>
      <c r="D388" s="594">
        <v>1</v>
      </c>
      <c r="E388" s="595" t="s">
        <v>366</v>
      </c>
      <c r="F388" s="593" t="s">
        <v>368</v>
      </c>
      <c r="G388" s="596">
        <v>216</v>
      </c>
      <c r="H388" s="596" t="s">
        <v>1033</v>
      </c>
      <c r="I388" s="596"/>
      <c r="J388" s="596"/>
      <c r="K388" s="596"/>
      <c r="L388" s="591" t="s">
        <v>808</v>
      </c>
      <c r="M388" s="597" t="str">
        <f t="shared" ref="M388" si="266">VLOOKUP(S388,Kengetal,4,FALSE)</f>
        <v>Onderwijsruimte (theorie)</v>
      </c>
      <c r="N388" s="591" t="s">
        <v>78</v>
      </c>
      <c r="O388" s="598"/>
      <c r="P388" s="599"/>
      <c r="Q388" s="600">
        <f t="shared" si="265"/>
        <v>0</v>
      </c>
      <c r="R388" s="601" t="str">
        <f>AF388</f>
        <v>18,5</v>
      </c>
      <c r="S388" s="647">
        <v>102200</v>
      </c>
      <c r="T388" s="602"/>
      <c r="U388" s="645">
        <v>1</v>
      </c>
      <c r="V388" s="593">
        <f t="shared" si="235"/>
        <v>200</v>
      </c>
      <c r="W388" s="604">
        <f>Z388*R388*U388</f>
        <v>0</v>
      </c>
      <c r="X388" s="604">
        <f>AA388*R388</f>
        <v>0</v>
      </c>
      <c r="Y388" s="604">
        <f>AB388*R388</f>
        <v>0</v>
      </c>
      <c r="Z388" s="605">
        <f>VLOOKUP(S388,Kengetal,6,FALSE)</f>
        <v>0</v>
      </c>
      <c r="AA388" s="751">
        <f>VLOOKUP(S388,Kengetal,7,FALSE)</f>
        <v>0</v>
      </c>
      <c r="AB388" s="605">
        <f>VLOOKUP(T388,Kengetal,6,FALSE)</f>
        <v>0</v>
      </c>
      <c r="AC388" s="607"/>
      <c r="AD388" s="591" t="str">
        <f>AL388</f>
        <v>Friesland College</v>
      </c>
      <c r="AE388" s="608"/>
      <c r="AF388" s="639" t="s">
        <v>954</v>
      </c>
      <c r="AG388" s="639" t="str">
        <f t="shared" si="233"/>
        <v>18,5</v>
      </c>
      <c r="AH388" s="639">
        <v>0</v>
      </c>
      <c r="AI388" s="640"/>
      <c r="AJ388" s="641">
        <v>6.5600999999999994</v>
      </c>
      <c r="AK388" s="642"/>
      <c r="AL388" s="642" t="s">
        <v>364</v>
      </c>
      <c r="AM388" s="643"/>
      <c r="AN388" s="642"/>
      <c r="AO388" s="644">
        <v>381</v>
      </c>
      <c r="AP388" s="565"/>
      <c r="AQ388" s="566"/>
      <c r="AR388" s="566"/>
      <c r="AS388" s="566"/>
      <c r="AT388" s="566"/>
      <c r="AU388" s="566"/>
      <c r="AV388" s="566"/>
      <c r="AW388" s="566"/>
      <c r="AX388" s="566"/>
      <c r="AY388" s="566"/>
      <c r="AZ388" s="566"/>
      <c r="BA388" s="566"/>
      <c r="BB388" s="566"/>
      <c r="BC388" s="566"/>
      <c r="BD388" s="566"/>
      <c r="BE388" s="566"/>
      <c r="BF388" s="566"/>
      <c r="BG388" s="566"/>
    </row>
    <row r="389" spans="1:59">
      <c r="A389" s="591"/>
      <c r="B389" s="618"/>
      <c r="C389" s="609"/>
      <c r="D389" s="594">
        <v>1</v>
      </c>
      <c r="E389" s="595" t="s">
        <v>366</v>
      </c>
      <c r="F389" s="593" t="s">
        <v>368</v>
      </c>
      <c r="G389" s="610">
        <v>216</v>
      </c>
      <c r="H389" s="610" t="s">
        <v>1033</v>
      </c>
      <c r="I389" s="610"/>
      <c r="J389" s="610"/>
      <c r="K389" s="610"/>
      <c r="L389" s="611" t="s">
        <v>808</v>
      </c>
      <c r="M389" s="612">
        <f>VLOOKUP(S389,Kengetal,4,FALSE)</f>
        <v>0</v>
      </c>
      <c r="N389" s="613"/>
      <c r="O389" s="614" t="s">
        <v>1023</v>
      </c>
      <c r="P389" s="615">
        <v>100</v>
      </c>
      <c r="Q389" s="616">
        <f t="shared" si="265"/>
        <v>18.5</v>
      </c>
      <c r="R389" s="613"/>
      <c r="S389" s="603"/>
      <c r="T389" s="606"/>
      <c r="U389" s="606"/>
      <c r="V389" s="593">
        <f t="shared" si="235"/>
        <v>0</v>
      </c>
      <c r="W389" s="606"/>
      <c r="X389" s="606"/>
      <c r="Y389" s="606"/>
      <c r="Z389" s="606"/>
      <c r="AA389" s="606"/>
      <c r="AB389" s="606"/>
      <c r="AC389" s="607"/>
      <c r="AD389" s="606"/>
      <c r="AE389" s="608"/>
      <c r="AF389" s="639" t="s">
        <v>954</v>
      </c>
      <c r="AG389" s="639" t="str">
        <f t="shared" si="233"/>
        <v>18,5</v>
      </c>
      <c r="AH389" s="639">
        <v>0</v>
      </c>
      <c r="AI389" s="640"/>
      <c r="AJ389" s="641">
        <v>6.5600999999999994</v>
      </c>
      <c r="AK389" s="642"/>
      <c r="AL389" s="642" t="s">
        <v>364</v>
      </c>
      <c r="AM389" s="643"/>
      <c r="AN389" s="642"/>
      <c r="AO389" s="644">
        <v>382</v>
      </c>
      <c r="AP389" s="565"/>
      <c r="AQ389" s="566"/>
      <c r="AR389" s="566"/>
      <c r="AS389" s="566"/>
      <c r="AT389" s="566"/>
      <c r="AU389" s="566"/>
      <c r="AV389" s="566"/>
      <c r="AW389" s="566"/>
      <c r="AX389" s="566"/>
      <c r="AY389" s="566"/>
      <c r="AZ389" s="566"/>
      <c r="BA389" s="566"/>
      <c r="BB389" s="566"/>
      <c r="BC389" s="566"/>
      <c r="BD389" s="566"/>
      <c r="BE389" s="566"/>
      <c r="BF389" s="566"/>
      <c r="BG389" s="566"/>
    </row>
    <row r="390" spans="1:59">
      <c r="A390" s="591"/>
      <c r="B390" s="592"/>
      <c r="C390" s="593"/>
      <c r="D390" s="594">
        <v>1</v>
      </c>
      <c r="E390" s="595" t="s">
        <v>366</v>
      </c>
      <c r="F390" s="593" t="s">
        <v>368</v>
      </c>
      <c r="G390" s="596">
        <v>217</v>
      </c>
      <c r="H390" s="596" t="s">
        <v>589</v>
      </c>
      <c r="I390" s="596"/>
      <c r="J390" s="596"/>
      <c r="K390" s="596"/>
      <c r="L390" s="591" t="s">
        <v>861</v>
      </c>
      <c r="M390" s="597" t="str">
        <f t="shared" ref="M390:M392" si="267">VLOOKUP(S390,Kengetal,4,FALSE)</f>
        <v>Trappenhuis-bordes</v>
      </c>
      <c r="N390" s="591" t="s">
        <v>343</v>
      </c>
      <c r="O390" s="598"/>
      <c r="P390" s="599"/>
      <c r="Q390" s="600">
        <f t="shared" si="265"/>
        <v>0</v>
      </c>
      <c r="R390" s="601">
        <f t="shared" ref="R390:R396" si="268">AF390</f>
        <v>35.56</v>
      </c>
      <c r="S390" s="647">
        <v>108200</v>
      </c>
      <c r="T390" s="602"/>
      <c r="U390" s="645">
        <v>1</v>
      </c>
      <c r="V390" s="593">
        <f t="shared" si="235"/>
        <v>200</v>
      </c>
      <c r="W390" s="604">
        <f t="shared" ref="W390:W397" si="269">Z390*R390*U390</f>
        <v>0</v>
      </c>
      <c r="X390" s="604">
        <f t="shared" ref="X390:X397" si="270">AA390*R390</f>
        <v>0</v>
      </c>
      <c r="Y390" s="604">
        <f t="shared" ref="Y390:Y397" si="271">AB390*R390</f>
        <v>0</v>
      </c>
      <c r="Z390" s="605">
        <f t="shared" ref="Z390:Z397" si="272">VLOOKUP(S390,Kengetal,6,FALSE)</f>
        <v>0</v>
      </c>
      <c r="AA390" s="751">
        <f t="shared" ref="AA390:AA397" si="273">VLOOKUP(S390,Kengetal,7,FALSE)</f>
        <v>0</v>
      </c>
      <c r="AB390" s="605">
        <f t="shared" ref="AB390:AB397" si="274">VLOOKUP(T390,Kengetal,6,FALSE)</f>
        <v>0</v>
      </c>
      <c r="AC390" s="607"/>
      <c r="AD390" s="591" t="str">
        <f t="shared" ref="AD390:AD397" si="275">AL390</f>
        <v>Friesland College</v>
      </c>
      <c r="AE390" s="608"/>
      <c r="AF390" s="639">
        <v>35.56</v>
      </c>
      <c r="AG390" s="639">
        <f t="shared" si="233"/>
        <v>35.56</v>
      </c>
      <c r="AH390" s="639">
        <v>0</v>
      </c>
      <c r="AI390" s="640"/>
      <c r="AJ390" s="641">
        <v>24.212804000000002</v>
      </c>
      <c r="AK390" s="642"/>
      <c r="AL390" s="642" t="s">
        <v>364</v>
      </c>
      <c r="AM390" s="643"/>
      <c r="AN390" s="642"/>
      <c r="AO390" s="644">
        <v>383</v>
      </c>
      <c r="AP390" s="565"/>
      <c r="AQ390" s="566"/>
      <c r="AR390" s="566"/>
      <c r="AS390" s="566"/>
      <c r="AT390" s="566"/>
      <c r="AU390" s="566"/>
      <c r="AV390" s="566"/>
      <c r="AW390" s="566"/>
      <c r="AX390" s="566"/>
      <c r="AY390" s="566"/>
      <c r="AZ390" s="566"/>
      <c r="BA390" s="566"/>
      <c r="BB390" s="566"/>
      <c r="BC390" s="566"/>
      <c r="BD390" s="566"/>
      <c r="BE390" s="566"/>
      <c r="BF390" s="566"/>
      <c r="BG390" s="566"/>
    </row>
    <row r="391" spans="1:59">
      <c r="A391" s="591"/>
      <c r="B391" s="592"/>
      <c r="C391" s="593"/>
      <c r="D391" s="594">
        <v>1</v>
      </c>
      <c r="E391" s="595" t="s">
        <v>366</v>
      </c>
      <c r="F391" s="593" t="s">
        <v>368</v>
      </c>
      <c r="G391" s="596">
        <v>218</v>
      </c>
      <c r="H391" s="596" t="s">
        <v>589</v>
      </c>
      <c r="I391" s="596"/>
      <c r="J391" s="596"/>
      <c r="K391" s="596"/>
      <c r="L391" s="591" t="s">
        <v>862</v>
      </c>
      <c r="M391" s="597" t="str">
        <f t="shared" si="267"/>
        <v>Trappenhuis-bordes</v>
      </c>
      <c r="N391" s="591" t="s">
        <v>343</v>
      </c>
      <c r="O391" s="598"/>
      <c r="P391" s="599"/>
      <c r="Q391" s="600">
        <f t="shared" si="265"/>
        <v>0</v>
      </c>
      <c r="R391" s="601">
        <f t="shared" si="268"/>
        <v>28.15</v>
      </c>
      <c r="S391" s="647">
        <v>108200</v>
      </c>
      <c r="T391" s="602"/>
      <c r="U391" s="645">
        <v>1</v>
      </c>
      <c r="V391" s="593">
        <f t="shared" si="235"/>
        <v>200</v>
      </c>
      <c r="W391" s="604">
        <f t="shared" si="269"/>
        <v>0</v>
      </c>
      <c r="X391" s="604">
        <f t="shared" si="270"/>
        <v>0</v>
      </c>
      <c r="Y391" s="604">
        <f t="shared" si="271"/>
        <v>0</v>
      </c>
      <c r="Z391" s="605">
        <f t="shared" si="272"/>
        <v>0</v>
      </c>
      <c r="AA391" s="751">
        <f t="shared" si="273"/>
        <v>0</v>
      </c>
      <c r="AB391" s="605">
        <f t="shared" si="274"/>
        <v>0</v>
      </c>
      <c r="AC391" s="607"/>
      <c r="AD391" s="591" t="str">
        <f t="shared" si="275"/>
        <v>Friesland College</v>
      </c>
      <c r="AE391" s="608"/>
      <c r="AF391" s="639">
        <v>28.15</v>
      </c>
      <c r="AG391" s="639">
        <f t="shared" si="233"/>
        <v>28.15</v>
      </c>
      <c r="AH391" s="639">
        <v>0</v>
      </c>
      <c r="AI391" s="640"/>
      <c r="AJ391" s="641">
        <v>19.167334999999998</v>
      </c>
      <c r="AK391" s="642"/>
      <c r="AL391" s="642" t="s">
        <v>364</v>
      </c>
      <c r="AM391" s="643"/>
      <c r="AN391" s="642"/>
      <c r="AO391" s="644">
        <v>384</v>
      </c>
      <c r="AP391" s="565"/>
      <c r="AQ391" s="566"/>
      <c r="AR391" s="566"/>
      <c r="AS391" s="566"/>
      <c r="AT391" s="566"/>
      <c r="AU391" s="566"/>
      <c r="AV391" s="566"/>
      <c r="AW391" s="566"/>
      <c r="AX391" s="566"/>
      <c r="AY391" s="566"/>
      <c r="AZ391" s="566"/>
      <c r="BA391" s="566"/>
      <c r="BB391" s="566"/>
      <c r="BC391" s="566"/>
      <c r="BD391" s="566"/>
      <c r="BE391" s="566"/>
      <c r="BF391" s="566"/>
      <c r="BG391" s="566"/>
    </row>
    <row r="392" spans="1:59">
      <c r="A392" s="591"/>
      <c r="B392" s="592"/>
      <c r="C392" s="593"/>
      <c r="D392" s="594">
        <v>1</v>
      </c>
      <c r="E392" s="595" t="s">
        <v>366</v>
      </c>
      <c r="F392" s="593" t="s">
        <v>368</v>
      </c>
      <c r="G392" s="596">
        <v>219</v>
      </c>
      <c r="H392" s="596" t="s">
        <v>589</v>
      </c>
      <c r="I392" s="596"/>
      <c r="J392" s="596"/>
      <c r="K392" s="596"/>
      <c r="L392" s="591" t="s">
        <v>853</v>
      </c>
      <c r="M392" s="597" t="str">
        <f t="shared" si="267"/>
        <v>Trappenhuis-bordes</v>
      </c>
      <c r="N392" s="591" t="s">
        <v>945</v>
      </c>
      <c r="O392" s="598"/>
      <c r="P392" s="599"/>
      <c r="Q392" s="600">
        <f t="shared" si="265"/>
        <v>0</v>
      </c>
      <c r="R392" s="601">
        <f t="shared" si="268"/>
        <v>12.2</v>
      </c>
      <c r="S392" s="647">
        <v>108200</v>
      </c>
      <c r="T392" s="602"/>
      <c r="U392" s="645">
        <v>1</v>
      </c>
      <c r="V392" s="593">
        <f t="shared" si="235"/>
        <v>200</v>
      </c>
      <c r="W392" s="604">
        <f t="shared" si="269"/>
        <v>0</v>
      </c>
      <c r="X392" s="604">
        <f t="shared" si="270"/>
        <v>0</v>
      </c>
      <c r="Y392" s="604">
        <f t="shared" si="271"/>
        <v>0</v>
      </c>
      <c r="Z392" s="605">
        <f t="shared" si="272"/>
        <v>0</v>
      </c>
      <c r="AA392" s="751">
        <f t="shared" si="273"/>
        <v>0</v>
      </c>
      <c r="AB392" s="605">
        <f t="shared" si="274"/>
        <v>0</v>
      </c>
      <c r="AC392" s="607"/>
      <c r="AD392" s="591" t="str">
        <f t="shared" si="275"/>
        <v>Friesland College</v>
      </c>
      <c r="AE392" s="608"/>
      <c r="AF392" s="639">
        <v>12.2</v>
      </c>
      <c r="AG392" s="639">
        <f t="shared" si="233"/>
        <v>12.2</v>
      </c>
      <c r="AH392" s="639">
        <v>0</v>
      </c>
      <c r="AI392" s="640"/>
      <c r="AJ392" s="641">
        <v>8.3069799999999994</v>
      </c>
      <c r="AK392" s="642"/>
      <c r="AL392" s="642" t="s">
        <v>364</v>
      </c>
      <c r="AM392" s="643"/>
      <c r="AN392" s="642"/>
      <c r="AO392" s="644">
        <v>385</v>
      </c>
      <c r="AP392" s="565"/>
      <c r="AQ392" s="566"/>
      <c r="AR392" s="566"/>
      <c r="AS392" s="566"/>
      <c r="AT392" s="566"/>
      <c r="AU392" s="566"/>
      <c r="AV392" s="566"/>
      <c r="AW392" s="566"/>
      <c r="AX392" s="566"/>
      <c r="AY392" s="566"/>
      <c r="AZ392" s="566"/>
      <c r="BA392" s="566"/>
      <c r="BB392" s="566"/>
      <c r="BC392" s="566"/>
      <c r="BD392" s="566"/>
      <c r="BE392" s="566"/>
      <c r="BF392" s="566"/>
      <c r="BG392" s="566"/>
    </row>
    <row r="393" spans="1:59">
      <c r="A393" s="591"/>
      <c r="B393" s="592"/>
      <c r="C393" s="593"/>
      <c r="D393" s="594">
        <v>1</v>
      </c>
      <c r="E393" s="595" t="s">
        <v>366</v>
      </c>
      <c r="F393" s="593" t="s">
        <v>369</v>
      </c>
      <c r="G393" s="596">
        <v>301</v>
      </c>
      <c r="H393" s="596" t="s">
        <v>589</v>
      </c>
      <c r="I393" s="596"/>
      <c r="J393" s="596"/>
      <c r="K393" s="596"/>
      <c r="L393" s="591" t="s">
        <v>854</v>
      </c>
      <c r="M393" s="597" t="str">
        <f>VLOOKUP(S393,Kengetal,4,FALSE)</f>
        <v>Lift</v>
      </c>
      <c r="N393" s="591" t="s">
        <v>78</v>
      </c>
      <c r="O393" s="598"/>
      <c r="P393" s="599"/>
      <c r="Q393" s="600">
        <f t="shared" si="265"/>
        <v>0</v>
      </c>
      <c r="R393" s="601">
        <f t="shared" si="268"/>
        <v>45</v>
      </c>
      <c r="S393" s="647">
        <v>109200</v>
      </c>
      <c r="T393" s="602"/>
      <c r="U393" s="645">
        <v>1</v>
      </c>
      <c r="V393" s="593">
        <f t="shared" si="235"/>
        <v>200</v>
      </c>
      <c r="W393" s="604">
        <f t="shared" si="269"/>
        <v>0</v>
      </c>
      <c r="X393" s="604">
        <f t="shared" si="270"/>
        <v>0</v>
      </c>
      <c r="Y393" s="604">
        <f t="shared" si="271"/>
        <v>0</v>
      </c>
      <c r="Z393" s="605">
        <f t="shared" si="272"/>
        <v>0</v>
      </c>
      <c r="AA393" s="751">
        <f t="shared" si="273"/>
        <v>0</v>
      </c>
      <c r="AB393" s="605">
        <f t="shared" si="274"/>
        <v>0</v>
      </c>
      <c r="AC393" s="607"/>
      <c r="AD393" s="591" t="str">
        <f t="shared" si="275"/>
        <v>Friesland College</v>
      </c>
      <c r="AE393" s="608"/>
      <c r="AF393" s="639">
        <v>45</v>
      </c>
      <c r="AG393" s="639">
        <f t="shared" si="233"/>
        <v>45</v>
      </c>
      <c r="AH393" s="639">
        <v>0</v>
      </c>
      <c r="AI393" s="640"/>
      <c r="AJ393" s="641">
        <v>17.469000000000001</v>
      </c>
      <c r="AK393" s="642"/>
      <c r="AL393" s="642" t="s">
        <v>364</v>
      </c>
      <c r="AM393" s="643"/>
      <c r="AN393" s="642"/>
      <c r="AO393" s="644">
        <v>386</v>
      </c>
      <c r="AP393" s="565"/>
      <c r="AQ393" s="566"/>
      <c r="AR393" s="566"/>
      <c r="AS393" s="566"/>
      <c r="AT393" s="566"/>
      <c r="AU393" s="566"/>
      <c r="AV393" s="566"/>
      <c r="AW393" s="566"/>
      <c r="AX393" s="566"/>
      <c r="AY393" s="566"/>
      <c r="AZ393" s="566"/>
      <c r="BA393" s="566"/>
      <c r="BB393" s="566"/>
      <c r="BC393" s="566"/>
      <c r="BD393" s="566"/>
      <c r="BE393" s="566"/>
      <c r="BF393" s="566"/>
      <c r="BG393" s="566"/>
    </row>
    <row r="394" spans="1:59">
      <c r="A394" s="591"/>
      <c r="B394" s="592"/>
      <c r="C394" s="593"/>
      <c r="D394" s="594">
        <v>1</v>
      </c>
      <c r="E394" s="595" t="s">
        <v>366</v>
      </c>
      <c r="F394" s="593" t="s">
        <v>369</v>
      </c>
      <c r="G394" s="596">
        <v>302</v>
      </c>
      <c r="H394" s="596" t="s">
        <v>589</v>
      </c>
      <c r="I394" s="596"/>
      <c r="J394" s="596"/>
      <c r="K394" s="596"/>
      <c r="L394" s="591" t="s">
        <v>839</v>
      </c>
      <c r="M394" s="597" t="str">
        <f t="shared" ref="M394:M397" si="276">VLOOKUP(S394,Kengetal,4,FALSE)</f>
        <v>Gang, hal, pantry, aula, repro, gardarobe</v>
      </c>
      <c r="N394" s="591" t="s">
        <v>945</v>
      </c>
      <c r="O394" s="598"/>
      <c r="P394" s="599"/>
      <c r="Q394" s="600">
        <f t="shared" si="265"/>
        <v>0</v>
      </c>
      <c r="R394" s="601">
        <f t="shared" si="268"/>
        <v>24.4</v>
      </c>
      <c r="S394" s="647">
        <v>104200</v>
      </c>
      <c r="T394" s="602"/>
      <c r="U394" s="645">
        <v>1</v>
      </c>
      <c r="V394" s="593">
        <f t="shared" si="235"/>
        <v>200</v>
      </c>
      <c r="W394" s="604">
        <f t="shared" si="269"/>
        <v>0</v>
      </c>
      <c r="X394" s="604">
        <f t="shared" si="270"/>
        <v>0</v>
      </c>
      <c r="Y394" s="604">
        <f t="shared" si="271"/>
        <v>0</v>
      </c>
      <c r="Z394" s="605">
        <f t="shared" si="272"/>
        <v>0</v>
      </c>
      <c r="AA394" s="751">
        <f t="shared" si="273"/>
        <v>0</v>
      </c>
      <c r="AB394" s="605">
        <f t="shared" si="274"/>
        <v>0</v>
      </c>
      <c r="AC394" s="607"/>
      <c r="AD394" s="591" t="str">
        <f t="shared" si="275"/>
        <v>Friesland College</v>
      </c>
      <c r="AE394" s="608"/>
      <c r="AF394" s="639">
        <v>24.4</v>
      </c>
      <c r="AG394" s="639">
        <f t="shared" si="233"/>
        <v>24.4</v>
      </c>
      <c r="AH394" s="639">
        <v>0</v>
      </c>
      <c r="AI394" s="640"/>
      <c r="AJ394" s="641">
        <v>9.4720799999999983</v>
      </c>
      <c r="AK394" s="642"/>
      <c r="AL394" s="642" t="s">
        <v>364</v>
      </c>
      <c r="AM394" s="643"/>
      <c r="AN394" s="642"/>
      <c r="AO394" s="644">
        <v>387</v>
      </c>
      <c r="AP394" s="565"/>
      <c r="AQ394" s="566"/>
      <c r="AR394" s="566"/>
      <c r="AS394" s="566"/>
      <c r="AT394" s="566"/>
      <c r="AU394" s="566"/>
      <c r="AV394" s="566"/>
      <c r="AW394" s="566"/>
      <c r="AX394" s="566"/>
      <c r="AY394" s="566"/>
      <c r="AZ394" s="566"/>
      <c r="BA394" s="566"/>
      <c r="BB394" s="566"/>
      <c r="BC394" s="566"/>
      <c r="BD394" s="566"/>
      <c r="BE394" s="566"/>
      <c r="BF394" s="566"/>
      <c r="BG394" s="566"/>
    </row>
    <row r="395" spans="1:59">
      <c r="A395" s="591"/>
      <c r="B395" s="592"/>
      <c r="C395" s="593"/>
      <c r="D395" s="594">
        <v>1</v>
      </c>
      <c r="E395" s="595" t="s">
        <v>366</v>
      </c>
      <c r="F395" s="593" t="s">
        <v>369</v>
      </c>
      <c r="G395" s="596">
        <v>303</v>
      </c>
      <c r="H395" s="596" t="s">
        <v>589</v>
      </c>
      <c r="I395" s="596"/>
      <c r="J395" s="596"/>
      <c r="K395" s="596"/>
      <c r="L395" s="591" t="s">
        <v>773</v>
      </c>
      <c r="M395" s="597" t="str">
        <f t="shared" si="276"/>
        <v>Sanitaire ruimte (toilet-/doucheruimte)</v>
      </c>
      <c r="N395" s="591" t="s">
        <v>945</v>
      </c>
      <c r="O395" s="598"/>
      <c r="P395" s="599"/>
      <c r="Q395" s="600">
        <f t="shared" si="265"/>
        <v>0</v>
      </c>
      <c r="R395" s="601">
        <f t="shared" si="268"/>
        <v>11.5</v>
      </c>
      <c r="S395" s="647">
        <v>103200</v>
      </c>
      <c r="T395" s="647">
        <v>103400</v>
      </c>
      <c r="U395" s="645">
        <v>1</v>
      </c>
      <c r="V395" s="593">
        <f t="shared" ref="V395:V397" si="277">VLOOKUP(S395,Kengetal,3,FALSE)+VLOOKUP(T395,Kengetal,3,FALSE)</f>
        <v>400</v>
      </c>
      <c r="W395" s="604">
        <f t="shared" si="269"/>
        <v>0</v>
      </c>
      <c r="X395" s="604">
        <f t="shared" si="270"/>
        <v>0</v>
      </c>
      <c r="Y395" s="604">
        <f t="shared" si="271"/>
        <v>0</v>
      </c>
      <c r="Z395" s="605">
        <f t="shared" si="272"/>
        <v>0</v>
      </c>
      <c r="AA395" s="751">
        <f t="shared" si="273"/>
        <v>0</v>
      </c>
      <c r="AB395" s="605">
        <f t="shared" si="274"/>
        <v>0</v>
      </c>
      <c r="AC395" s="607"/>
      <c r="AD395" s="591" t="str">
        <f t="shared" si="275"/>
        <v>Friesland College</v>
      </c>
      <c r="AE395" s="608"/>
      <c r="AF395" s="639">
        <v>11.5</v>
      </c>
      <c r="AG395" s="639">
        <f t="shared" ref="AG395:AG416" si="278">IF(AND(C395="t"),-AF395,IF(AND(C395="v"),-AF395,IF(AND(C395="W"),-AF395,IF(AND(C395=""),AF395))))</f>
        <v>11.5</v>
      </c>
      <c r="AH395" s="639">
        <v>0</v>
      </c>
      <c r="AI395" s="640"/>
      <c r="AJ395" s="641">
        <v>59.34</v>
      </c>
      <c r="AK395" s="642"/>
      <c r="AL395" s="642" t="s">
        <v>364</v>
      </c>
      <c r="AM395" s="643"/>
      <c r="AN395" s="642"/>
      <c r="AO395" s="644">
        <v>388</v>
      </c>
      <c r="AP395" s="565"/>
      <c r="AQ395" s="566"/>
      <c r="AR395" s="566"/>
      <c r="AS395" s="566"/>
      <c r="AT395" s="566"/>
      <c r="AU395" s="566"/>
      <c r="AV395" s="566"/>
      <c r="AW395" s="566"/>
      <c r="AX395" s="566"/>
      <c r="AY395" s="566"/>
      <c r="AZ395" s="566"/>
      <c r="BA395" s="566"/>
      <c r="BB395" s="566"/>
      <c r="BC395" s="566"/>
      <c r="BD395" s="566"/>
      <c r="BE395" s="566"/>
      <c r="BF395" s="566"/>
      <c r="BG395" s="566"/>
    </row>
    <row r="396" spans="1:59">
      <c r="A396" s="591"/>
      <c r="B396" s="592"/>
      <c r="C396" s="593"/>
      <c r="D396" s="594">
        <v>1</v>
      </c>
      <c r="E396" s="595" t="s">
        <v>366</v>
      </c>
      <c r="F396" s="593" t="s">
        <v>369</v>
      </c>
      <c r="G396" s="596">
        <v>304</v>
      </c>
      <c r="H396" s="596" t="s">
        <v>589</v>
      </c>
      <c r="I396" s="596"/>
      <c r="J396" s="596"/>
      <c r="K396" s="596"/>
      <c r="L396" s="591" t="s">
        <v>773</v>
      </c>
      <c r="M396" s="597" t="str">
        <f t="shared" si="276"/>
        <v>Sanitaire ruimte (toilet-/doucheruimte)</v>
      </c>
      <c r="N396" s="591" t="s">
        <v>323</v>
      </c>
      <c r="O396" s="598"/>
      <c r="P396" s="599"/>
      <c r="Q396" s="600">
        <f t="shared" si="265"/>
        <v>0</v>
      </c>
      <c r="R396" s="601">
        <f t="shared" si="268"/>
        <v>15.5</v>
      </c>
      <c r="S396" s="647">
        <v>103200</v>
      </c>
      <c r="T396" s="647">
        <v>103400</v>
      </c>
      <c r="U396" s="645">
        <v>1</v>
      </c>
      <c r="V396" s="593">
        <f t="shared" si="277"/>
        <v>400</v>
      </c>
      <c r="W396" s="604">
        <f t="shared" si="269"/>
        <v>0</v>
      </c>
      <c r="X396" s="604">
        <f t="shared" si="270"/>
        <v>0</v>
      </c>
      <c r="Y396" s="604">
        <f t="shared" si="271"/>
        <v>0</v>
      </c>
      <c r="Z396" s="605">
        <f t="shared" si="272"/>
        <v>0</v>
      </c>
      <c r="AA396" s="751">
        <f t="shared" si="273"/>
        <v>0</v>
      </c>
      <c r="AB396" s="605">
        <f t="shared" si="274"/>
        <v>0</v>
      </c>
      <c r="AC396" s="607"/>
      <c r="AD396" s="591" t="str">
        <f t="shared" si="275"/>
        <v>Friesland College</v>
      </c>
      <c r="AE396" s="608"/>
      <c r="AF396" s="639">
        <v>15.5</v>
      </c>
      <c r="AG396" s="639">
        <f t="shared" si="278"/>
        <v>15.5</v>
      </c>
      <c r="AH396" s="639">
        <v>0</v>
      </c>
      <c r="AI396" s="640"/>
      <c r="AJ396" s="641">
        <v>79.98</v>
      </c>
      <c r="AK396" s="642"/>
      <c r="AL396" s="642" t="s">
        <v>364</v>
      </c>
      <c r="AM396" s="643"/>
      <c r="AN396" s="642"/>
      <c r="AO396" s="644">
        <v>389</v>
      </c>
      <c r="AP396" s="565"/>
      <c r="AQ396" s="566"/>
      <c r="AR396" s="566"/>
      <c r="AS396" s="566"/>
      <c r="AT396" s="566"/>
      <c r="AU396" s="566"/>
      <c r="AV396" s="566"/>
      <c r="AW396" s="566"/>
      <c r="AX396" s="566"/>
      <c r="AY396" s="566"/>
      <c r="AZ396" s="566"/>
      <c r="BA396" s="566"/>
      <c r="BB396" s="566"/>
      <c r="BC396" s="566"/>
      <c r="BD396" s="566"/>
      <c r="BE396" s="566"/>
      <c r="BF396" s="566"/>
      <c r="BG396" s="566"/>
    </row>
    <row r="397" spans="1:59">
      <c r="A397" s="591"/>
      <c r="B397" s="592"/>
      <c r="C397" s="593"/>
      <c r="D397" s="594">
        <v>1</v>
      </c>
      <c r="E397" s="595" t="s">
        <v>366</v>
      </c>
      <c r="F397" s="593" t="s">
        <v>369</v>
      </c>
      <c r="G397" s="596">
        <v>305</v>
      </c>
      <c r="H397" s="596" t="s">
        <v>612</v>
      </c>
      <c r="I397" s="596"/>
      <c r="J397" s="596"/>
      <c r="K397" s="596"/>
      <c r="L397" s="591" t="s">
        <v>863</v>
      </c>
      <c r="M397" s="597" t="str">
        <f t="shared" si="276"/>
        <v>Administratieve -, personeels- en vergaderruimte</v>
      </c>
      <c r="N397" s="591" t="s">
        <v>323</v>
      </c>
      <c r="O397" s="598"/>
      <c r="P397" s="599"/>
      <c r="Q397" s="600">
        <f t="shared" si="265"/>
        <v>0</v>
      </c>
      <c r="R397" s="601">
        <f>AF397</f>
        <v>21</v>
      </c>
      <c r="S397" s="647">
        <v>101100</v>
      </c>
      <c r="T397" s="602"/>
      <c r="U397" s="645">
        <v>1</v>
      </c>
      <c r="V397" s="593">
        <f t="shared" si="277"/>
        <v>100</v>
      </c>
      <c r="W397" s="604">
        <f t="shared" si="269"/>
        <v>0</v>
      </c>
      <c r="X397" s="604">
        <f t="shared" si="270"/>
        <v>0</v>
      </c>
      <c r="Y397" s="604">
        <f t="shared" si="271"/>
        <v>0</v>
      </c>
      <c r="Z397" s="605">
        <f t="shared" si="272"/>
        <v>0</v>
      </c>
      <c r="AA397" s="751">
        <f t="shared" si="273"/>
        <v>0</v>
      </c>
      <c r="AB397" s="605">
        <f t="shared" si="274"/>
        <v>0</v>
      </c>
      <c r="AC397" s="607"/>
      <c r="AD397" s="591" t="str">
        <f t="shared" si="275"/>
        <v>Friesland College</v>
      </c>
      <c r="AE397" s="608"/>
      <c r="AF397" s="639">
        <v>21</v>
      </c>
      <c r="AG397" s="639">
        <f t="shared" si="278"/>
        <v>21</v>
      </c>
      <c r="AH397" s="639">
        <v>0</v>
      </c>
      <c r="AI397" s="640"/>
      <c r="AJ397" s="641">
        <v>7.4465999999999992</v>
      </c>
      <c r="AK397" s="642"/>
      <c r="AL397" s="642" t="s">
        <v>364</v>
      </c>
      <c r="AM397" s="643"/>
      <c r="AN397" s="642"/>
      <c r="AO397" s="644">
        <v>390</v>
      </c>
      <c r="AP397" s="565"/>
      <c r="AQ397" s="566"/>
      <c r="AR397" s="566"/>
      <c r="AS397" s="566"/>
      <c r="AT397" s="566"/>
      <c r="AU397" s="566"/>
      <c r="AV397" s="566"/>
      <c r="AW397" s="566"/>
      <c r="AX397" s="566"/>
      <c r="AY397" s="566"/>
      <c r="AZ397" s="566"/>
      <c r="BA397" s="566"/>
      <c r="BB397" s="566"/>
      <c r="BC397" s="566"/>
      <c r="BD397" s="566"/>
      <c r="BE397" s="566"/>
      <c r="BF397" s="566"/>
      <c r="BG397" s="566"/>
    </row>
    <row r="398" spans="1:59">
      <c r="A398" s="591"/>
      <c r="B398" s="609"/>
      <c r="C398" s="609"/>
      <c r="D398" s="594">
        <v>1</v>
      </c>
      <c r="E398" s="595" t="s">
        <v>366</v>
      </c>
      <c r="F398" s="593" t="s">
        <v>369</v>
      </c>
      <c r="G398" s="610">
        <v>305</v>
      </c>
      <c r="H398" s="610" t="s">
        <v>612</v>
      </c>
      <c r="I398" s="610"/>
      <c r="J398" s="610"/>
      <c r="K398" s="610"/>
      <c r="L398" s="611" t="s">
        <v>863</v>
      </c>
      <c r="M398" s="612">
        <f>VLOOKUP(S398,Kengetal,4,FALSE)</f>
        <v>0</v>
      </c>
      <c r="N398" s="613"/>
      <c r="O398" s="614" t="s">
        <v>1034</v>
      </c>
      <c r="P398" s="615">
        <v>100</v>
      </c>
      <c r="Q398" s="616">
        <f t="shared" si="265"/>
        <v>21</v>
      </c>
      <c r="R398" s="613"/>
      <c r="S398" s="603"/>
      <c r="T398" s="606"/>
      <c r="U398" s="606"/>
      <c r="V398" s="593">
        <f t="shared" ref="V398:V416" si="279">VLOOKUP(S398,Kengetal,3,FALSE)+VLOOKUP(T398,Kengetal,3,FALSE)</f>
        <v>0</v>
      </c>
      <c r="W398" s="606"/>
      <c r="X398" s="606"/>
      <c r="Y398" s="606"/>
      <c r="Z398" s="606"/>
      <c r="AA398" s="606"/>
      <c r="AB398" s="606"/>
      <c r="AC398" s="607"/>
      <c r="AD398" s="606"/>
      <c r="AE398" s="608"/>
      <c r="AF398" s="639">
        <v>21</v>
      </c>
      <c r="AG398" s="639">
        <f t="shared" si="278"/>
        <v>21</v>
      </c>
      <c r="AH398" s="639">
        <v>0</v>
      </c>
      <c r="AI398" s="640"/>
      <c r="AJ398" s="641">
        <v>7.4465999999999992</v>
      </c>
      <c r="AK398" s="642"/>
      <c r="AL398" s="642" t="s">
        <v>364</v>
      </c>
      <c r="AM398" s="643"/>
      <c r="AN398" s="642"/>
      <c r="AO398" s="644">
        <v>391</v>
      </c>
      <c r="AP398" s="565"/>
      <c r="AQ398" s="566"/>
      <c r="AR398" s="566"/>
      <c r="AS398" s="566"/>
      <c r="AT398" s="566"/>
      <c r="AU398" s="566"/>
      <c r="AV398" s="566"/>
      <c r="AW398" s="566"/>
      <c r="AX398" s="566"/>
      <c r="AY398" s="566"/>
      <c r="AZ398" s="566"/>
      <c r="BA398" s="566"/>
      <c r="BB398" s="566"/>
      <c r="BC398" s="566"/>
      <c r="BD398" s="566"/>
      <c r="BE398" s="566"/>
      <c r="BF398" s="566"/>
      <c r="BG398" s="566"/>
    </row>
    <row r="399" spans="1:59">
      <c r="A399" s="591"/>
      <c r="B399" s="592"/>
      <c r="C399" s="593"/>
      <c r="D399" s="594">
        <v>1</v>
      </c>
      <c r="E399" s="595" t="s">
        <v>366</v>
      </c>
      <c r="F399" s="593" t="s">
        <v>369</v>
      </c>
      <c r="G399" s="596">
        <v>306</v>
      </c>
      <c r="H399" s="596" t="s">
        <v>613</v>
      </c>
      <c r="I399" s="596"/>
      <c r="J399" s="596"/>
      <c r="K399" s="596"/>
      <c r="L399" s="591" t="s">
        <v>791</v>
      </c>
      <c r="M399" s="597" t="str">
        <f t="shared" ref="M399" si="280">VLOOKUP(S399,Kengetal,4,FALSE)</f>
        <v>Gang, hal, pantry, aula, repro, gardarobe</v>
      </c>
      <c r="N399" s="591" t="s">
        <v>78</v>
      </c>
      <c r="O399" s="598"/>
      <c r="P399" s="599"/>
      <c r="Q399" s="600">
        <f t="shared" si="265"/>
        <v>0</v>
      </c>
      <c r="R399" s="601">
        <f>AF399</f>
        <v>14.6</v>
      </c>
      <c r="S399" s="647">
        <v>104200</v>
      </c>
      <c r="T399" s="602"/>
      <c r="U399" s="645">
        <v>1</v>
      </c>
      <c r="V399" s="593">
        <f t="shared" si="279"/>
        <v>200</v>
      </c>
      <c r="W399" s="604">
        <f>Z399*R399*U399</f>
        <v>0</v>
      </c>
      <c r="X399" s="604">
        <f>AA399*R399</f>
        <v>0</v>
      </c>
      <c r="Y399" s="604">
        <f>AB399*R399</f>
        <v>0</v>
      </c>
      <c r="Z399" s="605">
        <f>VLOOKUP(S399,Kengetal,6,FALSE)</f>
        <v>0</v>
      </c>
      <c r="AA399" s="751">
        <f>VLOOKUP(S399,Kengetal,7,FALSE)</f>
        <v>0</v>
      </c>
      <c r="AB399" s="605">
        <f>VLOOKUP(T399,Kengetal,6,FALSE)</f>
        <v>0</v>
      </c>
      <c r="AC399" s="607"/>
      <c r="AD399" s="591" t="str">
        <f>AL399</f>
        <v>Friesland College</v>
      </c>
      <c r="AE399" s="608"/>
      <c r="AF399" s="639">
        <v>14.6</v>
      </c>
      <c r="AG399" s="639">
        <f t="shared" si="278"/>
        <v>14.6</v>
      </c>
      <c r="AH399" s="639">
        <v>0</v>
      </c>
      <c r="AI399" s="640"/>
      <c r="AJ399" s="641">
        <v>15.499359999999999</v>
      </c>
      <c r="AK399" s="642"/>
      <c r="AL399" s="642" t="s">
        <v>364</v>
      </c>
      <c r="AM399" s="643"/>
      <c r="AN399" s="642"/>
      <c r="AO399" s="644">
        <v>392</v>
      </c>
      <c r="AP399" s="565"/>
      <c r="AQ399" s="566"/>
      <c r="AR399" s="566"/>
      <c r="AS399" s="566"/>
      <c r="AT399" s="566"/>
      <c r="AU399" s="566"/>
      <c r="AV399" s="566"/>
      <c r="AW399" s="566"/>
      <c r="AX399" s="566"/>
      <c r="AY399" s="566"/>
      <c r="AZ399" s="566"/>
      <c r="BA399" s="566"/>
      <c r="BB399" s="566"/>
      <c r="BC399" s="566"/>
      <c r="BD399" s="566"/>
      <c r="BE399" s="566"/>
      <c r="BF399" s="566"/>
      <c r="BG399" s="566"/>
    </row>
    <row r="400" spans="1:59">
      <c r="A400" s="591"/>
      <c r="B400" s="609"/>
      <c r="C400" s="609"/>
      <c r="D400" s="594">
        <v>1</v>
      </c>
      <c r="E400" s="595" t="s">
        <v>366</v>
      </c>
      <c r="F400" s="593" t="s">
        <v>369</v>
      </c>
      <c r="G400" s="610">
        <v>306</v>
      </c>
      <c r="H400" s="610" t="s">
        <v>613</v>
      </c>
      <c r="I400" s="610"/>
      <c r="J400" s="610"/>
      <c r="K400" s="610"/>
      <c r="L400" s="611" t="s">
        <v>791</v>
      </c>
      <c r="M400" s="612">
        <f>VLOOKUP(S400,Kengetal,4,FALSE)</f>
        <v>0</v>
      </c>
      <c r="N400" s="613"/>
      <c r="O400" s="614" t="s">
        <v>984</v>
      </c>
      <c r="P400" s="615">
        <v>100</v>
      </c>
      <c r="Q400" s="616">
        <f t="shared" si="265"/>
        <v>14.6</v>
      </c>
      <c r="R400" s="613"/>
      <c r="S400" s="603"/>
      <c r="T400" s="606"/>
      <c r="U400" s="606"/>
      <c r="V400" s="593">
        <f t="shared" si="279"/>
        <v>0</v>
      </c>
      <c r="W400" s="606"/>
      <c r="X400" s="606"/>
      <c r="Y400" s="606"/>
      <c r="Z400" s="606"/>
      <c r="AA400" s="606"/>
      <c r="AB400" s="606"/>
      <c r="AC400" s="607"/>
      <c r="AD400" s="606"/>
      <c r="AE400" s="608"/>
      <c r="AF400" s="639">
        <v>14.6</v>
      </c>
      <c r="AG400" s="639">
        <f t="shared" si="278"/>
        <v>14.6</v>
      </c>
      <c r="AH400" s="639">
        <v>0</v>
      </c>
      <c r="AI400" s="640"/>
      <c r="AJ400" s="641">
        <v>15.499359999999999</v>
      </c>
      <c r="AK400" s="642"/>
      <c r="AL400" s="642" t="s">
        <v>364</v>
      </c>
      <c r="AM400" s="643"/>
      <c r="AN400" s="642"/>
      <c r="AO400" s="644">
        <v>393</v>
      </c>
      <c r="AP400" s="565"/>
      <c r="AQ400" s="566"/>
      <c r="AR400" s="566"/>
      <c r="AS400" s="566"/>
      <c r="AT400" s="566"/>
      <c r="AU400" s="566"/>
      <c r="AV400" s="566"/>
      <c r="AW400" s="566"/>
      <c r="AX400" s="566"/>
      <c r="AY400" s="566"/>
      <c r="AZ400" s="566"/>
      <c r="BA400" s="566"/>
      <c r="BB400" s="566"/>
      <c r="BC400" s="566"/>
      <c r="BD400" s="566"/>
      <c r="BE400" s="566"/>
      <c r="BF400" s="566"/>
      <c r="BG400" s="566"/>
    </row>
    <row r="401" spans="1:59">
      <c r="A401" s="591"/>
      <c r="B401" s="592"/>
      <c r="C401" s="593"/>
      <c r="D401" s="594">
        <v>1</v>
      </c>
      <c r="E401" s="595" t="s">
        <v>366</v>
      </c>
      <c r="F401" s="593" t="s">
        <v>369</v>
      </c>
      <c r="G401" s="596">
        <v>307</v>
      </c>
      <c r="H401" s="596" t="s">
        <v>614</v>
      </c>
      <c r="I401" s="596"/>
      <c r="J401" s="596"/>
      <c r="K401" s="596"/>
      <c r="L401" s="591" t="s">
        <v>864</v>
      </c>
      <c r="M401" s="597" t="str">
        <f t="shared" ref="M401" si="281">VLOOKUP(S401,Kengetal,4,FALSE)</f>
        <v>Onderwijsruimte (theorie)</v>
      </c>
      <c r="N401" s="591" t="s">
        <v>945</v>
      </c>
      <c r="O401" s="598"/>
      <c r="P401" s="599"/>
      <c r="Q401" s="600">
        <f t="shared" si="265"/>
        <v>0</v>
      </c>
      <c r="R401" s="601">
        <f>AF401</f>
        <v>18</v>
      </c>
      <c r="S401" s="647">
        <v>102200</v>
      </c>
      <c r="T401" s="602"/>
      <c r="U401" s="645">
        <v>1</v>
      </c>
      <c r="V401" s="593">
        <f t="shared" si="279"/>
        <v>200</v>
      </c>
      <c r="W401" s="604">
        <f>Z401*R401*U401</f>
        <v>0</v>
      </c>
      <c r="X401" s="604">
        <f>AA401*R401</f>
        <v>0</v>
      </c>
      <c r="Y401" s="604">
        <f>AB401*R401</f>
        <v>0</v>
      </c>
      <c r="Z401" s="605">
        <f>VLOOKUP(S401,Kengetal,6,FALSE)</f>
        <v>0</v>
      </c>
      <c r="AA401" s="751">
        <f>VLOOKUP(S401,Kengetal,7,FALSE)</f>
        <v>0</v>
      </c>
      <c r="AB401" s="605">
        <f>VLOOKUP(T401,Kengetal,6,FALSE)</f>
        <v>0</v>
      </c>
      <c r="AC401" s="607"/>
      <c r="AD401" s="591" t="str">
        <f>AL401</f>
        <v>Friesland College</v>
      </c>
      <c r="AE401" s="608"/>
      <c r="AF401" s="639">
        <v>18</v>
      </c>
      <c r="AG401" s="639">
        <f t="shared" si="278"/>
        <v>18</v>
      </c>
      <c r="AH401" s="639">
        <v>0</v>
      </c>
      <c r="AI401" s="640"/>
      <c r="AJ401" s="641">
        <v>11.800800000000001</v>
      </c>
      <c r="AK401" s="642"/>
      <c r="AL401" s="642" t="s">
        <v>364</v>
      </c>
      <c r="AM401" s="643"/>
      <c r="AN401" s="642"/>
      <c r="AO401" s="644">
        <v>394</v>
      </c>
      <c r="AP401" s="565"/>
      <c r="AQ401" s="566"/>
      <c r="AR401" s="566"/>
      <c r="AS401" s="566"/>
      <c r="AT401" s="566"/>
      <c r="AU401" s="566"/>
      <c r="AV401" s="566"/>
      <c r="AW401" s="566"/>
      <c r="AX401" s="566"/>
      <c r="AY401" s="566"/>
      <c r="AZ401" s="566"/>
      <c r="BA401" s="566"/>
      <c r="BB401" s="566"/>
      <c r="BC401" s="566"/>
      <c r="BD401" s="566"/>
      <c r="BE401" s="566"/>
      <c r="BF401" s="566"/>
      <c r="BG401" s="566"/>
    </row>
    <row r="402" spans="1:59">
      <c r="A402" s="591"/>
      <c r="B402" s="609"/>
      <c r="C402" s="609"/>
      <c r="D402" s="594">
        <v>1</v>
      </c>
      <c r="E402" s="595" t="s">
        <v>366</v>
      </c>
      <c r="F402" s="593" t="s">
        <v>369</v>
      </c>
      <c r="G402" s="610">
        <v>307</v>
      </c>
      <c r="H402" s="610" t="s">
        <v>614</v>
      </c>
      <c r="I402" s="610"/>
      <c r="J402" s="610"/>
      <c r="K402" s="610"/>
      <c r="L402" s="611" t="s">
        <v>864</v>
      </c>
      <c r="M402" s="612">
        <f>VLOOKUP(S402,Kengetal,4,FALSE)</f>
        <v>0</v>
      </c>
      <c r="N402" s="613"/>
      <c r="O402" s="614" t="s">
        <v>1034</v>
      </c>
      <c r="P402" s="615">
        <v>100</v>
      </c>
      <c r="Q402" s="616">
        <f t="shared" si="265"/>
        <v>18</v>
      </c>
      <c r="R402" s="613"/>
      <c r="S402" s="603"/>
      <c r="T402" s="606"/>
      <c r="U402" s="606"/>
      <c r="V402" s="593">
        <f t="shared" si="279"/>
        <v>0</v>
      </c>
      <c r="W402" s="606"/>
      <c r="X402" s="606"/>
      <c r="Y402" s="606"/>
      <c r="Z402" s="606"/>
      <c r="AA402" s="606"/>
      <c r="AB402" s="606"/>
      <c r="AC402" s="607"/>
      <c r="AD402" s="606"/>
      <c r="AE402" s="608"/>
      <c r="AF402" s="639">
        <v>18</v>
      </c>
      <c r="AG402" s="639">
        <f t="shared" si="278"/>
        <v>18</v>
      </c>
      <c r="AH402" s="639">
        <v>0</v>
      </c>
      <c r="AI402" s="640"/>
      <c r="AJ402" s="641">
        <v>11.800800000000001</v>
      </c>
      <c r="AK402" s="642"/>
      <c r="AL402" s="642" t="s">
        <v>364</v>
      </c>
      <c r="AM402" s="643"/>
      <c r="AN402" s="642"/>
      <c r="AO402" s="644">
        <v>395</v>
      </c>
      <c r="AP402" s="565"/>
      <c r="AQ402" s="566"/>
      <c r="AR402" s="566"/>
      <c r="AS402" s="566"/>
      <c r="AT402" s="566"/>
      <c r="AU402" s="566"/>
      <c r="AV402" s="566"/>
      <c r="AW402" s="566"/>
      <c r="AX402" s="566"/>
      <c r="AY402" s="566"/>
      <c r="AZ402" s="566"/>
      <c r="BA402" s="566"/>
      <c r="BB402" s="566"/>
      <c r="BC402" s="566"/>
      <c r="BD402" s="566"/>
      <c r="BE402" s="566"/>
      <c r="BF402" s="566"/>
      <c r="BG402" s="566"/>
    </row>
    <row r="403" spans="1:59">
      <c r="A403" s="591"/>
      <c r="B403" s="592"/>
      <c r="C403" s="593"/>
      <c r="D403" s="594">
        <v>1</v>
      </c>
      <c r="E403" s="595" t="s">
        <v>366</v>
      </c>
      <c r="F403" s="593" t="s">
        <v>369</v>
      </c>
      <c r="G403" s="596">
        <v>308</v>
      </c>
      <c r="H403" s="596" t="s">
        <v>615</v>
      </c>
      <c r="I403" s="596"/>
      <c r="J403" s="596"/>
      <c r="K403" s="596"/>
      <c r="L403" s="591" t="s">
        <v>848</v>
      </c>
      <c r="M403" s="597" t="str">
        <f t="shared" ref="M403" si="282">VLOOKUP(S403,Kengetal,4,FALSE)</f>
        <v>Onderwijsruimte (theorie)</v>
      </c>
      <c r="N403" s="591" t="s">
        <v>78</v>
      </c>
      <c r="O403" s="598"/>
      <c r="P403" s="599"/>
      <c r="Q403" s="600">
        <f t="shared" si="265"/>
        <v>0</v>
      </c>
      <c r="R403" s="601">
        <f>AF403</f>
        <v>297</v>
      </c>
      <c r="S403" s="647">
        <v>102200</v>
      </c>
      <c r="T403" s="602"/>
      <c r="U403" s="645">
        <v>1</v>
      </c>
      <c r="V403" s="593">
        <f t="shared" si="279"/>
        <v>200</v>
      </c>
      <c r="W403" s="604">
        <f>Z403*R403*U403</f>
        <v>0</v>
      </c>
      <c r="X403" s="604">
        <f>AA403*R403</f>
        <v>0</v>
      </c>
      <c r="Y403" s="604">
        <f>AB403*R403</f>
        <v>0</v>
      </c>
      <c r="Z403" s="605">
        <f>VLOOKUP(S403,Kengetal,6,FALSE)</f>
        <v>0</v>
      </c>
      <c r="AA403" s="751">
        <f>VLOOKUP(S403,Kengetal,7,FALSE)</f>
        <v>0</v>
      </c>
      <c r="AB403" s="605">
        <f>VLOOKUP(T403,Kengetal,6,FALSE)</f>
        <v>0</v>
      </c>
      <c r="AC403" s="607"/>
      <c r="AD403" s="591" t="str">
        <f>AL403</f>
        <v>Friesland College</v>
      </c>
      <c r="AE403" s="608"/>
      <c r="AF403" s="639">
        <v>297</v>
      </c>
      <c r="AG403" s="639">
        <f t="shared" si="278"/>
        <v>297</v>
      </c>
      <c r="AH403" s="639">
        <v>0</v>
      </c>
      <c r="AI403" s="640"/>
      <c r="AJ403" s="641">
        <v>194.7132</v>
      </c>
      <c r="AK403" s="642"/>
      <c r="AL403" s="642" t="s">
        <v>364</v>
      </c>
      <c r="AM403" s="643"/>
      <c r="AN403" s="642"/>
      <c r="AO403" s="644">
        <v>396</v>
      </c>
      <c r="AP403" s="565"/>
      <c r="AQ403" s="566"/>
      <c r="AR403" s="566"/>
      <c r="AS403" s="566"/>
      <c r="AT403" s="566"/>
      <c r="AU403" s="566"/>
      <c r="AV403" s="566"/>
      <c r="AW403" s="566"/>
      <c r="AX403" s="566"/>
      <c r="AY403" s="566"/>
      <c r="AZ403" s="566"/>
      <c r="BA403" s="566"/>
      <c r="BB403" s="566"/>
      <c r="BC403" s="566"/>
      <c r="BD403" s="566"/>
      <c r="BE403" s="566"/>
      <c r="BF403" s="566"/>
      <c r="BG403" s="566"/>
    </row>
    <row r="404" spans="1:59">
      <c r="A404" s="591"/>
      <c r="B404" s="609"/>
      <c r="C404" s="609"/>
      <c r="D404" s="594">
        <v>1</v>
      </c>
      <c r="E404" s="595" t="s">
        <v>366</v>
      </c>
      <c r="F404" s="593" t="s">
        <v>369</v>
      </c>
      <c r="G404" s="610">
        <v>308</v>
      </c>
      <c r="H404" s="610" t="s">
        <v>615</v>
      </c>
      <c r="I404" s="610"/>
      <c r="J404" s="610"/>
      <c r="K404" s="610"/>
      <c r="L404" s="611" t="s">
        <v>848</v>
      </c>
      <c r="M404" s="612">
        <f>VLOOKUP(S404,Kengetal,4,FALSE)</f>
        <v>0</v>
      </c>
      <c r="N404" s="613"/>
      <c r="O404" s="614" t="s">
        <v>1034</v>
      </c>
      <c r="P404" s="615">
        <v>100</v>
      </c>
      <c r="Q404" s="616">
        <f t="shared" si="265"/>
        <v>297</v>
      </c>
      <c r="R404" s="613"/>
      <c r="S404" s="603"/>
      <c r="T404" s="606"/>
      <c r="U404" s="606"/>
      <c r="V404" s="593">
        <f t="shared" si="279"/>
        <v>0</v>
      </c>
      <c r="W404" s="606"/>
      <c r="X404" s="606"/>
      <c r="Y404" s="606"/>
      <c r="Z404" s="606"/>
      <c r="AA404" s="606"/>
      <c r="AB404" s="606"/>
      <c r="AC404" s="607"/>
      <c r="AD404" s="606"/>
      <c r="AE404" s="608"/>
      <c r="AF404" s="639">
        <v>297</v>
      </c>
      <c r="AG404" s="639">
        <f t="shared" si="278"/>
        <v>297</v>
      </c>
      <c r="AH404" s="639">
        <v>0</v>
      </c>
      <c r="AI404" s="640"/>
      <c r="AJ404" s="641">
        <v>194.7132</v>
      </c>
      <c r="AK404" s="642"/>
      <c r="AL404" s="642" t="s">
        <v>364</v>
      </c>
      <c r="AM404" s="643"/>
      <c r="AN404" s="642"/>
      <c r="AO404" s="644">
        <v>397</v>
      </c>
      <c r="AP404" s="565"/>
      <c r="AQ404" s="566"/>
      <c r="AR404" s="566"/>
      <c r="AS404" s="566"/>
      <c r="AT404" s="566"/>
      <c r="AU404" s="566"/>
      <c r="AV404" s="566"/>
      <c r="AW404" s="566"/>
      <c r="AX404" s="566"/>
      <c r="AY404" s="566"/>
      <c r="AZ404" s="566"/>
      <c r="BA404" s="566"/>
      <c r="BB404" s="566"/>
      <c r="BC404" s="566"/>
      <c r="BD404" s="566"/>
      <c r="BE404" s="566"/>
      <c r="BF404" s="566"/>
      <c r="BG404" s="566"/>
    </row>
    <row r="405" spans="1:59">
      <c r="A405" s="591"/>
      <c r="B405" s="592"/>
      <c r="C405" s="593"/>
      <c r="D405" s="594">
        <v>1</v>
      </c>
      <c r="E405" s="595" t="s">
        <v>366</v>
      </c>
      <c r="F405" s="593" t="s">
        <v>369</v>
      </c>
      <c r="G405" s="596">
        <v>309</v>
      </c>
      <c r="H405" s="596" t="s">
        <v>616</v>
      </c>
      <c r="I405" s="596"/>
      <c r="J405" s="596"/>
      <c r="K405" s="596"/>
      <c r="L405" s="591" t="s">
        <v>865</v>
      </c>
      <c r="M405" s="597" t="str">
        <f t="shared" ref="M405" si="283">VLOOKUP(S405,Kengetal,4,FALSE)</f>
        <v>Onderwijsruimte (theorie)</v>
      </c>
      <c r="N405" s="591" t="s">
        <v>78</v>
      </c>
      <c r="O405" s="598"/>
      <c r="P405" s="599"/>
      <c r="Q405" s="600">
        <f t="shared" si="265"/>
        <v>0</v>
      </c>
      <c r="R405" s="601">
        <f>AF405</f>
        <v>12.1</v>
      </c>
      <c r="S405" s="647">
        <v>102200</v>
      </c>
      <c r="T405" s="602"/>
      <c r="U405" s="645">
        <v>1</v>
      </c>
      <c r="V405" s="593">
        <f t="shared" si="279"/>
        <v>200</v>
      </c>
      <c r="W405" s="604">
        <f>Z405*R405*U405</f>
        <v>0</v>
      </c>
      <c r="X405" s="604">
        <f>AA405*R405</f>
        <v>0</v>
      </c>
      <c r="Y405" s="604">
        <f>AB405*R405</f>
        <v>0</v>
      </c>
      <c r="Z405" s="605">
        <f>VLOOKUP(S405,Kengetal,6,FALSE)</f>
        <v>0</v>
      </c>
      <c r="AA405" s="751">
        <f>VLOOKUP(S405,Kengetal,7,FALSE)</f>
        <v>0</v>
      </c>
      <c r="AB405" s="605">
        <f>VLOOKUP(T405,Kengetal,6,FALSE)</f>
        <v>0</v>
      </c>
      <c r="AC405" s="607"/>
      <c r="AD405" s="591" t="str">
        <f>AL405</f>
        <v>Friesland College</v>
      </c>
      <c r="AE405" s="608"/>
      <c r="AF405" s="639">
        <v>12.1</v>
      </c>
      <c r="AG405" s="639">
        <f t="shared" si="278"/>
        <v>12.1</v>
      </c>
      <c r="AH405" s="639">
        <v>0</v>
      </c>
      <c r="AI405" s="640"/>
      <c r="AJ405" s="641">
        <v>7.93276</v>
      </c>
      <c r="AK405" s="642"/>
      <c r="AL405" s="642" t="s">
        <v>364</v>
      </c>
      <c r="AM405" s="643"/>
      <c r="AN405" s="642"/>
      <c r="AO405" s="644">
        <v>398</v>
      </c>
      <c r="AP405" s="565"/>
      <c r="AQ405" s="566"/>
      <c r="AR405" s="566"/>
      <c r="AS405" s="566"/>
      <c r="AT405" s="566"/>
      <c r="AU405" s="566"/>
      <c r="AV405" s="566"/>
      <c r="AW405" s="566"/>
      <c r="AX405" s="566"/>
      <c r="AY405" s="566"/>
      <c r="AZ405" s="566"/>
      <c r="BA405" s="566"/>
      <c r="BB405" s="566"/>
      <c r="BC405" s="566"/>
      <c r="BD405" s="566"/>
      <c r="BE405" s="566"/>
      <c r="BF405" s="566"/>
      <c r="BG405" s="566"/>
    </row>
    <row r="406" spans="1:59">
      <c r="A406" s="591"/>
      <c r="B406" s="609"/>
      <c r="C406" s="609"/>
      <c r="D406" s="594">
        <v>1</v>
      </c>
      <c r="E406" s="595" t="s">
        <v>366</v>
      </c>
      <c r="F406" s="593" t="s">
        <v>369</v>
      </c>
      <c r="G406" s="610">
        <v>309</v>
      </c>
      <c r="H406" s="610" t="s">
        <v>616</v>
      </c>
      <c r="I406" s="610"/>
      <c r="J406" s="610"/>
      <c r="K406" s="610"/>
      <c r="L406" s="611" t="s">
        <v>865</v>
      </c>
      <c r="M406" s="612">
        <f>VLOOKUP(S406,Kengetal,4,FALSE)</f>
        <v>0</v>
      </c>
      <c r="N406" s="613"/>
      <c r="O406" s="614" t="s">
        <v>1034</v>
      </c>
      <c r="P406" s="615">
        <v>100</v>
      </c>
      <c r="Q406" s="616">
        <f t="shared" si="265"/>
        <v>12.1</v>
      </c>
      <c r="R406" s="613"/>
      <c r="S406" s="603"/>
      <c r="T406" s="606"/>
      <c r="U406" s="606"/>
      <c r="V406" s="593">
        <f t="shared" si="279"/>
        <v>0</v>
      </c>
      <c r="W406" s="606"/>
      <c r="X406" s="606"/>
      <c r="Y406" s="606"/>
      <c r="Z406" s="606"/>
      <c r="AA406" s="606"/>
      <c r="AB406" s="606"/>
      <c r="AC406" s="607"/>
      <c r="AD406" s="606"/>
      <c r="AE406" s="608"/>
      <c r="AF406" s="639">
        <v>12.1</v>
      </c>
      <c r="AG406" s="639">
        <f t="shared" si="278"/>
        <v>12.1</v>
      </c>
      <c r="AH406" s="639">
        <v>0</v>
      </c>
      <c r="AI406" s="640"/>
      <c r="AJ406" s="641">
        <v>7.93276</v>
      </c>
      <c r="AK406" s="642"/>
      <c r="AL406" s="642" t="s">
        <v>364</v>
      </c>
      <c r="AM406" s="643"/>
      <c r="AN406" s="642"/>
      <c r="AO406" s="644">
        <v>399</v>
      </c>
      <c r="AP406" s="565"/>
      <c r="AQ406" s="566"/>
      <c r="AR406" s="566"/>
      <c r="AS406" s="566"/>
      <c r="AT406" s="566"/>
      <c r="AU406" s="566"/>
      <c r="AV406" s="566"/>
      <c r="AW406" s="566"/>
      <c r="AX406" s="566"/>
      <c r="AY406" s="566"/>
      <c r="AZ406" s="566"/>
      <c r="BA406" s="566"/>
      <c r="BB406" s="566"/>
      <c r="BC406" s="566"/>
      <c r="BD406" s="566"/>
      <c r="BE406" s="566"/>
      <c r="BF406" s="566"/>
      <c r="BG406" s="566"/>
    </row>
    <row r="407" spans="1:59">
      <c r="A407" s="591"/>
      <c r="B407" s="592"/>
      <c r="C407" s="593"/>
      <c r="D407" s="594">
        <v>1</v>
      </c>
      <c r="E407" s="595" t="s">
        <v>366</v>
      </c>
      <c r="F407" s="593" t="s">
        <v>369</v>
      </c>
      <c r="G407" s="596">
        <v>310</v>
      </c>
      <c r="H407" s="596" t="s">
        <v>617</v>
      </c>
      <c r="I407" s="596"/>
      <c r="J407" s="596"/>
      <c r="K407" s="596"/>
      <c r="L407" s="591" t="s">
        <v>866</v>
      </c>
      <c r="M407" s="597" t="str">
        <f t="shared" ref="M407" si="284">VLOOKUP(S407,Kengetal,4,FALSE)</f>
        <v>Onderwijsruimte (theorie)</v>
      </c>
      <c r="N407" s="591" t="s">
        <v>78</v>
      </c>
      <c r="O407" s="598"/>
      <c r="P407" s="599"/>
      <c r="Q407" s="600">
        <f t="shared" si="265"/>
        <v>0</v>
      </c>
      <c r="R407" s="601">
        <f>AF407</f>
        <v>12.1</v>
      </c>
      <c r="S407" s="647">
        <v>102200</v>
      </c>
      <c r="T407" s="602"/>
      <c r="U407" s="645">
        <v>1</v>
      </c>
      <c r="V407" s="593">
        <f t="shared" si="279"/>
        <v>200</v>
      </c>
      <c r="W407" s="604">
        <f>Z407*R407*U407</f>
        <v>0</v>
      </c>
      <c r="X407" s="604">
        <f>AA407*R407</f>
        <v>0</v>
      </c>
      <c r="Y407" s="604">
        <f>AB407*R407</f>
        <v>0</v>
      </c>
      <c r="Z407" s="605">
        <f>VLOOKUP(S407,Kengetal,6,FALSE)</f>
        <v>0</v>
      </c>
      <c r="AA407" s="751">
        <f>VLOOKUP(S407,Kengetal,7,FALSE)</f>
        <v>0</v>
      </c>
      <c r="AB407" s="605">
        <f>VLOOKUP(T407,Kengetal,6,FALSE)</f>
        <v>0</v>
      </c>
      <c r="AC407" s="607"/>
      <c r="AD407" s="591" t="str">
        <f>AL407</f>
        <v>Friesland College</v>
      </c>
      <c r="AE407" s="608"/>
      <c r="AF407" s="639">
        <v>12.1</v>
      </c>
      <c r="AG407" s="639">
        <f t="shared" si="278"/>
        <v>12.1</v>
      </c>
      <c r="AH407" s="639">
        <v>0</v>
      </c>
      <c r="AI407" s="640"/>
      <c r="AJ407" s="641">
        <v>7.93276</v>
      </c>
      <c r="AK407" s="642"/>
      <c r="AL407" s="642" t="s">
        <v>364</v>
      </c>
      <c r="AM407" s="643"/>
      <c r="AN407" s="642"/>
      <c r="AO407" s="644">
        <v>400</v>
      </c>
      <c r="AP407" s="565"/>
      <c r="AQ407" s="566"/>
      <c r="AR407" s="566"/>
      <c r="AS407" s="566"/>
      <c r="AT407" s="566"/>
      <c r="AU407" s="566"/>
      <c r="AV407" s="566"/>
      <c r="AW407" s="566"/>
      <c r="AX407" s="566"/>
      <c r="AY407" s="566"/>
      <c r="AZ407" s="566"/>
      <c r="BA407" s="566"/>
      <c r="BB407" s="566"/>
      <c r="BC407" s="566"/>
      <c r="BD407" s="566"/>
      <c r="BE407" s="566"/>
      <c r="BF407" s="566"/>
      <c r="BG407" s="566"/>
    </row>
    <row r="408" spans="1:59">
      <c r="A408" s="591"/>
      <c r="B408" s="609"/>
      <c r="C408" s="609"/>
      <c r="D408" s="594">
        <v>1</v>
      </c>
      <c r="E408" s="595" t="s">
        <v>366</v>
      </c>
      <c r="F408" s="593" t="s">
        <v>369</v>
      </c>
      <c r="G408" s="610">
        <v>310</v>
      </c>
      <c r="H408" s="610" t="s">
        <v>617</v>
      </c>
      <c r="I408" s="610"/>
      <c r="J408" s="610"/>
      <c r="K408" s="610"/>
      <c r="L408" s="611" t="s">
        <v>866</v>
      </c>
      <c r="M408" s="612">
        <f>VLOOKUP(S408,Kengetal,4,FALSE)</f>
        <v>0</v>
      </c>
      <c r="N408" s="613"/>
      <c r="O408" s="614" t="s">
        <v>1034</v>
      </c>
      <c r="P408" s="615">
        <v>100</v>
      </c>
      <c r="Q408" s="616">
        <f t="shared" si="265"/>
        <v>12.1</v>
      </c>
      <c r="R408" s="613"/>
      <c r="S408" s="603"/>
      <c r="T408" s="606"/>
      <c r="U408" s="606"/>
      <c r="V408" s="593">
        <f t="shared" si="279"/>
        <v>0</v>
      </c>
      <c r="W408" s="606"/>
      <c r="X408" s="606"/>
      <c r="Y408" s="606"/>
      <c r="Z408" s="606"/>
      <c r="AA408" s="606"/>
      <c r="AB408" s="606"/>
      <c r="AC408" s="607"/>
      <c r="AD408" s="606"/>
      <c r="AE408" s="608"/>
      <c r="AF408" s="639">
        <v>12.1</v>
      </c>
      <c r="AG408" s="639">
        <f t="shared" si="278"/>
        <v>12.1</v>
      </c>
      <c r="AH408" s="639">
        <v>0</v>
      </c>
      <c r="AI408" s="640"/>
      <c r="AJ408" s="641">
        <v>7.93276</v>
      </c>
      <c r="AK408" s="642"/>
      <c r="AL408" s="642" t="s">
        <v>364</v>
      </c>
      <c r="AM408" s="643"/>
      <c r="AN408" s="642"/>
      <c r="AO408" s="644">
        <v>401</v>
      </c>
      <c r="AP408" s="565"/>
      <c r="AQ408" s="566"/>
      <c r="AR408" s="566"/>
      <c r="AS408" s="566"/>
      <c r="AT408" s="566"/>
      <c r="AU408" s="566"/>
      <c r="AV408" s="566"/>
      <c r="AW408" s="566"/>
      <c r="AX408" s="566"/>
      <c r="AY408" s="566"/>
      <c r="AZ408" s="566"/>
      <c r="BA408" s="566"/>
      <c r="BB408" s="566"/>
      <c r="BC408" s="566"/>
      <c r="BD408" s="566"/>
      <c r="BE408" s="566"/>
      <c r="BF408" s="566"/>
      <c r="BG408" s="566"/>
    </row>
    <row r="409" spans="1:59">
      <c r="A409" s="591"/>
      <c r="B409" s="592"/>
      <c r="C409" s="593"/>
      <c r="D409" s="594">
        <v>1</v>
      </c>
      <c r="E409" s="595" t="s">
        <v>366</v>
      </c>
      <c r="F409" s="593" t="s">
        <v>369</v>
      </c>
      <c r="G409" s="596">
        <v>312</v>
      </c>
      <c r="H409" s="596" t="s">
        <v>618</v>
      </c>
      <c r="I409" s="596"/>
      <c r="J409" s="596"/>
      <c r="K409" s="596"/>
      <c r="L409" s="591" t="s">
        <v>867</v>
      </c>
      <c r="M409" s="597" t="str">
        <f t="shared" ref="M409" si="285">VLOOKUP(S409,Kengetal,4,FALSE)</f>
        <v>Onderwijsruimte (theorie)</v>
      </c>
      <c r="N409" s="591" t="s">
        <v>78</v>
      </c>
      <c r="O409" s="598"/>
      <c r="P409" s="599"/>
      <c r="Q409" s="600">
        <f t="shared" si="265"/>
        <v>0</v>
      </c>
      <c r="R409" s="601" t="str">
        <f>AF409</f>
        <v>24,4</v>
      </c>
      <c r="S409" s="647">
        <v>102200</v>
      </c>
      <c r="T409" s="602"/>
      <c r="U409" s="645">
        <v>1</v>
      </c>
      <c r="V409" s="593">
        <f t="shared" si="279"/>
        <v>200</v>
      </c>
      <c r="W409" s="604">
        <f>Z409*R409*U409</f>
        <v>0</v>
      </c>
      <c r="X409" s="604">
        <f>AA409*R409</f>
        <v>0</v>
      </c>
      <c r="Y409" s="604">
        <f>AB409*R409</f>
        <v>0</v>
      </c>
      <c r="Z409" s="605">
        <f>VLOOKUP(S409,Kengetal,6,FALSE)</f>
        <v>0</v>
      </c>
      <c r="AA409" s="751">
        <f>VLOOKUP(S409,Kengetal,7,FALSE)</f>
        <v>0</v>
      </c>
      <c r="AB409" s="605">
        <f>VLOOKUP(T409,Kengetal,6,FALSE)</f>
        <v>0</v>
      </c>
      <c r="AC409" s="607"/>
      <c r="AD409" s="591" t="str">
        <f>AL409</f>
        <v>Friesland College</v>
      </c>
      <c r="AE409" s="608"/>
      <c r="AF409" s="639" t="s">
        <v>955</v>
      </c>
      <c r="AG409" s="639" t="str">
        <f t="shared" si="278"/>
        <v>24,4</v>
      </c>
      <c r="AH409" s="639">
        <v>0</v>
      </c>
      <c r="AI409" s="640"/>
      <c r="AJ409" s="641">
        <v>7.9983199999999997</v>
      </c>
      <c r="AK409" s="642"/>
      <c r="AL409" s="642" t="s">
        <v>364</v>
      </c>
      <c r="AM409" s="643"/>
      <c r="AN409" s="642"/>
      <c r="AO409" s="644">
        <v>402</v>
      </c>
      <c r="AP409" s="565"/>
      <c r="AQ409" s="566"/>
      <c r="AR409" s="566"/>
      <c r="AS409" s="566"/>
      <c r="AT409" s="566"/>
      <c r="AU409" s="566"/>
      <c r="AV409" s="566"/>
      <c r="AW409" s="566"/>
      <c r="AX409" s="566"/>
      <c r="AY409" s="566"/>
      <c r="AZ409" s="566"/>
      <c r="BA409" s="566"/>
      <c r="BB409" s="566"/>
      <c r="BC409" s="566"/>
      <c r="BD409" s="566"/>
      <c r="BE409" s="566"/>
      <c r="BF409" s="566"/>
      <c r="BG409" s="566"/>
    </row>
    <row r="410" spans="1:59">
      <c r="A410" s="591"/>
      <c r="B410" s="618"/>
      <c r="C410" s="609"/>
      <c r="D410" s="594">
        <v>1</v>
      </c>
      <c r="E410" s="595" t="s">
        <v>366</v>
      </c>
      <c r="F410" s="593" t="s">
        <v>369</v>
      </c>
      <c r="G410" s="610">
        <v>312</v>
      </c>
      <c r="H410" s="610" t="s">
        <v>618</v>
      </c>
      <c r="I410" s="610"/>
      <c r="J410" s="610"/>
      <c r="K410" s="610"/>
      <c r="L410" s="611" t="s">
        <v>867</v>
      </c>
      <c r="M410" s="612">
        <f>VLOOKUP(S410,Kengetal,4,FALSE)</f>
        <v>0</v>
      </c>
      <c r="N410" s="613"/>
      <c r="O410" s="614" t="s">
        <v>1034</v>
      </c>
      <c r="P410" s="615">
        <v>100</v>
      </c>
      <c r="Q410" s="616">
        <f t="shared" si="265"/>
        <v>24.4</v>
      </c>
      <c r="R410" s="613"/>
      <c r="S410" s="603"/>
      <c r="T410" s="606"/>
      <c r="U410" s="606"/>
      <c r="V410" s="593">
        <f t="shared" si="279"/>
        <v>0</v>
      </c>
      <c r="W410" s="606"/>
      <c r="X410" s="606"/>
      <c r="Y410" s="606"/>
      <c r="Z410" s="606"/>
      <c r="AA410" s="606"/>
      <c r="AB410" s="606"/>
      <c r="AC410" s="607"/>
      <c r="AD410" s="606"/>
      <c r="AE410" s="608"/>
      <c r="AF410" s="639">
        <v>24.4</v>
      </c>
      <c r="AG410" s="639">
        <f t="shared" si="278"/>
        <v>24.4</v>
      </c>
      <c r="AH410" s="639">
        <v>0</v>
      </c>
      <c r="AI410" s="640"/>
      <c r="AJ410" s="641">
        <v>7.9983199999999997</v>
      </c>
      <c r="AK410" s="642"/>
      <c r="AL410" s="642" t="s">
        <v>364</v>
      </c>
      <c r="AM410" s="643"/>
      <c r="AN410" s="642"/>
      <c r="AO410" s="644">
        <v>403</v>
      </c>
      <c r="AP410" s="565"/>
      <c r="AQ410" s="566"/>
      <c r="AR410" s="566"/>
      <c r="AS410" s="566"/>
      <c r="AT410" s="566"/>
      <c r="AU410" s="566"/>
      <c r="AV410" s="566"/>
      <c r="AW410" s="566"/>
      <c r="AX410" s="566"/>
      <c r="AY410" s="566"/>
      <c r="AZ410" s="566"/>
      <c r="BA410" s="566"/>
      <c r="BB410" s="566"/>
      <c r="BC410" s="566"/>
      <c r="BD410" s="566"/>
      <c r="BE410" s="566"/>
      <c r="BF410" s="566"/>
      <c r="BG410" s="566"/>
    </row>
    <row r="411" spans="1:59">
      <c r="A411" s="591"/>
      <c r="B411" s="592"/>
      <c r="C411" s="593"/>
      <c r="D411" s="594">
        <v>1</v>
      </c>
      <c r="E411" s="595" t="s">
        <v>366</v>
      </c>
      <c r="F411" s="593" t="s">
        <v>369</v>
      </c>
      <c r="G411" s="596">
        <v>313</v>
      </c>
      <c r="H411" s="596" t="s">
        <v>619</v>
      </c>
      <c r="I411" s="596"/>
      <c r="J411" s="596"/>
      <c r="K411" s="596"/>
      <c r="L411" s="591" t="s">
        <v>868</v>
      </c>
      <c r="M411" s="597" t="str">
        <f t="shared" ref="M411" si="286">VLOOKUP(S411,Kengetal,4,FALSE)</f>
        <v>Onderwijsruimte (theorie)</v>
      </c>
      <c r="N411" s="591" t="s">
        <v>78</v>
      </c>
      <c r="O411" s="598"/>
      <c r="P411" s="599"/>
      <c r="Q411" s="600">
        <f t="shared" si="265"/>
        <v>0</v>
      </c>
      <c r="R411" s="601">
        <f>AF411</f>
        <v>18.5</v>
      </c>
      <c r="S411" s="647">
        <v>102200</v>
      </c>
      <c r="T411" s="602"/>
      <c r="U411" s="645">
        <v>1</v>
      </c>
      <c r="V411" s="593">
        <f t="shared" si="279"/>
        <v>200</v>
      </c>
      <c r="W411" s="604">
        <f>Z411*R411*U411</f>
        <v>0</v>
      </c>
      <c r="X411" s="604">
        <f>AA411*R411</f>
        <v>0</v>
      </c>
      <c r="Y411" s="604">
        <f>AB411*R411</f>
        <v>0</v>
      </c>
      <c r="Z411" s="605">
        <f>VLOOKUP(S411,Kengetal,6,FALSE)</f>
        <v>0</v>
      </c>
      <c r="AA411" s="751">
        <f>VLOOKUP(S411,Kengetal,7,FALSE)</f>
        <v>0</v>
      </c>
      <c r="AB411" s="605">
        <f>VLOOKUP(T411,Kengetal,6,FALSE)</f>
        <v>0</v>
      </c>
      <c r="AC411" s="607"/>
      <c r="AD411" s="591" t="str">
        <f>AL411</f>
        <v>Friesland College</v>
      </c>
      <c r="AE411" s="608"/>
      <c r="AF411" s="639">
        <v>18.5</v>
      </c>
      <c r="AG411" s="639">
        <f t="shared" si="278"/>
        <v>18.5</v>
      </c>
      <c r="AH411" s="639">
        <v>0</v>
      </c>
      <c r="AI411" s="640"/>
      <c r="AJ411" s="641">
        <v>12.128599999999999</v>
      </c>
      <c r="AK411" s="642"/>
      <c r="AL411" s="642" t="s">
        <v>364</v>
      </c>
      <c r="AM411" s="643"/>
      <c r="AN411" s="642"/>
      <c r="AO411" s="644">
        <v>404</v>
      </c>
      <c r="AP411" s="565"/>
      <c r="AQ411" s="566"/>
      <c r="AR411" s="566"/>
      <c r="AS411" s="566"/>
      <c r="AT411" s="566"/>
      <c r="AU411" s="566"/>
      <c r="AV411" s="566"/>
      <c r="AW411" s="566"/>
      <c r="AX411" s="566"/>
      <c r="AY411" s="566"/>
      <c r="AZ411" s="566"/>
      <c r="BA411" s="566"/>
      <c r="BB411" s="566"/>
      <c r="BC411" s="566"/>
      <c r="BD411" s="566"/>
      <c r="BE411" s="566"/>
      <c r="BF411" s="566"/>
      <c r="BG411" s="566"/>
    </row>
    <row r="412" spans="1:59">
      <c r="A412" s="591"/>
      <c r="B412" s="609"/>
      <c r="C412" s="609"/>
      <c r="D412" s="594">
        <v>1</v>
      </c>
      <c r="E412" s="595" t="s">
        <v>366</v>
      </c>
      <c r="F412" s="593" t="s">
        <v>369</v>
      </c>
      <c r="G412" s="610">
        <v>313</v>
      </c>
      <c r="H412" s="610" t="s">
        <v>619</v>
      </c>
      <c r="I412" s="610"/>
      <c r="J412" s="610"/>
      <c r="K412" s="610"/>
      <c r="L412" s="611" t="s">
        <v>868</v>
      </c>
      <c r="M412" s="612">
        <f>VLOOKUP(S412,Kengetal,4,FALSE)</f>
        <v>0</v>
      </c>
      <c r="N412" s="613"/>
      <c r="O412" s="614" t="s">
        <v>1034</v>
      </c>
      <c r="P412" s="615">
        <v>100</v>
      </c>
      <c r="Q412" s="616">
        <f t="shared" si="265"/>
        <v>18.5</v>
      </c>
      <c r="R412" s="613"/>
      <c r="S412" s="603"/>
      <c r="T412" s="606"/>
      <c r="U412" s="606"/>
      <c r="V412" s="593">
        <f t="shared" si="279"/>
        <v>0</v>
      </c>
      <c r="W412" s="606"/>
      <c r="X412" s="606"/>
      <c r="Y412" s="606"/>
      <c r="Z412" s="606"/>
      <c r="AA412" s="606"/>
      <c r="AB412" s="606"/>
      <c r="AC412" s="607"/>
      <c r="AD412" s="606"/>
      <c r="AE412" s="608"/>
      <c r="AF412" s="639">
        <v>18.5</v>
      </c>
      <c r="AG412" s="639">
        <f t="shared" si="278"/>
        <v>18.5</v>
      </c>
      <c r="AH412" s="639">
        <v>0</v>
      </c>
      <c r="AI412" s="640"/>
      <c r="AJ412" s="641">
        <v>12.128599999999999</v>
      </c>
      <c r="AK412" s="642"/>
      <c r="AL412" s="642" t="s">
        <v>364</v>
      </c>
      <c r="AM412" s="643"/>
      <c r="AN412" s="642"/>
      <c r="AO412" s="644">
        <v>405</v>
      </c>
      <c r="AP412" s="565"/>
      <c r="AQ412" s="566"/>
      <c r="AR412" s="566"/>
      <c r="AS412" s="566"/>
      <c r="AT412" s="566"/>
      <c r="AU412" s="566"/>
      <c r="AV412" s="566"/>
      <c r="AW412" s="566"/>
      <c r="AX412" s="566"/>
      <c r="AY412" s="566"/>
      <c r="AZ412" s="566"/>
      <c r="BA412" s="566"/>
      <c r="BB412" s="566"/>
      <c r="BC412" s="566"/>
      <c r="BD412" s="566"/>
      <c r="BE412" s="566"/>
      <c r="BF412" s="566"/>
      <c r="BG412" s="566"/>
    </row>
    <row r="413" spans="1:59">
      <c r="A413" s="591"/>
      <c r="B413" s="592"/>
      <c r="C413" s="593"/>
      <c r="D413" s="594">
        <v>1</v>
      </c>
      <c r="E413" s="595" t="s">
        <v>366</v>
      </c>
      <c r="F413" s="593" t="s">
        <v>369</v>
      </c>
      <c r="G413" s="596">
        <v>314</v>
      </c>
      <c r="H413" s="596" t="s">
        <v>620</v>
      </c>
      <c r="I413" s="596"/>
      <c r="J413" s="596"/>
      <c r="K413" s="596"/>
      <c r="L413" s="591" t="s">
        <v>869</v>
      </c>
      <c r="M413" s="597" t="str">
        <f t="shared" ref="M413" si="287">VLOOKUP(S413,Kengetal,4,FALSE)</f>
        <v>Onderwijsruimte (theorie)</v>
      </c>
      <c r="N413" s="591" t="s">
        <v>78</v>
      </c>
      <c r="O413" s="598"/>
      <c r="P413" s="599"/>
      <c r="Q413" s="600">
        <f t="shared" si="265"/>
        <v>0</v>
      </c>
      <c r="R413" s="601">
        <f>AF413</f>
        <v>18.5</v>
      </c>
      <c r="S413" s="647">
        <v>102200</v>
      </c>
      <c r="T413" s="602"/>
      <c r="U413" s="645">
        <v>1</v>
      </c>
      <c r="V413" s="593">
        <f t="shared" si="279"/>
        <v>200</v>
      </c>
      <c r="W413" s="604">
        <f>Z413*R413*U413</f>
        <v>0</v>
      </c>
      <c r="X413" s="604">
        <f>AA413*R413</f>
        <v>0</v>
      </c>
      <c r="Y413" s="604">
        <f>AB413*R413</f>
        <v>0</v>
      </c>
      <c r="Z413" s="605">
        <f>VLOOKUP(S413,Kengetal,6,FALSE)</f>
        <v>0</v>
      </c>
      <c r="AA413" s="751">
        <f>VLOOKUP(S413,Kengetal,7,FALSE)</f>
        <v>0</v>
      </c>
      <c r="AB413" s="605">
        <f>VLOOKUP(T413,Kengetal,6,FALSE)</f>
        <v>0</v>
      </c>
      <c r="AC413" s="607"/>
      <c r="AD413" s="591" t="str">
        <f>AL413</f>
        <v>Friesland College</v>
      </c>
      <c r="AE413" s="608"/>
      <c r="AF413" s="639">
        <v>18.5</v>
      </c>
      <c r="AG413" s="639">
        <f t="shared" si="278"/>
        <v>18.5</v>
      </c>
      <c r="AH413" s="639">
        <v>0</v>
      </c>
      <c r="AI413" s="640"/>
      <c r="AJ413" s="641">
        <v>12.128599999999999</v>
      </c>
      <c r="AK413" s="642"/>
      <c r="AL413" s="642" t="s">
        <v>364</v>
      </c>
      <c r="AM413" s="643"/>
      <c r="AN413" s="642"/>
      <c r="AO413" s="644">
        <v>406</v>
      </c>
      <c r="AP413" s="565"/>
      <c r="AQ413" s="566"/>
      <c r="AR413" s="566"/>
      <c r="AS413" s="566"/>
      <c r="AT413" s="566"/>
      <c r="AU413" s="566"/>
      <c r="AV413" s="566"/>
      <c r="AW413" s="566"/>
      <c r="AX413" s="566"/>
      <c r="AY413" s="566"/>
      <c r="AZ413" s="566"/>
      <c r="BA413" s="566"/>
      <c r="BB413" s="566"/>
      <c r="BC413" s="566"/>
      <c r="BD413" s="566"/>
      <c r="BE413" s="566"/>
      <c r="BF413" s="566"/>
      <c r="BG413" s="566"/>
    </row>
    <row r="414" spans="1:59">
      <c r="A414" s="591"/>
      <c r="B414" s="609"/>
      <c r="C414" s="609"/>
      <c r="D414" s="594">
        <v>1</v>
      </c>
      <c r="E414" s="595" t="s">
        <v>366</v>
      </c>
      <c r="F414" s="593" t="s">
        <v>369</v>
      </c>
      <c r="G414" s="610">
        <v>314</v>
      </c>
      <c r="H414" s="610" t="s">
        <v>620</v>
      </c>
      <c r="I414" s="610"/>
      <c r="J414" s="610"/>
      <c r="K414" s="610"/>
      <c r="L414" s="611" t="s">
        <v>869</v>
      </c>
      <c r="M414" s="612">
        <f>VLOOKUP(S414,Kengetal,4,FALSE)</f>
        <v>0</v>
      </c>
      <c r="N414" s="613"/>
      <c r="O414" s="614" t="s">
        <v>1034</v>
      </c>
      <c r="P414" s="615">
        <v>100</v>
      </c>
      <c r="Q414" s="616">
        <f t="shared" si="265"/>
        <v>18.5</v>
      </c>
      <c r="R414" s="613"/>
      <c r="S414" s="603"/>
      <c r="T414" s="606"/>
      <c r="U414" s="606"/>
      <c r="V414" s="593">
        <f t="shared" si="279"/>
        <v>0</v>
      </c>
      <c r="W414" s="606"/>
      <c r="X414" s="606"/>
      <c r="Y414" s="606"/>
      <c r="Z414" s="606"/>
      <c r="AA414" s="606"/>
      <c r="AB414" s="606"/>
      <c r="AC414" s="607"/>
      <c r="AD414" s="606"/>
      <c r="AE414" s="608"/>
      <c r="AF414" s="639">
        <v>18.5</v>
      </c>
      <c r="AG414" s="639">
        <f t="shared" si="278"/>
        <v>18.5</v>
      </c>
      <c r="AH414" s="639">
        <v>0</v>
      </c>
      <c r="AI414" s="640"/>
      <c r="AJ414" s="641">
        <v>12.128599999999999</v>
      </c>
      <c r="AK414" s="642"/>
      <c r="AL414" s="642" t="s">
        <v>364</v>
      </c>
      <c r="AM414" s="643"/>
      <c r="AN414" s="642"/>
      <c r="AO414" s="644">
        <v>407</v>
      </c>
      <c r="AP414" s="565"/>
      <c r="AQ414" s="566"/>
      <c r="AR414" s="566"/>
      <c r="AS414" s="566"/>
      <c r="AT414" s="566"/>
      <c r="AU414" s="566"/>
      <c r="AV414" s="566"/>
      <c r="AW414" s="566"/>
      <c r="AX414" s="566"/>
      <c r="AY414" s="566"/>
      <c r="AZ414" s="566"/>
      <c r="BA414" s="566"/>
      <c r="BB414" s="566"/>
      <c r="BC414" s="566"/>
      <c r="BD414" s="566"/>
      <c r="BE414" s="566"/>
      <c r="BF414" s="566"/>
      <c r="BG414" s="566"/>
    </row>
    <row r="415" spans="1:59">
      <c r="A415" s="591"/>
      <c r="B415" s="592"/>
      <c r="C415" s="593"/>
      <c r="D415" s="594">
        <v>1</v>
      </c>
      <c r="E415" s="595" t="s">
        <v>366</v>
      </c>
      <c r="F415" s="593" t="s">
        <v>369</v>
      </c>
      <c r="G415" s="596">
        <v>315</v>
      </c>
      <c r="H415" s="596" t="s">
        <v>589</v>
      </c>
      <c r="I415" s="596"/>
      <c r="J415" s="596"/>
      <c r="K415" s="596"/>
      <c r="L415" s="591" t="s">
        <v>853</v>
      </c>
      <c r="M415" s="597" t="str">
        <f t="shared" ref="M415" si="288">VLOOKUP(S415,Kengetal,4,FALSE)</f>
        <v>Trappenhuis-bordes</v>
      </c>
      <c r="N415" s="591" t="s">
        <v>945</v>
      </c>
      <c r="O415" s="598"/>
      <c r="P415" s="599"/>
      <c r="Q415" s="600">
        <f t="shared" si="265"/>
        <v>0</v>
      </c>
      <c r="R415" s="601">
        <f t="shared" ref="R415:R416" si="289">AF415</f>
        <v>12.2</v>
      </c>
      <c r="S415" s="647">
        <v>108200</v>
      </c>
      <c r="T415" s="602"/>
      <c r="U415" s="645">
        <v>1</v>
      </c>
      <c r="V415" s="593">
        <f t="shared" si="279"/>
        <v>200</v>
      </c>
      <c r="W415" s="604">
        <f>Z415*R415*U415</f>
        <v>0</v>
      </c>
      <c r="X415" s="604">
        <f>AA415*R415</f>
        <v>0</v>
      </c>
      <c r="Y415" s="604">
        <f>AB415*R415</f>
        <v>0</v>
      </c>
      <c r="Z415" s="605">
        <f>VLOOKUP(S415,Kengetal,6,FALSE)</f>
        <v>0</v>
      </c>
      <c r="AA415" s="751">
        <f>VLOOKUP(S415,Kengetal,7,FALSE)</f>
        <v>0</v>
      </c>
      <c r="AB415" s="605">
        <f>VLOOKUP(T415,Kengetal,6,FALSE)</f>
        <v>0</v>
      </c>
      <c r="AC415" s="607"/>
      <c r="AD415" s="591" t="str">
        <f>AL415</f>
        <v>Friesland College</v>
      </c>
      <c r="AE415" s="608"/>
      <c r="AF415" s="639">
        <v>12.2</v>
      </c>
      <c r="AG415" s="639">
        <f t="shared" si="278"/>
        <v>12.2</v>
      </c>
      <c r="AH415" s="639">
        <v>0</v>
      </c>
      <c r="AI415" s="640"/>
      <c r="AJ415" s="641">
        <v>8.3069799999999994</v>
      </c>
      <c r="AK415" s="642"/>
      <c r="AL415" s="642" t="s">
        <v>364</v>
      </c>
      <c r="AM415" s="643"/>
      <c r="AN415" s="642"/>
      <c r="AO415" s="644">
        <v>408</v>
      </c>
      <c r="AP415" s="565"/>
      <c r="AQ415" s="566"/>
      <c r="AR415" s="566"/>
      <c r="AS415" s="566"/>
      <c r="AT415" s="566"/>
      <c r="AU415" s="566"/>
      <c r="AV415" s="566"/>
      <c r="AW415" s="566"/>
      <c r="AX415" s="566"/>
      <c r="AY415" s="566"/>
      <c r="AZ415" s="566"/>
      <c r="BA415" s="566"/>
      <c r="BB415" s="566"/>
      <c r="BC415" s="566"/>
      <c r="BD415" s="566"/>
      <c r="BE415" s="566"/>
      <c r="BF415" s="566"/>
      <c r="BG415" s="566"/>
    </row>
    <row r="416" spans="1:59">
      <c r="A416" s="591"/>
      <c r="B416" s="592"/>
      <c r="C416" s="593"/>
      <c r="D416" s="594">
        <v>1</v>
      </c>
      <c r="E416" s="595" t="s">
        <v>1253</v>
      </c>
      <c r="F416" s="593" t="s">
        <v>339</v>
      </c>
      <c r="G416" s="596">
        <v>114</v>
      </c>
      <c r="H416" s="596"/>
      <c r="I416" s="596"/>
      <c r="J416" s="596"/>
      <c r="K416" s="596"/>
      <c r="L416" s="754" t="s">
        <v>1243</v>
      </c>
      <c r="M416" s="755"/>
      <c r="N416" s="591" t="s">
        <v>1035</v>
      </c>
      <c r="O416" s="621"/>
      <c r="P416" s="622"/>
      <c r="Q416" s="600">
        <f t="shared" si="265"/>
        <v>0</v>
      </c>
      <c r="R416" s="601">
        <f t="shared" si="289"/>
        <v>0</v>
      </c>
      <c r="S416" s="603"/>
      <c r="T416" s="602"/>
      <c r="U416" s="603"/>
      <c r="V416" s="593">
        <f t="shared" si="279"/>
        <v>0</v>
      </c>
      <c r="W416" s="604">
        <v>184</v>
      </c>
      <c r="X416" s="604">
        <v>16</v>
      </c>
      <c r="Y416" s="604">
        <v>0</v>
      </c>
      <c r="Z416" s="605">
        <v>0</v>
      </c>
      <c r="AA416" s="605">
        <v>0</v>
      </c>
      <c r="AB416" s="605">
        <v>0</v>
      </c>
      <c r="AC416" s="607"/>
      <c r="AD416" s="591" t="str">
        <f t="shared" ref="AD416" si="290">AL416</f>
        <v>Friesland College</v>
      </c>
      <c r="AE416" s="608"/>
      <c r="AF416" s="639"/>
      <c r="AG416" s="639">
        <f t="shared" si="278"/>
        <v>0</v>
      </c>
      <c r="AH416" s="639">
        <f t="shared" ref="AH416" si="291">IF(B416=0,0,MONTH(B416))</f>
        <v>0</v>
      </c>
      <c r="AI416" s="640"/>
      <c r="AJ416" s="641">
        <f t="shared" ref="AJ416" si="292">W416+X416</f>
        <v>200</v>
      </c>
      <c r="AK416" s="642"/>
      <c r="AL416" s="642" t="s">
        <v>364</v>
      </c>
      <c r="AM416" s="643"/>
      <c r="AN416" s="642"/>
      <c r="AO416" s="644">
        <v>409</v>
      </c>
      <c r="AP416" s="565"/>
      <c r="AQ416" s="566"/>
      <c r="AR416" s="566"/>
      <c r="AS416" s="566"/>
      <c r="AT416" s="566"/>
      <c r="AU416" s="566"/>
      <c r="AV416" s="566"/>
      <c r="AW416" s="566"/>
      <c r="AX416" s="566"/>
      <c r="AY416" s="566"/>
      <c r="AZ416" s="566"/>
      <c r="BA416" s="566"/>
      <c r="BB416" s="566"/>
      <c r="BC416" s="566"/>
      <c r="BD416" s="566"/>
      <c r="BE416" s="566"/>
      <c r="BF416" s="566"/>
      <c r="BG416" s="566"/>
    </row>
    <row r="417" spans="1:59">
      <c r="A417" s="591"/>
      <c r="B417" s="592"/>
      <c r="C417" s="593"/>
      <c r="D417" s="594">
        <v>1</v>
      </c>
      <c r="E417" s="595" t="s">
        <v>373</v>
      </c>
      <c r="F417" s="593" t="s">
        <v>339</v>
      </c>
      <c r="G417" s="596" t="s">
        <v>448</v>
      </c>
      <c r="H417" s="596"/>
      <c r="I417" s="596"/>
      <c r="J417" s="596"/>
      <c r="K417" s="596"/>
      <c r="L417" s="591" t="s">
        <v>881</v>
      </c>
      <c r="M417" s="597" t="str">
        <f t="shared" ref="M417:M468" si="293">VLOOKUP(S417,Kengetal,4,FALSE)</f>
        <v>Op afroep (in overleg)</v>
      </c>
      <c r="N417" s="591" t="s">
        <v>78</v>
      </c>
      <c r="O417" s="621"/>
      <c r="P417" s="622"/>
      <c r="Q417" s="600">
        <f t="shared" ref="Q417:Q464" si="294">AF417*P417/100</f>
        <v>0</v>
      </c>
      <c r="R417" s="601">
        <f t="shared" ref="R417:R438" si="295">AF417</f>
        <v>13</v>
      </c>
      <c r="S417" s="603" t="s">
        <v>959</v>
      </c>
      <c r="T417" s="602"/>
      <c r="U417" s="603"/>
      <c r="V417" s="593">
        <f t="shared" ref="V417:V452" si="296">VLOOKUP(S417,Kengetal,3,FALSE)+VLOOKUP(T417,Kengetal,3,FALSE)</f>
        <v>0</v>
      </c>
      <c r="W417" s="604">
        <f t="shared" ref="W417:W440" si="297">Z417*R417*U417</f>
        <v>0</v>
      </c>
      <c r="X417" s="604">
        <f t="shared" ref="X417:X440" si="298">AA417*R417</f>
        <v>0</v>
      </c>
      <c r="Y417" s="604">
        <f t="shared" ref="Y417:Y440" si="299">AB417*R417</f>
        <v>0</v>
      </c>
      <c r="Z417" s="605">
        <f t="shared" ref="Z417:Z440" si="300">VLOOKUP(S417,Kengetal,6,FALSE)</f>
        <v>0</v>
      </c>
      <c r="AA417" s="751">
        <f t="shared" ref="AA417:AA440" si="301">VLOOKUP(S417,Kengetal,7,FALSE)</f>
        <v>0</v>
      </c>
      <c r="AB417" s="605">
        <f t="shared" ref="AB417:AB440" si="302">VLOOKUP(T417,Kengetal,6,FALSE)</f>
        <v>0</v>
      </c>
      <c r="AC417" s="607"/>
      <c r="AD417" s="591" t="str">
        <f t="shared" ref="AD417:AD440" si="303">AL417</f>
        <v>Friesland College</v>
      </c>
      <c r="AE417" s="608"/>
      <c r="AF417" s="639">
        <v>13</v>
      </c>
      <c r="AG417" s="639">
        <f t="shared" ref="AG417:AG452" si="304">IF(AND(C417="t"),-AF417,IF(AND(C417="v"),-AF417,IF(AND(C417="W"),-AF417,IF(AND(C417=""),AF417))))</f>
        <v>13</v>
      </c>
      <c r="AH417" s="639">
        <f t="shared" ref="AH417:AH480" si="305">IF(B417=0,0,MONTH(B417))</f>
        <v>0</v>
      </c>
      <c r="AI417" s="640"/>
      <c r="AJ417" s="641">
        <f t="shared" ref="AJ417:AJ480" si="306">W417+X417</f>
        <v>0</v>
      </c>
      <c r="AK417" s="642"/>
      <c r="AL417" s="642" t="s">
        <v>364</v>
      </c>
      <c r="AM417" s="642"/>
      <c r="AN417" s="642"/>
      <c r="AO417" s="644">
        <v>1736</v>
      </c>
      <c r="AP417" s="565"/>
      <c r="AQ417" s="566"/>
      <c r="AR417" s="566"/>
      <c r="AS417" s="566"/>
      <c r="AT417" s="566"/>
      <c r="AU417" s="566"/>
      <c r="AV417" s="566"/>
      <c r="AW417" s="566"/>
      <c r="AX417" s="566"/>
      <c r="AY417" s="566"/>
      <c r="AZ417" s="566"/>
      <c r="BA417" s="566"/>
      <c r="BB417" s="566"/>
      <c r="BC417" s="566"/>
      <c r="BD417" s="566"/>
      <c r="BE417" s="566"/>
      <c r="BF417" s="566"/>
      <c r="BG417" s="566"/>
    </row>
    <row r="418" spans="1:59">
      <c r="A418" s="591"/>
      <c r="B418" s="592"/>
      <c r="C418" s="593"/>
      <c r="D418" s="594">
        <v>1</v>
      </c>
      <c r="E418" s="595" t="s">
        <v>373</v>
      </c>
      <c r="F418" s="593" t="s">
        <v>339</v>
      </c>
      <c r="G418" s="596" t="s">
        <v>449</v>
      </c>
      <c r="H418" s="596"/>
      <c r="I418" s="596"/>
      <c r="J418" s="596"/>
      <c r="K418" s="596"/>
      <c r="L418" s="591" t="s">
        <v>881</v>
      </c>
      <c r="M418" s="597" t="str">
        <f t="shared" si="293"/>
        <v>Op afroep (in overleg)</v>
      </c>
      <c r="N418" s="591" t="s">
        <v>78</v>
      </c>
      <c r="O418" s="621"/>
      <c r="P418" s="622"/>
      <c r="Q418" s="600">
        <f t="shared" si="294"/>
        <v>0</v>
      </c>
      <c r="R418" s="601">
        <f t="shared" si="295"/>
        <v>19</v>
      </c>
      <c r="S418" s="603" t="s">
        <v>959</v>
      </c>
      <c r="T418" s="602"/>
      <c r="U418" s="603"/>
      <c r="V418" s="593">
        <f t="shared" si="296"/>
        <v>0</v>
      </c>
      <c r="W418" s="604">
        <f t="shared" si="297"/>
        <v>0</v>
      </c>
      <c r="X418" s="604">
        <f t="shared" si="298"/>
        <v>0</v>
      </c>
      <c r="Y418" s="604">
        <f t="shared" si="299"/>
        <v>0</v>
      </c>
      <c r="Z418" s="605">
        <f t="shared" si="300"/>
        <v>0</v>
      </c>
      <c r="AA418" s="751">
        <f t="shared" si="301"/>
        <v>0</v>
      </c>
      <c r="AB418" s="605">
        <f t="shared" si="302"/>
        <v>0</v>
      </c>
      <c r="AC418" s="607"/>
      <c r="AD418" s="591" t="str">
        <f t="shared" si="303"/>
        <v>Friesland College</v>
      </c>
      <c r="AE418" s="608"/>
      <c r="AF418" s="639">
        <v>19</v>
      </c>
      <c r="AG418" s="639">
        <f t="shared" si="304"/>
        <v>19</v>
      </c>
      <c r="AH418" s="639">
        <f t="shared" si="305"/>
        <v>0</v>
      </c>
      <c r="AI418" s="640"/>
      <c r="AJ418" s="641">
        <f t="shared" si="306"/>
        <v>0</v>
      </c>
      <c r="AK418" s="642"/>
      <c r="AL418" s="642" t="s">
        <v>364</v>
      </c>
      <c r="AM418" s="642"/>
      <c r="AN418" s="642"/>
      <c r="AO418" s="644">
        <v>1737</v>
      </c>
      <c r="AP418" s="565"/>
      <c r="AQ418" s="566"/>
      <c r="AR418" s="566"/>
      <c r="AS418" s="566"/>
      <c r="AT418" s="566"/>
      <c r="AU418" s="566"/>
      <c r="AV418" s="566"/>
      <c r="AW418" s="566"/>
      <c r="AX418" s="566"/>
      <c r="AY418" s="566"/>
      <c r="AZ418" s="566"/>
      <c r="BA418" s="566"/>
      <c r="BB418" s="566"/>
      <c r="BC418" s="566"/>
      <c r="BD418" s="566"/>
      <c r="BE418" s="566"/>
      <c r="BF418" s="566"/>
      <c r="BG418" s="566"/>
    </row>
    <row r="419" spans="1:59">
      <c r="A419" s="591"/>
      <c r="B419" s="592"/>
      <c r="C419" s="593"/>
      <c r="D419" s="594">
        <v>1</v>
      </c>
      <c r="E419" s="595" t="s">
        <v>373</v>
      </c>
      <c r="F419" s="593" t="s">
        <v>339</v>
      </c>
      <c r="G419" s="596" t="s">
        <v>449</v>
      </c>
      <c r="H419" s="596"/>
      <c r="I419" s="596"/>
      <c r="J419" s="596"/>
      <c r="K419" s="596"/>
      <c r="L419" s="591" t="s">
        <v>839</v>
      </c>
      <c r="M419" s="597" t="str">
        <f t="shared" si="293"/>
        <v>Niet van toepassing</v>
      </c>
      <c r="N419" s="591" t="s">
        <v>78</v>
      </c>
      <c r="O419" s="621"/>
      <c r="P419" s="622"/>
      <c r="Q419" s="600">
        <f t="shared" si="294"/>
        <v>0</v>
      </c>
      <c r="R419" s="601">
        <f t="shared" si="295"/>
        <v>12</v>
      </c>
      <c r="S419" s="603" t="s">
        <v>28</v>
      </c>
      <c r="T419" s="602"/>
      <c r="U419" s="603"/>
      <c r="V419" s="593">
        <f t="shared" si="296"/>
        <v>0</v>
      </c>
      <c r="W419" s="604">
        <f t="shared" si="297"/>
        <v>0</v>
      </c>
      <c r="X419" s="604">
        <f t="shared" si="298"/>
        <v>0</v>
      </c>
      <c r="Y419" s="604">
        <f t="shared" si="299"/>
        <v>0</v>
      </c>
      <c r="Z419" s="605">
        <f t="shared" si="300"/>
        <v>0</v>
      </c>
      <c r="AA419" s="751">
        <f t="shared" si="301"/>
        <v>0</v>
      </c>
      <c r="AB419" s="605">
        <f t="shared" si="302"/>
        <v>0</v>
      </c>
      <c r="AC419" s="607"/>
      <c r="AD419" s="591" t="str">
        <f t="shared" si="303"/>
        <v>Friesland College</v>
      </c>
      <c r="AE419" s="608"/>
      <c r="AF419" s="639">
        <v>12</v>
      </c>
      <c r="AG419" s="639">
        <f t="shared" si="304"/>
        <v>12</v>
      </c>
      <c r="AH419" s="639">
        <f t="shared" si="305"/>
        <v>0</v>
      </c>
      <c r="AI419" s="640"/>
      <c r="AJ419" s="641">
        <f t="shared" si="306"/>
        <v>0</v>
      </c>
      <c r="AK419" s="642"/>
      <c r="AL419" s="642" t="s">
        <v>364</v>
      </c>
      <c r="AM419" s="642"/>
      <c r="AN419" s="642"/>
      <c r="AO419" s="644">
        <v>1738</v>
      </c>
      <c r="AP419" s="565"/>
      <c r="AQ419" s="566"/>
      <c r="AR419" s="566"/>
      <c r="AS419" s="566"/>
      <c r="AT419" s="566"/>
      <c r="AU419" s="566"/>
      <c r="AV419" s="566"/>
      <c r="AW419" s="566"/>
      <c r="AX419" s="566"/>
      <c r="AY419" s="566"/>
      <c r="AZ419" s="566"/>
      <c r="BA419" s="566"/>
      <c r="BB419" s="566"/>
      <c r="BC419" s="566"/>
      <c r="BD419" s="566"/>
      <c r="BE419" s="566"/>
      <c r="BF419" s="566"/>
      <c r="BG419" s="566"/>
    </row>
    <row r="420" spans="1:59">
      <c r="A420" s="591"/>
      <c r="B420" s="592"/>
      <c r="C420" s="593"/>
      <c r="D420" s="594">
        <v>1</v>
      </c>
      <c r="E420" s="595" t="s">
        <v>373</v>
      </c>
      <c r="F420" s="593" t="s">
        <v>339</v>
      </c>
      <c r="G420" s="596" t="s">
        <v>450</v>
      </c>
      <c r="H420" s="596"/>
      <c r="I420" s="596"/>
      <c r="J420" s="596"/>
      <c r="K420" s="596"/>
      <c r="L420" s="591" t="s">
        <v>763</v>
      </c>
      <c r="M420" s="597" t="str">
        <f t="shared" si="293"/>
        <v>Niet van toepassing</v>
      </c>
      <c r="N420" s="591" t="s">
        <v>344</v>
      </c>
      <c r="O420" s="621"/>
      <c r="P420" s="622"/>
      <c r="Q420" s="600">
        <f t="shared" si="294"/>
        <v>0</v>
      </c>
      <c r="R420" s="601">
        <f t="shared" si="295"/>
        <v>8</v>
      </c>
      <c r="S420" s="603" t="s">
        <v>28</v>
      </c>
      <c r="T420" s="602"/>
      <c r="U420" s="603"/>
      <c r="V420" s="593">
        <f t="shared" si="296"/>
        <v>0</v>
      </c>
      <c r="W420" s="604">
        <f t="shared" si="297"/>
        <v>0</v>
      </c>
      <c r="X420" s="604">
        <f t="shared" si="298"/>
        <v>0</v>
      </c>
      <c r="Y420" s="604">
        <f t="shared" si="299"/>
        <v>0</v>
      </c>
      <c r="Z420" s="605">
        <f t="shared" si="300"/>
        <v>0</v>
      </c>
      <c r="AA420" s="751">
        <f t="shared" si="301"/>
        <v>0</v>
      </c>
      <c r="AB420" s="605">
        <f t="shared" si="302"/>
        <v>0</v>
      </c>
      <c r="AC420" s="607"/>
      <c r="AD420" s="591" t="str">
        <f t="shared" si="303"/>
        <v>Friesland College</v>
      </c>
      <c r="AE420" s="608"/>
      <c r="AF420" s="639">
        <v>8</v>
      </c>
      <c r="AG420" s="639">
        <f t="shared" si="304"/>
        <v>8</v>
      </c>
      <c r="AH420" s="639">
        <f t="shared" si="305"/>
        <v>0</v>
      </c>
      <c r="AI420" s="640"/>
      <c r="AJ420" s="641">
        <f t="shared" si="306"/>
        <v>0</v>
      </c>
      <c r="AK420" s="642"/>
      <c r="AL420" s="642" t="s">
        <v>364</v>
      </c>
      <c r="AM420" s="642"/>
      <c r="AN420" s="642"/>
      <c r="AO420" s="644">
        <v>1739</v>
      </c>
      <c r="AP420" s="565"/>
      <c r="AQ420" s="566"/>
      <c r="AR420" s="566"/>
      <c r="AS420" s="566"/>
      <c r="AT420" s="566"/>
      <c r="AU420" s="566"/>
      <c r="AV420" s="566"/>
      <c r="AW420" s="566"/>
      <c r="AX420" s="566"/>
      <c r="AY420" s="566"/>
      <c r="AZ420" s="566"/>
      <c r="BA420" s="566"/>
      <c r="BB420" s="566"/>
      <c r="BC420" s="566"/>
      <c r="BD420" s="566"/>
      <c r="BE420" s="566"/>
      <c r="BF420" s="566"/>
      <c r="BG420" s="566"/>
    </row>
    <row r="421" spans="1:59">
      <c r="A421" s="591"/>
      <c r="B421" s="592"/>
      <c r="C421" s="593"/>
      <c r="D421" s="594">
        <v>1</v>
      </c>
      <c r="E421" s="595" t="s">
        <v>373</v>
      </c>
      <c r="F421" s="593" t="s">
        <v>339</v>
      </c>
      <c r="G421" s="596" t="s">
        <v>452</v>
      </c>
      <c r="H421" s="596"/>
      <c r="I421" s="596"/>
      <c r="J421" s="596"/>
      <c r="K421" s="596"/>
      <c r="L421" s="591" t="s">
        <v>887</v>
      </c>
      <c r="M421" s="597" t="str">
        <f t="shared" si="293"/>
        <v>Administratieve -, personeels- en vergaderruimte</v>
      </c>
      <c r="N421" s="591" t="s">
        <v>78</v>
      </c>
      <c r="O421" s="621"/>
      <c r="P421" s="622"/>
      <c r="Q421" s="600">
        <f t="shared" si="294"/>
        <v>0</v>
      </c>
      <c r="R421" s="601">
        <f t="shared" si="295"/>
        <v>24</v>
      </c>
      <c r="S421" s="647">
        <v>101100</v>
      </c>
      <c r="T421" s="602"/>
      <c r="U421" s="645">
        <v>1</v>
      </c>
      <c r="V421" s="593">
        <f t="shared" si="296"/>
        <v>100</v>
      </c>
      <c r="W421" s="604">
        <f t="shared" si="297"/>
        <v>0</v>
      </c>
      <c r="X421" s="604">
        <f t="shared" si="298"/>
        <v>0</v>
      </c>
      <c r="Y421" s="604">
        <f t="shared" si="299"/>
        <v>0</v>
      </c>
      <c r="Z421" s="605">
        <f t="shared" si="300"/>
        <v>0</v>
      </c>
      <c r="AA421" s="751">
        <f t="shared" si="301"/>
        <v>0</v>
      </c>
      <c r="AB421" s="605">
        <f t="shared" si="302"/>
        <v>0</v>
      </c>
      <c r="AC421" s="607"/>
      <c r="AD421" s="591" t="str">
        <f t="shared" si="303"/>
        <v>Friesland College</v>
      </c>
      <c r="AE421" s="608"/>
      <c r="AF421" s="639">
        <v>24</v>
      </c>
      <c r="AG421" s="639">
        <f t="shared" si="304"/>
        <v>24</v>
      </c>
      <c r="AH421" s="639">
        <f t="shared" si="305"/>
        <v>0</v>
      </c>
      <c r="AI421" s="640"/>
      <c r="AJ421" s="641">
        <f t="shared" si="306"/>
        <v>0</v>
      </c>
      <c r="AK421" s="642"/>
      <c r="AL421" s="642" t="s">
        <v>364</v>
      </c>
      <c r="AM421" s="642"/>
      <c r="AN421" s="642"/>
      <c r="AO421" s="644">
        <v>1740</v>
      </c>
      <c r="AP421" s="565"/>
      <c r="AQ421" s="566"/>
      <c r="AR421" s="566"/>
      <c r="AS421" s="566"/>
      <c r="AT421" s="566"/>
      <c r="AU421" s="566"/>
      <c r="AV421" s="566"/>
      <c r="AW421" s="566"/>
      <c r="AX421" s="566"/>
      <c r="AY421" s="566"/>
      <c r="AZ421" s="566"/>
      <c r="BA421" s="566"/>
      <c r="BB421" s="566"/>
      <c r="BC421" s="566"/>
      <c r="BD421" s="566"/>
      <c r="BE421" s="566"/>
      <c r="BF421" s="566"/>
      <c r="BG421" s="566"/>
    </row>
    <row r="422" spans="1:59">
      <c r="A422" s="591"/>
      <c r="B422" s="592"/>
      <c r="C422" s="593"/>
      <c r="D422" s="594">
        <v>1</v>
      </c>
      <c r="E422" s="595" t="s">
        <v>373</v>
      </c>
      <c r="F422" s="593" t="s">
        <v>339</v>
      </c>
      <c r="G422" s="596" t="s">
        <v>454</v>
      </c>
      <c r="H422" s="596"/>
      <c r="I422" s="596"/>
      <c r="J422" s="596"/>
      <c r="K422" s="596"/>
      <c r="L422" s="591" t="s">
        <v>320</v>
      </c>
      <c r="M422" s="597" t="str">
        <f t="shared" si="293"/>
        <v>Onderwijsruimte (theorie)</v>
      </c>
      <c r="N422" s="591" t="s">
        <v>78</v>
      </c>
      <c r="O422" s="621"/>
      <c r="P422" s="622"/>
      <c r="Q422" s="600">
        <f t="shared" si="294"/>
        <v>0</v>
      </c>
      <c r="R422" s="601">
        <f t="shared" si="295"/>
        <v>38</v>
      </c>
      <c r="S422" s="647">
        <v>102200</v>
      </c>
      <c r="T422" s="602"/>
      <c r="U422" s="645">
        <v>1</v>
      </c>
      <c r="V422" s="593">
        <f t="shared" si="296"/>
        <v>200</v>
      </c>
      <c r="W422" s="604">
        <f t="shared" si="297"/>
        <v>0</v>
      </c>
      <c r="X422" s="604">
        <f t="shared" si="298"/>
        <v>0</v>
      </c>
      <c r="Y422" s="604">
        <f t="shared" si="299"/>
        <v>0</v>
      </c>
      <c r="Z422" s="605">
        <f t="shared" si="300"/>
        <v>0</v>
      </c>
      <c r="AA422" s="751">
        <f t="shared" si="301"/>
        <v>0</v>
      </c>
      <c r="AB422" s="605">
        <f t="shared" si="302"/>
        <v>0</v>
      </c>
      <c r="AC422" s="607"/>
      <c r="AD422" s="591" t="str">
        <f t="shared" si="303"/>
        <v>Friesland College</v>
      </c>
      <c r="AE422" s="608"/>
      <c r="AF422" s="639">
        <v>38</v>
      </c>
      <c r="AG422" s="639">
        <f t="shared" si="304"/>
        <v>38</v>
      </c>
      <c r="AH422" s="639">
        <f t="shared" si="305"/>
        <v>0</v>
      </c>
      <c r="AI422" s="640"/>
      <c r="AJ422" s="641">
        <f t="shared" si="306"/>
        <v>0</v>
      </c>
      <c r="AK422" s="642"/>
      <c r="AL422" s="642" t="s">
        <v>364</v>
      </c>
      <c r="AM422" s="642"/>
      <c r="AN422" s="642"/>
      <c r="AO422" s="644">
        <v>1741</v>
      </c>
      <c r="AP422" s="565"/>
      <c r="AQ422" s="566"/>
      <c r="AR422" s="566"/>
      <c r="AS422" s="566"/>
      <c r="AT422" s="566"/>
      <c r="AU422" s="566"/>
      <c r="AV422" s="566"/>
      <c r="AW422" s="566"/>
      <c r="AX422" s="566"/>
      <c r="AY422" s="566"/>
      <c r="AZ422" s="566"/>
      <c r="BA422" s="566"/>
      <c r="BB422" s="566"/>
      <c r="BC422" s="566"/>
      <c r="BD422" s="566"/>
      <c r="BE422" s="566"/>
      <c r="BF422" s="566"/>
      <c r="BG422" s="566"/>
    </row>
    <row r="423" spans="1:59">
      <c r="A423" s="591"/>
      <c r="B423" s="592"/>
      <c r="C423" s="593"/>
      <c r="D423" s="594">
        <v>1</v>
      </c>
      <c r="E423" s="595" t="s">
        <v>373</v>
      </c>
      <c r="F423" s="593" t="s">
        <v>339</v>
      </c>
      <c r="G423" s="596" t="s">
        <v>455</v>
      </c>
      <c r="H423" s="596"/>
      <c r="I423" s="596"/>
      <c r="J423" s="596"/>
      <c r="K423" s="596"/>
      <c r="L423" s="591" t="s">
        <v>771</v>
      </c>
      <c r="M423" s="597" t="str">
        <f t="shared" si="293"/>
        <v>Niet van toepassing</v>
      </c>
      <c r="N423" s="591" t="s">
        <v>323</v>
      </c>
      <c r="O423" s="621"/>
      <c r="P423" s="622"/>
      <c r="Q423" s="600">
        <f t="shared" si="294"/>
        <v>0</v>
      </c>
      <c r="R423" s="601">
        <f t="shared" si="295"/>
        <v>4</v>
      </c>
      <c r="S423" s="603" t="s">
        <v>28</v>
      </c>
      <c r="T423" s="602"/>
      <c r="U423" s="603"/>
      <c r="V423" s="593">
        <f t="shared" si="296"/>
        <v>0</v>
      </c>
      <c r="W423" s="604">
        <f t="shared" si="297"/>
        <v>0</v>
      </c>
      <c r="X423" s="604">
        <f t="shared" si="298"/>
        <v>0</v>
      </c>
      <c r="Y423" s="604">
        <f t="shared" si="299"/>
        <v>0</v>
      </c>
      <c r="Z423" s="605">
        <f t="shared" si="300"/>
        <v>0</v>
      </c>
      <c r="AA423" s="751">
        <f t="shared" si="301"/>
        <v>0</v>
      </c>
      <c r="AB423" s="605">
        <f t="shared" si="302"/>
        <v>0</v>
      </c>
      <c r="AC423" s="607"/>
      <c r="AD423" s="591" t="str">
        <f t="shared" si="303"/>
        <v>Friesland College</v>
      </c>
      <c r="AE423" s="608"/>
      <c r="AF423" s="639">
        <v>4</v>
      </c>
      <c r="AG423" s="639">
        <f t="shared" si="304"/>
        <v>4</v>
      </c>
      <c r="AH423" s="639">
        <f t="shared" si="305"/>
        <v>0</v>
      </c>
      <c r="AI423" s="640"/>
      <c r="AJ423" s="641">
        <f t="shared" si="306"/>
        <v>0</v>
      </c>
      <c r="AK423" s="642"/>
      <c r="AL423" s="642" t="s">
        <v>364</v>
      </c>
      <c r="AM423" s="642"/>
      <c r="AN423" s="642"/>
      <c r="AO423" s="644">
        <v>1742</v>
      </c>
      <c r="AP423" s="565"/>
      <c r="AQ423" s="566"/>
      <c r="AR423" s="566"/>
      <c r="AS423" s="566"/>
      <c r="AT423" s="566"/>
      <c r="AU423" s="566"/>
      <c r="AV423" s="566"/>
      <c r="AW423" s="566"/>
      <c r="AX423" s="566"/>
      <c r="AY423" s="566"/>
      <c r="AZ423" s="566"/>
      <c r="BA423" s="566"/>
      <c r="BB423" s="566"/>
      <c r="BC423" s="566"/>
      <c r="BD423" s="566"/>
      <c r="BE423" s="566"/>
      <c r="BF423" s="566"/>
      <c r="BG423" s="566"/>
    </row>
    <row r="424" spans="1:59">
      <c r="A424" s="591"/>
      <c r="B424" s="592"/>
      <c r="C424" s="593"/>
      <c r="D424" s="594">
        <v>1</v>
      </c>
      <c r="E424" s="595" t="s">
        <v>373</v>
      </c>
      <c r="F424" s="593" t="s">
        <v>339</v>
      </c>
      <c r="G424" s="596" t="s">
        <v>456</v>
      </c>
      <c r="H424" s="596"/>
      <c r="I424" s="596"/>
      <c r="J424" s="596"/>
      <c r="K424" s="596"/>
      <c r="L424" s="591" t="s">
        <v>872</v>
      </c>
      <c r="M424" s="597" t="str">
        <f t="shared" si="293"/>
        <v>Sanitaire ruimte (toilet-/doucheruimte)</v>
      </c>
      <c r="N424" s="591" t="s">
        <v>323</v>
      </c>
      <c r="O424" s="621"/>
      <c r="P424" s="622"/>
      <c r="Q424" s="600">
        <f t="shared" si="294"/>
        <v>0</v>
      </c>
      <c r="R424" s="601">
        <f t="shared" si="295"/>
        <v>6</v>
      </c>
      <c r="S424" s="647">
        <v>103200</v>
      </c>
      <c r="T424" s="647"/>
      <c r="U424" s="645">
        <v>1</v>
      </c>
      <c r="V424" s="593">
        <f t="shared" si="296"/>
        <v>200</v>
      </c>
      <c r="W424" s="604">
        <f t="shared" si="297"/>
        <v>0</v>
      </c>
      <c r="X424" s="604">
        <f t="shared" si="298"/>
        <v>0</v>
      </c>
      <c r="Y424" s="604">
        <f t="shared" si="299"/>
        <v>0</v>
      </c>
      <c r="Z424" s="605">
        <f t="shared" si="300"/>
        <v>0</v>
      </c>
      <c r="AA424" s="751">
        <f t="shared" si="301"/>
        <v>0</v>
      </c>
      <c r="AB424" s="605">
        <f t="shared" si="302"/>
        <v>0</v>
      </c>
      <c r="AC424" s="607"/>
      <c r="AD424" s="591" t="str">
        <f t="shared" si="303"/>
        <v>Friesland College</v>
      </c>
      <c r="AE424" s="608"/>
      <c r="AF424" s="639">
        <v>6</v>
      </c>
      <c r="AG424" s="639">
        <f t="shared" si="304"/>
        <v>6</v>
      </c>
      <c r="AH424" s="639">
        <f t="shared" si="305"/>
        <v>0</v>
      </c>
      <c r="AI424" s="640"/>
      <c r="AJ424" s="641">
        <f t="shared" si="306"/>
        <v>0</v>
      </c>
      <c r="AK424" s="642"/>
      <c r="AL424" s="642" t="s">
        <v>364</v>
      </c>
      <c r="AM424" s="642"/>
      <c r="AN424" s="642"/>
      <c r="AO424" s="644">
        <v>1743</v>
      </c>
      <c r="AP424" s="565"/>
      <c r="AQ424" s="566"/>
      <c r="AR424" s="566"/>
      <c r="AS424" s="566"/>
      <c r="AT424" s="566"/>
      <c r="AU424" s="566"/>
      <c r="AV424" s="566"/>
      <c r="AW424" s="566"/>
      <c r="AX424" s="566"/>
      <c r="AY424" s="566"/>
      <c r="AZ424" s="566"/>
      <c r="BA424" s="566"/>
      <c r="BB424" s="566"/>
      <c r="BC424" s="566"/>
      <c r="BD424" s="566"/>
      <c r="BE424" s="566"/>
      <c r="BF424" s="566"/>
      <c r="BG424" s="566"/>
    </row>
    <row r="425" spans="1:59">
      <c r="A425" s="591"/>
      <c r="B425" s="592"/>
      <c r="C425" s="593"/>
      <c r="D425" s="594">
        <v>1</v>
      </c>
      <c r="E425" s="595" t="s">
        <v>373</v>
      </c>
      <c r="F425" s="593" t="s">
        <v>339</v>
      </c>
      <c r="G425" s="596" t="s">
        <v>459</v>
      </c>
      <c r="H425" s="596"/>
      <c r="I425" s="596"/>
      <c r="J425" s="596"/>
      <c r="K425" s="596"/>
      <c r="L425" s="591" t="s">
        <v>319</v>
      </c>
      <c r="M425" s="597" t="str">
        <f t="shared" si="293"/>
        <v>Gang, hal, pantry, aula, repro, gardarobe</v>
      </c>
      <c r="N425" s="591" t="s">
        <v>78</v>
      </c>
      <c r="O425" s="621"/>
      <c r="P425" s="622"/>
      <c r="Q425" s="600">
        <f t="shared" si="294"/>
        <v>0</v>
      </c>
      <c r="R425" s="601">
        <f t="shared" si="295"/>
        <v>65</v>
      </c>
      <c r="S425" s="647">
        <v>104200</v>
      </c>
      <c r="T425" s="602"/>
      <c r="U425" s="645">
        <v>1</v>
      </c>
      <c r="V425" s="593">
        <f t="shared" si="296"/>
        <v>200</v>
      </c>
      <c r="W425" s="604">
        <f t="shared" si="297"/>
        <v>0</v>
      </c>
      <c r="X425" s="604">
        <f t="shared" si="298"/>
        <v>0</v>
      </c>
      <c r="Y425" s="604">
        <f t="shared" si="299"/>
        <v>0</v>
      </c>
      <c r="Z425" s="605">
        <f t="shared" si="300"/>
        <v>0</v>
      </c>
      <c r="AA425" s="751">
        <f t="shared" si="301"/>
        <v>0</v>
      </c>
      <c r="AB425" s="605">
        <f t="shared" si="302"/>
        <v>0</v>
      </c>
      <c r="AC425" s="607"/>
      <c r="AD425" s="591" t="str">
        <f t="shared" si="303"/>
        <v>Friesland College</v>
      </c>
      <c r="AE425" s="608"/>
      <c r="AF425" s="639">
        <v>65</v>
      </c>
      <c r="AG425" s="639">
        <f t="shared" si="304"/>
        <v>65</v>
      </c>
      <c r="AH425" s="639">
        <f t="shared" si="305"/>
        <v>0</v>
      </c>
      <c r="AI425" s="640"/>
      <c r="AJ425" s="641">
        <f t="shared" si="306"/>
        <v>0</v>
      </c>
      <c r="AK425" s="642"/>
      <c r="AL425" s="642" t="s">
        <v>364</v>
      </c>
      <c r="AM425" s="642"/>
      <c r="AN425" s="642"/>
      <c r="AO425" s="644">
        <v>1744</v>
      </c>
      <c r="AP425" s="565"/>
      <c r="AQ425" s="566"/>
      <c r="AR425" s="566"/>
      <c r="AS425" s="566"/>
      <c r="AT425" s="566"/>
      <c r="AU425" s="566"/>
      <c r="AV425" s="566"/>
      <c r="AW425" s="566"/>
      <c r="AX425" s="566"/>
      <c r="AY425" s="566"/>
      <c r="AZ425" s="566"/>
      <c r="BA425" s="566"/>
      <c r="BB425" s="566"/>
      <c r="BC425" s="566"/>
      <c r="BD425" s="566"/>
      <c r="BE425" s="566"/>
      <c r="BF425" s="566"/>
      <c r="BG425" s="566"/>
    </row>
    <row r="426" spans="1:59">
      <c r="A426" s="591"/>
      <c r="B426" s="592"/>
      <c r="C426" s="593"/>
      <c r="D426" s="594">
        <v>1</v>
      </c>
      <c r="E426" s="595" t="s">
        <v>373</v>
      </c>
      <c r="F426" s="593" t="s">
        <v>339</v>
      </c>
      <c r="G426" s="596" t="s">
        <v>460</v>
      </c>
      <c r="H426" s="596"/>
      <c r="I426" s="596"/>
      <c r="J426" s="596"/>
      <c r="K426" s="596"/>
      <c r="L426" s="591" t="s">
        <v>342</v>
      </c>
      <c r="M426" s="597" t="str">
        <f t="shared" si="293"/>
        <v>Onderwijsruimte (theorie)</v>
      </c>
      <c r="N426" s="591" t="s">
        <v>78</v>
      </c>
      <c r="O426" s="621"/>
      <c r="P426" s="622"/>
      <c r="Q426" s="600">
        <f t="shared" si="294"/>
        <v>0</v>
      </c>
      <c r="R426" s="601">
        <f t="shared" si="295"/>
        <v>62</v>
      </c>
      <c r="S426" s="647">
        <v>102200</v>
      </c>
      <c r="T426" s="602"/>
      <c r="U426" s="645">
        <v>1</v>
      </c>
      <c r="V426" s="593">
        <f t="shared" si="296"/>
        <v>200</v>
      </c>
      <c r="W426" s="604">
        <f t="shared" si="297"/>
        <v>0</v>
      </c>
      <c r="X426" s="604">
        <f t="shared" si="298"/>
        <v>0</v>
      </c>
      <c r="Y426" s="604">
        <f t="shared" si="299"/>
        <v>0</v>
      </c>
      <c r="Z426" s="605">
        <f t="shared" si="300"/>
        <v>0</v>
      </c>
      <c r="AA426" s="751">
        <f t="shared" si="301"/>
        <v>0</v>
      </c>
      <c r="AB426" s="605">
        <f t="shared" si="302"/>
        <v>0</v>
      </c>
      <c r="AC426" s="607"/>
      <c r="AD426" s="591" t="str">
        <f t="shared" si="303"/>
        <v>Friesland College</v>
      </c>
      <c r="AE426" s="608"/>
      <c r="AF426" s="639">
        <v>62</v>
      </c>
      <c r="AG426" s="639">
        <f t="shared" si="304"/>
        <v>62</v>
      </c>
      <c r="AH426" s="639">
        <f t="shared" si="305"/>
        <v>0</v>
      </c>
      <c r="AI426" s="640"/>
      <c r="AJ426" s="641">
        <f t="shared" si="306"/>
        <v>0</v>
      </c>
      <c r="AK426" s="642"/>
      <c r="AL426" s="642" t="s">
        <v>364</v>
      </c>
      <c r="AM426" s="642"/>
      <c r="AN426" s="642"/>
      <c r="AO426" s="644">
        <v>1745</v>
      </c>
      <c r="AP426" s="565"/>
      <c r="AQ426" s="566"/>
      <c r="AR426" s="566"/>
      <c r="AS426" s="566"/>
      <c r="AT426" s="566"/>
      <c r="AU426" s="566"/>
      <c r="AV426" s="566"/>
      <c r="AW426" s="566"/>
      <c r="AX426" s="566"/>
      <c r="AY426" s="566"/>
      <c r="AZ426" s="566"/>
      <c r="BA426" s="566"/>
      <c r="BB426" s="566"/>
      <c r="BC426" s="566"/>
      <c r="BD426" s="566"/>
      <c r="BE426" s="566"/>
      <c r="BF426" s="566"/>
      <c r="BG426" s="566"/>
    </row>
    <row r="427" spans="1:59">
      <c r="A427" s="591"/>
      <c r="B427" s="592"/>
      <c r="C427" s="593"/>
      <c r="D427" s="594">
        <v>1</v>
      </c>
      <c r="E427" s="595" t="s">
        <v>373</v>
      </c>
      <c r="F427" s="593" t="s">
        <v>339</v>
      </c>
      <c r="G427" s="596" t="s">
        <v>461</v>
      </c>
      <c r="H427" s="596"/>
      <c r="I427" s="596"/>
      <c r="J427" s="596"/>
      <c r="K427" s="596"/>
      <c r="L427" s="591" t="s">
        <v>888</v>
      </c>
      <c r="M427" s="597" t="str">
        <f t="shared" si="293"/>
        <v>Onderwijsruimte (theorie)</v>
      </c>
      <c r="N427" s="591" t="s">
        <v>78</v>
      </c>
      <c r="O427" s="621"/>
      <c r="P427" s="622"/>
      <c r="Q427" s="600">
        <f t="shared" si="294"/>
        <v>0</v>
      </c>
      <c r="R427" s="601">
        <f t="shared" si="295"/>
        <v>56</v>
      </c>
      <c r="S427" s="647">
        <v>102200</v>
      </c>
      <c r="T427" s="602"/>
      <c r="U427" s="645">
        <v>1</v>
      </c>
      <c r="V427" s="593">
        <f t="shared" si="296"/>
        <v>200</v>
      </c>
      <c r="W427" s="604">
        <f t="shared" si="297"/>
        <v>0</v>
      </c>
      <c r="X427" s="604">
        <f t="shared" si="298"/>
        <v>0</v>
      </c>
      <c r="Y427" s="604">
        <f t="shared" si="299"/>
        <v>0</v>
      </c>
      <c r="Z427" s="605">
        <f t="shared" si="300"/>
        <v>0</v>
      </c>
      <c r="AA427" s="751">
        <f t="shared" si="301"/>
        <v>0</v>
      </c>
      <c r="AB427" s="605">
        <f t="shared" si="302"/>
        <v>0</v>
      </c>
      <c r="AC427" s="607"/>
      <c r="AD427" s="591" t="str">
        <f t="shared" si="303"/>
        <v>Friesland College</v>
      </c>
      <c r="AE427" s="608"/>
      <c r="AF427" s="639">
        <v>56</v>
      </c>
      <c r="AG427" s="639">
        <f t="shared" si="304"/>
        <v>56</v>
      </c>
      <c r="AH427" s="639">
        <f t="shared" si="305"/>
        <v>0</v>
      </c>
      <c r="AI427" s="640"/>
      <c r="AJ427" s="641">
        <f t="shared" si="306"/>
        <v>0</v>
      </c>
      <c r="AK427" s="642"/>
      <c r="AL427" s="642" t="s">
        <v>364</v>
      </c>
      <c r="AM427" s="642"/>
      <c r="AN427" s="642"/>
      <c r="AO427" s="644">
        <v>1746</v>
      </c>
      <c r="AP427" s="565"/>
      <c r="AQ427" s="566"/>
      <c r="AR427" s="566"/>
      <c r="AS427" s="566"/>
      <c r="AT427" s="566"/>
      <c r="AU427" s="566"/>
      <c r="AV427" s="566"/>
      <c r="AW427" s="566"/>
      <c r="AX427" s="566"/>
      <c r="AY427" s="566"/>
      <c r="AZ427" s="566"/>
      <c r="BA427" s="566"/>
      <c r="BB427" s="566"/>
      <c r="BC427" s="566"/>
      <c r="BD427" s="566"/>
      <c r="BE427" s="566"/>
      <c r="BF427" s="566"/>
      <c r="BG427" s="566"/>
    </row>
    <row r="428" spans="1:59">
      <c r="A428" s="591"/>
      <c r="B428" s="592"/>
      <c r="C428" s="593"/>
      <c r="D428" s="594">
        <v>1</v>
      </c>
      <c r="E428" s="595" t="s">
        <v>373</v>
      </c>
      <c r="F428" s="593" t="s">
        <v>339</v>
      </c>
      <c r="G428" s="596" t="s">
        <v>462</v>
      </c>
      <c r="H428" s="596"/>
      <c r="I428" s="596"/>
      <c r="J428" s="596"/>
      <c r="K428" s="596"/>
      <c r="L428" s="591" t="s">
        <v>889</v>
      </c>
      <c r="M428" s="597" t="str">
        <f t="shared" si="293"/>
        <v>Administratieve -, personeels- en vergaderruimte</v>
      </c>
      <c r="N428" s="591" t="s">
        <v>78</v>
      </c>
      <c r="O428" s="621"/>
      <c r="P428" s="622"/>
      <c r="Q428" s="600">
        <f t="shared" si="294"/>
        <v>0</v>
      </c>
      <c r="R428" s="601">
        <f t="shared" si="295"/>
        <v>60</v>
      </c>
      <c r="S428" s="647">
        <v>101120</v>
      </c>
      <c r="T428" s="602"/>
      <c r="U428" s="645">
        <v>1</v>
      </c>
      <c r="V428" s="593">
        <f t="shared" si="296"/>
        <v>120</v>
      </c>
      <c r="W428" s="604">
        <f t="shared" si="297"/>
        <v>0</v>
      </c>
      <c r="X428" s="604">
        <f t="shared" si="298"/>
        <v>0</v>
      </c>
      <c r="Y428" s="604">
        <f t="shared" si="299"/>
        <v>0</v>
      </c>
      <c r="Z428" s="605">
        <f t="shared" si="300"/>
        <v>0</v>
      </c>
      <c r="AA428" s="751">
        <f t="shared" si="301"/>
        <v>0</v>
      </c>
      <c r="AB428" s="605">
        <f t="shared" si="302"/>
        <v>0</v>
      </c>
      <c r="AC428" s="607"/>
      <c r="AD428" s="591" t="str">
        <f t="shared" si="303"/>
        <v>Friesland College</v>
      </c>
      <c r="AE428" s="608"/>
      <c r="AF428" s="639">
        <v>60</v>
      </c>
      <c r="AG428" s="639">
        <f t="shared" si="304"/>
        <v>60</v>
      </c>
      <c r="AH428" s="639">
        <f t="shared" si="305"/>
        <v>0</v>
      </c>
      <c r="AI428" s="640"/>
      <c r="AJ428" s="641">
        <f t="shared" si="306"/>
        <v>0</v>
      </c>
      <c r="AK428" s="642"/>
      <c r="AL428" s="642" t="s">
        <v>364</v>
      </c>
      <c r="AM428" s="642"/>
      <c r="AN428" s="642"/>
      <c r="AO428" s="644">
        <v>1747</v>
      </c>
      <c r="AP428" s="565"/>
      <c r="AQ428" s="566"/>
      <c r="AR428" s="566"/>
      <c r="AS428" s="566"/>
      <c r="AT428" s="566"/>
      <c r="AU428" s="566"/>
      <c r="AV428" s="566"/>
      <c r="AW428" s="566"/>
      <c r="AX428" s="566"/>
      <c r="AY428" s="566"/>
      <c r="AZ428" s="566"/>
      <c r="BA428" s="566"/>
      <c r="BB428" s="566"/>
      <c r="BC428" s="566"/>
      <c r="BD428" s="566"/>
      <c r="BE428" s="566"/>
      <c r="BF428" s="566"/>
      <c r="BG428" s="566"/>
    </row>
    <row r="429" spans="1:59">
      <c r="A429" s="591"/>
      <c r="B429" s="592"/>
      <c r="C429" s="593"/>
      <c r="D429" s="594">
        <v>1</v>
      </c>
      <c r="E429" s="595" t="s">
        <v>373</v>
      </c>
      <c r="F429" s="593" t="s">
        <v>339</v>
      </c>
      <c r="G429" s="596" t="s">
        <v>464</v>
      </c>
      <c r="H429" s="596"/>
      <c r="I429" s="596"/>
      <c r="J429" s="596"/>
      <c r="K429" s="596"/>
      <c r="L429" s="591" t="s">
        <v>889</v>
      </c>
      <c r="M429" s="597" t="str">
        <f t="shared" si="293"/>
        <v>Administratieve -, personeels- en vergaderruimte</v>
      </c>
      <c r="N429" s="591" t="s">
        <v>78</v>
      </c>
      <c r="O429" s="621"/>
      <c r="P429" s="622"/>
      <c r="Q429" s="600">
        <f t="shared" si="294"/>
        <v>0</v>
      </c>
      <c r="R429" s="601">
        <f t="shared" si="295"/>
        <v>63</v>
      </c>
      <c r="S429" s="647">
        <v>101120</v>
      </c>
      <c r="T429" s="602"/>
      <c r="U429" s="645">
        <v>1</v>
      </c>
      <c r="V429" s="593">
        <f t="shared" si="296"/>
        <v>120</v>
      </c>
      <c r="W429" s="604">
        <f t="shared" si="297"/>
        <v>0</v>
      </c>
      <c r="X429" s="604">
        <f t="shared" si="298"/>
        <v>0</v>
      </c>
      <c r="Y429" s="604">
        <f t="shared" si="299"/>
        <v>0</v>
      </c>
      <c r="Z429" s="605">
        <f t="shared" si="300"/>
        <v>0</v>
      </c>
      <c r="AA429" s="751">
        <f t="shared" si="301"/>
        <v>0</v>
      </c>
      <c r="AB429" s="605">
        <f t="shared" si="302"/>
        <v>0</v>
      </c>
      <c r="AC429" s="607"/>
      <c r="AD429" s="591" t="str">
        <f t="shared" si="303"/>
        <v>Friesland College</v>
      </c>
      <c r="AE429" s="608"/>
      <c r="AF429" s="639">
        <v>63</v>
      </c>
      <c r="AG429" s="639">
        <f t="shared" si="304"/>
        <v>63</v>
      </c>
      <c r="AH429" s="639">
        <f t="shared" si="305"/>
        <v>0</v>
      </c>
      <c r="AI429" s="640"/>
      <c r="AJ429" s="641">
        <f t="shared" si="306"/>
        <v>0</v>
      </c>
      <c r="AK429" s="642"/>
      <c r="AL429" s="642" t="s">
        <v>364</v>
      </c>
      <c r="AM429" s="642"/>
      <c r="AN429" s="642"/>
      <c r="AO429" s="644">
        <v>1748</v>
      </c>
      <c r="AP429" s="565"/>
      <c r="AQ429" s="566"/>
      <c r="AR429" s="566"/>
      <c r="AS429" s="566"/>
      <c r="AT429" s="566"/>
      <c r="AU429" s="566"/>
      <c r="AV429" s="566"/>
      <c r="AW429" s="566"/>
      <c r="AX429" s="566"/>
      <c r="AY429" s="566"/>
      <c r="AZ429" s="566"/>
      <c r="BA429" s="566"/>
      <c r="BB429" s="566"/>
      <c r="BC429" s="566"/>
      <c r="BD429" s="566"/>
      <c r="BE429" s="566"/>
      <c r="BF429" s="566"/>
      <c r="BG429" s="566"/>
    </row>
    <row r="430" spans="1:59">
      <c r="A430" s="591"/>
      <c r="B430" s="592"/>
      <c r="C430" s="593"/>
      <c r="D430" s="594">
        <v>1</v>
      </c>
      <c r="E430" s="595" t="s">
        <v>373</v>
      </c>
      <c r="F430" s="593" t="s">
        <v>339</v>
      </c>
      <c r="G430" s="596" t="s">
        <v>465</v>
      </c>
      <c r="H430" s="596"/>
      <c r="I430" s="596"/>
      <c r="J430" s="596"/>
      <c r="K430" s="596"/>
      <c r="L430" s="591" t="s">
        <v>890</v>
      </c>
      <c r="M430" s="597" t="str">
        <f t="shared" si="293"/>
        <v>Keuken, spoelkeuken</v>
      </c>
      <c r="N430" s="591" t="s">
        <v>78</v>
      </c>
      <c r="O430" s="621"/>
      <c r="P430" s="622"/>
      <c r="Q430" s="600">
        <f t="shared" si="294"/>
        <v>0</v>
      </c>
      <c r="R430" s="601">
        <f t="shared" si="295"/>
        <v>54</v>
      </c>
      <c r="S430" s="647">
        <v>105200</v>
      </c>
      <c r="T430" s="602"/>
      <c r="U430" s="645">
        <v>1</v>
      </c>
      <c r="V430" s="593">
        <f t="shared" si="296"/>
        <v>200</v>
      </c>
      <c r="W430" s="604">
        <f t="shared" si="297"/>
        <v>0</v>
      </c>
      <c r="X430" s="604">
        <f t="shared" si="298"/>
        <v>0</v>
      </c>
      <c r="Y430" s="604">
        <f t="shared" si="299"/>
        <v>0</v>
      </c>
      <c r="Z430" s="605">
        <f t="shared" si="300"/>
        <v>0</v>
      </c>
      <c r="AA430" s="751">
        <f t="shared" si="301"/>
        <v>0</v>
      </c>
      <c r="AB430" s="605">
        <f t="shared" si="302"/>
        <v>0</v>
      </c>
      <c r="AC430" s="607"/>
      <c r="AD430" s="591" t="str">
        <f t="shared" si="303"/>
        <v>Friesland College</v>
      </c>
      <c r="AE430" s="608"/>
      <c r="AF430" s="639">
        <v>54</v>
      </c>
      <c r="AG430" s="639">
        <f t="shared" si="304"/>
        <v>54</v>
      </c>
      <c r="AH430" s="639">
        <f t="shared" si="305"/>
        <v>0</v>
      </c>
      <c r="AI430" s="640"/>
      <c r="AJ430" s="641">
        <f t="shared" si="306"/>
        <v>0</v>
      </c>
      <c r="AK430" s="642"/>
      <c r="AL430" s="642" t="s">
        <v>364</v>
      </c>
      <c r="AM430" s="642"/>
      <c r="AN430" s="642"/>
      <c r="AO430" s="644">
        <v>1749</v>
      </c>
      <c r="AP430" s="565"/>
      <c r="AQ430" s="566"/>
      <c r="AR430" s="566"/>
      <c r="AS430" s="566"/>
      <c r="AT430" s="566"/>
      <c r="AU430" s="566"/>
      <c r="AV430" s="566"/>
      <c r="AW430" s="566"/>
      <c r="AX430" s="566"/>
      <c r="AY430" s="566"/>
      <c r="AZ430" s="566"/>
      <c r="BA430" s="566"/>
      <c r="BB430" s="566"/>
      <c r="BC430" s="566"/>
      <c r="BD430" s="566"/>
      <c r="BE430" s="566"/>
      <c r="BF430" s="566"/>
      <c r="BG430" s="566"/>
    </row>
    <row r="431" spans="1:59">
      <c r="A431" s="591"/>
      <c r="B431" s="592"/>
      <c r="C431" s="593"/>
      <c r="D431" s="594">
        <v>1</v>
      </c>
      <c r="E431" s="595" t="s">
        <v>373</v>
      </c>
      <c r="F431" s="593" t="s">
        <v>339</v>
      </c>
      <c r="G431" s="596" t="s">
        <v>714</v>
      </c>
      <c r="H431" s="596"/>
      <c r="I431" s="596"/>
      <c r="J431" s="596"/>
      <c r="K431" s="596"/>
      <c r="L431" s="591" t="s">
        <v>849</v>
      </c>
      <c r="M431" s="597" t="str">
        <f t="shared" si="293"/>
        <v>Administratieve -, personeels- en vergaderruimte</v>
      </c>
      <c r="N431" s="591" t="s">
        <v>78</v>
      </c>
      <c r="O431" s="621"/>
      <c r="P431" s="622"/>
      <c r="Q431" s="600">
        <f t="shared" si="294"/>
        <v>0</v>
      </c>
      <c r="R431" s="601">
        <f t="shared" si="295"/>
        <v>26</v>
      </c>
      <c r="S431" s="647">
        <v>101120</v>
      </c>
      <c r="T431" s="602"/>
      <c r="U431" s="645">
        <v>1</v>
      </c>
      <c r="V431" s="593">
        <f t="shared" si="296"/>
        <v>120</v>
      </c>
      <c r="W431" s="604">
        <f t="shared" si="297"/>
        <v>0</v>
      </c>
      <c r="X431" s="604">
        <f t="shared" si="298"/>
        <v>0</v>
      </c>
      <c r="Y431" s="604">
        <f t="shared" si="299"/>
        <v>0</v>
      </c>
      <c r="Z431" s="605">
        <f t="shared" si="300"/>
        <v>0</v>
      </c>
      <c r="AA431" s="751">
        <f t="shared" si="301"/>
        <v>0</v>
      </c>
      <c r="AB431" s="605">
        <f t="shared" si="302"/>
        <v>0</v>
      </c>
      <c r="AC431" s="607"/>
      <c r="AD431" s="591" t="str">
        <f t="shared" si="303"/>
        <v>Friesland College</v>
      </c>
      <c r="AE431" s="608"/>
      <c r="AF431" s="639">
        <v>26</v>
      </c>
      <c r="AG431" s="639">
        <f t="shared" si="304"/>
        <v>26</v>
      </c>
      <c r="AH431" s="639">
        <f t="shared" si="305"/>
        <v>0</v>
      </c>
      <c r="AI431" s="640"/>
      <c r="AJ431" s="641">
        <f t="shared" si="306"/>
        <v>0</v>
      </c>
      <c r="AK431" s="642"/>
      <c r="AL431" s="642" t="s">
        <v>364</v>
      </c>
      <c r="AM431" s="642"/>
      <c r="AN431" s="642"/>
      <c r="AO431" s="644">
        <v>1750</v>
      </c>
      <c r="AP431" s="565"/>
      <c r="AQ431" s="566"/>
      <c r="AR431" s="566"/>
      <c r="AS431" s="566"/>
      <c r="AT431" s="566"/>
      <c r="AU431" s="566"/>
      <c r="AV431" s="566"/>
      <c r="AW431" s="566"/>
      <c r="AX431" s="566"/>
      <c r="AY431" s="566"/>
      <c r="AZ431" s="566"/>
      <c r="BA431" s="566"/>
      <c r="BB431" s="566"/>
      <c r="BC431" s="566"/>
      <c r="BD431" s="566"/>
      <c r="BE431" s="566"/>
      <c r="BF431" s="566"/>
      <c r="BG431" s="566"/>
    </row>
    <row r="432" spans="1:59">
      <c r="A432" s="591"/>
      <c r="B432" s="592"/>
      <c r="C432" s="593"/>
      <c r="D432" s="594">
        <v>1</v>
      </c>
      <c r="E432" s="595" t="s">
        <v>373</v>
      </c>
      <c r="F432" s="593" t="s">
        <v>367</v>
      </c>
      <c r="G432" s="596" t="s">
        <v>713</v>
      </c>
      <c r="H432" s="596"/>
      <c r="I432" s="596"/>
      <c r="J432" s="596"/>
      <c r="K432" s="596"/>
      <c r="L432" s="591" t="s">
        <v>761</v>
      </c>
      <c r="M432" s="597" t="str">
        <f t="shared" si="293"/>
        <v>Buitenterrein</v>
      </c>
      <c r="N432" s="591" t="s">
        <v>947</v>
      </c>
      <c r="O432" s="598"/>
      <c r="P432" s="622"/>
      <c r="Q432" s="600">
        <f t="shared" si="294"/>
        <v>0</v>
      </c>
      <c r="R432" s="601">
        <f t="shared" si="295"/>
        <v>20</v>
      </c>
      <c r="S432" s="647">
        <v>107200</v>
      </c>
      <c r="T432" s="602"/>
      <c r="U432" s="645">
        <v>1</v>
      </c>
      <c r="V432" s="593">
        <f t="shared" si="296"/>
        <v>200</v>
      </c>
      <c r="W432" s="604">
        <f t="shared" si="297"/>
        <v>0</v>
      </c>
      <c r="X432" s="604">
        <f t="shared" si="298"/>
        <v>0</v>
      </c>
      <c r="Y432" s="604">
        <f t="shared" si="299"/>
        <v>0</v>
      </c>
      <c r="Z432" s="605">
        <f t="shared" si="300"/>
        <v>0</v>
      </c>
      <c r="AA432" s="751">
        <f t="shared" si="301"/>
        <v>0</v>
      </c>
      <c r="AB432" s="605">
        <f t="shared" si="302"/>
        <v>0</v>
      </c>
      <c r="AC432" s="607"/>
      <c r="AD432" s="591" t="str">
        <f t="shared" si="303"/>
        <v>Friesland College</v>
      </c>
      <c r="AE432" s="608"/>
      <c r="AF432" s="639">
        <v>20</v>
      </c>
      <c r="AG432" s="639">
        <f t="shared" si="304"/>
        <v>20</v>
      </c>
      <c r="AH432" s="639">
        <f t="shared" si="305"/>
        <v>0</v>
      </c>
      <c r="AI432" s="640"/>
      <c r="AJ432" s="641">
        <f t="shared" si="306"/>
        <v>0</v>
      </c>
      <c r="AK432" s="642"/>
      <c r="AL432" s="642" t="s">
        <v>364</v>
      </c>
      <c r="AM432" s="642"/>
      <c r="AN432" s="642"/>
      <c r="AO432" s="644">
        <v>1751</v>
      </c>
      <c r="AP432" s="565"/>
      <c r="AQ432" s="566"/>
      <c r="AR432" s="566"/>
      <c r="AS432" s="566"/>
      <c r="AT432" s="566"/>
      <c r="AU432" s="566"/>
      <c r="AV432" s="566"/>
      <c r="AW432" s="566"/>
      <c r="AX432" s="566"/>
      <c r="AY432" s="566"/>
      <c r="AZ432" s="566"/>
      <c r="BA432" s="566"/>
      <c r="BB432" s="566"/>
      <c r="BC432" s="566"/>
      <c r="BD432" s="566"/>
      <c r="BE432" s="566"/>
      <c r="BF432" s="566"/>
      <c r="BG432" s="566"/>
    </row>
    <row r="433" spans="1:59">
      <c r="A433" s="591"/>
      <c r="B433" s="592"/>
      <c r="C433" s="593"/>
      <c r="D433" s="594">
        <v>1</v>
      </c>
      <c r="E433" s="595" t="s">
        <v>373</v>
      </c>
      <c r="F433" s="593" t="s">
        <v>367</v>
      </c>
      <c r="G433" s="596" t="s">
        <v>386</v>
      </c>
      <c r="H433" s="596"/>
      <c r="I433" s="596"/>
      <c r="J433" s="596"/>
      <c r="K433" s="596"/>
      <c r="L433" s="591" t="s">
        <v>891</v>
      </c>
      <c r="M433" s="597" t="str">
        <f t="shared" si="293"/>
        <v>Gang, hal, pantry, aula, repro, gardarobe</v>
      </c>
      <c r="N433" s="591" t="s">
        <v>948</v>
      </c>
      <c r="O433" s="598"/>
      <c r="P433" s="599"/>
      <c r="Q433" s="600">
        <f t="shared" si="294"/>
        <v>0</v>
      </c>
      <c r="R433" s="601">
        <f t="shared" si="295"/>
        <v>37</v>
      </c>
      <c r="S433" s="647">
        <v>104200</v>
      </c>
      <c r="T433" s="602"/>
      <c r="U433" s="645">
        <v>1</v>
      </c>
      <c r="V433" s="593">
        <f t="shared" si="296"/>
        <v>200</v>
      </c>
      <c r="W433" s="604">
        <f t="shared" si="297"/>
        <v>0</v>
      </c>
      <c r="X433" s="604">
        <f t="shared" si="298"/>
        <v>0</v>
      </c>
      <c r="Y433" s="604">
        <f t="shared" si="299"/>
        <v>0</v>
      </c>
      <c r="Z433" s="605">
        <f t="shared" si="300"/>
        <v>0</v>
      </c>
      <c r="AA433" s="751">
        <f t="shared" si="301"/>
        <v>0</v>
      </c>
      <c r="AB433" s="605">
        <f t="shared" si="302"/>
        <v>0</v>
      </c>
      <c r="AC433" s="607"/>
      <c r="AD433" s="591" t="str">
        <f t="shared" si="303"/>
        <v>Friesland College</v>
      </c>
      <c r="AE433" s="608"/>
      <c r="AF433" s="639">
        <v>37</v>
      </c>
      <c r="AG433" s="639">
        <f t="shared" si="304"/>
        <v>37</v>
      </c>
      <c r="AH433" s="639">
        <f t="shared" si="305"/>
        <v>0</v>
      </c>
      <c r="AI433" s="640"/>
      <c r="AJ433" s="641">
        <f t="shared" si="306"/>
        <v>0</v>
      </c>
      <c r="AK433" s="642"/>
      <c r="AL433" s="642" t="s">
        <v>364</v>
      </c>
      <c r="AM433" s="642"/>
      <c r="AN433" s="642"/>
      <c r="AO433" s="644">
        <v>1752</v>
      </c>
      <c r="AP433" s="565"/>
      <c r="AQ433" s="566"/>
      <c r="AR433" s="566"/>
      <c r="AS433" s="566"/>
      <c r="AT433" s="566"/>
      <c r="AU433" s="566"/>
      <c r="AV433" s="566"/>
      <c r="AW433" s="566"/>
      <c r="AX433" s="566"/>
      <c r="AY433" s="566"/>
      <c r="AZ433" s="566"/>
      <c r="BA433" s="566"/>
      <c r="BB433" s="566"/>
      <c r="BC433" s="566"/>
      <c r="BD433" s="566"/>
      <c r="BE433" s="566"/>
      <c r="BF433" s="566"/>
      <c r="BG433" s="566"/>
    </row>
    <row r="434" spans="1:59">
      <c r="A434" s="591"/>
      <c r="B434" s="592"/>
      <c r="C434" s="593"/>
      <c r="D434" s="594">
        <v>1</v>
      </c>
      <c r="E434" s="595" t="s">
        <v>373</v>
      </c>
      <c r="F434" s="593" t="s">
        <v>367</v>
      </c>
      <c r="G434" s="596" t="s">
        <v>386</v>
      </c>
      <c r="H434" s="596"/>
      <c r="I434" s="596"/>
      <c r="J434" s="596"/>
      <c r="K434" s="596"/>
      <c r="L434" s="591" t="s">
        <v>892</v>
      </c>
      <c r="M434" s="597" t="str">
        <f t="shared" si="293"/>
        <v>Administratieve -, personeels- en vergaderruimte</v>
      </c>
      <c r="N434" s="591" t="s">
        <v>78</v>
      </c>
      <c r="O434" s="598"/>
      <c r="P434" s="599"/>
      <c r="Q434" s="600">
        <f t="shared" si="294"/>
        <v>0</v>
      </c>
      <c r="R434" s="601">
        <f t="shared" si="295"/>
        <v>31</v>
      </c>
      <c r="S434" s="647">
        <v>101100</v>
      </c>
      <c r="T434" s="602"/>
      <c r="U434" s="645">
        <v>1</v>
      </c>
      <c r="V434" s="593">
        <f t="shared" si="296"/>
        <v>100</v>
      </c>
      <c r="W434" s="604">
        <f t="shared" si="297"/>
        <v>0</v>
      </c>
      <c r="X434" s="604">
        <f t="shared" si="298"/>
        <v>0</v>
      </c>
      <c r="Y434" s="604">
        <f t="shared" si="299"/>
        <v>0</v>
      </c>
      <c r="Z434" s="605">
        <f t="shared" si="300"/>
        <v>0</v>
      </c>
      <c r="AA434" s="751">
        <f t="shared" si="301"/>
        <v>0</v>
      </c>
      <c r="AB434" s="605">
        <f t="shared" si="302"/>
        <v>0</v>
      </c>
      <c r="AC434" s="607"/>
      <c r="AD434" s="591" t="str">
        <f t="shared" si="303"/>
        <v>Friesland College</v>
      </c>
      <c r="AE434" s="608"/>
      <c r="AF434" s="639">
        <v>31</v>
      </c>
      <c r="AG434" s="639">
        <f t="shared" si="304"/>
        <v>31</v>
      </c>
      <c r="AH434" s="639">
        <f t="shared" si="305"/>
        <v>0</v>
      </c>
      <c r="AI434" s="640"/>
      <c r="AJ434" s="641">
        <f t="shared" si="306"/>
        <v>0</v>
      </c>
      <c r="AK434" s="642"/>
      <c r="AL434" s="642" t="s">
        <v>364</v>
      </c>
      <c r="AM434" s="642"/>
      <c r="AN434" s="642"/>
      <c r="AO434" s="644">
        <v>1753</v>
      </c>
      <c r="AP434" s="565"/>
      <c r="AQ434" s="566"/>
      <c r="AR434" s="566"/>
      <c r="AS434" s="566"/>
      <c r="AT434" s="566"/>
      <c r="AU434" s="566"/>
      <c r="AV434" s="566"/>
      <c r="AW434" s="566"/>
      <c r="AX434" s="566"/>
      <c r="AY434" s="566"/>
      <c r="AZ434" s="566"/>
      <c r="BA434" s="566"/>
      <c r="BB434" s="566"/>
      <c r="BC434" s="566"/>
      <c r="BD434" s="566"/>
      <c r="BE434" s="566"/>
      <c r="BF434" s="566"/>
      <c r="BG434" s="566"/>
    </row>
    <row r="435" spans="1:59">
      <c r="A435" s="591"/>
      <c r="B435" s="592"/>
      <c r="C435" s="593"/>
      <c r="D435" s="594">
        <v>1</v>
      </c>
      <c r="E435" s="595" t="s">
        <v>373</v>
      </c>
      <c r="F435" s="593" t="s">
        <v>367</v>
      </c>
      <c r="G435" s="596" t="s">
        <v>387</v>
      </c>
      <c r="H435" s="596"/>
      <c r="I435" s="596"/>
      <c r="J435" s="596"/>
      <c r="K435" s="596"/>
      <c r="L435" s="591" t="s">
        <v>364</v>
      </c>
      <c r="M435" s="597" t="str">
        <f t="shared" si="293"/>
        <v>Onderwijsruimte (theorie)</v>
      </c>
      <c r="N435" s="591" t="s">
        <v>78</v>
      </c>
      <c r="O435" s="598"/>
      <c r="P435" s="599"/>
      <c r="Q435" s="600">
        <f t="shared" si="294"/>
        <v>0</v>
      </c>
      <c r="R435" s="601">
        <f t="shared" si="295"/>
        <v>41</v>
      </c>
      <c r="S435" s="647">
        <v>102200</v>
      </c>
      <c r="T435" s="602"/>
      <c r="U435" s="645">
        <v>1</v>
      </c>
      <c r="V435" s="593">
        <f t="shared" si="296"/>
        <v>200</v>
      </c>
      <c r="W435" s="604">
        <f t="shared" si="297"/>
        <v>0</v>
      </c>
      <c r="X435" s="604">
        <f t="shared" si="298"/>
        <v>0</v>
      </c>
      <c r="Y435" s="604">
        <f t="shared" si="299"/>
        <v>0</v>
      </c>
      <c r="Z435" s="605">
        <f t="shared" si="300"/>
        <v>0</v>
      </c>
      <c r="AA435" s="751">
        <f t="shared" si="301"/>
        <v>0</v>
      </c>
      <c r="AB435" s="605">
        <f t="shared" si="302"/>
        <v>0</v>
      </c>
      <c r="AC435" s="607"/>
      <c r="AD435" s="591" t="str">
        <f t="shared" si="303"/>
        <v>Friesland College</v>
      </c>
      <c r="AE435" s="608"/>
      <c r="AF435" s="639">
        <v>41</v>
      </c>
      <c r="AG435" s="639">
        <f t="shared" si="304"/>
        <v>41</v>
      </c>
      <c r="AH435" s="639">
        <f t="shared" si="305"/>
        <v>0</v>
      </c>
      <c r="AI435" s="640"/>
      <c r="AJ435" s="641">
        <f t="shared" si="306"/>
        <v>0</v>
      </c>
      <c r="AK435" s="642"/>
      <c r="AL435" s="642" t="s">
        <v>364</v>
      </c>
      <c r="AM435" s="642"/>
      <c r="AN435" s="642"/>
      <c r="AO435" s="644">
        <v>1754</v>
      </c>
      <c r="AP435" s="565"/>
      <c r="AQ435" s="566"/>
      <c r="AR435" s="566"/>
      <c r="AS435" s="566"/>
      <c r="AT435" s="566"/>
      <c r="AU435" s="566"/>
      <c r="AV435" s="566"/>
      <c r="AW435" s="566"/>
      <c r="AX435" s="566"/>
      <c r="AY435" s="566"/>
      <c r="AZ435" s="566"/>
      <c r="BA435" s="566"/>
      <c r="BB435" s="566"/>
      <c r="BC435" s="566"/>
      <c r="BD435" s="566"/>
      <c r="BE435" s="566"/>
      <c r="BF435" s="566"/>
      <c r="BG435" s="566"/>
    </row>
    <row r="436" spans="1:59">
      <c r="A436" s="591"/>
      <c r="B436" s="592"/>
      <c r="C436" s="593"/>
      <c r="D436" s="594">
        <v>1</v>
      </c>
      <c r="E436" s="595" t="s">
        <v>373</v>
      </c>
      <c r="F436" s="593" t="s">
        <v>367</v>
      </c>
      <c r="G436" s="596" t="s">
        <v>390</v>
      </c>
      <c r="H436" s="596"/>
      <c r="I436" s="596"/>
      <c r="J436" s="596"/>
      <c r="K436" s="596"/>
      <c r="L436" s="591" t="s">
        <v>893</v>
      </c>
      <c r="M436" s="597" t="str">
        <f t="shared" si="293"/>
        <v>Administratieve -, personeels- en vergaderruimte</v>
      </c>
      <c r="N436" s="591" t="s">
        <v>78</v>
      </c>
      <c r="O436" s="621"/>
      <c r="P436" s="622"/>
      <c r="Q436" s="600">
        <f t="shared" si="294"/>
        <v>0</v>
      </c>
      <c r="R436" s="601">
        <f t="shared" si="295"/>
        <v>11</v>
      </c>
      <c r="S436" s="647">
        <v>101100</v>
      </c>
      <c r="T436" s="602"/>
      <c r="U436" s="645">
        <v>1</v>
      </c>
      <c r="V436" s="593">
        <f t="shared" si="296"/>
        <v>100</v>
      </c>
      <c r="W436" s="604">
        <f t="shared" si="297"/>
        <v>0</v>
      </c>
      <c r="X436" s="604">
        <f t="shared" si="298"/>
        <v>0</v>
      </c>
      <c r="Y436" s="604">
        <f t="shared" si="299"/>
        <v>0</v>
      </c>
      <c r="Z436" s="605">
        <f t="shared" si="300"/>
        <v>0</v>
      </c>
      <c r="AA436" s="751">
        <f t="shared" si="301"/>
        <v>0</v>
      </c>
      <c r="AB436" s="605">
        <f t="shared" si="302"/>
        <v>0</v>
      </c>
      <c r="AC436" s="607"/>
      <c r="AD436" s="591" t="str">
        <f t="shared" si="303"/>
        <v>Friesland College</v>
      </c>
      <c r="AE436" s="608"/>
      <c r="AF436" s="639">
        <v>11</v>
      </c>
      <c r="AG436" s="639">
        <f t="shared" si="304"/>
        <v>11</v>
      </c>
      <c r="AH436" s="639">
        <f t="shared" si="305"/>
        <v>0</v>
      </c>
      <c r="AI436" s="640"/>
      <c r="AJ436" s="641">
        <f t="shared" si="306"/>
        <v>0</v>
      </c>
      <c r="AK436" s="642"/>
      <c r="AL436" s="642" t="s">
        <v>364</v>
      </c>
      <c r="AM436" s="642"/>
      <c r="AN436" s="642"/>
      <c r="AO436" s="644">
        <v>1755</v>
      </c>
      <c r="AP436" s="565"/>
      <c r="AQ436" s="566"/>
      <c r="AR436" s="566"/>
      <c r="AS436" s="566"/>
      <c r="AT436" s="566"/>
      <c r="AU436" s="566"/>
      <c r="AV436" s="566"/>
      <c r="AW436" s="566"/>
      <c r="AX436" s="566"/>
      <c r="AY436" s="566"/>
      <c r="AZ436" s="566"/>
      <c r="BA436" s="566"/>
      <c r="BB436" s="566"/>
      <c r="BC436" s="566"/>
      <c r="BD436" s="566"/>
      <c r="BE436" s="566"/>
      <c r="BF436" s="566"/>
      <c r="BG436" s="566"/>
    </row>
    <row r="437" spans="1:59">
      <c r="A437" s="591"/>
      <c r="B437" s="592"/>
      <c r="C437" s="593"/>
      <c r="D437" s="594">
        <v>1</v>
      </c>
      <c r="E437" s="595" t="s">
        <v>373</v>
      </c>
      <c r="F437" s="593" t="s">
        <v>367</v>
      </c>
      <c r="G437" s="596" t="s">
        <v>391</v>
      </c>
      <c r="H437" s="596"/>
      <c r="I437" s="596"/>
      <c r="J437" s="596"/>
      <c r="K437" s="596"/>
      <c r="L437" s="591" t="s">
        <v>894</v>
      </c>
      <c r="M437" s="597" t="str">
        <f t="shared" si="293"/>
        <v>Administratieve -, personeels- en vergaderruimte</v>
      </c>
      <c r="N437" s="591" t="s">
        <v>78</v>
      </c>
      <c r="O437" s="621"/>
      <c r="P437" s="622"/>
      <c r="Q437" s="600">
        <f t="shared" si="294"/>
        <v>0</v>
      </c>
      <c r="R437" s="601">
        <f t="shared" si="295"/>
        <v>19</v>
      </c>
      <c r="S437" s="647">
        <v>101120</v>
      </c>
      <c r="T437" s="602"/>
      <c r="U437" s="645">
        <v>1</v>
      </c>
      <c r="V437" s="593">
        <f t="shared" si="296"/>
        <v>120</v>
      </c>
      <c r="W437" s="604">
        <f t="shared" si="297"/>
        <v>0</v>
      </c>
      <c r="X437" s="604">
        <f t="shared" si="298"/>
        <v>0</v>
      </c>
      <c r="Y437" s="604">
        <f t="shared" si="299"/>
        <v>0</v>
      </c>
      <c r="Z437" s="605">
        <f t="shared" si="300"/>
        <v>0</v>
      </c>
      <c r="AA437" s="751">
        <f t="shared" si="301"/>
        <v>0</v>
      </c>
      <c r="AB437" s="605">
        <f t="shared" si="302"/>
        <v>0</v>
      </c>
      <c r="AC437" s="607"/>
      <c r="AD437" s="591" t="str">
        <f t="shared" si="303"/>
        <v>Friesland College</v>
      </c>
      <c r="AE437" s="608"/>
      <c r="AF437" s="639">
        <v>19</v>
      </c>
      <c r="AG437" s="639">
        <f t="shared" si="304"/>
        <v>19</v>
      </c>
      <c r="AH437" s="639">
        <f t="shared" si="305"/>
        <v>0</v>
      </c>
      <c r="AI437" s="640"/>
      <c r="AJ437" s="641">
        <f t="shared" si="306"/>
        <v>0</v>
      </c>
      <c r="AK437" s="642"/>
      <c r="AL437" s="642" t="s">
        <v>364</v>
      </c>
      <c r="AM437" s="642"/>
      <c r="AN437" s="642"/>
      <c r="AO437" s="644">
        <v>1756</v>
      </c>
      <c r="AP437" s="565"/>
      <c r="AQ437" s="566"/>
      <c r="AR437" s="566"/>
      <c r="AS437" s="566"/>
      <c r="AT437" s="566"/>
      <c r="AU437" s="566"/>
      <c r="AV437" s="566"/>
      <c r="AW437" s="566"/>
      <c r="AX437" s="566"/>
      <c r="AY437" s="566"/>
      <c r="AZ437" s="566"/>
      <c r="BA437" s="566"/>
      <c r="BB437" s="566"/>
      <c r="BC437" s="566"/>
      <c r="BD437" s="566"/>
      <c r="BE437" s="566"/>
      <c r="BF437" s="566"/>
      <c r="BG437" s="566"/>
    </row>
    <row r="438" spans="1:59">
      <c r="A438" s="591"/>
      <c r="B438" s="592"/>
      <c r="C438" s="593"/>
      <c r="D438" s="594">
        <v>1</v>
      </c>
      <c r="E438" s="595" t="s">
        <v>373</v>
      </c>
      <c r="F438" s="593" t="s">
        <v>367</v>
      </c>
      <c r="G438" s="596" t="s">
        <v>392</v>
      </c>
      <c r="H438" s="596"/>
      <c r="I438" s="596"/>
      <c r="J438" s="596"/>
      <c r="K438" s="596"/>
      <c r="L438" s="591" t="s">
        <v>895</v>
      </c>
      <c r="M438" s="597" t="str">
        <f t="shared" si="293"/>
        <v>Administratieve -, personeels- en vergaderruimte</v>
      </c>
      <c r="N438" s="591" t="s">
        <v>78</v>
      </c>
      <c r="O438" s="621"/>
      <c r="P438" s="622"/>
      <c r="Q438" s="600">
        <f t="shared" si="294"/>
        <v>0</v>
      </c>
      <c r="R438" s="601">
        <f t="shared" si="295"/>
        <v>60</v>
      </c>
      <c r="S438" s="647">
        <v>101100</v>
      </c>
      <c r="T438" s="602"/>
      <c r="U438" s="645">
        <v>1</v>
      </c>
      <c r="V438" s="593">
        <f t="shared" si="296"/>
        <v>100</v>
      </c>
      <c r="W438" s="604">
        <f t="shared" si="297"/>
        <v>0</v>
      </c>
      <c r="X438" s="604">
        <f t="shared" si="298"/>
        <v>0</v>
      </c>
      <c r="Y438" s="604">
        <f t="shared" si="299"/>
        <v>0</v>
      </c>
      <c r="Z438" s="605">
        <f t="shared" si="300"/>
        <v>0</v>
      </c>
      <c r="AA438" s="751">
        <f t="shared" si="301"/>
        <v>0</v>
      </c>
      <c r="AB438" s="605">
        <f t="shared" si="302"/>
        <v>0</v>
      </c>
      <c r="AC438" s="607"/>
      <c r="AD438" s="591" t="str">
        <f t="shared" si="303"/>
        <v>Friesland College</v>
      </c>
      <c r="AE438" s="608"/>
      <c r="AF438" s="639">
        <v>60</v>
      </c>
      <c r="AG438" s="639">
        <f t="shared" si="304"/>
        <v>60</v>
      </c>
      <c r="AH438" s="639">
        <f t="shared" si="305"/>
        <v>0</v>
      </c>
      <c r="AI438" s="640"/>
      <c r="AJ438" s="641">
        <f t="shared" si="306"/>
        <v>0</v>
      </c>
      <c r="AK438" s="642"/>
      <c r="AL438" s="642" t="s">
        <v>364</v>
      </c>
      <c r="AM438" s="642"/>
      <c r="AN438" s="642"/>
      <c r="AO438" s="644">
        <v>1757</v>
      </c>
      <c r="AP438" s="565"/>
      <c r="AQ438" s="566"/>
      <c r="AR438" s="566"/>
      <c r="AS438" s="566"/>
      <c r="AT438" s="566"/>
      <c r="AU438" s="566"/>
      <c r="AV438" s="566"/>
      <c r="AW438" s="566"/>
      <c r="AX438" s="566"/>
      <c r="AY438" s="566"/>
      <c r="AZ438" s="566"/>
      <c r="BA438" s="566"/>
      <c r="BB438" s="566"/>
      <c r="BC438" s="566"/>
      <c r="BD438" s="566"/>
      <c r="BE438" s="566"/>
      <c r="BF438" s="566"/>
      <c r="BG438" s="566"/>
    </row>
    <row r="439" spans="1:59">
      <c r="A439" s="591"/>
      <c r="B439" s="592"/>
      <c r="C439" s="593"/>
      <c r="D439" s="594">
        <v>1</v>
      </c>
      <c r="E439" s="595" t="s">
        <v>374</v>
      </c>
      <c r="F439" s="593" t="s">
        <v>367</v>
      </c>
      <c r="G439" s="596" t="s">
        <v>589</v>
      </c>
      <c r="H439" s="596" t="s">
        <v>589</v>
      </c>
      <c r="I439" s="596"/>
      <c r="J439" s="596"/>
      <c r="K439" s="596"/>
      <c r="L439" s="591" t="s">
        <v>761</v>
      </c>
      <c r="M439" s="597" t="str">
        <f t="shared" si="293"/>
        <v>Buitenterrein</v>
      </c>
      <c r="N439" s="591" t="s">
        <v>85</v>
      </c>
      <c r="O439" s="598"/>
      <c r="P439" s="622"/>
      <c r="Q439" s="600">
        <f t="shared" si="294"/>
        <v>0</v>
      </c>
      <c r="R439" s="601">
        <f>AF439</f>
        <v>183</v>
      </c>
      <c r="S439" s="647">
        <v>107200</v>
      </c>
      <c r="T439" s="602"/>
      <c r="U439" s="645">
        <v>1</v>
      </c>
      <c r="V439" s="593">
        <f t="shared" si="296"/>
        <v>200</v>
      </c>
      <c r="W439" s="604">
        <f t="shared" si="297"/>
        <v>0</v>
      </c>
      <c r="X439" s="604">
        <f t="shared" si="298"/>
        <v>0</v>
      </c>
      <c r="Y439" s="604">
        <f t="shared" si="299"/>
        <v>0</v>
      </c>
      <c r="Z439" s="605">
        <f t="shared" si="300"/>
        <v>0</v>
      </c>
      <c r="AA439" s="751">
        <f t="shared" si="301"/>
        <v>0</v>
      </c>
      <c r="AB439" s="605">
        <f t="shared" si="302"/>
        <v>0</v>
      </c>
      <c r="AC439" s="607"/>
      <c r="AD439" s="591" t="str">
        <f t="shared" si="303"/>
        <v>Friesland College</v>
      </c>
      <c r="AE439" s="608"/>
      <c r="AF439" s="639">
        <v>183</v>
      </c>
      <c r="AG439" s="639">
        <f t="shared" si="304"/>
        <v>183</v>
      </c>
      <c r="AH439" s="639">
        <f t="shared" si="305"/>
        <v>0</v>
      </c>
      <c r="AI439" s="640"/>
      <c r="AJ439" s="641">
        <f t="shared" si="306"/>
        <v>0</v>
      </c>
      <c r="AK439" s="642"/>
      <c r="AL439" s="642" t="s">
        <v>364</v>
      </c>
      <c r="AM439" s="642"/>
      <c r="AN439" s="642"/>
      <c r="AO439" s="644">
        <v>1791</v>
      </c>
      <c r="AP439" s="565"/>
      <c r="AQ439" s="566"/>
      <c r="AR439" s="566"/>
      <c r="AS439" s="566"/>
      <c r="AT439" s="566"/>
      <c r="AU439" s="566"/>
      <c r="AV439" s="566"/>
      <c r="AW439" s="566"/>
      <c r="AX439" s="566"/>
      <c r="AY439" s="566"/>
      <c r="AZ439" s="566"/>
      <c r="BA439" s="566"/>
      <c r="BB439" s="566"/>
      <c r="BC439" s="566"/>
      <c r="BD439" s="566"/>
      <c r="BE439" s="566"/>
      <c r="BF439" s="566"/>
      <c r="BG439" s="566"/>
    </row>
    <row r="440" spans="1:59">
      <c r="A440" s="591"/>
      <c r="B440" s="592"/>
      <c r="C440" s="593"/>
      <c r="D440" s="594">
        <v>1</v>
      </c>
      <c r="E440" s="595" t="s">
        <v>374</v>
      </c>
      <c r="F440" s="593" t="s">
        <v>367</v>
      </c>
      <c r="G440" s="596" t="s">
        <v>622</v>
      </c>
      <c r="H440" s="596" t="s">
        <v>715</v>
      </c>
      <c r="I440" s="596"/>
      <c r="J440" s="596"/>
      <c r="K440" s="596"/>
      <c r="L440" s="591" t="s">
        <v>884</v>
      </c>
      <c r="M440" s="597" t="str">
        <f t="shared" si="293"/>
        <v>Niet van toepassing</v>
      </c>
      <c r="N440" s="591" t="s">
        <v>947</v>
      </c>
      <c r="O440" s="598"/>
      <c r="P440" s="599"/>
      <c r="Q440" s="600">
        <f t="shared" si="294"/>
        <v>0</v>
      </c>
      <c r="R440" s="601">
        <f>AF440</f>
        <v>1309</v>
      </c>
      <c r="S440" s="603" t="s">
        <v>28</v>
      </c>
      <c r="T440" s="602"/>
      <c r="U440" s="603"/>
      <c r="V440" s="593">
        <f t="shared" si="296"/>
        <v>0</v>
      </c>
      <c r="W440" s="604">
        <f t="shared" si="297"/>
        <v>0</v>
      </c>
      <c r="X440" s="604">
        <f t="shared" si="298"/>
        <v>0</v>
      </c>
      <c r="Y440" s="604">
        <f t="shared" si="299"/>
        <v>0</v>
      </c>
      <c r="Z440" s="605">
        <f t="shared" si="300"/>
        <v>0</v>
      </c>
      <c r="AA440" s="751">
        <f t="shared" si="301"/>
        <v>0</v>
      </c>
      <c r="AB440" s="605">
        <f t="shared" si="302"/>
        <v>0</v>
      </c>
      <c r="AC440" s="607"/>
      <c r="AD440" s="591" t="str">
        <f t="shared" si="303"/>
        <v>Friesland College</v>
      </c>
      <c r="AE440" s="608"/>
      <c r="AF440" s="639">
        <v>1309</v>
      </c>
      <c r="AG440" s="639">
        <f t="shared" si="304"/>
        <v>1309</v>
      </c>
      <c r="AH440" s="639">
        <f t="shared" si="305"/>
        <v>0</v>
      </c>
      <c r="AI440" s="640"/>
      <c r="AJ440" s="641">
        <f t="shared" si="306"/>
        <v>0</v>
      </c>
      <c r="AK440" s="642"/>
      <c r="AL440" s="642" t="s">
        <v>364</v>
      </c>
      <c r="AM440" s="642"/>
      <c r="AN440" s="642"/>
      <c r="AO440" s="644">
        <v>1792</v>
      </c>
      <c r="AP440" s="565"/>
      <c r="AQ440" s="566"/>
      <c r="AR440" s="566"/>
      <c r="AS440" s="566"/>
      <c r="AT440" s="566"/>
      <c r="AU440" s="566"/>
      <c r="AV440" s="566"/>
      <c r="AW440" s="566"/>
      <c r="AX440" s="566"/>
      <c r="AY440" s="566"/>
      <c r="AZ440" s="566"/>
      <c r="BA440" s="566"/>
      <c r="BB440" s="566"/>
      <c r="BC440" s="566"/>
      <c r="BD440" s="566"/>
      <c r="BE440" s="566"/>
      <c r="BF440" s="566"/>
      <c r="BG440" s="566"/>
    </row>
    <row r="441" spans="1:59">
      <c r="A441" s="591"/>
      <c r="B441" s="618"/>
      <c r="C441" s="609"/>
      <c r="D441" s="594">
        <v>1</v>
      </c>
      <c r="E441" s="595" t="s">
        <v>374</v>
      </c>
      <c r="F441" s="593" t="s">
        <v>367</v>
      </c>
      <c r="G441" s="610" t="s">
        <v>622</v>
      </c>
      <c r="H441" s="610" t="s">
        <v>715</v>
      </c>
      <c r="I441" s="610"/>
      <c r="J441" s="610"/>
      <c r="K441" s="610"/>
      <c r="L441" s="611" t="s">
        <v>884</v>
      </c>
      <c r="M441" s="612">
        <f t="shared" si="293"/>
        <v>0</v>
      </c>
      <c r="N441" s="613"/>
      <c r="O441" s="614" t="s">
        <v>1039</v>
      </c>
      <c r="P441" s="615">
        <v>100</v>
      </c>
      <c r="Q441" s="616">
        <f t="shared" si="294"/>
        <v>1309</v>
      </c>
      <c r="R441" s="613"/>
      <c r="S441" s="603"/>
      <c r="T441" s="606"/>
      <c r="U441" s="606"/>
      <c r="V441" s="593">
        <f t="shared" si="296"/>
        <v>0</v>
      </c>
      <c r="W441" s="606"/>
      <c r="X441" s="606"/>
      <c r="Y441" s="606"/>
      <c r="Z441" s="606"/>
      <c r="AA441" s="606"/>
      <c r="AB441" s="606"/>
      <c r="AC441" s="607"/>
      <c r="AD441" s="606"/>
      <c r="AE441" s="608"/>
      <c r="AF441" s="639">
        <v>1309</v>
      </c>
      <c r="AG441" s="639">
        <f t="shared" si="304"/>
        <v>1309</v>
      </c>
      <c r="AH441" s="639">
        <f t="shared" si="305"/>
        <v>0</v>
      </c>
      <c r="AI441" s="640"/>
      <c r="AJ441" s="641">
        <f t="shared" si="306"/>
        <v>0</v>
      </c>
      <c r="AK441" s="642"/>
      <c r="AL441" s="642" t="s">
        <v>364</v>
      </c>
      <c r="AM441" s="642"/>
      <c r="AN441" s="642"/>
      <c r="AO441" s="644">
        <v>1793</v>
      </c>
      <c r="AP441" s="565"/>
      <c r="AQ441" s="566"/>
      <c r="AR441" s="566"/>
      <c r="AS441" s="566"/>
      <c r="AT441" s="566"/>
      <c r="AU441" s="566"/>
      <c r="AV441" s="566"/>
      <c r="AW441" s="566"/>
      <c r="AX441" s="566"/>
      <c r="AY441" s="566"/>
      <c r="AZ441" s="566"/>
      <c r="BA441" s="566"/>
      <c r="BB441" s="566"/>
      <c r="BC441" s="566"/>
      <c r="BD441" s="566"/>
      <c r="BE441" s="566"/>
      <c r="BF441" s="566"/>
      <c r="BG441" s="566"/>
    </row>
    <row r="442" spans="1:59">
      <c r="A442" s="591"/>
      <c r="B442" s="592"/>
      <c r="C442" s="593"/>
      <c r="D442" s="594">
        <v>1</v>
      </c>
      <c r="E442" s="595" t="s">
        <v>374</v>
      </c>
      <c r="F442" s="593" t="s">
        <v>367</v>
      </c>
      <c r="G442" s="596" t="s">
        <v>716</v>
      </c>
      <c r="H442" s="596" t="s">
        <v>717</v>
      </c>
      <c r="I442" s="596"/>
      <c r="J442" s="596"/>
      <c r="K442" s="596"/>
      <c r="L442" s="591" t="s">
        <v>896</v>
      </c>
      <c r="M442" s="597" t="str">
        <f t="shared" si="293"/>
        <v>Onderwijsruimte (praktijk)</v>
      </c>
      <c r="N442" s="591" t="s">
        <v>343</v>
      </c>
      <c r="O442" s="598"/>
      <c r="P442" s="599"/>
      <c r="Q442" s="600">
        <f t="shared" si="294"/>
        <v>0</v>
      </c>
      <c r="R442" s="601">
        <f>AF442</f>
        <v>78</v>
      </c>
      <c r="S442" s="647">
        <v>112200</v>
      </c>
      <c r="T442" s="602"/>
      <c r="U442" s="645">
        <v>1</v>
      </c>
      <c r="V442" s="593">
        <f t="shared" si="296"/>
        <v>200</v>
      </c>
      <c r="W442" s="604">
        <f>Z442*R442*U442</f>
        <v>0</v>
      </c>
      <c r="X442" s="604">
        <f>AA442*R442</f>
        <v>0</v>
      </c>
      <c r="Y442" s="604">
        <f>AB442*R442</f>
        <v>0</v>
      </c>
      <c r="Z442" s="605">
        <f>VLOOKUP(S442,Kengetal,6,FALSE)</f>
        <v>0</v>
      </c>
      <c r="AA442" s="751">
        <f>VLOOKUP(S442,Kengetal,7,FALSE)</f>
        <v>0</v>
      </c>
      <c r="AB442" s="605">
        <f>VLOOKUP(T442,Kengetal,6,FALSE)</f>
        <v>0</v>
      </c>
      <c r="AC442" s="607"/>
      <c r="AD442" s="591" t="str">
        <f>AL442</f>
        <v>Friesland College</v>
      </c>
      <c r="AE442" s="608"/>
      <c r="AF442" s="639">
        <v>78</v>
      </c>
      <c r="AG442" s="639">
        <f t="shared" si="304"/>
        <v>78</v>
      </c>
      <c r="AH442" s="639">
        <f t="shared" si="305"/>
        <v>0</v>
      </c>
      <c r="AI442" s="640"/>
      <c r="AJ442" s="641">
        <f t="shared" si="306"/>
        <v>0</v>
      </c>
      <c r="AK442" s="642"/>
      <c r="AL442" s="642" t="s">
        <v>364</v>
      </c>
      <c r="AM442" s="642"/>
      <c r="AN442" s="642"/>
      <c r="AO442" s="644">
        <v>1794</v>
      </c>
      <c r="AP442" s="565"/>
      <c r="AQ442" s="566"/>
      <c r="AR442" s="566"/>
      <c r="AS442" s="566"/>
      <c r="AT442" s="566"/>
      <c r="AU442" s="566"/>
      <c r="AV442" s="566"/>
      <c r="AW442" s="566"/>
      <c r="AX442" s="566"/>
      <c r="AY442" s="566"/>
      <c r="AZ442" s="566"/>
      <c r="BA442" s="566"/>
      <c r="BB442" s="566"/>
      <c r="BC442" s="566"/>
      <c r="BD442" s="566"/>
      <c r="BE442" s="566"/>
      <c r="BF442" s="566"/>
      <c r="BG442" s="566"/>
    </row>
    <row r="443" spans="1:59">
      <c r="A443" s="591"/>
      <c r="B443" s="618"/>
      <c r="C443" s="609"/>
      <c r="D443" s="594">
        <v>1</v>
      </c>
      <c r="E443" s="595" t="s">
        <v>374</v>
      </c>
      <c r="F443" s="593" t="s">
        <v>367</v>
      </c>
      <c r="G443" s="610" t="s">
        <v>716</v>
      </c>
      <c r="H443" s="610" t="s">
        <v>717</v>
      </c>
      <c r="I443" s="610"/>
      <c r="J443" s="610"/>
      <c r="K443" s="610"/>
      <c r="L443" s="611" t="s">
        <v>896</v>
      </c>
      <c r="M443" s="612">
        <f t="shared" si="293"/>
        <v>0</v>
      </c>
      <c r="N443" s="613"/>
      <c r="O443" s="614" t="s">
        <v>1039</v>
      </c>
      <c r="P443" s="615">
        <v>100</v>
      </c>
      <c r="Q443" s="616">
        <f t="shared" si="294"/>
        <v>78</v>
      </c>
      <c r="R443" s="613"/>
      <c r="S443" s="603"/>
      <c r="T443" s="606"/>
      <c r="U443" s="606"/>
      <c r="V443" s="593">
        <f t="shared" si="296"/>
        <v>0</v>
      </c>
      <c r="W443" s="606"/>
      <c r="X443" s="606"/>
      <c r="Y443" s="606"/>
      <c r="Z443" s="606"/>
      <c r="AA443" s="606"/>
      <c r="AB443" s="606"/>
      <c r="AC443" s="607"/>
      <c r="AD443" s="606"/>
      <c r="AE443" s="608"/>
      <c r="AF443" s="639">
        <v>78</v>
      </c>
      <c r="AG443" s="639">
        <f t="shared" si="304"/>
        <v>78</v>
      </c>
      <c r="AH443" s="639">
        <f t="shared" si="305"/>
        <v>0</v>
      </c>
      <c r="AI443" s="640"/>
      <c r="AJ443" s="641">
        <f t="shared" si="306"/>
        <v>0</v>
      </c>
      <c r="AK443" s="642"/>
      <c r="AL443" s="642" t="s">
        <v>364</v>
      </c>
      <c r="AM443" s="642"/>
      <c r="AN443" s="642"/>
      <c r="AO443" s="644">
        <v>1795</v>
      </c>
      <c r="AP443" s="565"/>
      <c r="AQ443" s="566"/>
      <c r="AR443" s="566"/>
      <c r="AS443" s="566"/>
      <c r="AT443" s="566"/>
      <c r="AU443" s="566"/>
      <c r="AV443" s="566"/>
      <c r="AW443" s="566"/>
      <c r="AX443" s="566"/>
      <c r="AY443" s="566"/>
      <c r="AZ443" s="566"/>
      <c r="BA443" s="566"/>
      <c r="BB443" s="566"/>
      <c r="BC443" s="566"/>
      <c r="BD443" s="566"/>
      <c r="BE443" s="566"/>
      <c r="BF443" s="566"/>
      <c r="BG443" s="566"/>
    </row>
    <row r="444" spans="1:59">
      <c r="A444" s="591"/>
      <c r="B444" s="592"/>
      <c r="C444" s="593"/>
      <c r="D444" s="594">
        <v>1</v>
      </c>
      <c r="E444" s="595" t="s">
        <v>374</v>
      </c>
      <c r="F444" s="593" t="s">
        <v>367</v>
      </c>
      <c r="G444" s="596" t="s">
        <v>623</v>
      </c>
      <c r="H444" s="596" t="s">
        <v>718</v>
      </c>
      <c r="I444" s="596"/>
      <c r="J444" s="596"/>
      <c r="K444" s="596"/>
      <c r="L444" s="591" t="s">
        <v>897</v>
      </c>
      <c r="M444" s="597" t="str">
        <f t="shared" si="293"/>
        <v>Onderwijsruimte (praktijk)</v>
      </c>
      <c r="N444" s="591" t="s">
        <v>343</v>
      </c>
      <c r="O444" s="598"/>
      <c r="P444" s="599"/>
      <c r="Q444" s="600">
        <f t="shared" si="294"/>
        <v>0</v>
      </c>
      <c r="R444" s="601">
        <f>AF444</f>
        <v>75</v>
      </c>
      <c r="S444" s="647">
        <v>112200</v>
      </c>
      <c r="T444" s="602"/>
      <c r="U444" s="645">
        <v>1</v>
      </c>
      <c r="V444" s="593">
        <f t="shared" si="296"/>
        <v>200</v>
      </c>
      <c r="W444" s="604">
        <f>Z444*R444*U444</f>
        <v>0</v>
      </c>
      <c r="X444" s="604">
        <f>AA444*R444</f>
        <v>0</v>
      </c>
      <c r="Y444" s="604">
        <f>AB444*R444</f>
        <v>0</v>
      </c>
      <c r="Z444" s="605">
        <f>VLOOKUP(S444,Kengetal,6,FALSE)</f>
        <v>0</v>
      </c>
      <c r="AA444" s="751">
        <f>VLOOKUP(S444,Kengetal,7,FALSE)</f>
        <v>0</v>
      </c>
      <c r="AB444" s="605">
        <f>VLOOKUP(T444,Kengetal,6,FALSE)</f>
        <v>0</v>
      </c>
      <c r="AC444" s="607"/>
      <c r="AD444" s="591" t="str">
        <f>AL444</f>
        <v>Friesland College</v>
      </c>
      <c r="AE444" s="608"/>
      <c r="AF444" s="639">
        <v>75</v>
      </c>
      <c r="AG444" s="639">
        <f t="shared" si="304"/>
        <v>75</v>
      </c>
      <c r="AH444" s="639">
        <f t="shared" si="305"/>
        <v>0</v>
      </c>
      <c r="AI444" s="640"/>
      <c r="AJ444" s="641">
        <f t="shared" si="306"/>
        <v>0</v>
      </c>
      <c r="AK444" s="642"/>
      <c r="AL444" s="642" t="s">
        <v>364</v>
      </c>
      <c r="AM444" s="642"/>
      <c r="AN444" s="642"/>
      <c r="AO444" s="644">
        <v>1796</v>
      </c>
      <c r="AP444" s="565"/>
      <c r="AQ444" s="566"/>
      <c r="AR444" s="566"/>
      <c r="AS444" s="566"/>
      <c r="AT444" s="566"/>
      <c r="AU444" s="566"/>
      <c r="AV444" s="566"/>
      <c r="AW444" s="566"/>
      <c r="AX444" s="566"/>
      <c r="AY444" s="566"/>
      <c r="AZ444" s="566"/>
      <c r="BA444" s="566"/>
      <c r="BB444" s="566"/>
      <c r="BC444" s="566"/>
      <c r="BD444" s="566"/>
      <c r="BE444" s="566"/>
      <c r="BF444" s="566"/>
      <c r="BG444" s="566"/>
    </row>
    <row r="445" spans="1:59">
      <c r="A445" s="591"/>
      <c r="B445" s="618"/>
      <c r="C445" s="609"/>
      <c r="D445" s="594">
        <v>1</v>
      </c>
      <c r="E445" s="595" t="s">
        <v>374</v>
      </c>
      <c r="F445" s="593" t="s">
        <v>367</v>
      </c>
      <c r="G445" s="610" t="s">
        <v>623</v>
      </c>
      <c r="H445" s="610" t="s">
        <v>718</v>
      </c>
      <c r="I445" s="610"/>
      <c r="J445" s="610"/>
      <c r="K445" s="610"/>
      <c r="L445" s="611" t="s">
        <v>897</v>
      </c>
      <c r="M445" s="612">
        <f t="shared" si="293"/>
        <v>0</v>
      </c>
      <c r="N445" s="613"/>
      <c r="O445" s="614" t="s">
        <v>1039</v>
      </c>
      <c r="P445" s="615">
        <v>100</v>
      </c>
      <c r="Q445" s="616">
        <f t="shared" si="294"/>
        <v>75</v>
      </c>
      <c r="R445" s="613"/>
      <c r="S445" s="603"/>
      <c r="T445" s="606"/>
      <c r="U445" s="606"/>
      <c r="V445" s="593">
        <f t="shared" si="296"/>
        <v>0</v>
      </c>
      <c r="W445" s="606"/>
      <c r="X445" s="606"/>
      <c r="Y445" s="606"/>
      <c r="Z445" s="606"/>
      <c r="AA445" s="606"/>
      <c r="AB445" s="606"/>
      <c r="AC445" s="607"/>
      <c r="AD445" s="606"/>
      <c r="AE445" s="608"/>
      <c r="AF445" s="639">
        <v>75</v>
      </c>
      <c r="AG445" s="639">
        <f t="shared" si="304"/>
        <v>75</v>
      </c>
      <c r="AH445" s="639">
        <f t="shared" si="305"/>
        <v>0</v>
      </c>
      <c r="AI445" s="640"/>
      <c r="AJ445" s="641">
        <f t="shared" si="306"/>
        <v>0</v>
      </c>
      <c r="AK445" s="642"/>
      <c r="AL445" s="642" t="s">
        <v>364</v>
      </c>
      <c r="AM445" s="642"/>
      <c r="AN445" s="642"/>
      <c r="AO445" s="644">
        <v>1797</v>
      </c>
      <c r="AP445" s="565"/>
      <c r="AQ445" s="566"/>
      <c r="AR445" s="566"/>
      <c r="AS445" s="566"/>
      <c r="AT445" s="566"/>
      <c r="AU445" s="566"/>
      <c r="AV445" s="566"/>
      <c r="AW445" s="566"/>
      <c r="AX445" s="566"/>
      <c r="AY445" s="566"/>
      <c r="AZ445" s="566"/>
      <c r="BA445" s="566"/>
      <c r="BB445" s="566"/>
      <c r="BC445" s="566"/>
      <c r="BD445" s="566"/>
      <c r="BE445" s="566"/>
      <c r="BF445" s="566"/>
      <c r="BG445" s="566"/>
    </row>
    <row r="446" spans="1:59">
      <c r="A446" s="591"/>
      <c r="B446" s="592"/>
      <c r="C446" s="593"/>
      <c r="D446" s="594">
        <v>1</v>
      </c>
      <c r="E446" s="595" t="s">
        <v>374</v>
      </c>
      <c r="F446" s="593" t="s">
        <v>367</v>
      </c>
      <c r="G446" s="596" t="s">
        <v>624</v>
      </c>
      <c r="H446" s="596" t="s">
        <v>719</v>
      </c>
      <c r="I446" s="596"/>
      <c r="J446" s="596"/>
      <c r="K446" s="596"/>
      <c r="L446" s="591" t="s">
        <v>898</v>
      </c>
      <c r="M446" s="597" t="str">
        <f t="shared" si="293"/>
        <v>Onderwijsruimte (praktijk)</v>
      </c>
      <c r="N446" s="591" t="s">
        <v>343</v>
      </c>
      <c r="O446" s="598"/>
      <c r="P446" s="599"/>
      <c r="Q446" s="600">
        <f t="shared" si="294"/>
        <v>0</v>
      </c>
      <c r="R446" s="601">
        <f>AF446</f>
        <v>76</v>
      </c>
      <c r="S446" s="647">
        <v>112200</v>
      </c>
      <c r="T446" s="602"/>
      <c r="U446" s="645">
        <v>1</v>
      </c>
      <c r="V446" s="593">
        <f t="shared" si="296"/>
        <v>200</v>
      </c>
      <c r="W446" s="604">
        <f>Z446*R446*U446</f>
        <v>0</v>
      </c>
      <c r="X446" s="604">
        <f>AA446*R446</f>
        <v>0</v>
      </c>
      <c r="Y446" s="604">
        <f>AB446*R446</f>
        <v>0</v>
      </c>
      <c r="Z446" s="605">
        <f>VLOOKUP(S446,Kengetal,6,FALSE)</f>
        <v>0</v>
      </c>
      <c r="AA446" s="751">
        <f>VLOOKUP(S446,Kengetal,7,FALSE)</f>
        <v>0</v>
      </c>
      <c r="AB446" s="605">
        <f>VLOOKUP(T446,Kengetal,6,FALSE)</f>
        <v>0</v>
      </c>
      <c r="AC446" s="607"/>
      <c r="AD446" s="591" t="str">
        <f>AL446</f>
        <v>Friesland College</v>
      </c>
      <c r="AE446" s="608"/>
      <c r="AF446" s="639">
        <v>76</v>
      </c>
      <c r="AG446" s="639">
        <f t="shared" si="304"/>
        <v>76</v>
      </c>
      <c r="AH446" s="639">
        <f t="shared" si="305"/>
        <v>0</v>
      </c>
      <c r="AI446" s="640"/>
      <c r="AJ446" s="641">
        <f t="shared" si="306"/>
        <v>0</v>
      </c>
      <c r="AK446" s="642"/>
      <c r="AL446" s="642" t="s">
        <v>364</v>
      </c>
      <c r="AM446" s="642"/>
      <c r="AN446" s="642"/>
      <c r="AO446" s="644">
        <v>1798</v>
      </c>
      <c r="AP446" s="565"/>
      <c r="AQ446" s="566"/>
      <c r="AR446" s="566"/>
      <c r="AS446" s="566"/>
      <c r="AT446" s="566"/>
      <c r="AU446" s="566"/>
      <c r="AV446" s="566"/>
      <c r="AW446" s="566"/>
      <c r="AX446" s="566"/>
      <c r="AY446" s="566"/>
      <c r="AZ446" s="566"/>
      <c r="BA446" s="566"/>
      <c r="BB446" s="566"/>
      <c r="BC446" s="566"/>
      <c r="BD446" s="566"/>
      <c r="BE446" s="566"/>
      <c r="BF446" s="566"/>
      <c r="BG446" s="566"/>
    </row>
    <row r="447" spans="1:59">
      <c r="A447" s="591"/>
      <c r="B447" s="618"/>
      <c r="C447" s="609"/>
      <c r="D447" s="594">
        <v>1</v>
      </c>
      <c r="E447" s="595" t="s">
        <v>374</v>
      </c>
      <c r="F447" s="593" t="s">
        <v>367</v>
      </c>
      <c r="G447" s="610" t="s">
        <v>624</v>
      </c>
      <c r="H447" s="610" t="s">
        <v>719</v>
      </c>
      <c r="I447" s="610"/>
      <c r="J447" s="610"/>
      <c r="K447" s="610"/>
      <c r="L447" s="611" t="s">
        <v>898</v>
      </c>
      <c r="M447" s="612">
        <f t="shared" si="293"/>
        <v>0</v>
      </c>
      <c r="N447" s="613"/>
      <c r="O447" s="614" t="s">
        <v>1039</v>
      </c>
      <c r="P447" s="615">
        <v>100</v>
      </c>
      <c r="Q447" s="616">
        <f t="shared" si="294"/>
        <v>76</v>
      </c>
      <c r="R447" s="613"/>
      <c r="S447" s="603"/>
      <c r="T447" s="606"/>
      <c r="U447" s="606"/>
      <c r="V447" s="593">
        <f t="shared" si="296"/>
        <v>0</v>
      </c>
      <c r="W447" s="606"/>
      <c r="X447" s="606"/>
      <c r="Y447" s="606"/>
      <c r="Z447" s="606"/>
      <c r="AA447" s="606"/>
      <c r="AB447" s="606"/>
      <c r="AC447" s="607"/>
      <c r="AD447" s="606"/>
      <c r="AE447" s="608"/>
      <c r="AF447" s="639">
        <v>76</v>
      </c>
      <c r="AG447" s="639">
        <f t="shared" si="304"/>
        <v>76</v>
      </c>
      <c r="AH447" s="639">
        <f t="shared" si="305"/>
        <v>0</v>
      </c>
      <c r="AI447" s="640"/>
      <c r="AJ447" s="641">
        <f t="shared" si="306"/>
        <v>0</v>
      </c>
      <c r="AK447" s="642"/>
      <c r="AL447" s="642" t="s">
        <v>364</v>
      </c>
      <c r="AM447" s="642"/>
      <c r="AN447" s="642"/>
      <c r="AO447" s="644">
        <v>1799</v>
      </c>
      <c r="AP447" s="565"/>
      <c r="AQ447" s="566"/>
      <c r="AR447" s="566"/>
      <c r="AS447" s="566"/>
      <c r="AT447" s="566"/>
      <c r="AU447" s="566"/>
      <c r="AV447" s="566"/>
      <c r="AW447" s="566"/>
      <c r="AX447" s="566"/>
      <c r="AY447" s="566"/>
      <c r="AZ447" s="566"/>
      <c r="BA447" s="566"/>
      <c r="BB447" s="566"/>
      <c r="BC447" s="566"/>
      <c r="BD447" s="566"/>
      <c r="BE447" s="566"/>
      <c r="BF447" s="566"/>
      <c r="BG447" s="566"/>
    </row>
    <row r="448" spans="1:59">
      <c r="A448" s="591"/>
      <c r="B448" s="592"/>
      <c r="C448" s="593"/>
      <c r="D448" s="594">
        <v>1</v>
      </c>
      <c r="E448" s="595" t="s">
        <v>374</v>
      </c>
      <c r="F448" s="593" t="s">
        <v>367</v>
      </c>
      <c r="G448" s="596" t="s">
        <v>625</v>
      </c>
      <c r="H448" s="596" t="s">
        <v>720</v>
      </c>
      <c r="I448" s="596"/>
      <c r="J448" s="596"/>
      <c r="K448" s="596"/>
      <c r="L448" s="591" t="s">
        <v>899</v>
      </c>
      <c r="M448" s="597" t="str">
        <f t="shared" si="293"/>
        <v>Onderwijsruimte (praktijk)</v>
      </c>
      <c r="N448" s="591" t="s">
        <v>343</v>
      </c>
      <c r="O448" s="598"/>
      <c r="P448" s="599"/>
      <c r="Q448" s="600">
        <f t="shared" si="294"/>
        <v>0</v>
      </c>
      <c r="R448" s="601">
        <f>AF448</f>
        <v>74</v>
      </c>
      <c r="S448" s="647">
        <v>112200</v>
      </c>
      <c r="T448" s="602"/>
      <c r="U448" s="645">
        <v>1</v>
      </c>
      <c r="V448" s="593">
        <f t="shared" si="296"/>
        <v>200</v>
      </c>
      <c r="W448" s="604">
        <f>Z448*R448*U448</f>
        <v>0</v>
      </c>
      <c r="X448" s="604">
        <f>AA448*R448</f>
        <v>0</v>
      </c>
      <c r="Y448" s="604">
        <f>AB448*R448</f>
        <v>0</v>
      </c>
      <c r="Z448" s="605">
        <f>VLOOKUP(S448,Kengetal,6,FALSE)</f>
        <v>0</v>
      </c>
      <c r="AA448" s="751">
        <f>VLOOKUP(S448,Kengetal,7,FALSE)</f>
        <v>0</v>
      </c>
      <c r="AB448" s="605">
        <f>VLOOKUP(T448,Kengetal,6,FALSE)</f>
        <v>0</v>
      </c>
      <c r="AC448" s="607"/>
      <c r="AD448" s="591" t="str">
        <f>AL448</f>
        <v>Friesland College</v>
      </c>
      <c r="AE448" s="608"/>
      <c r="AF448" s="639">
        <v>74</v>
      </c>
      <c r="AG448" s="639">
        <f t="shared" si="304"/>
        <v>74</v>
      </c>
      <c r="AH448" s="639">
        <f t="shared" si="305"/>
        <v>0</v>
      </c>
      <c r="AI448" s="640"/>
      <c r="AJ448" s="641">
        <f t="shared" si="306"/>
        <v>0</v>
      </c>
      <c r="AK448" s="642"/>
      <c r="AL448" s="642" t="s">
        <v>364</v>
      </c>
      <c r="AM448" s="642"/>
      <c r="AN448" s="642"/>
      <c r="AO448" s="644">
        <v>1800</v>
      </c>
      <c r="AP448" s="565"/>
      <c r="AQ448" s="566"/>
      <c r="AR448" s="566"/>
      <c r="AS448" s="566"/>
      <c r="AT448" s="566"/>
      <c r="AU448" s="566"/>
      <c r="AV448" s="566"/>
      <c r="AW448" s="566"/>
      <c r="AX448" s="566"/>
      <c r="AY448" s="566"/>
      <c r="AZ448" s="566"/>
      <c r="BA448" s="566"/>
      <c r="BB448" s="566"/>
      <c r="BC448" s="566"/>
      <c r="BD448" s="566"/>
      <c r="BE448" s="566"/>
      <c r="BF448" s="566"/>
      <c r="BG448" s="566"/>
    </row>
    <row r="449" spans="1:59">
      <c r="A449" s="591"/>
      <c r="B449" s="618"/>
      <c r="C449" s="609"/>
      <c r="D449" s="594">
        <v>1</v>
      </c>
      <c r="E449" s="595" t="s">
        <v>374</v>
      </c>
      <c r="F449" s="593" t="s">
        <v>367</v>
      </c>
      <c r="G449" s="610" t="s">
        <v>625</v>
      </c>
      <c r="H449" s="610" t="s">
        <v>720</v>
      </c>
      <c r="I449" s="610"/>
      <c r="J449" s="610"/>
      <c r="K449" s="610"/>
      <c r="L449" s="611" t="s">
        <v>899</v>
      </c>
      <c r="M449" s="612">
        <f t="shared" si="293"/>
        <v>0</v>
      </c>
      <c r="N449" s="613"/>
      <c r="O449" s="614" t="s">
        <v>1039</v>
      </c>
      <c r="P449" s="615">
        <v>100</v>
      </c>
      <c r="Q449" s="616">
        <f t="shared" si="294"/>
        <v>74</v>
      </c>
      <c r="R449" s="613"/>
      <c r="S449" s="603"/>
      <c r="T449" s="606"/>
      <c r="U449" s="606"/>
      <c r="V449" s="593">
        <f t="shared" si="296"/>
        <v>0</v>
      </c>
      <c r="W449" s="606"/>
      <c r="X449" s="606"/>
      <c r="Y449" s="606"/>
      <c r="Z449" s="606"/>
      <c r="AA449" s="606"/>
      <c r="AB449" s="606"/>
      <c r="AC449" s="607"/>
      <c r="AD449" s="606"/>
      <c r="AE449" s="608"/>
      <c r="AF449" s="639">
        <v>74</v>
      </c>
      <c r="AG449" s="639">
        <f t="shared" si="304"/>
        <v>74</v>
      </c>
      <c r="AH449" s="639">
        <f t="shared" si="305"/>
        <v>0</v>
      </c>
      <c r="AI449" s="640"/>
      <c r="AJ449" s="641">
        <f t="shared" si="306"/>
        <v>0</v>
      </c>
      <c r="AK449" s="642"/>
      <c r="AL449" s="642" t="s">
        <v>364</v>
      </c>
      <c r="AM449" s="642"/>
      <c r="AN449" s="642"/>
      <c r="AO449" s="644">
        <v>1801</v>
      </c>
      <c r="AP449" s="565"/>
      <c r="AQ449" s="566"/>
      <c r="AR449" s="566"/>
      <c r="AS449" s="566"/>
      <c r="AT449" s="566"/>
      <c r="AU449" s="566"/>
      <c r="AV449" s="566"/>
      <c r="AW449" s="566"/>
      <c r="AX449" s="566"/>
      <c r="AY449" s="566"/>
      <c r="AZ449" s="566"/>
      <c r="BA449" s="566"/>
      <c r="BB449" s="566"/>
      <c r="BC449" s="566"/>
      <c r="BD449" s="566"/>
      <c r="BE449" s="566"/>
      <c r="BF449" s="566"/>
      <c r="BG449" s="566"/>
    </row>
    <row r="450" spans="1:59">
      <c r="A450" s="591"/>
      <c r="B450" s="592"/>
      <c r="C450" s="593"/>
      <c r="D450" s="594">
        <v>1</v>
      </c>
      <c r="E450" s="595" t="s">
        <v>374</v>
      </c>
      <c r="F450" s="593" t="s">
        <v>367</v>
      </c>
      <c r="G450" s="596" t="s">
        <v>626</v>
      </c>
      <c r="H450" s="596" t="s">
        <v>721</v>
      </c>
      <c r="I450" s="596"/>
      <c r="J450" s="596"/>
      <c r="K450" s="596"/>
      <c r="L450" s="591" t="s">
        <v>900</v>
      </c>
      <c r="M450" s="597" t="str">
        <f t="shared" si="293"/>
        <v>Onderwijsruimte (praktijk)</v>
      </c>
      <c r="N450" s="591" t="s">
        <v>343</v>
      </c>
      <c r="O450" s="598"/>
      <c r="P450" s="599"/>
      <c r="Q450" s="600">
        <f t="shared" si="294"/>
        <v>0</v>
      </c>
      <c r="R450" s="601">
        <f>AF450</f>
        <v>86</v>
      </c>
      <c r="S450" s="647">
        <v>112200</v>
      </c>
      <c r="T450" s="602"/>
      <c r="U450" s="645">
        <v>1</v>
      </c>
      <c r="V450" s="593">
        <f t="shared" si="296"/>
        <v>200</v>
      </c>
      <c r="W450" s="604">
        <f>Z450*R450*U450</f>
        <v>0</v>
      </c>
      <c r="X450" s="604">
        <f>AA450*R450</f>
        <v>0</v>
      </c>
      <c r="Y450" s="604">
        <f>AB450*R450</f>
        <v>0</v>
      </c>
      <c r="Z450" s="605">
        <f>VLOOKUP(S450,Kengetal,6,FALSE)</f>
        <v>0</v>
      </c>
      <c r="AA450" s="751">
        <f>VLOOKUP(S450,Kengetal,7,FALSE)</f>
        <v>0</v>
      </c>
      <c r="AB450" s="605">
        <f>VLOOKUP(T450,Kengetal,6,FALSE)</f>
        <v>0</v>
      </c>
      <c r="AC450" s="607"/>
      <c r="AD450" s="591" t="str">
        <f>AL450</f>
        <v>Friesland College</v>
      </c>
      <c r="AE450" s="608"/>
      <c r="AF450" s="639">
        <v>86</v>
      </c>
      <c r="AG450" s="639">
        <f t="shared" si="304"/>
        <v>86</v>
      </c>
      <c r="AH450" s="639">
        <f t="shared" si="305"/>
        <v>0</v>
      </c>
      <c r="AI450" s="640"/>
      <c r="AJ450" s="641">
        <f t="shared" si="306"/>
        <v>0</v>
      </c>
      <c r="AK450" s="642"/>
      <c r="AL450" s="642" t="s">
        <v>364</v>
      </c>
      <c r="AM450" s="642"/>
      <c r="AN450" s="642"/>
      <c r="AO450" s="644">
        <v>1802</v>
      </c>
      <c r="AP450" s="565"/>
      <c r="AQ450" s="566"/>
      <c r="AR450" s="566"/>
      <c r="AS450" s="566"/>
      <c r="AT450" s="566"/>
      <c r="AU450" s="566"/>
      <c r="AV450" s="566"/>
      <c r="AW450" s="566"/>
      <c r="AX450" s="566"/>
      <c r="AY450" s="566"/>
      <c r="AZ450" s="566"/>
      <c r="BA450" s="566"/>
      <c r="BB450" s="566"/>
      <c r="BC450" s="566"/>
      <c r="BD450" s="566"/>
      <c r="BE450" s="566"/>
      <c r="BF450" s="566"/>
      <c r="BG450" s="566"/>
    </row>
    <row r="451" spans="1:59">
      <c r="A451" s="591"/>
      <c r="B451" s="618"/>
      <c r="C451" s="609"/>
      <c r="D451" s="594">
        <v>1</v>
      </c>
      <c r="E451" s="595" t="s">
        <v>374</v>
      </c>
      <c r="F451" s="593" t="s">
        <v>367</v>
      </c>
      <c r="G451" s="610" t="s">
        <v>626</v>
      </c>
      <c r="H451" s="610" t="s">
        <v>721</v>
      </c>
      <c r="I451" s="610"/>
      <c r="J451" s="610"/>
      <c r="K451" s="610"/>
      <c r="L451" s="611" t="s">
        <v>900</v>
      </c>
      <c r="M451" s="612">
        <f t="shared" si="293"/>
        <v>0</v>
      </c>
      <c r="N451" s="613"/>
      <c r="O451" s="614" t="s">
        <v>1039</v>
      </c>
      <c r="P451" s="615">
        <v>100</v>
      </c>
      <c r="Q451" s="616">
        <f t="shared" si="294"/>
        <v>86</v>
      </c>
      <c r="R451" s="613"/>
      <c r="S451" s="603"/>
      <c r="T451" s="606"/>
      <c r="U451" s="606"/>
      <c r="V451" s="593">
        <f t="shared" si="296"/>
        <v>0</v>
      </c>
      <c r="W451" s="606"/>
      <c r="X451" s="606"/>
      <c r="Y451" s="606"/>
      <c r="Z451" s="606"/>
      <c r="AA451" s="606"/>
      <c r="AB451" s="606"/>
      <c r="AC451" s="607"/>
      <c r="AD451" s="606"/>
      <c r="AE451" s="608"/>
      <c r="AF451" s="639">
        <v>86</v>
      </c>
      <c r="AG451" s="639">
        <f t="shared" si="304"/>
        <v>86</v>
      </c>
      <c r="AH451" s="639">
        <f t="shared" si="305"/>
        <v>0</v>
      </c>
      <c r="AI451" s="640"/>
      <c r="AJ451" s="641">
        <f t="shared" si="306"/>
        <v>0</v>
      </c>
      <c r="AK451" s="642"/>
      <c r="AL451" s="642" t="s">
        <v>364</v>
      </c>
      <c r="AM451" s="642"/>
      <c r="AN451" s="642"/>
      <c r="AO451" s="644">
        <v>1803</v>
      </c>
      <c r="AP451" s="565"/>
      <c r="AQ451" s="566"/>
      <c r="AR451" s="566"/>
      <c r="AS451" s="566"/>
      <c r="AT451" s="566"/>
      <c r="AU451" s="566"/>
      <c r="AV451" s="566"/>
      <c r="AW451" s="566"/>
      <c r="AX451" s="566"/>
      <c r="AY451" s="566"/>
      <c r="AZ451" s="566"/>
      <c r="BA451" s="566"/>
      <c r="BB451" s="566"/>
      <c r="BC451" s="566"/>
      <c r="BD451" s="566"/>
      <c r="BE451" s="566"/>
      <c r="BF451" s="566"/>
      <c r="BG451" s="566"/>
    </row>
    <row r="452" spans="1:59">
      <c r="A452" s="591"/>
      <c r="B452" s="592"/>
      <c r="C452" s="593"/>
      <c r="D452" s="594">
        <v>1</v>
      </c>
      <c r="E452" s="595" t="s">
        <v>374</v>
      </c>
      <c r="F452" s="593" t="s">
        <v>367</v>
      </c>
      <c r="G452" s="596" t="s">
        <v>627</v>
      </c>
      <c r="H452" s="596" t="s">
        <v>627</v>
      </c>
      <c r="I452" s="596"/>
      <c r="J452" s="596"/>
      <c r="K452" s="596"/>
      <c r="L452" s="591" t="s">
        <v>901</v>
      </c>
      <c r="M452" s="597" t="str">
        <f t="shared" si="293"/>
        <v>Gang, hal, pantry, aula, repro, gardarobe</v>
      </c>
      <c r="N452" s="591" t="s">
        <v>78</v>
      </c>
      <c r="O452" s="598"/>
      <c r="P452" s="599"/>
      <c r="Q452" s="600">
        <f t="shared" si="294"/>
        <v>0</v>
      </c>
      <c r="R452" s="601">
        <f>AF452</f>
        <v>9</v>
      </c>
      <c r="S452" s="647">
        <v>104200</v>
      </c>
      <c r="T452" s="602"/>
      <c r="U452" s="645">
        <v>1</v>
      </c>
      <c r="V452" s="593">
        <f t="shared" si="296"/>
        <v>200</v>
      </c>
      <c r="W452" s="604">
        <f t="shared" ref="W452:W453" si="307">Z452*R452*U452</f>
        <v>0</v>
      </c>
      <c r="X452" s="604">
        <f t="shared" ref="X452:X453" si="308">AA452*R452</f>
        <v>0</v>
      </c>
      <c r="Y452" s="604">
        <f t="shared" ref="Y452:Y453" si="309">AB452*R452</f>
        <v>0</v>
      </c>
      <c r="Z452" s="605">
        <f>VLOOKUP(S452,Kengetal,6,FALSE)</f>
        <v>0</v>
      </c>
      <c r="AA452" s="751">
        <f>VLOOKUP(S452,Kengetal,7,FALSE)</f>
        <v>0</v>
      </c>
      <c r="AB452" s="605">
        <f>VLOOKUP(T452,Kengetal,6,FALSE)</f>
        <v>0</v>
      </c>
      <c r="AC452" s="607"/>
      <c r="AD452" s="591" t="str">
        <f>AL452</f>
        <v>Friesland College</v>
      </c>
      <c r="AE452" s="608"/>
      <c r="AF452" s="639">
        <v>9</v>
      </c>
      <c r="AG452" s="639">
        <f t="shared" si="304"/>
        <v>9</v>
      </c>
      <c r="AH452" s="639">
        <f t="shared" si="305"/>
        <v>0</v>
      </c>
      <c r="AI452" s="640"/>
      <c r="AJ452" s="641">
        <f t="shared" si="306"/>
        <v>0</v>
      </c>
      <c r="AK452" s="642"/>
      <c r="AL452" s="642" t="s">
        <v>364</v>
      </c>
      <c r="AM452" s="642"/>
      <c r="AN452" s="642"/>
      <c r="AO452" s="644">
        <v>1804</v>
      </c>
      <c r="AP452" s="565"/>
      <c r="AQ452" s="566"/>
      <c r="AR452" s="566"/>
      <c r="AS452" s="566"/>
      <c r="AT452" s="566"/>
      <c r="AU452" s="566"/>
      <c r="AV452" s="566"/>
      <c r="AW452" s="566"/>
      <c r="AX452" s="566"/>
      <c r="AY452" s="566"/>
      <c r="AZ452" s="566"/>
      <c r="BA452" s="566"/>
      <c r="BB452" s="566"/>
      <c r="BC452" s="566"/>
      <c r="BD452" s="566"/>
      <c r="BE452" s="566"/>
      <c r="BF452" s="566"/>
      <c r="BG452" s="566"/>
    </row>
    <row r="453" spans="1:59">
      <c r="A453" s="591"/>
      <c r="B453" s="592"/>
      <c r="C453" s="593"/>
      <c r="D453" s="594">
        <v>1</v>
      </c>
      <c r="E453" s="595" t="s">
        <v>374</v>
      </c>
      <c r="F453" s="593" t="s">
        <v>367</v>
      </c>
      <c r="G453" s="596" t="s">
        <v>628</v>
      </c>
      <c r="H453" s="596" t="s">
        <v>722</v>
      </c>
      <c r="I453" s="596"/>
      <c r="J453" s="596"/>
      <c r="K453" s="596"/>
      <c r="L453" s="591" t="s">
        <v>902</v>
      </c>
      <c r="M453" s="597" t="str">
        <f t="shared" si="293"/>
        <v>Administratieve -, personeels- en vergaderruimte</v>
      </c>
      <c r="N453" s="591" t="s">
        <v>322</v>
      </c>
      <c r="O453" s="598"/>
      <c r="P453" s="599"/>
      <c r="Q453" s="600">
        <f t="shared" si="294"/>
        <v>0</v>
      </c>
      <c r="R453" s="601">
        <f>AF453</f>
        <v>16</v>
      </c>
      <c r="S453" s="647">
        <v>101100</v>
      </c>
      <c r="T453" s="602"/>
      <c r="U453" s="645">
        <v>1</v>
      </c>
      <c r="V453" s="593">
        <f t="shared" ref="V453" si="310">VLOOKUP(S453,Kengetal,3,FALSE)+VLOOKUP(T453,Kengetal,3,FALSE)</f>
        <v>100</v>
      </c>
      <c r="W453" s="604">
        <f t="shared" si="307"/>
        <v>0</v>
      </c>
      <c r="X453" s="604">
        <f t="shared" si="308"/>
        <v>0</v>
      </c>
      <c r="Y453" s="604">
        <f t="shared" si="309"/>
        <v>0</v>
      </c>
      <c r="Z453" s="605">
        <f>VLOOKUP(S453,Kengetal,6,FALSE)</f>
        <v>0</v>
      </c>
      <c r="AA453" s="751">
        <f>VLOOKUP(S453,Kengetal,7,FALSE)</f>
        <v>0</v>
      </c>
      <c r="AB453" s="605">
        <f>VLOOKUP(T453,Kengetal,6,FALSE)</f>
        <v>0</v>
      </c>
      <c r="AC453" s="607"/>
      <c r="AD453" s="591" t="str">
        <f>AL453</f>
        <v>Friesland College</v>
      </c>
      <c r="AE453" s="608"/>
      <c r="AF453" s="639">
        <v>16</v>
      </c>
      <c r="AG453" s="639">
        <f t="shared" ref="AG453:AG516" si="311">IF(AND(C453="t"),-AF453,IF(AND(C453="v"),-AF453,IF(AND(C453="W"),-AF453,IF(AND(C453=""),AF453))))</f>
        <v>16</v>
      </c>
      <c r="AH453" s="639">
        <f t="shared" si="305"/>
        <v>0</v>
      </c>
      <c r="AI453" s="640"/>
      <c r="AJ453" s="641">
        <f t="shared" si="306"/>
        <v>0</v>
      </c>
      <c r="AK453" s="642"/>
      <c r="AL453" s="642" t="s">
        <v>364</v>
      </c>
      <c r="AM453" s="642"/>
      <c r="AN453" s="642"/>
      <c r="AO453" s="644">
        <v>1805</v>
      </c>
      <c r="AP453" s="565"/>
      <c r="AQ453" s="566"/>
      <c r="AR453" s="566"/>
      <c r="AS453" s="566"/>
      <c r="AT453" s="566"/>
      <c r="AU453" s="566"/>
      <c r="AV453" s="566"/>
      <c r="AW453" s="566"/>
      <c r="AX453" s="566"/>
      <c r="AY453" s="566"/>
      <c r="AZ453" s="566"/>
      <c r="BA453" s="566"/>
      <c r="BB453" s="566"/>
      <c r="BC453" s="566"/>
      <c r="BD453" s="566"/>
      <c r="BE453" s="566"/>
      <c r="BF453" s="566"/>
      <c r="BG453" s="566"/>
    </row>
    <row r="454" spans="1:59">
      <c r="A454" s="591"/>
      <c r="B454" s="618"/>
      <c r="C454" s="609"/>
      <c r="D454" s="594">
        <v>1</v>
      </c>
      <c r="E454" s="595" t="s">
        <v>374</v>
      </c>
      <c r="F454" s="593" t="s">
        <v>367</v>
      </c>
      <c r="G454" s="610" t="s">
        <v>628</v>
      </c>
      <c r="H454" s="610" t="s">
        <v>722</v>
      </c>
      <c r="I454" s="610"/>
      <c r="J454" s="610"/>
      <c r="K454" s="610"/>
      <c r="L454" s="611" t="s">
        <v>902</v>
      </c>
      <c r="M454" s="612">
        <f t="shared" si="293"/>
        <v>0</v>
      </c>
      <c r="N454" s="613"/>
      <c r="O454" s="614" t="s">
        <v>1039</v>
      </c>
      <c r="P454" s="615">
        <v>100</v>
      </c>
      <c r="Q454" s="616">
        <f t="shared" si="294"/>
        <v>16</v>
      </c>
      <c r="R454" s="613"/>
      <c r="S454" s="603"/>
      <c r="T454" s="606"/>
      <c r="U454" s="606"/>
      <c r="V454" s="593">
        <f t="shared" ref="V454:V516" si="312">VLOOKUP(S454,Kengetal,3,FALSE)+VLOOKUP(T454,Kengetal,3,FALSE)</f>
        <v>0</v>
      </c>
      <c r="W454" s="606"/>
      <c r="X454" s="606"/>
      <c r="Y454" s="606"/>
      <c r="Z454" s="606"/>
      <c r="AA454" s="606"/>
      <c r="AB454" s="606"/>
      <c r="AC454" s="607"/>
      <c r="AD454" s="606"/>
      <c r="AE454" s="608"/>
      <c r="AF454" s="639">
        <v>16</v>
      </c>
      <c r="AG454" s="639">
        <f t="shared" si="311"/>
        <v>16</v>
      </c>
      <c r="AH454" s="639">
        <f t="shared" si="305"/>
        <v>0</v>
      </c>
      <c r="AI454" s="640"/>
      <c r="AJ454" s="641">
        <f t="shared" si="306"/>
        <v>0</v>
      </c>
      <c r="AK454" s="642"/>
      <c r="AL454" s="642" t="s">
        <v>364</v>
      </c>
      <c r="AM454" s="642"/>
      <c r="AN454" s="642"/>
      <c r="AO454" s="644">
        <v>1806</v>
      </c>
      <c r="AP454" s="565"/>
      <c r="AQ454" s="566"/>
      <c r="AR454" s="566"/>
      <c r="AS454" s="566"/>
      <c r="AT454" s="566"/>
      <c r="AU454" s="566"/>
      <c r="AV454" s="566"/>
      <c r="AW454" s="566"/>
      <c r="AX454" s="566"/>
      <c r="AY454" s="566"/>
      <c r="AZ454" s="566"/>
      <c r="BA454" s="566"/>
      <c r="BB454" s="566"/>
      <c r="BC454" s="566"/>
      <c r="BD454" s="566"/>
      <c r="BE454" s="566"/>
      <c r="BF454" s="566"/>
      <c r="BG454" s="566"/>
    </row>
    <row r="455" spans="1:59">
      <c r="A455" s="591"/>
      <c r="B455" s="592"/>
      <c r="C455" s="593"/>
      <c r="D455" s="594">
        <v>1</v>
      </c>
      <c r="E455" s="595" t="s">
        <v>374</v>
      </c>
      <c r="F455" s="593" t="s">
        <v>367</v>
      </c>
      <c r="G455" s="596" t="s">
        <v>629</v>
      </c>
      <c r="H455" s="596" t="s">
        <v>629</v>
      </c>
      <c r="I455" s="596"/>
      <c r="J455" s="596"/>
      <c r="K455" s="596"/>
      <c r="L455" s="591" t="s">
        <v>903</v>
      </c>
      <c r="M455" s="597" t="str">
        <f t="shared" si="293"/>
        <v>Kleedruimte</v>
      </c>
      <c r="N455" s="591" t="s">
        <v>323</v>
      </c>
      <c r="O455" s="598"/>
      <c r="P455" s="599"/>
      <c r="Q455" s="600">
        <f t="shared" si="294"/>
        <v>0</v>
      </c>
      <c r="R455" s="601">
        <f t="shared" ref="R455:R461" si="313">AF455</f>
        <v>15</v>
      </c>
      <c r="S455" s="647">
        <v>111200</v>
      </c>
      <c r="T455" s="647"/>
      <c r="U455" s="645">
        <v>1</v>
      </c>
      <c r="V455" s="593">
        <f t="shared" si="312"/>
        <v>200</v>
      </c>
      <c r="W455" s="604">
        <f t="shared" ref="W455:W461" si="314">Z455*R455*U455</f>
        <v>0</v>
      </c>
      <c r="X455" s="604">
        <f t="shared" ref="X455:X461" si="315">AA455*R455</f>
        <v>0</v>
      </c>
      <c r="Y455" s="604">
        <f t="shared" ref="Y455:Y461" si="316">AB455*R455</f>
        <v>0</v>
      </c>
      <c r="Z455" s="605">
        <f t="shared" ref="Z455:Z461" si="317">VLOOKUP(S455,Kengetal,6,FALSE)</f>
        <v>0</v>
      </c>
      <c r="AA455" s="751">
        <f t="shared" ref="AA455:AA461" si="318">VLOOKUP(S455,Kengetal,7,FALSE)</f>
        <v>0</v>
      </c>
      <c r="AB455" s="605">
        <f t="shared" ref="AB455:AB461" si="319">VLOOKUP(T455,Kengetal,6,FALSE)</f>
        <v>0</v>
      </c>
      <c r="AC455" s="607"/>
      <c r="AD455" s="591" t="str">
        <f t="shared" ref="AD455:AD461" si="320">AL455</f>
        <v>Friesland College</v>
      </c>
      <c r="AE455" s="608"/>
      <c r="AF455" s="639">
        <v>15</v>
      </c>
      <c r="AG455" s="639">
        <f t="shared" si="311"/>
        <v>15</v>
      </c>
      <c r="AH455" s="639">
        <f t="shared" si="305"/>
        <v>0</v>
      </c>
      <c r="AI455" s="640"/>
      <c r="AJ455" s="641">
        <f t="shared" si="306"/>
        <v>0</v>
      </c>
      <c r="AK455" s="642"/>
      <c r="AL455" s="642" t="s">
        <v>364</v>
      </c>
      <c r="AM455" s="642"/>
      <c r="AN455" s="642"/>
      <c r="AO455" s="644">
        <v>1807</v>
      </c>
      <c r="AP455" s="565"/>
      <c r="AQ455" s="566"/>
      <c r="AR455" s="566"/>
      <c r="AS455" s="566"/>
      <c r="AT455" s="566"/>
      <c r="AU455" s="566"/>
      <c r="AV455" s="566"/>
      <c r="AW455" s="566"/>
      <c r="AX455" s="566"/>
      <c r="AY455" s="566"/>
      <c r="AZ455" s="566"/>
      <c r="BA455" s="566"/>
      <c r="BB455" s="566"/>
      <c r="BC455" s="566"/>
      <c r="BD455" s="566"/>
      <c r="BE455" s="566"/>
      <c r="BF455" s="566"/>
      <c r="BG455" s="566"/>
    </row>
    <row r="456" spans="1:59">
      <c r="A456" s="591"/>
      <c r="B456" s="592"/>
      <c r="C456" s="593"/>
      <c r="D456" s="594">
        <v>1</v>
      </c>
      <c r="E456" s="595" t="s">
        <v>374</v>
      </c>
      <c r="F456" s="593" t="s">
        <v>367</v>
      </c>
      <c r="G456" s="596" t="s">
        <v>723</v>
      </c>
      <c r="H456" s="596" t="s">
        <v>723</v>
      </c>
      <c r="I456" s="596"/>
      <c r="J456" s="596"/>
      <c r="K456" s="596"/>
      <c r="L456" s="591" t="s">
        <v>321</v>
      </c>
      <c r="M456" s="597" t="str">
        <f t="shared" si="293"/>
        <v>Sanitaire ruimte (toilet-/doucheruimte)</v>
      </c>
      <c r="N456" s="591" t="s">
        <v>323</v>
      </c>
      <c r="O456" s="598"/>
      <c r="P456" s="599"/>
      <c r="Q456" s="600">
        <f t="shared" si="294"/>
        <v>0</v>
      </c>
      <c r="R456" s="601">
        <f t="shared" si="313"/>
        <v>10</v>
      </c>
      <c r="S456" s="647">
        <v>103200</v>
      </c>
      <c r="T456" s="647">
        <v>103400</v>
      </c>
      <c r="U456" s="645">
        <v>1</v>
      </c>
      <c r="V456" s="593">
        <f t="shared" si="312"/>
        <v>400</v>
      </c>
      <c r="W456" s="604">
        <f t="shared" si="314"/>
        <v>0</v>
      </c>
      <c r="X456" s="604">
        <f t="shared" si="315"/>
        <v>0</v>
      </c>
      <c r="Y456" s="604">
        <f t="shared" si="316"/>
        <v>0</v>
      </c>
      <c r="Z456" s="605">
        <f t="shared" si="317"/>
        <v>0</v>
      </c>
      <c r="AA456" s="751">
        <f t="shared" si="318"/>
        <v>0</v>
      </c>
      <c r="AB456" s="605">
        <f t="shared" si="319"/>
        <v>0</v>
      </c>
      <c r="AC456" s="607"/>
      <c r="AD456" s="591" t="str">
        <f t="shared" si="320"/>
        <v>Friesland College</v>
      </c>
      <c r="AE456" s="608"/>
      <c r="AF456" s="639">
        <v>10</v>
      </c>
      <c r="AG456" s="639">
        <f t="shared" si="311"/>
        <v>10</v>
      </c>
      <c r="AH456" s="639">
        <f t="shared" si="305"/>
        <v>0</v>
      </c>
      <c r="AI456" s="640"/>
      <c r="AJ456" s="641">
        <f t="shared" si="306"/>
        <v>0</v>
      </c>
      <c r="AK456" s="642"/>
      <c r="AL456" s="642" t="s">
        <v>364</v>
      </c>
      <c r="AM456" s="642"/>
      <c r="AN456" s="642"/>
      <c r="AO456" s="644">
        <v>1808</v>
      </c>
      <c r="AP456" s="565"/>
      <c r="AQ456" s="566"/>
      <c r="AR456" s="566"/>
      <c r="AS456" s="566"/>
      <c r="AT456" s="566"/>
      <c r="AU456" s="566"/>
      <c r="AV456" s="566"/>
      <c r="AW456" s="566"/>
      <c r="AX456" s="566"/>
      <c r="AY456" s="566"/>
      <c r="AZ456" s="566"/>
      <c r="BA456" s="566"/>
      <c r="BB456" s="566"/>
      <c r="BC456" s="566"/>
      <c r="BD456" s="566"/>
      <c r="BE456" s="566"/>
      <c r="BF456" s="566"/>
      <c r="BG456" s="566"/>
    </row>
    <row r="457" spans="1:59">
      <c r="A457" s="591"/>
      <c r="B457" s="592"/>
      <c r="C457" s="593"/>
      <c r="D457" s="594">
        <v>1</v>
      </c>
      <c r="E457" s="595" t="s">
        <v>374</v>
      </c>
      <c r="F457" s="593" t="s">
        <v>367</v>
      </c>
      <c r="G457" s="596" t="s">
        <v>630</v>
      </c>
      <c r="H457" s="596" t="s">
        <v>630</v>
      </c>
      <c r="I457" s="596"/>
      <c r="J457" s="596"/>
      <c r="K457" s="596"/>
      <c r="L457" s="591" t="s">
        <v>903</v>
      </c>
      <c r="M457" s="597" t="str">
        <f t="shared" si="293"/>
        <v>Kleedruimte</v>
      </c>
      <c r="N457" s="591" t="s">
        <v>323</v>
      </c>
      <c r="O457" s="598"/>
      <c r="P457" s="599"/>
      <c r="Q457" s="600">
        <f t="shared" si="294"/>
        <v>0</v>
      </c>
      <c r="R457" s="601">
        <f t="shared" si="313"/>
        <v>15</v>
      </c>
      <c r="S457" s="647">
        <v>111200</v>
      </c>
      <c r="T457" s="647"/>
      <c r="U457" s="645">
        <v>1</v>
      </c>
      <c r="V457" s="593">
        <f t="shared" si="312"/>
        <v>200</v>
      </c>
      <c r="W457" s="604">
        <f t="shared" si="314"/>
        <v>0</v>
      </c>
      <c r="X457" s="604">
        <f t="shared" si="315"/>
        <v>0</v>
      </c>
      <c r="Y457" s="604">
        <f t="shared" si="316"/>
        <v>0</v>
      </c>
      <c r="Z457" s="605">
        <f t="shared" si="317"/>
        <v>0</v>
      </c>
      <c r="AA457" s="751">
        <f t="shared" si="318"/>
        <v>0</v>
      </c>
      <c r="AB457" s="605">
        <f t="shared" si="319"/>
        <v>0</v>
      </c>
      <c r="AC457" s="607"/>
      <c r="AD457" s="591" t="str">
        <f t="shared" si="320"/>
        <v>Friesland College</v>
      </c>
      <c r="AE457" s="608"/>
      <c r="AF457" s="639">
        <v>15</v>
      </c>
      <c r="AG457" s="639">
        <f t="shared" si="311"/>
        <v>15</v>
      </c>
      <c r="AH457" s="639">
        <f t="shared" si="305"/>
        <v>0</v>
      </c>
      <c r="AI457" s="640"/>
      <c r="AJ457" s="641">
        <f t="shared" si="306"/>
        <v>0</v>
      </c>
      <c r="AK457" s="642"/>
      <c r="AL457" s="642" t="s">
        <v>364</v>
      </c>
      <c r="AM457" s="642"/>
      <c r="AN457" s="642"/>
      <c r="AO457" s="644">
        <v>1809</v>
      </c>
      <c r="AP457" s="565"/>
      <c r="AQ457" s="566"/>
      <c r="AR457" s="566"/>
      <c r="AS457" s="566"/>
      <c r="AT457" s="566"/>
      <c r="AU457" s="566"/>
      <c r="AV457" s="566"/>
      <c r="AW457" s="566"/>
      <c r="AX457" s="566"/>
      <c r="AY457" s="566"/>
      <c r="AZ457" s="566"/>
      <c r="BA457" s="566"/>
      <c r="BB457" s="566"/>
      <c r="BC457" s="566"/>
      <c r="BD457" s="566"/>
      <c r="BE457" s="566"/>
      <c r="BF457" s="566"/>
      <c r="BG457" s="566"/>
    </row>
    <row r="458" spans="1:59">
      <c r="A458" s="591"/>
      <c r="B458" s="592"/>
      <c r="C458" s="593"/>
      <c r="D458" s="594">
        <v>1</v>
      </c>
      <c r="E458" s="595" t="s">
        <v>374</v>
      </c>
      <c r="F458" s="593" t="s">
        <v>367</v>
      </c>
      <c r="G458" s="596" t="s">
        <v>631</v>
      </c>
      <c r="H458" s="596" t="s">
        <v>631</v>
      </c>
      <c r="I458" s="596"/>
      <c r="J458" s="596"/>
      <c r="K458" s="596"/>
      <c r="L458" s="591" t="s">
        <v>763</v>
      </c>
      <c r="M458" s="597" t="str">
        <f t="shared" si="293"/>
        <v>Trappenhuis-bordes</v>
      </c>
      <c r="N458" s="591" t="s">
        <v>943</v>
      </c>
      <c r="O458" s="598"/>
      <c r="P458" s="599"/>
      <c r="Q458" s="600">
        <f t="shared" si="294"/>
        <v>0</v>
      </c>
      <c r="R458" s="601">
        <f t="shared" si="313"/>
        <v>8</v>
      </c>
      <c r="S458" s="647">
        <v>108200</v>
      </c>
      <c r="T458" s="602"/>
      <c r="U458" s="645">
        <v>1</v>
      </c>
      <c r="V458" s="593">
        <f t="shared" si="312"/>
        <v>200</v>
      </c>
      <c r="W458" s="604">
        <f t="shared" si="314"/>
        <v>0</v>
      </c>
      <c r="X458" s="604">
        <f t="shared" si="315"/>
        <v>0</v>
      </c>
      <c r="Y458" s="604">
        <f t="shared" si="316"/>
        <v>0</v>
      </c>
      <c r="Z458" s="605">
        <f t="shared" si="317"/>
        <v>0</v>
      </c>
      <c r="AA458" s="751">
        <f t="shared" si="318"/>
        <v>0</v>
      </c>
      <c r="AB458" s="605">
        <f t="shared" si="319"/>
        <v>0</v>
      </c>
      <c r="AC458" s="607"/>
      <c r="AD458" s="591" t="str">
        <f t="shared" si="320"/>
        <v>Friesland College</v>
      </c>
      <c r="AE458" s="608"/>
      <c r="AF458" s="639">
        <v>8</v>
      </c>
      <c r="AG458" s="639">
        <f t="shared" si="311"/>
        <v>8</v>
      </c>
      <c r="AH458" s="639">
        <f t="shared" si="305"/>
        <v>0</v>
      </c>
      <c r="AI458" s="640"/>
      <c r="AJ458" s="641">
        <f t="shared" si="306"/>
        <v>0</v>
      </c>
      <c r="AK458" s="642"/>
      <c r="AL458" s="642" t="s">
        <v>364</v>
      </c>
      <c r="AM458" s="642"/>
      <c r="AN458" s="642"/>
      <c r="AO458" s="644">
        <v>1810</v>
      </c>
      <c r="AP458" s="565"/>
      <c r="AQ458" s="566"/>
      <c r="AR458" s="566"/>
      <c r="AS458" s="566"/>
      <c r="AT458" s="566"/>
      <c r="AU458" s="566"/>
      <c r="AV458" s="566"/>
      <c r="AW458" s="566"/>
      <c r="AX458" s="566"/>
      <c r="AY458" s="566"/>
      <c r="AZ458" s="566"/>
      <c r="BA458" s="566"/>
      <c r="BB458" s="566"/>
      <c r="BC458" s="566"/>
      <c r="BD458" s="566"/>
      <c r="BE458" s="566"/>
      <c r="BF458" s="566"/>
      <c r="BG458" s="566"/>
    </row>
    <row r="459" spans="1:59">
      <c r="A459" s="591"/>
      <c r="B459" s="592"/>
      <c r="C459" s="593"/>
      <c r="D459" s="594">
        <v>1</v>
      </c>
      <c r="E459" s="595" t="s">
        <v>374</v>
      </c>
      <c r="F459" s="593" t="s">
        <v>367</v>
      </c>
      <c r="G459" s="596" t="s">
        <v>632</v>
      </c>
      <c r="H459" s="596" t="s">
        <v>632</v>
      </c>
      <c r="I459" s="596"/>
      <c r="J459" s="596"/>
      <c r="K459" s="596"/>
      <c r="L459" s="591" t="s">
        <v>904</v>
      </c>
      <c r="M459" s="597" t="str">
        <f t="shared" si="293"/>
        <v>Kleedruimte</v>
      </c>
      <c r="N459" s="591" t="s">
        <v>322</v>
      </c>
      <c r="O459" s="598"/>
      <c r="P459" s="599"/>
      <c r="Q459" s="600">
        <f t="shared" si="294"/>
        <v>0</v>
      </c>
      <c r="R459" s="601">
        <f t="shared" si="313"/>
        <v>6</v>
      </c>
      <c r="S459" s="647">
        <v>111200</v>
      </c>
      <c r="T459" s="647"/>
      <c r="U459" s="645">
        <v>1</v>
      </c>
      <c r="V459" s="593">
        <f t="shared" si="312"/>
        <v>200</v>
      </c>
      <c r="W459" s="604">
        <f t="shared" si="314"/>
        <v>0</v>
      </c>
      <c r="X459" s="604">
        <f t="shared" si="315"/>
        <v>0</v>
      </c>
      <c r="Y459" s="604">
        <f t="shared" si="316"/>
        <v>0</v>
      </c>
      <c r="Z459" s="605">
        <f t="shared" si="317"/>
        <v>0</v>
      </c>
      <c r="AA459" s="751">
        <f t="shared" si="318"/>
        <v>0</v>
      </c>
      <c r="AB459" s="605">
        <f t="shared" si="319"/>
        <v>0</v>
      </c>
      <c r="AC459" s="607"/>
      <c r="AD459" s="591" t="str">
        <f t="shared" si="320"/>
        <v>Friesland College</v>
      </c>
      <c r="AE459" s="608"/>
      <c r="AF459" s="639">
        <v>6</v>
      </c>
      <c r="AG459" s="639">
        <f t="shared" si="311"/>
        <v>6</v>
      </c>
      <c r="AH459" s="639">
        <f t="shared" si="305"/>
        <v>0</v>
      </c>
      <c r="AI459" s="640"/>
      <c r="AJ459" s="641">
        <f t="shared" si="306"/>
        <v>0</v>
      </c>
      <c r="AK459" s="642"/>
      <c r="AL459" s="642" t="s">
        <v>364</v>
      </c>
      <c r="AM459" s="642"/>
      <c r="AN459" s="642"/>
      <c r="AO459" s="644">
        <v>1811</v>
      </c>
      <c r="AP459" s="565"/>
      <c r="AQ459" s="566"/>
      <c r="AR459" s="566"/>
      <c r="AS459" s="566"/>
      <c r="AT459" s="566"/>
      <c r="AU459" s="566"/>
      <c r="AV459" s="566"/>
      <c r="AW459" s="566"/>
      <c r="AX459" s="566"/>
      <c r="AY459" s="566"/>
      <c r="AZ459" s="566"/>
      <c r="BA459" s="566"/>
      <c r="BB459" s="566"/>
      <c r="BC459" s="566"/>
      <c r="BD459" s="566"/>
      <c r="BE459" s="566"/>
      <c r="BF459" s="566"/>
      <c r="BG459" s="566"/>
    </row>
    <row r="460" spans="1:59">
      <c r="A460" s="591"/>
      <c r="B460" s="592"/>
      <c r="C460" s="593"/>
      <c r="D460" s="594">
        <v>1</v>
      </c>
      <c r="E460" s="595" t="s">
        <v>374</v>
      </c>
      <c r="F460" s="593" t="s">
        <v>367</v>
      </c>
      <c r="G460" s="596" t="s">
        <v>724</v>
      </c>
      <c r="H460" s="596" t="s">
        <v>724</v>
      </c>
      <c r="I460" s="596"/>
      <c r="J460" s="596"/>
      <c r="K460" s="596"/>
      <c r="L460" s="591" t="s">
        <v>905</v>
      </c>
      <c r="M460" s="597" t="str">
        <f t="shared" si="293"/>
        <v>Gang, hal, pantry, aula, repro, gardarobe</v>
      </c>
      <c r="N460" s="591" t="s">
        <v>78</v>
      </c>
      <c r="O460" s="598"/>
      <c r="P460" s="599"/>
      <c r="Q460" s="600">
        <f t="shared" si="294"/>
        <v>0</v>
      </c>
      <c r="R460" s="601">
        <f t="shared" si="313"/>
        <v>6</v>
      </c>
      <c r="S460" s="647">
        <v>104200</v>
      </c>
      <c r="T460" s="602"/>
      <c r="U460" s="645">
        <v>1</v>
      </c>
      <c r="V460" s="593">
        <f t="shared" si="312"/>
        <v>200</v>
      </c>
      <c r="W460" s="604">
        <f t="shared" si="314"/>
        <v>0</v>
      </c>
      <c r="X460" s="604">
        <f t="shared" si="315"/>
        <v>0</v>
      </c>
      <c r="Y460" s="604">
        <f t="shared" si="316"/>
        <v>0</v>
      </c>
      <c r="Z460" s="605">
        <f t="shared" si="317"/>
        <v>0</v>
      </c>
      <c r="AA460" s="751">
        <f t="shared" si="318"/>
        <v>0</v>
      </c>
      <c r="AB460" s="605">
        <f t="shared" si="319"/>
        <v>0</v>
      </c>
      <c r="AC460" s="607"/>
      <c r="AD460" s="591" t="str">
        <f t="shared" si="320"/>
        <v>Friesland College</v>
      </c>
      <c r="AE460" s="608"/>
      <c r="AF460" s="639">
        <v>6</v>
      </c>
      <c r="AG460" s="639">
        <f t="shared" si="311"/>
        <v>6</v>
      </c>
      <c r="AH460" s="639">
        <f t="shared" si="305"/>
        <v>0</v>
      </c>
      <c r="AI460" s="640"/>
      <c r="AJ460" s="641">
        <f t="shared" si="306"/>
        <v>0</v>
      </c>
      <c r="AK460" s="642"/>
      <c r="AL460" s="642" t="s">
        <v>364</v>
      </c>
      <c r="AM460" s="642"/>
      <c r="AN460" s="642"/>
      <c r="AO460" s="644">
        <v>1812</v>
      </c>
      <c r="AP460" s="565"/>
      <c r="AQ460" s="566"/>
      <c r="AR460" s="566"/>
      <c r="AS460" s="566"/>
      <c r="AT460" s="566"/>
      <c r="AU460" s="566"/>
      <c r="AV460" s="566"/>
      <c r="AW460" s="566"/>
      <c r="AX460" s="566"/>
      <c r="AY460" s="566"/>
      <c r="AZ460" s="566"/>
      <c r="BA460" s="566"/>
      <c r="BB460" s="566"/>
      <c r="BC460" s="566"/>
      <c r="BD460" s="566"/>
      <c r="BE460" s="566"/>
      <c r="BF460" s="566"/>
      <c r="BG460" s="566"/>
    </row>
    <row r="461" spans="1:59">
      <c r="A461" s="591"/>
      <c r="B461" s="592"/>
      <c r="C461" s="593"/>
      <c r="D461" s="594">
        <v>1</v>
      </c>
      <c r="E461" s="595" t="s">
        <v>374</v>
      </c>
      <c r="F461" s="593" t="s">
        <v>367</v>
      </c>
      <c r="G461" s="596" t="s">
        <v>633</v>
      </c>
      <c r="H461" s="596" t="s">
        <v>725</v>
      </c>
      <c r="I461" s="596"/>
      <c r="J461" s="596"/>
      <c r="K461" s="596"/>
      <c r="L461" s="591" t="s">
        <v>902</v>
      </c>
      <c r="M461" s="597" t="str">
        <f t="shared" si="293"/>
        <v>Administratieve -, personeels- en vergaderruimte</v>
      </c>
      <c r="N461" s="591" t="s">
        <v>322</v>
      </c>
      <c r="O461" s="598"/>
      <c r="P461" s="599"/>
      <c r="Q461" s="600">
        <f t="shared" si="294"/>
        <v>0</v>
      </c>
      <c r="R461" s="601">
        <f t="shared" si="313"/>
        <v>17</v>
      </c>
      <c r="S461" s="647">
        <v>101100</v>
      </c>
      <c r="T461" s="602"/>
      <c r="U461" s="645">
        <v>1</v>
      </c>
      <c r="V461" s="593">
        <f t="shared" si="312"/>
        <v>100</v>
      </c>
      <c r="W461" s="604">
        <f t="shared" si="314"/>
        <v>0</v>
      </c>
      <c r="X461" s="604">
        <f t="shared" si="315"/>
        <v>0</v>
      </c>
      <c r="Y461" s="604">
        <f t="shared" si="316"/>
        <v>0</v>
      </c>
      <c r="Z461" s="605">
        <f t="shared" si="317"/>
        <v>0</v>
      </c>
      <c r="AA461" s="751">
        <f t="shared" si="318"/>
        <v>0</v>
      </c>
      <c r="AB461" s="605">
        <f t="shared" si="319"/>
        <v>0</v>
      </c>
      <c r="AC461" s="607"/>
      <c r="AD461" s="591" t="str">
        <f t="shared" si="320"/>
        <v>Friesland College</v>
      </c>
      <c r="AE461" s="608"/>
      <c r="AF461" s="639">
        <v>17</v>
      </c>
      <c r="AG461" s="639">
        <f t="shared" si="311"/>
        <v>17</v>
      </c>
      <c r="AH461" s="639">
        <f t="shared" si="305"/>
        <v>0</v>
      </c>
      <c r="AI461" s="640"/>
      <c r="AJ461" s="641">
        <f t="shared" si="306"/>
        <v>0</v>
      </c>
      <c r="AK461" s="642"/>
      <c r="AL461" s="642" t="s">
        <v>364</v>
      </c>
      <c r="AM461" s="642"/>
      <c r="AN461" s="642"/>
      <c r="AO461" s="644">
        <v>1813</v>
      </c>
      <c r="AP461" s="565"/>
      <c r="AQ461" s="566"/>
      <c r="AR461" s="566"/>
      <c r="AS461" s="566"/>
      <c r="AT461" s="566"/>
      <c r="AU461" s="566"/>
      <c r="AV461" s="566"/>
      <c r="AW461" s="566"/>
      <c r="AX461" s="566"/>
      <c r="AY461" s="566"/>
      <c r="AZ461" s="566"/>
      <c r="BA461" s="566"/>
      <c r="BB461" s="566"/>
      <c r="BC461" s="566"/>
      <c r="BD461" s="566"/>
      <c r="BE461" s="566"/>
      <c r="BF461" s="566"/>
      <c r="BG461" s="566"/>
    </row>
    <row r="462" spans="1:59">
      <c r="A462" s="591"/>
      <c r="B462" s="618"/>
      <c r="C462" s="609"/>
      <c r="D462" s="594">
        <v>1</v>
      </c>
      <c r="E462" s="595" t="s">
        <v>374</v>
      </c>
      <c r="F462" s="593" t="s">
        <v>367</v>
      </c>
      <c r="G462" s="610" t="s">
        <v>633</v>
      </c>
      <c r="H462" s="610" t="s">
        <v>725</v>
      </c>
      <c r="I462" s="610"/>
      <c r="J462" s="610"/>
      <c r="K462" s="610"/>
      <c r="L462" s="611" t="s">
        <v>902</v>
      </c>
      <c r="M462" s="612">
        <f t="shared" si="293"/>
        <v>0</v>
      </c>
      <c r="N462" s="613"/>
      <c r="O462" s="614" t="s">
        <v>1039</v>
      </c>
      <c r="P462" s="615">
        <v>100</v>
      </c>
      <c r="Q462" s="616">
        <f t="shared" si="294"/>
        <v>17</v>
      </c>
      <c r="R462" s="613"/>
      <c r="S462" s="603"/>
      <c r="T462" s="606"/>
      <c r="U462" s="606"/>
      <c r="V462" s="593">
        <f t="shared" si="312"/>
        <v>0</v>
      </c>
      <c r="W462" s="606"/>
      <c r="X462" s="606"/>
      <c r="Y462" s="606"/>
      <c r="Z462" s="606"/>
      <c r="AA462" s="606"/>
      <c r="AB462" s="606"/>
      <c r="AC462" s="607"/>
      <c r="AD462" s="606"/>
      <c r="AE462" s="608"/>
      <c r="AF462" s="639">
        <v>17</v>
      </c>
      <c r="AG462" s="639">
        <f t="shared" si="311"/>
        <v>17</v>
      </c>
      <c r="AH462" s="639">
        <f t="shared" si="305"/>
        <v>0</v>
      </c>
      <c r="AI462" s="640"/>
      <c r="AJ462" s="641">
        <f t="shared" si="306"/>
        <v>0</v>
      </c>
      <c r="AK462" s="642"/>
      <c r="AL462" s="642" t="s">
        <v>364</v>
      </c>
      <c r="AM462" s="642"/>
      <c r="AN462" s="642"/>
      <c r="AO462" s="644">
        <v>1814</v>
      </c>
      <c r="AP462" s="565"/>
      <c r="AQ462" s="566"/>
      <c r="AR462" s="566"/>
      <c r="AS462" s="566"/>
      <c r="AT462" s="566"/>
      <c r="AU462" s="566"/>
      <c r="AV462" s="566"/>
      <c r="AW462" s="566"/>
      <c r="AX462" s="566"/>
      <c r="AY462" s="566"/>
      <c r="AZ462" s="566"/>
      <c r="BA462" s="566"/>
      <c r="BB462" s="566"/>
      <c r="BC462" s="566"/>
      <c r="BD462" s="566"/>
      <c r="BE462" s="566"/>
      <c r="BF462" s="566"/>
      <c r="BG462" s="566"/>
    </row>
    <row r="463" spans="1:59">
      <c r="A463" s="591"/>
      <c r="B463" s="592"/>
      <c r="C463" s="593"/>
      <c r="D463" s="594">
        <v>1</v>
      </c>
      <c r="E463" s="595" t="s">
        <v>374</v>
      </c>
      <c r="F463" s="593" t="s">
        <v>367</v>
      </c>
      <c r="G463" s="596" t="s">
        <v>634</v>
      </c>
      <c r="H463" s="596" t="s">
        <v>634</v>
      </c>
      <c r="I463" s="596"/>
      <c r="J463" s="596"/>
      <c r="K463" s="596"/>
      <c r="L463" s="591" t="s">
        <v>778</v>
      </c>
      <c r="M463" s="597" t="str">
        <f t="shared" si="293"/>
        <v>Op afroep (in overleg)</v>
      </c>
      <c r="N463" s="591" t="s">
        <v>947</v>
      </c>
      <c r="O463" s="598"/>
      <c r="P463" s="599"/>
      <c r="Q463" s="600">
        <f t="shared" si="294"/>
        <v>0</v>
      </c>
      <c r="R463" s="601">
        <f t="shared" ref="R463:R469" si="321">AF463</f>
        <v>26</v>
      </c>
      <c r="S463" s="603" t="s">
        <v>959</v>
      </c>
      <c r="T463" s="602"/>
      <c r="U463" s="603"/>
      <c r="V463" s="593">
        <f t="shared" si="312"/>
        <v>0</v>
      </c>
      <c r="W463" s="604">
        <f t="shared" ref="W463:W469" si="322">Z463*R463*U463</f>
        <v>0</v>
      </c>
      <c r="X463" s="604">
        <f t="shared" ref="X463:X469" si="323">AA463*R463</f>
        <v>0</v>
      </c>
      <c r="Y463" s="604">
        <f t="shared" ref="Y463:Y469" si="324">AB463*R463</f>
        <v>0</v>
      </c>
      <c r="Z463" s="605">
        <f t="shared" ref="Z463:Z469" si="325">VLOOKUP(S463,Kengetal,6,FALSE)</f>
        <v>0</v>
      </c>
      <c r="AA463" s="751">
        <f t="shared" ref="AA463:AA469" si="326">VLOOKUP(S463,Kengetal,7,FALSE)</f>
        <v>0</v>
      </c>
      <c r="AB463" s="605">
        <f t="shared" ref="AB463:AB469" si="327">VLOOKUP(T463,Kengetal,6,FALSE)</f>
        <v>0</v>
      </c>
      <c r="AC463" s="607"/>
      <c r="AD463" s="591" t="str">
        <f t="shared" ref="AD463:AD469" si="328">AL463</f>
        <v>Friesland College</v>
      </c>
      <c r="AE463" s="608"/>
      <c r="AF463" s="639">
        <v>26</v>
      </c>
      <c r="AG463" s="639">
        <f t="shared" si="311"/>
        <v>26</v>
      </c>
      <c r="AH463" s="639">
        <f t="shared" si="305"/>
        <v>0</v>
      </c>
      <c r="AI463" s="640"/>
      <c r="AJ463" s="641">
        <f t="shared" si="306"/>
        <v>0</v>
      </c>
      <c r="AK463" s="642"/>
      <c r="AL463" s="642" t="s">
        <v>364</v>
      </c>
      <c r="AM463" s="642"/>
      <c r="AN463" s="642"/>
      <c r="AO463" s="644">
        <v>1815</v>
      </c>
      <c r="AP463" s="565"/>
      <c r="AQ463" s="566"/>
      <c r="AR463" s="566"/>
      <c r="AS463" s="566"/>
      <c r="AT463" s="566"/>
      <c r="AU463" s="566"/>
      <c r="AV463" s="566"/>
      <c r="AW463" s="566"/>
      <c r="AX463" s="566"/>
      <c r="AY463" s="566"/>
      <c r="AZ463" s="566"/>
      <c r="BA463" s="566"/>
      <c r="BB463" s="566"/>
      <c r="BC463" s="566"/>
      <c r="BD463" s="566"/>
      <c r="BE463" s="566"/>
      <c r="BF463" s="566"/>
      <c r="BG463" s="566"/>
    </row>
    <row r="464" spans="1:59">
      <c r="A464" s="591"/>
      <c r="B464" s="592"/>
      <c r="C464" s="593"/>
      <c r="D464" s="594">
        <v>1</v>
      </c>
      <c r="E464" s="595" t="s">
        <v>374</v>
      </c>
      <c r="F464" s="593" t="s">
        <v>367</v>
      </c>
      <c r="G464" s="596" t="s">
        <v>636</v>
      </c>
      <c r="H464" s="596" t="s">
        <v>636</v>
      </c>
      <c r="I464" s="596"/>
      <c r="J464" s="596"/>
      <c r="K464" s="596"/>
      <c r="L464" s="591" t="s">
        <v>761</v>
      </c>
      <c r="M464" s="597" t="str">
        <f t="shared" si="293"/>
        <v>Buitenterrein</v>
      </c>
      <c r="N464" s="591" t="s">
        <v>947</v>
      </c>
      <c r="O464" s="598"/>
      <c r="P464" s="622"/>
      <c r="Q464" s="600">
        <f t="shared" si="294"/>
        <v>0</v>
      </c>
      <c r="R464" s="601">
        <f t="shared" si="321"/>
        <v>255</v>
      </c>
      <c r="S464" s="647">
        <v>107200</v>
      </c>
      <c r="T464" s="602"/>
      <c r="U464" s="645">
        <v>1</v>
      </c>
      <c r="V464" s="593">
        <f t="shared" si="312"/>
        <v>200</v>
      </c>
      <c r="W464" s="604">
        <f t="shared" si="322"/>
        <v>0</v>
      </c>
      <c r="X464" s="604">
        <f t="shared" si="323"/>
        <v>0</v>
      </c>
      <c r="Y464" s="604">
        <f t="shared" si="324"/>
        <v>0</v>
      </c>
      <c r="Z464" s="605">
        <f t="shared" si="325"/>
        <v>0</v>
      </c>
      <c r="AA464" s="751">
        <f t="shared" si="326"/>
        <v>0</v>
      </c>
      <c r="AB464" s="605">
        <f t="shared" si="327"/>
        <v>0</v>
      </c>
      <c r="AC464" s="607"/>
      <c r="AD464" s="591" t="str">
        <f t="shared" si="328"/>
        <v>Friesland College</v>
      </c>
      <c r="AE464" s="608"/>
      <c r="AF464" s="639">
        <v>255</v>
      </c>
      <c r="AG464" s="639">
        <f t="shared" si="311"/>
        <v>255</v>
      </c>
      <c r="AH464" s="639">
        <f t="shared" si="305"/>
        <v>0</v>
      </c>
      <c r="AI464" s="640"/>
      <c r="AJ464" s="641">
        <f t="shared" si="306"/>
        <v>0</v>
      </c>
      <c r="AK464" s="642"/>
      <c r="AL464" s="642" t="s">
        <v>364</v>
      </c>
      <c r="AM464" s="642"/>
      <c r="AN464" s="642"/>
      <c r="AO464" s="644">
        <v>1816</v>
      </c>
      <c r="AP464" s="565"/>
      <c r="AQ464" s="566"/>
      <c r="AR464" s="566"/>
      <c r="AS464" s="566"/>
      <c r="AT464" s="566"/>
      <c r="AU464" s="566"/>
      <c r="AV464" s="566"/>
      <c r="AW464" s="566"/>
      <c r="AX464" s="566"/>
      <c r="AY464" s="566"/>
      <c r="AZ464" s="566"/>
      <c r="BA464" s="566"/>
      <c r="BB464" s="566"/>
      <c r="BC464" s="566"/>
      <c r="BD464" s="566"/>
      <c r="BE464" s="566"/>
      <c r="BF464" s="566"/>
      <c r="BG464" s="566"/>
    </row>
    <row r="465" spans="1:59">
      <c r="A465" s="591"/>
      <c r="B465" s="592"/>
      <c r="C465" s="593"/>
      <c r="D465" s="594">
        <v>1</v>
      </c>
      <c r="E465" s="595" t="s">
        <v>374</v>
      </c>
      <c r="F465" s="593" t="s">
        <v>367</v>
      </c>
      <c r="G465" s="596" t="s">
        <v>637</v>
      </c>
      <c r="H465" s="596" t="s">
        <v>637</v>
      </c>
      <c r="I465" s="596"/>
      <c r="J465" s="596"/>
      <c r="K465" s="596"/>
      <c r="L465" s="591" t="s">
        <v>318</v>
      </c>
      <c r="M465" s="597" t="str">
        <f t="shared" si="293"/>
        <v>Gang, hal, pantry, aula, repro, gardarobe</v>
      </c>
      <c r="N465" s="591" t="s">
        <v>78</v>
      </c>
      <c r="O465" s="598"/>
      <c r="P465" s="599"/>
      <c r="Q465" s="600">
        <f t="shared" ref="Q465:Q528" si="329">AF465*P465/100</f>
        <v>0</v>
      </c>
      <c r="R465" s="601">
        <f t="shared" si="321"/>
        <v>9</v>
      </c>
      <c r="S465" s="647">
        <v>104200</v>
      </c>
      <c r="T465" s="602"/>
      <c r="U465" s="645">
        <v>1</v>
      </c>
      <c r="V465" s="593">
        <f t="shared" si="312"/>
        <v>200</v>
      </c>
      <c r="W465" s="604">
        <f t="shared" si="322"/>
        <v>0</v>
      </c>
      <c r="X465" s="604">
        <f t="shared" si="323"/>
        <v>0</v>
      </c>
      <c r="Y465" s="604">
        <f t="shared" si="324"/>
        <v>0</v>
      </c>
      <c r="Z465" s="605">
        <f t="shared" si="325"/>
        <v>0</v>
      </c>
      <c r="AA465" s="751">
        <f t="shared" si="326"/>
        <v>0</v>
      </c>
      <c r="AB465" s="605">
        <f t="shared" si="327"/>
        <v>0</v>
      </c>
      <c r="AC465" s="607"/>
      <c r="AD465" s="591" t="str">
        <f t="shared" si="328"/>
        <v>Friesland College</v>
      </c>
      <c r="AE465" s="608"/>
      <c r="AF465" s="639">
        <v>9</v>
      </c>
      <c r="AG465" s="639">
        <f t="shared" si="311"/>
        <v>9</v>
      </c>
      <c r="AH465" s="639">
        <f t="shared" si="305"/>
        <v>0</v>
      </c>
      <c r="AI465" s="640"/>
      <c r="AJ465" s="641">
        <f t="shared" si="306"/>
        <v>0</v>
      </c>
      <c r="AK465" s="642"/>
      <c r="AL465" s="642" t="s">
        <v>364</v>
      </c>
      <c r="AM465" s="642"/>
      <c r="AN465" s="642"/>
      <c r="AO465" s="644">
        <v>1817</v>
      </c>
      <c r="AP465" s="565"/>
      <c r="AQ465" s="566"/>
      <c r="AR465" s="566"/>
      <c r="AS465" s="566"/>
      <c r="AT465" s="566"/>
      <c r="AU465" s="566"/>
      <c r="AV465" s="566"/>
      <c r="AW465" s="566"/>
      <c r="AX465" s="566"/>
      <c r="AY465" s="566"/>
      <c r="AZ465" s="566"/>
      <c r="BA465" s="566"/>
      <c r="BB465" s="566"/>
      <c r="BC465" s="566"/>
      <c r="BD465" s="566"/>
      <c r="BE465" s="566"/>
      <c r="BF465" s="566"/>
      <c r="BG465" s="566"/>
    </row>
    <row r="466" spans="1:59">
      <c r="A466" s="591"/>
      <c r="B466" s="592"/>
      <c r="C466" s="593"/>
      <c r="D466" s="594">
        <v>1</v>
      </c>
      <c r="E466" s="595" t="s">
        <v>374</v>
      </c>
      <c r="F466" s="593" t="s">
        <v>367</v>
      </c>
      <c r="G466" s="596" t="s">
        <v>638</v>
      </c>
      <c r="H466" s="596" t="s">
        <v>638</v>
      </c>
      <c r="I466" s="596"/>
      <c r="J466" s="596"/>
      <c r="K466" s="596"/>
      <c r="L466" s="591" t="s">
        <v>906</v>
      </c>
      <c r="M466" s="597" t="str">
        <f t="shared" si="293"/>
        <v>Gang, hal, pantry, aula, repro, gardarobe</v>
      </c>
      <c r="N466" s="591" t="s">
        <v>323</v>
      </c>
      <c r="O466" s="598"/>
      <c r="P466" s="599"/>
      <c r="Q466" s="600">
        <f t="shared" si="329"/>
        <v>0</v>
      </c>
      <c r="R466" s="601">
        <f t="shared" si="321"/>
        <v>484</v>
      </c>
      <c r="S466" s="647">
        <v>104200</v>
      </c>
      <c r="T466" s="602"/>
      <c r="U466" s="645">
        <v>1</v>
      </c>
      <c r="V466" s="593">
        <f t="shared" si="312"/>
        <v>200</v>
      </c>
      <c r="W466" s="604">
        <f t="shared" si="322"/>
        <v>0</v>
      </c>
      <c r="X466" s="604">
        <f t="shared" si="323"/>
        <v>0</v>
      </c>
      <c r="Y466" s="604">
        <f t="shared" si="324"/>
        <v>0</v>
      </c>
      <c r="Z466" s="605">
        <f t="shared" si="325"/>
        <v>0</v>
      </c>
      <c r="AA466" s="751">
        <f t="shared" si="326"/>
        <v>0</v>
      </c>
      <c r="AB466" s="605">
        <f t="shared" si="327"/>
        <v>0</v>
      </c>
      <c r="AC466" s="607"/>
      <c r="AD466" s="591" t="str">
        <f t="shared" si="328"/>
        <v>Friesland College</v>
      </c>
      <c r="AE466" s="608"/>
      <c r="AF466" s="639">
        <v>484</v>
      </c>
      <c r="AG466" s="639">
        <f t="shared" si="311"/>
        <v>484</v>
      </c>
      <c r="AH466" s="639">
        <f t="shared" si="305"/>
        <v>0</v>
      </c>
      <c r="AI466" s="640"/>
      <c r="AJ466" s="641">
        <f t="shared" si="306"/>
        <v>0</v>
      </c>
      <c r="AK466" s="642"/>
      <c r="AL466" s="642" t="s">
        <v>364</v>
      </c>
      <c r="AM466" s="642"/>
      <c r="AN466" s="642"/>
      <c r="AO466" s="644">
        <v>1818</v>
      </c>
      <c r="AP466" s="565"/>
      <c r="AQ466" s="566"/>
      <c r="AR466" s="566"/>
      <c r="AS466" s="566"/>
      <c r="AT466" s="566"/>
      <c r="AU466" s="566"/>
      <c r="AV466" s="566"/>
      <c r="AW466" s="566"/>
      <c r="AX466" s="566"/>
      <c r="AY466" s="566"/>
      <c r="AZ466" s="566"/>
      <c r="BA466" s="566"/>
      <c r="BB466" s="566"/>
      <c r="BC466" s="566"/>
      <c r="BD466" s="566"/>
      <c r="BE466" s="566"/>
      <c r="BF466" s="566"/>
      <c r="BG466" s="566"/>
    </row>
    <row r="467" spans="1:59">
      <c r="A467" s="591"/>
      <c r="B467" s="592"/>
      <c r="C467" s="593"/>
      <c r="D467" s="594">
        <v>1</v>
      </c>
      <c r="E467" s="595" t="s">
        <v>374</v>
      </c>
      <c r="F467" s="593" t="s">
        <v>367</v>
      </c>
      <c r="G467" s="596" t="s">
        <v>639</v>
      </c>
      <c r="H467" s="596" t="s">
        <v>639</v>
      </c>
      <c r="I467" s="596"/>
      <c r="J467" s="596"/>
      <c r="K467" s="596"/>
      <c r="L467" s="591" t="s">
        <v>319</v>
      </c>
      <c r="M467" s="597" t="str">
        <f t="shared" si="293"/>
        <v>Gang, hal, pantry, aula, repro, gardarobe</v>
      </c>
      <c r="N467" s="591" t="s">
        <v>323</v>
      </c>
      <c r="O467" s="598"/>
      <c r="P467" s="599"/>
      <c r="Q467" s="600">
        <f t="shared" si="329"/>
        <v>0</v>
      </c>
      <c r="R467" s="601">
        <f t="shared" si="321"/>
        <v>174</v>
      </c>
      <c r="S467" s="647">
        <v>104200</v>
      </c>
      <c r="T467" s="602"/>
      <c r="U467" s="645">
        <v>1</v>
      </c>
      <c r="V467" s="593">
        <f t="shared" si="312"/>
        <v>200</v>
      </c>
      <c r="W467" s="604">
        <f t="shared" si="322"/>
        <v>0</v>
      </c>
      <c r="X467" s="604">
        <f t="shared" si="323"/>
        <v>0</v>
      </c>
      <c r="Y467" s="604">
        <f t="shared" si="324"/>
        <v>0</v>
      </c>
      <c r="Z467" s="605">
        <f t="shared" si="325"/>
        <v>0</v>
      </c>
      <c r="AA467" s="751">
        <f t="shared" si="326"/>
        <v>0</v>
      </c>
      <c r="AB467" s="605">
        <f t="shared" si="327"/>
        <v>0</v>
      </c>
      <c r="AC467" s="607"/>
      <c r="AD467" s="591" t="str">
        <f t="shared" si="328"/>
        <v>Friesland College</v>
      </c>
      <c r="AE467" s="608"/>
      <c r="AF467" s="639">
        <v>174</v>
      </c>
      <c r="AG467" s="639">
        <f t="shared" si="311"/>
        <v>174</v>
      </c>
      <c r="AH467" s="639">
        <f t="shared" si="305"/>
        <v>0</v>
      </c>
      <c r="AI467" s="640"/>
      <c r="AJ467" s="641">
        <f t="shared" si="306"/>
        <v>0</v>
      </c>
      <c r="AK467" s="642"/>
      <c r="AL467" s="642" t="s">
        <v>364</v>
      </c>
      <c r="AM467" s="642"/>
      <c r="AN467" s="642"/>
      <c r="AO467" s="644">
        <v>1819</v>
      </c>
      <c r="AP467" s="565"/>
      <c r="AQ467" s="566"/>
      <c r="AR467" s="566"/>
      <c r="AS467" s="566"/>
      <c r="AT467" s="566"/>
      <c r="AU467" s="566"/>
      <c r="AV467" s="566"/>
      <c r="AW467" s="566"/>
      <c r="AX467" s="566"/>
      <c r="AY467" s="566"/>
      <c r="AZ467" s="566"/>
      <c r="BA467" s="566"/>
      <c r="BB467" s="566"/>
      <c r="BC467" s="566"/>
      <c r="BD467" s="566"/>
      <c r="BE467" s="566"/>
      <c r="BF467" s="566"/>
      <c r="BG467" s="566"/>
    </row>
    <row r="468" spans="1:59">
      <c r="A468" s="591"/>
      <c r="B468" s="592"/>
      <c r="C468" s="593"/>
      <c r="D468" s="594">
        <v>1</v>
      </c>
      <c r="E468" s="595" t="s">
        <v>374</v>
      </c>
      <c r="F468" s="593" t="s">
        <v>367</v>
      </c>
      <c r="G468" s="596" t="s">
        <v>640</v>
      </c>
      <c r="H468" s="596" t="s">
        <v>640</v>
      </c>
      <c r="I468" s="596"/>
      <c r="J468" s="596"/>
      <c r="K468" s="596"/>
      <c r="L468" s="591" t="s">
        <v>319</v>
      </c>
      <c r="M468" s="597" t="str">
        <f t="shared" si="293"/>
        <v>Gang, hal, pantry, aula, repro, gardarobe</v>
      </c>
      <c r="N468" s="591" t="s">
        <v>323</v>
      </c>
      <c r="O468" s="598"/>
      <c r="P468" s="599"/>
      <c r="Q468" s="600">
        <f t="shared" si="329"/>
        <v>0</v>
      </c>
      <c r="R468" s="601">
        <f t="shared" si="321"/>
        <v>36</v>
      </c>
      <c r="S468" s="647">
        <v>104200</v>
      </c>
      <c r="T468" s="602"/>
      <c r="U468" s="645">
        <v>1</v>
      </c>
      <c r="V468" s="593">
        <f t="shared" si="312"/>
        <v>200</v>
      </c>
      <c r="W468" s="604">
        <f t="shared" si="322"/>
        <v>0</v>
      </c>
      <c r="X468" s="604">
        <f t="shared" si="323"/>
        <v>0</v>
      </c>
      <c r="Y468" s="604">
        <f t="shared" si="324"/>
        <v>0</v>
      </c>
      <c r="Z468" s="605">
        <f t="shared" si="325"/>
        <v>0</v>
      </c>
      <c r="AA468" s="751">
        <f t="shared" si="326"/>
        <v>0</v>
      </c>
      <c r="AB468" s="605">
        <f t="shared" si="327"/>
        <v>0</v>
      </c>
      <c r="AC468" s="607"/>
      <c r="AD468" s="591" t="str">
        <f t="shared" si="328"/>
        <v>Friesland College</v>
      </c>
      <c r="AE468" s="608"/>
      <c r="AF468" s="639">
        <v>36</v>
      </c>
      <c r="AG468" s="639">
        <f t="shared" si="311"/>
        <v>36</v>
      </c>
      <c r="AH468" s="639">
        <f t="shared" si="305"/>
        <v>0</v>
      </c>
      <c r="AI468" s="640"/>
      <c r="AJ468" s="641">
        <f t="shared" si="306"/>
        <v>0</v>
      </c>
      <c r="AK468" s="642"/>
      <c r="AL468" s="642" t="s">
        <v>364</v>
      </c>
      <c r="AM468" s="642"/>
      <c r="AN468" s="642"/>
      <c r="AO468" s="644">
        <v>1820</v>
      </c>
      <c r="AP468" s="565"/>
      <c r="AQ468" s="566"/>
      <c r="AR468" s="566"/>
      <c r="AS468" s="566"/>
      <c r="AT468" s="566"/>
      <c r="AU468" s="566"/>
      <c r="AV468" s="566"/>
      <c r="AW468" s="566"/>
      <c r="AX468" s="566"/>
      <c r="AY468" s="566"/>
      <c r="AZ468" s="566"/>
      <c r="BA468" s="566"/>
      <c r="BB468" s="566"/>
      <c r="BC468" s="566"/>
      <c r="BD468" s="566"/>
      <c r="BE468" s="566"/>
      <c r="BF468" s="566"/>
      <c r="BG468" s="566"/>
    </row>
    <row r="469" spans="1:59">
      <c r="A469" s="591"/>
      <c r="B469" s="592"/>
      <c r="C469" s="593"/>
      <c r="D469" s="594">
        <v>1</v>
      </c>
      <c r="E469" s="595" t="s">
        <v>374</v>
      </c>
      <c r="F469" s="593" t="s">
        <v>367</v>
      </c>
      <c r="G469" s="596" t="s">
        <v>641</v>
      </c>
      <c r="H469" s="596" t="s">
        <v>726</v>
      </c>
      <c r="I469" s="596"/>
      <c r="J469" s="596"/>
      <c r="K469" s="596"/>
      <c r="L469" s="591" t="s">
        <v>907</v>
      </c>
      <c r="M469" s="597" t="str">
        <f t="shared" ref="M469" si="330">VLOOKUP(S469,Kengetal,4,FALSE)</f>
        <v>Onderwijsruimte (theorie)</v>
      </c>
      <c r="N469" s="591" t="s">
        <v>78</v>
      </c>
      <c r="O469" s="598"/>
      <c r="P469" s="599"/>
      <c r="Q469" s="600">
        <f t="shared" si="329"/>
        <v>0</v>
      </c>
      <c r="R469" s="601">
        <f t="shared" si="321"/>
        <v>560</v>
      </c>
      <c r="S469" s="647">
        <v>102200</v>
      </c>
      <c r="T469" s="602"/>
      <c r="U469" s="645">
        <v>1</v>
      </c>
      <c r="V469" s="593">
        <f t="shared" si="312"/>
        <v>200</v>
      </c>
      <c r="W469" s="604">
        <f t="shared" si="322"/>
        <v>0</v>
      </c>
      <c r="X469" s="604">
        <f t="shared" si="323"/>
        <v>0</v>
      </c>
      <c r="Y469" s="604">
        <f t="shared" si="324"/>
        <v>0</v>
      </c>
      <c r="Z469" s="605">
        <f t="shared" si="325"/>
        <v>0</v>
      </c>
      <c r="AA469" s="751">
        <f t="shared" si="326"/>
        <v>0</v>
      </c>
      <c r="AB469" s="605">
        <f t="shared" si="327"/>
        <v>0</v>
      </c>
      <c r="AC469" s="607"/>
      <c r="AD469" s="591" t="str">
        <f t="shared" si="328"/>
        <v>Friesland College</v>
      </c>
      <c r="AE469" s="608"/>
      <c r="AF469" s="639">
        <v>560</v>
      </c>
      <c r="AG469" s="639">
        <f t="shared" si="311"/>
        <v>560</v>
      </c>
      <c r="AH469" s="639">
        <f t="shared" si="305"/>
        <v>0</v>
      </c>
      <c r="AI469" s="640"/>
      <c r="AJ469" s="641">
        <f t="shared" si="306"/>
        <v>0</v>
      </c>
      <c r="AK469" s="642"/>
      <c r="AL469" s="642" t="s">
        <v>364</v>
      </c>
      <c r="AM469" s="642"/>
      <c r="AN469" s="642"/>
      <c r="AO469" s="644">
        <v>1821</v>
      </c>
      <c r="AP469" s="565"/>
      <c r="AQ469" s="566"/>
      <c r="AR469" s="566"/>
      <c r="AS469" s="566"/>
      <c r="AT469" s="566"/>
      <c r="AU469" s="566"/>
      <c r="AV469" s="566"/>
      <c r="AW469" s="566"/>
      <c r="AX469" s="566"/>
      <c r="AY469" s="566"/>
      <c r="AZ469" s="566"/>
      <c r="BA469" s="566"/>
      <c r="BB469" s="566"/>
      <c r="BC469" s="566"/>
      <c r="BD469" s="566"/>
      <c r="BE469" s="566"/>
      <c r="BF469" s="566"/>
      <c r="BG469" s="566"/>
    </row>
    <row r="470" spans="1:59">
      <c r="A470" s="591"/>
      <c r="B470" s="618"/>
      <c r="C470" s="609"/>
      <c r="D470" s="594">
        <v>1</v>
      </c>
      <c r="E470" s="595" t="s">
        <v>374</v>
      </c>
      <c r="F470" s="593" t="s">
        <v>367</v>
      </c>
      <c r="G470" s="610" t="s">
        <v>641</v>
      </c>
      <c r="H470" s="610" t="s">
        <v>726</v>
      </c>
      <c r="I470" s="610"/>
      <c r="J470" s="610"/>
      <c r="K470" s="610"/>
      <c r="L470" s="611" t="s">
        <v>907</v>
      </c>
      <c r="M470" s="612">
        <f t="shared" ref="M470:M476" si="331">VLOOKUP(S470,Kengetal,4,FALSE)</f>
        <v>0</v>
      </c>
      <c r="N470" s="613"/>
      <c r="O470" s="614" t="s">
        <v>1039</v>
      </c>
      <c r="P470" s="615">
        <v>60</v>
      </c>
      <c r="Q470" s="616">
        <f t="shared" si="329"/>
        <v>336</v>
      </c>
      <c r="R470" s="613"/>
      <c r="S470" s="603"/>
      <c r="T470" s="606"/>
      <c r="U470" s="606"/>
      <c r="V470" s="593">
        <f t="shared" si="312"/>
        <v>0</v>
      </c>
      <c r="W470" s="606"/>
      <c r="X470" s="606"/>
      <c r="Y470" s="606"/>
      <c r="Z470" s="606"/>
      <c r="AA470" s="606"/>
      <c r="AB470" s="606"/>
      <c r="AC470" s="607"/>
      <c r="AD470" s="606"/>
      <c r="AE470" s="608"/>
      <c r="AF470" s="639">
        <v>560</v>
      </c>
      <c r="AG470" s="639">
        <f t="shared" si="311"/>
        <v>560</v>
      </c>
      <c r="AH470" s="639">
        <f t="shared" si="305"/>
        <v>0</v>
      </c>
      <c r="AI470" s="640"/>
      <c r="AJ470" s="641">
        <f t="shared" si="306"/>
        <v>0</v>
      </c>
      <c r="AK470" s="642"/>
      <c r="AL470" s="642" t="s">
        <v>364</v>
      </c>
      <c r="AM470" s="642"/>
      <c r="AN470" s="642"/>
      <c r="AO470" s="644">
        <v>1822</v>
      </c>
      <c r="AP470" s="565"/>
      <c r="AQ470" s="566"/>
      <c r="AR470" s="566"/>
      <c r="AS470" s="566"/>
      <c r="AT470" s="566"/>
      <c r="AU470" s="566"/>
      <c r="AV470" s="566"/>
      <c r="AW470" s="566"/>
      <c r="AX470" s="566"/>
      <c r="AY470" s="566"/>
      <c r="AZ470" s="566"/>
      <c r="BA470" s="566"/>
      <c r="BB470" s="566"/>
      <c r="BC470" s="566"/>
      <c r="BD470" s="566"/>
      <c r="BE470" s="566"/>
      <c r="BF470" s="566"/>
      <c r="BG470" s="566"/>
    </row>
    <row r="471" spans="1:59">
      <c r="A471" s="591"/>
      <c r="B471" s="618"/>
      <c r="C471" s="609"/>
      <c r="D471" s="594">
        <v>1</v>
      </c>
      <c r="E471" s="595" t="s">
        <v>374</v>
      </c>
      <c r="F471" s="593" t="s">
        <v>367</v>
      </c>
      <c r="G471" s="610" t="s">
        <v>641</v>
      </c>
      <c r="H471" s="610" t="s">
        <v>726</v>
      </c>
      <c r="I471" s="610"/>
      <c r="J471" s="610"/>
      <c r="K471" s="610"/>
      <c r="L471" s="611" t="s">
        <v>907</v>
      </c>
      <c r="M471" s="612">
        <f t="shared" si="331"/>
        <v>0</v>
      </c>
      <c r="N471" s="613"/>
      <c r="O471" s="614" t="s">
        <v>1036</v>
      </c>
      <c r="P471" s="615">
        <v>40</v>
      </c>
      <c r="Q471" s="616">
        <f t="shared" si="329"/>
        <v>224</v>
      </c>
      <c r="R471" s="613"/>
      <c r="S471" s="603"/>
      <c r="T471" s="606"/>
      <c r="U471" s="606"/>
      <c r="V471" s="593">
        <f t="shared" si="312"/>
        <v>0</v>
      </c>
      <c r="W471" s="606"/>
      <c r="X471" s="606"/>
      <c r="Y471" s="606"/>
      <c r="Z471" s="606"/>
      <c r="AA471" s="606"/>
      <c r="AB471" s="606"/>
      <c r="AC471" s="607"/>
      <c r="AD471" s="606"/>
      <c r="AE471" s="608"/>
      <c r="AF471" s="639">
        <v>560</v>
      </c>
      <c r="AG471" s="639">
        <f t="shared" si="311"/>
        <v>560</v>
      </c>
      <c r="AH471" s="639">
        <f t="shared" si="305"/>
        <v>0</v>
      </c>
      <c r="AI471" s="640"/>
      <c r="AJ471" s="641">
        <f t="shared" si="306"/>
        <v>0</v>
      </c>
      <c r="AK471" s="642"/>
      <c r="AL471" s="642" t="s">
        <v>364</v>
      </c>
      <c r="AM471" s="642"/>
      <c r="AN471" s="642"/>
      <c r="AO471" s="644">
        <v>1823</v>
      </c>
      <c r="AP471" s="565"/>
      <c r="AQ471" s="566"/>
      <c r="AR471" s="566"/>
      <c r="AS471" s="566"/>
      <c r="AT471" s="566"/>
      <c r="AU471" s="566"/>
      <c r="AV471" s="566"/>
      <c r="AW471" s="566"/>
      <c r="AX471" s="566"/>
      <c r="AY471" s="566"/>
      <c r="AZ471" s="566"/>
      <c r="BA471" s="566"/>
      <c r="BB471" s="566"/>
      <c r="BC471" s="566"/>
      <c r="BD471" s="566"/>
      <c r="BE471" s="566"/>
      <c r="BF471" s="566"/>
      <c r="BG471" s="566"/>
    </row>
    <row r="472" spans="1:59">
      <c r="A472" s="591"/>
      <c r="B472" s="592"/>
      <c r="C472" s="593"/>
      <c r="D472" s="594">
        <v>1</v>
      </c>
      <c r="E472" s="595" t="s">
        <v>374</v>
      </c>
      <c r="F472" s="593" t="s">
        <v>367</v>
      </c>
      <c r="G472" s="596" t="s">
        <v>642</v>
      </c>
      <c r="H472" s="596" t="s">
        <v>642</v>
      </c>
      <c r="I472" s="596"/>
      <c r="J472" s="596"/>
      <c r="K472" s="596"/>
      <c r="L472" s="591" t="s">
        <v>908</v>
      </c>
      <c r="M472" s="597" t="str">
        <f t="shared" si="331"/>
        <v>Restaurant, kantine, atrium</v>
      </c>
      <c r="N472" s="591" t="s">
        <v>323</v>
      </c>
      <c r="O472" s="598"/>
      <c r="P472" s="599"/>
      <c r="Q472" s="600">
        <f t="shared" si="329"/>
        <v>0</v>
      </c>
      <c r="R472" s="601">
        <f t="shared" ref="R472:R495" si="332">AF472</f>
        <v>482</v>
      </c>
      <c r="S472" s="648">
        <v>106200</v>
      </c>
      <c r="T472" s="602"/>
      <c r="U472" s="645">
        <v>1</v>
      </c>
      <c r="V472" s="593">
        <f t="shared" si="312"/>
        <v>200</v>
      </c>
      <c r="W472" s="604">
        <f t="shared" ref="W472:W476" si="333">Z472*R472*U472</f>
        <v>0</v>
      </c>
      <c r="X472" s="604">
        <f t="shared" ref="X472:X476" si="334">AA472*R472</f>
        <v>0</v>
      </c>
      <c r="Y472" s="604">
        <f t="shared" ref="Y472:Y476" si="335">AB472*R472</f>
        <v>0</v>
      </c>
      <c r="Z472" s="605">
        <f t="shared" ref="Z472:Z495" si="336">VLOOKUP(S472,Kengetal,6,FALSE)</f>
        <v>0</v>
      </c>
      <c r="AA472" s="751">
        <f t="shared" ref="AA472:AA495" si="337">VLOOKUP(S472,Kengetal,7,FALSE)</f>
        <v>0</v>
      </c>
      <c r="AB472" s="605">
        <f t="shared" ref="AB472:AB495" si="338">VLOOKUP(T472,Kengetal,6,FALSE)</f>
        <v>0</v>
      </c>
      <c r="AC472" s="607"/>
      <c r="AD472" s="591" t="str">
        <f t="shared" ref="AD472:AD495" si="339">AL472</f>
        <v>Friesland College</v>
      </c>
      <c r="AE472" s="608"/>
      <c r="AF472" s="639">
        <v>482</v>
      </c>
      <c r="AG472" s="639">
        <f t="shared" si="311"/>
        <v>482</v>
      </c>
      <c r="AH472" s="639">
        <f t="shared" si="305"/>
        <v>0</v>
      </c>
      <c r="AI472" s="640"/>
      <c r="AJ472" s="641">
        <f t="shared" si="306"/>
        <v>0</v>
      </c>
      <c r="AK472" s="642"/>
      <c r="AL472" s="642" t="s">
        <v>364</v>
      </c>
      <c r="AM472" s="642"/>
      <c r="AN472" s="642"/>
      <c r="AO472" s="644">
        <v>1824</v>
      </c>
      <c r="AP472" s="565"/>
      <c r="AQ472" s="566"/>
      <c r="AR472" s="566"/>
      <c r="AS472" s="566"/>
      <c r="AT472" s="566"/>
      <c r="AU472" s="566"/>
      <c r="AV472" s="566"/>
      <c r="AW472" s="566"/>
      <c r="AX472" s="566"/>
      <c r="AY472" s="566"/>
      <c r="AZ472" s="566"/>
      <c r="BA472" s="566"/>
      <c r="BB472" s="566"/>
      <c r="BC472" s="566"/>
      <c r="BD472" s="566"/>
      <c r="BE472" s="566"/>
      <c r="BF472" s="566"/>
      <c r="BG472" s="566"/>
    </row>
    <row r="473" spans="1:59">
      <c r="A473" s="591"/>
      <c r="B473" s="592"/>
      <c r="C473" s="593"/>
      <c r="D473" s="594">
        <v>1</v>
      </c>
      <c r="E473" s="595" t="s">
        <v>374</v>
      </c>
      <c r="F473" s="593" t="s">
        <v>367</v>
      </c>
      <c r="G473" s="596" t="s">
        <v>642</v>
      </c>
      <c r="H473" s="596" t="s">
        <v>642</v>
      </c>
      <c r="I473" s="596"/>
      <c r="J473" s="596"/>
      <c r="K473" s="596"/>
      <c r="L473" s="591" t="s">
        <v>909</v>
      </c>
      <c r="M473" s="597" t="str">
        <f t="shared" si="331"/>
        <v>Restaurant, kantine, atrium</v>
      </c>
      <c r="N473" s="591" t="s">
        <v>323</v>
      </c>
      <c r="O473" s="598"/>
      <c r="P473" s="599"/>
      <c r="Q473" s="600">
        <f t="shared" si="329"/>
        <v>0</v>
      </c>
      <c r="R473" s="601">
        <f t="shared" si="332"/>
        <v>482</v>
      </c>
      <c r="S473" s="648">
        <v>106200</v>
      </c>
      <c r="T473" s="602"/>
      <c r="U473" s="645">
        <v>1</v>
      </c>
      <c r="V473" s="593">
        <f t="shared" si="312"/>
        <v>200</v>
      </c>
      <c r="W473" s="604">
        <f t="shared" si="333"/>
        <v>0</v>
      </c>
      <c r="X473" s="604">
        <f t="shared" si="334"/>
        <v>0</v>
      </c>
      <c r="Y473" s="604">
        <f t="shared" si="335"/>
        <v>0</v>
      </c>
      <c r="Z473" s="605">
        <f t="shared" si="336"/>
        <v>0</v>
      </c>
      <c r="AA473" s="751">
        <f t="shared" si="337"/>
        <v>0</v>
      </c>
      <c r="AB473" s="605">
        <f t="shared" si="338"/>
        <v>0</v>
      </c>
      <c r="AC473" s="607"/>
      <c r="AD473" s="591" t="str">
        <f t="shared" si="339"/>
        <v>Friesland College</v>
      </c>
      <c r="AE473" s="608"/>
      <c r="AF473" s="639">
        <v>482</v>
      </c>
      <c r="AG473" s="639">
        <f t="shared" si="311"/>
        <v>482</v>
      </c>
      <c r="AH473" s="639">
        <f t="shared" si="305"/>
        <v>0</v>
      </c>
      <c r="AI473" s="640"/>
      <c r="AJ473" s="641">
        <f t="shared" si="306"/>
        <v>0</v>
      </c>
      <c r="AK473" s="642"/>
      <c r="AL473" s="642" t="s">
        <v>364</v>
      </c>
      <c r="AM473" s="642"/>
      <c r="AN473" s="642"/>
      <c r="AO473" s="644">
        <v>1825</v>
      </c>
      <c r="AP473" s="565"/>
      <c r="AQ473" s="566"/>
      <c r="AR473" s="566"/>
      <c r="AS473" s="566"/>
      <c r="AT473" s="566"/>
      <c r="AU473" s="566"/>
      <c r="AV473" s="566"/>
      <c r="AW473" s="566"/>
      <c r="AX473" s="566"/>
      <c r="AY473" s="566"/>
      <c r="AZ473" s="566"/>
      <c r="BA473" s="566"/>
      <c r="BB473" s="566"/>
      <c r="BC473" s="566"/>
      <c r="BD473" s="566"/>
      <c r="BE473" s="566"/>
      <c r="BF473" s="566"/>
      <c r="BG473" s="566"/>
    </row>
    <row r="474" spans="1:59">
      <c r="A474" s="591"/>
      <c r="B474" s="592"/>
      <c r="C474" s="593"/>
      <c r="D474" s="594">
        <v>1</v>
      </c>
      <c r="E474" s="595" t="s">
        <v>374</v>
      </c>
      <c r="F474" s="593" t="s">
        <v>367</v>
      </c>
      <c r="G474" s="596" t="s">
        <v>643</v>
      </c>
      <c r="H474" s="596" t="s">
        <v>643</v>
      </c>
      <c r="I474" s="596"/>
      <c r="J474" s="596"/>
      <c r="K474" s="596"/>
      <c r="L474" s="591" t="s">
        <v>876</v>
      </c>
      <c r="M474" s="597" t="str">
        <f t="shared" si="331"/>
        <v>Niet van toepassing</v>
      </c>
      <c r="N474" s="591" t="s">
        <v>323</v>
      </c>
      <c r="O474" s="598"/>
      <c r="P474" s="599"/>
      <c r="Q474" s="600">
        <f t="shared" si="329"/>
        <v>0</v>
      </c>
      <c r="R474" s="601">
        <f t="shared" si="332"/>
        <v>6</v>
      </c>
      <c r="S474" s="603" t="s">
        <v>28</v>
      </c>
      <c r="T474" s="602"/>
      <c r="U474" s="603"/>
      <c r="V474" s="593">
        <f t="shared" si="312"/>
        <v>0</v>
      </c>
      <c r="W474" s="604">
        <f t="shared" si="333"/>
        <v>0</v>
      </c>
      <c r="X474" s="604">
        <f t="shared" si="334"/>
        <v>0</v>
      </c>
      <c r="Y474" s="604">
        <f t="shared" si="335"/>
        <v>0</v>
      </c>
      <c r="Z474" s="605">
        <f t="shared" si="336"/>
        <v>0</v>
      </c>
      <c r="AA474" s="751">
        <f t="shared" si="337"/>
        <v>0</v>
      </c>
      <c r="AB474" s="605">
        <f t="shared" si="338"/>
        <v>0</v>
      </c>
      <c r="AC474" s="607"/>
      <c r="AD474" s="591" t="str">
        <f t="shared" si="339"/>
        <v>Friesland College</v>
      </c>
      <c r="AE474" s="608"/>
      <c r="AF474" s="639">
        <v>6</v>
      </c>
      <c r="AG474" s="639">
        <f t="shared" si="311"/>
        <v>6</v>
      </c>
      <c r="AH474" s="639">
        <f t="shared" si="305"/>
        <v>0</v>
      </c>
      <c r="AI474" s="640"/>
      <c r="AJ474" s="641">
        <f t="shared" si="306"/>
        <v>0</v>
      </c>
      <c r="AK474" s="642"/>
      <c r="AL474" s="642" t="s">
        <v>364</v>
      </c>
      <c r="AM474" s="642"/>
      <c r="AN474" s="642"/>
      <c r="AO474" s="644">
        <v>1826</v>
      </c>
      <c r="AP474" s="565"/>
      <c r="AQ474" s="566"/>
      <c r="AR474" s="566"/>
      <c r="AS474" s="566"/>
      <c r="AT474" s="566"/>
      <c r="AU474" s="566"/>
      <c r="AV474" s="566"/>
      <c r="AW474" s="566"/>
      <c r="AX474" s="566"/>
      <c r="AY474" s="566"/>
      <c r="AZ474" s="566"/>
      <c r="BA474" s="566"/>
      <c r="BB474" s="566"/>
      <c r="BC474" s="566"/>
      <c r="BD474" s="566"/>
      <c r="BE474" s="566"/>
      <c r="BF474" s="566"/>
      <c r="BG474" s="566"/>
    </row>
    <row r="475" spans="1:59">
      <c r="A475" s="591"/>
      <c r="B475" s="592"/>
      <c r="C475" s="593"/>
      <c r="D475" s="594">
        <v>1</v>
      </c>
      <c r="E475" s="595" t="s">
        <v>374</v>
      </c>
      <c r="F475" s="593" t="s">
        <v>367</v>
      </c>
      <c r="G475" s="596" t="s">
        <v>644</v>
      </c>
      <c r="H475" s="596" t="s">
        <v>644</v>
      </c>
      <c r="I475" s="596"/>
      <c r="J475" s="596"/>
      <c r="K475" s="596"/>
      <c r="L475" s="591" t="s">
        <v>910</v>
      </c>
      <c r="M475" s="597" t="str">
        <f t="shared" si="331"/>
        <v>Op afroep (in overleg)</v>
      </c>
      <c r="N475" s="591" t="s">
        <v>323</v>
      </c>
      <c r="O475" s="598"/>
      <c r="P475" s="599"/>
      <c r="Q475" s="600">
        <f t="shared" si="329"/>
        <v>0</v>
      </c>
      <c r="R475" s="601">
        <f t="shared" si="332"/>
        <v>11</v>
      </c>
      <c r="S475" s="753" t="s">
        <v>959</v>
      </c>
      <c r="T475" s="602"/>
      <c r="U475" s="603"/>
      <c r="V475" s="593">
        <f t="shared" si="312"/>
        <v>0</v>
      </c>
      <c r="W475" s="604">
        <f t="shared" si="333"/>
        <v>0</v>
      </c>
      <c r="X475" s="604">
        <f t="shared" si="334"/>
        <v>0</v>
      </c>
      <c r="Y475" s="604">
        <f t="shared" si="335"/>
        <v>0</v>
      </c>
      <c r="Z475" s="605">
        <f t="shared" si="336"/>
        <v>0</v>
      </c>
      <c r="AA475" s="751">
        <f t="shared" si="337"/>
        <v>0</v>
      </c>
      <c r="AB475" s="605">
        <f t="shared" si="338"/>
        <v>0</v>
      </c>
      <c r="AC475" s="607"/>
      <c r="AD475" s="591" t="str">
        <f t="shared" si="339"/>
        <v>Friesland College</v>
      </c>
      <c r="AE475" s="608"/>
      <c r="AF475" s="639">
        <v>11</v>
      </c>
      <c r="AG475" s="639">
        <f t="shared" si="311"/>
        <v>11</v>
      </c>
      <c r="AH475" s="639">
        <f t="shared" si="305"/>
        <v>0</v>
      </c>
      <c r="AI475" s="640"/>
      <c r="AJ475" s="641">
        <f t="shared" si="306"/>
        <v>0</v>
      </c>
      <c r="AK475" s="642"/>
      <c r="AL475" s="642" t="s">
        <v>364</v>
      </c>
      <c r="AM475" s="642"/>
      <c r="AN475" s="642"/>
      <c r="AO475" s="644">
        <v>1827</v>
      </c>
      <c r="AP475" s="565"/>
      <c r="AQ475" s="566"/>
      <c r="AR475" s="566"/>
      <c r="AS475" s="566"/>
      <c r="AT475" s="566"/>
      <c r="AU475" s="566"/>
      <c r="AV475" s="566"/>
      <c r="AW475" s="566"/>
      <c r="AX475" s="566"/>
      <c r="AY475" s="566"/>
      <c r="AZ475" s="566"/>
      <c r="BA475" s="566"/>
      <c r="BB475" s="566"/>
      <c r="BC475" s="566"/>
      <c r="BD475" s="566"/>
      <c r="BE475" s="566"/>
      <c r="BF475" s="566"/>
      <c r="BG475" s="566"/>
    </row>
    <row r="476" spans="1:59">
      <c r="A476" s="591"/>
      <c r="B476" s="592"/>
      <c r="C476" s="593"/>
      <c r="D476" s="594">
        <v>1</v>
      </c>
      <c r="E476" s="595" t="s">
        <v>374</v>
      </c>
      <c r="F476" s="593" t="s">
        <v>367</v>
      </c>
      <c r="G476" s="596" t="s">
        <v>645</v>
      </c>
      <c r="H476" s="596" t="s">
        <v>645</v>
      </c>
      <c r="I476" s="596"/>
      <c r="J476" s="596"/>
      <c r="K476" s="596"/>
      <c r="L476" s="591" t="s">
        <v>334</v>
      </c>
      <c r="M476" s="597" t="str">
        <f t="shared" si="331"/>
        <v>Keuken, spoelkeuken</v>
      </c>
      <c r="N476" s="591" t="s">
        <v>323</v>
      </c>
      <c r="O476" s="598"/>
      <c r="P476" s="599"/>
      <c r="Q476" s="600">
        <f t="shared" si="329"/>
        <v>0</v>
      </c>
      <c r="R476" s="601">
        <f t="shared" si="332"/>
        <v>34</v>
      </c>
      <c r="S476" s="647">
        <v>105200</v>
      </c>
      <c r="T476" s="602"/>
      <c r="U476" s="645">
        <v>1</v>
      </c>
      <c r="V476" s="593">
        <f t="shared" si="312"/>
        <v>200</v>
      </c>
      <c r="W476" s="604">
        <f t="shared" si="333"/>
        <v>0</v>
      </c>
      <c r="X476" s="604">
        <f t="shared" si="334"/>
        <v>0</v>
      </c>
      <c r="Y476" s="604">
        <f t="shared" si="335"/>
        <v>0</v>
      </c>
      <c r="Z476" s="605">
        <f t="shared" si="336"/>
        <v>0</v>
      </c>
      <c r="AA476" s="751">
        <f t="shared" si="337"/>
        <v>0</v>
      </c>
      <c r="AB476" s="605">
        <f t="shared" si="338"/>
        <v>0</v>
      </c>
      <c r="AC476" s="607"/>
      <c r="AD476" s="591" t="str">
        <f t="shared" si="339"/>
        <v>Friesland College</v>
      </c>
      <c r="AE476" s="608"/>
      <c r="AF476" s="639">
        <v>34</v>
      </c>
      <c r="AG476" s="639">
        <f t="shared" si="311"/>
        <v>34</v>
      </c>
      <c r="AH476" s="639">
        <f t="shared" si="305"/>
        <v>0</v>
      </c>
      <c r="AI476" s="640"/>
      <c r="AJ476" s="641">
        <f t="shared" si="306"/>
        <v>0</v>
      </c>
      <c r="AK476" s="642"/>
      <c r="AL476" s="642" t="s">
        <v>364</v>
      </c>
      <c r="AM476" s="642"/>
      <c r="AN476" s="642"/>
      <c r="AO476" s="644">
        <v>1828</v>
      </c>
      <c r="AP476" s="565"/>
      <c r="AQ476" s="566"/>
      <c r="AR476" s="566"/>
      <c r="AS476" s="566"/>
      <c r="AT476" s="566"/>
      <c r="AU476" s="566"/>
      <c r="AV476" s="566"/>
      <c r="AW476" s="566"/>
      <c r="AX476" s="566"/>
      <c r="AY476" s="566"/>
      <c r="AZ476" s="566"/>
      <c r="BA476" s="566"/>
      <c r="BB476" s="566"/>
      <c r="BC476" s="566"/>
      <c r="BD476" s="566"/>
      <c r="BE476" s="566"/>
      <c r="BF476" s="566"/>
      <c r="BG476" s="566"/>
    </row>
    <row r="477" spans="1:59">
      <c r="A477" s="591"/>
      <c r="B477" s="592"/>
      <c r="C477" s="593"/>
      <c r="D477" s="594">
        <v>1</v>
      </c>
      <c r="E477" s="595" t="s">
        <v>374</v>
      </c>
      <c r="F477" s="593" t="s">
        <v>367</v>
      </c>
      <c r="G477" s="596" t="s">
        <v>646</v>
      </c>
      <c r="H477" s="596" t="s">
        <v>646</v>
      </c>
      <c r="I477" s="596"/>
      <c r="J477" s="596"/>
      <c r="K477" s="596"/>
      <c r="L477" s="754" t="s">
        <v>875</v>
      </c>
      <c r="M477" s="629" t="s">
        <v>883</v>
      </c>
      <c r="N477" s="591" t="s">
        <v>1238</v>
      </c>
      <c r="O477" s="621"/>
      <c r="P477" s="622"/>
      <c r="Q477" s="600"/>
      <c r="R477" s="601">
        <v>0.5</v>
      </c>
      <c r="S477" s="603" t="s">
        <v>1236</v>
      </c>
      <c r="T477" s="602"/>
      <c r="U477" s="603"/>
      <c r="V477" s="593">
        <f t="shared" si="312"/>
        <v>2</v>
      </c>
      <c r="W477" s="604">
        <f t="shared" ref="W477" si="340">Z477*R477</f>
        <v>0</v>
      </c>
      <c r="X477" s="604">
        <f t="shared" ref="X477:X495" si="341">AA477*R477</f>
        <v>0</v>
      </c>
      <c r="Y477" s="604">
        <f t="shared" ref="Y477:Y495" si="342">AB477*R477</f>
        <v>0</v>
      </c>
      <c r="Z477" s="605">
        <f t="shared" si="336"/>
        <v>0</v>
      </c>
      <c r="AA477" s="751">
        <f t="shared" si="337"/>
        <v>0</v>
      </c>
      <c r="AB477" s="605">
        <f t="shared" si="338"/>
        <v>0</v>
      </c>
      <c r="AC477" s="607"/>
      <c r="AD477" s="591" t="str">
        <f t="shared" si="339"/>
        <v>Friesland College</v>
      </c>
      <c r="AE477" s="608"/>
      <c r="AF477" s="639"/>
      <c r="AG477" s="639">
        <f t="shared" si="311"/>
        <v>0</v>
      </c>
      <c r="AH477" s="639">
        <f t="shared" si="305"/>
        <v>0</v>
      </c>
      <c r="AI477" s="640"/>
      <c r="AJ477" s="641">
        <f t="shared" si="306"/>
        <v>0</v>
      </c>
      <c r="AK477" s="642"/>
      <c r="AL477" s="642" t="s">
        <v>364</v>
      </c>
      <c r="AM477" s="642"/>
      <c r="AN477" s="642"/>
      <c r="AO477" s="644">
        <v>1829</v>
      </c>
      <c r="AP477" s="565"/>
      <c r="AQ477" s="566"/>
      <c r="AR477" s="566"/>
      <c r="AS477" s="566"/>
      <c r="AT477" s="566"/>
      <c r="AU477" s="566"/>
      <c r="AV477" s="566"/>
      <c r="AW477" s="566"/>
      <c r="AX477" s="566"/>
      <c r="AY477" s="566"/>
      <c r="AZ477" s="566"/>
      <c r="BA477" s="566"/>
      <c r="BB477" s="566"/>
      <c r="BC477" s="566"/>
      <c r="BD477" s="566"/>
      <c r="BE477" s="566"/>
      <c r="BF477" s="566"/>
      <c r="BG477" s="566"/>
    </row>
    <row r="478" spans="1:59">
      <c r="A478" s="591"/>
      <c r="B478" s="592"/>
      <c r="C478" s="593"/>
      <c r="D478" s="594">
        <v>1</v>
      </c>
      <c r="E478" s="595" t="s">
        <v>374</v>
      </c>
      <c r="F478" s="593" t="s">
        <v>367</v>
      </c>
      <c r="G478" s="596" t="s">
        <v>647</v>
      </c>
      <c r="H478" s="596" t="s">
        <v>647</v>
      </c>
      <c r="I478" s="596"/>
      <c r="J478" s="596"/>
      <c r="K478" s="596"/>
      <c r="L478" s="591" t="s">
        <v>911</v>
      </c>
      <c r="M478" s="597" t="str">
        <f t="shared" ref="M478" si="343">VLOOKUP(S478,Kengetal,4,FALSE)</f>
        <v>Keuken, spoelkeuken</v>
      </c>
      <c r="N478" s="591" t="s">
        <v>323</v>
      </c>
      <c r="O478" s="621"/>
      <c r="P478" s="622"/>
      <c r="Q478" s="600">
        <f t="shared" si="329"/>
        <v>0</v>
      </c>
      <c r="R478" s="601">
        <f t="shared" si="332"/>
        <v>13</v>
      </c>
      <c r="S478" s="647">
        <v>105200</v>
      </c>
      <c r="T478" s="602"/>
      <c r="U478" s="645">
        <v>1</v>
      </c>
      <c r="V478" s="593">
        <f t="shared" si="312"/>
        <v>200</v>
      </c>
      <c r="W478" s="604">
        <f t="shared" ref="W478:W495" si="344">Z478*R478*U478</f>
        <v>0</v>
      </c>
      <c r="X478" s="604">
        <f t="shared" si="341"/>
        <v>0</v>
      </c>
      <c r="Y478" s="604">
        <f t="shared" si="342"/>
        <v>0</v>
      </c>
      <c r="Z478" s="605">
        <f t="shared" si="336"/>
        <v>0</v>
      </c>
      <c r="AA478" s="751">
        <f t="shared" si="337"/>
        <v>0</v>
      </c>
      <c r="AB478" s="605">
        <f t="shared" si="338"/>
        <v>0</v>
      </c>
      <c r="AC478" s="607"/>
      <c r="AD478" s="591" t="str">
        <f t="shared" si="339"/>
        <v>Friesland College</v>
      </c>
      <c r="AE478" s="608"/>
      <c r="AF478" s="639">
        <v>13</v>
      </c>
      <c r="AG478" s="639">
        <f t="shared" si="311"/>
        <v>13</v>
      </c>
      <c r="AH478" s="639">
        <f t="shared" si="305"/>
        <v>0</v>
      </c>
      <c r="AI478" s="640"/>
      <c r="AJ478" s="641">
        <f t="shared" si="306"/>
        <v>0</v>
      </c>
      <c r="AK478" s="642"/>
      <c r="AL478" s="642" t="s">
        <v>364</v>
      </c>
      <c r="AM478" s="642"/>
      <c r="AN478" s="642"/>
      <c r="AO478" s="644">
        <v>1830</v>
      </c>
      <c r="AP478" s="565"/>
      <c r="AQ478" s="566"/>
      <c r="AR478" s="566"/>
      <c r="AS478" s="566"/>
      <c r="AT478" s="566"/>
      <c r="AU478" s="566"/>
      <c r="AV478" s="566"/>
      <c r="AW478" s="566"/>
      <c r="AX478" s="566"/>
      <c r="AY478" s="566"/>
      <c r="AZ478" s="566"/>
      <c r="BA478" s="566"/>
      <c r="BB478" s="566"/>
      <c r="BC478" s="566"/>
      <c r="BD478" s="566"/>
      <c r="BE478" s="566"/>
      <c r="BF478" s="566"/>
      <c r="BG478" s="566"/>
    </row>
    <row r="479" spans="1:59">
      <c r="A479" s="591"/>
      <c r="B479" s="592"/>
      <c r="C479" s="593"/>
      <c r="D479" s="594">
        <v>1</v>
      </c>
      <c r="E479" s="595" t="s">
        <v>374</v>
      </c>
      <c r="F479" s="593" t="s">
        <v>367</v>
      </c>
      <c r="G479" s="596" t="s">
        <v>648</v>
      </c>
      <c r="H479" s="596" t="s">
        <v>648</v>
      </c>
      <c r="I479" s="596"/>
      <c r="J479" s="596"/>
      <c r="K479" s="596"/>
      <c r="L479" s="591" t="s">
        <v>765</v>
      </c>
      <c r="M479" s="597" t="str">
        <f t="shared" ref="M479:M511" si="345">VLOOKUP(S479,Kengetal,4,FALSE)</f>
        <v>Lift</v>
      </c>
      <c r="N479" s="591" t="s">
        <v>322</v>
      </c>
      <c r="O479" s="621"/>
      <c r="P479" s="622"/>
      <c r="Q479" s="600">
        <f t="shared" si="329"/>
        <v>0</v>
      </c>
      <c r="R479" s="601">
        <f t="shared" si="332"/>
        <v>4</v>
      </c>
      <c r="S479" s="647">
        <v>109200</v>
      </c>
      <c r="T479" s="602"/>
      <c r="U479" s="645">
        <v>1</v>
      </c>
      <c r="V479" s="593">
        <f t="shared" si="312"/>
        <v>200</v>
      </c>
      <c r="W479" s="604">
        <f t="shared" si="344"/>
        <v>0</v>
      </c>
      <c r="X479" s="604">
        <f t="shared" si="341"/>
        <v>0</v>
      </c>
      <c r="Y479" s="604">
        <f t="shared" si="342"/>
        <v>0</v>
      </c>
      <c r="Z479" s="605">
        <f t="shared" si="336"/>
        <v>0</v>
      </c>
      <c r="AA479" s="751">
        <f t="shared" si="337"/>
        <v>0</v>
      </c>
      <c r="AB479" s="605">
        <f t="shared" si="338"/>
        <v>0</v>
      </c>
      <c r="AC479" s="607"/>
      <c r="AD479" s="591" t="str">
        <f t="shared" si="339"/>
        <v>Friesland College</v>
      </c>
      <c r="AE479" s="608"/>
      <c r="AF479" s="639">
        <v>4</v>
      </c>
      <c r="AG479" s="639">
        <f t="shared" si="311"/>
        <v>4</v>
      </c>
      <c r="AH479" s="639">
        <f t="shared" si="305"/>
        <v>0</v>
      </c>
      <c r="AI479" s="640"/>
      <c r="AJ479" s="641">
        <f t="shared" si="306"/>
        <v>0</v>
      </c>
      <c r="AK479" s="642"/>
      <c r="AL479" s="642" t="s">
        <v>364</v>
      </c>
      <c r="AM479" s="642"/>
      <c r="AN479" s="642"/>
      <c r="AO479" s="644">
        <v>1831</v>
      </c>
      <c r="AP479" s="565"/>
      <c r="AQ479" s="566"/>
      <c r="AR479" s="566"/>
      <c r="AS479" s="566"/>
      <c r="AT479" s="566"/>
      <c r="AU479" s="566"/>
      <c r="AV479" s="566"/>
      <c r="AW479" s="566"/>
      <c r="AX479" s="566"/>
      <c r="AY479" s="566"/>
      <c r="AZ479" s="566"/>
      <c r="BA479" s="566"/>
      <c r="BB479" s="566"/>
      <c r="BC479" s="566"/>
      <c r="BD479" s="566"/>
      <c r="BE479" s="566"/>
      <c r="BF479" s="566"/>
      <c r="BG479" s="566"/>
    </row>
    <row r="480" spans="1:59">
      <c r="A480" s="591"/>
      <c r="B480" s="592"/>
      <c r="C480" s="593"/>
      <c r="D480" s="594">
        <v>1</v>
      </c>
      <c r="E480" s="595" t="s">
        <v>374</v>
      </c>
      <c r="F480" s="593" t="s">
        <v>367</v>
      </c>
      <c r="G480" s="596" t="s">
        <v>727</v>
      </c>
      <c r="H480" s="596" t="s">
        <v>727</v>
      </c>
      <c r="I480" s="596"/>
      <c r="J480" s="596"/>
      <c r="K480" s="596"/>
      <c r="L480" s="591" t="s">
        <v>912</v>
      </c>
      <c r="M480" s="597" t="str">
        <f t="shared" si="345"/>
        <v>Niet van toepassing</v>
      </c>
      <c r="N480" s="591" t="s">
        <v>322</v>
      </c>
      <c r="O480" s="621"/>
      <c r="P480" s="622"/>
      <c r="Q480" s="600">
        <f t="shared" si="329"/>
        <v>0</v>
      </c>
      <c r="R480" s="601">
        <f t="shared" si="332"/>
        <v>3</v>
      </c>
      <c r="S480" s="603" t="s">
        <v>28</v>
      </c>
      <c r="T480" s="602"/>
      <c r="U480" s="603"/>
      <c r="V480" s="593">
        <f t="shared" si="312"/>
        <v>0</v>
      </c>
      <c r="W480" s="604">
        <f t="shared" si="344"/>
        <v>0</v>
      </c>
      <c r="X480" s="604">
        <f t="shared" si="341"/>
        <v>0</v>
      </c>
      <c r="Y480" s="604">
        <f t="shared" si="342"/>
        <v>0</v>
      </c>
      <c r="Z480" s="605">
        <f t="shared" si="336"/>
        <v>0</v>
      </c>
      <c r="AA480" s="751">
        <f t="shared" si="337"/>
        <v>0</v>
      </c>
      <c r="AB480" s="605">
        <f t="shared" si="338"/>
        <v>0</v>
      </c>
      <c r="AC480" s="607"/>
      <c r="AD480" s="591" t="str">
        <f t="shared" si="339"/>
        <v>Friesland College</v>
      </c>
      <c r="AE480" s="608"/>
      <c r="AF480" s="639">
        <v>3</v>
      </c>
      <c r="AG480" s="639">
        <f t="shared" si="311"/>
        <v>3</v>
      </c>
      <c r="AH480" s="639">
        <f t="shared" si="305"/>
        <v>0</v>
      </c>
      <c r="AI480" s="640"/>
      <c r="AJ480" s="641">
        <f t="shared" si="306"/>
        <v>0</v>
      </c>
      <c r="AK480" s="642"/>
      <c r="AL480" s="642" t="s">
        <v>364</v>
      </c>
      <c r="AM480" s="642"/>
      <c r="AN480" s="642"/>
      <c r="AO480" s="644">
        <v>1832</v>
      </c>
      <c r="AP480" s="565"/>
      <c r="AQ480" s="566"/>
      <c r="AR480" s="566"/>
      <c r="AS480" s="566"/>
      <c r="AT480" s="566"/>
      <c r="AU480" s="566"/>
      <c r="AV480" s="566"/>
      <c r="AW480" s="566"/>
      <c r="AX480" s="566"/>
      <c r="AY480" s="566"/>
      <c r="AZ480" s="566"/>
      <c r="BA480" s="566"/>
      <c r="BB480" s="566"/>
      <c r="BC480" s="566"/>
      <c r="BD480" s="566"/>
      <c r="BE480" s="566"/>
      <c r="BF480" s="566"/>
      <c r="BG480" s="566"/>
    </row>
    <row r="481" spans="1:59">
      <c r="A481" s="591"/>
      <c r="B481" s="592"/>
      <c r="C481" s="593"/>
      <c r="D481" s="594">
        <v>1</v>
      </c>
      <c r="E481" s="595" t="s">
        <v>374</v>
      </c>
      <c r="F481" s="593" t="s">
        <v>367</v>
      </c>
      <c r="G481" s="596" t="s">
        <v>649</v>
      </c>
      <c r="H481" s="596" t="s">
        <v>649</v>
      </c>
      <c r="I481" s="596"/>
      <c r="J481" s="596"/>
      <c r="K481" s="596"/>
      <c r="L481" s="591" t="s">
        <v>913</v>
      </c>
      <c r="M481" s="597" t="str">
        <f t="shared" si="345"/>
        <v>Op afroep (in overleg)</v>
      </c>
      <c r="N481" s="591" t="s">
        <v>323</v>
      </c>
      <c r="O481" s="621"/>
      <c r="P481" s="622"/>
      <c r="Q481" s="600">
        <f t="shared" si="329"/>
        <v>0</v>
      </c>
      <c r="R481" s="601">
        <f t="shared" si="332"/>
        <v>19</v>
      </c>
      <c r="S481" s="603" t="s">
        <v>959</v>
      </c>
      <c r="T481" s="602"/>
      <c r="U481" s="603"/>
      <c r="V481" s="593">
        <f t="shared" si="312"/>
        <v>0</v>
      </c>
      <c r="W481" s="604">
        <f t="shared" si="344"/>
        <v>0</v>
      </c>
      <c r="X481" s="604">
        <f t="shared" si="341"/>
        <v>0</v>
      </c>
      <c r="Y481" s="604">
        <f t="shared" si="342"/>
        <v>0</v>
      </c>
      <c r="Z481" s="605">
        <f t="shared" si="336"/>
        <v>0</v>
      </c>
      <c r="AA481" s="751">
        <f t="shared" si="337"/>
        <v>0</v>
      </c>
      <c r="AB481" s="605">
        <f t="shared" si="338"/>
        <v>0</v>
      </c>
      <c r="AC481" s="607"/>
      <c r="AD481" s="591" t="str">
        <f t="shared" si="339"/>
        <v>Friesland College</v>
      </c>
      <c r="AE481" s="608"/>
      <c r="AF481" s="639">
        <v>19</v>
      </c>
      <c r="AG481" s="639">
        <f t="shared" si="311"/>
        <v>19</v>
      </c>
      <c r="AH481" s="639">
        <f t="shared" ref="AH481:AH544" si="346">IF(B481=0,0,MONTH(B481))</f>
        <v>0</v>
      </c>
      <c r="AI481" s="640"/>
      <c r="AJ481" s="641">
        <f t="shared" ref="AJ481:AJ544" si="347">W481+X481</f>
        <v>0</v>
      </c>
      <c r="AK481" s="642"/>
      <c r="AL481" s="642" t="s">
        <v>364</v>
      </c>
      <c r="AM481" s="642"/>
      <c r="AN481" s="642"/>
      <c r="AO481" s="644">
        <v>1833</v>
      </c>
      <c r="AP481" s="565"/>
      <c r="AQ481" s="566"/>
      <c r="AR481" s="566"/>
      <c r="AS481" s="566"/>
      <c r="AT481" s="566"/>
      <c r="AU481" s="566"/>
      <c r="AV481" s="566"/>
      <c r="AW481" s="566"/>
      <c r="AX481" s="566"/>
      <c r="AY481" s="566"/>
      <c r="AZ481" s="566"/>
      <c r="BA481" s="566"/>
      <c r="BB481" s="566"/>
      <c r="BC481" s="566"/>
      <c r="BD481" s="566"/>
      <c r="BE481" s="566"/>
      <c r="BF481" s="566"/>
      <c r="BG481" s="566"/>
    </row>
    <row r="482" spans="1:59">
      <c r="A482" s="591"/>
      <c r="B482" s="592"/>
      <c r="C482" s="593"/>
      <c r="D482" s="594">
        <v>1</v>
      </c>
      <c r="E482" s="595" t="s">
        <v>374</v>
      </c>
      <c r="F482" s="593" t="s">
        <v>367</v>
      </c>
      <c r="G482" s="596" t="s">
        <v>650</v>
      </c>
      <c r="H482" s="596" t="s">
        <v>650</v>
      </c>
      <c r="I482" s="596"/>
      <c r="J482" s="596"/>
      <c r="K482" s="596"/>
      <c r="L482" s="591" t="s">
        <v>879</v>
      </c>
      <c r="M482" s="597" t="str">
        <f t="shared" si="345"/>
        <v>Niet van toepassing</v>
      </c>
      <c r="N482" s="591" t="s">
        <v>323</v>
      </c>
      <c r="O482" s="621"/>
      <c r="P482" s="622"/>
      <c r="Q482" s="600">
        <f t="shared" si="329"/>
        <v>0</v>
      </c>
      <c r="R482" s="601">
        <f t="shared" si="332"/>
        <v>7</v>
      </c>
      <c r="S482" s="603" t="s">
        <v>28</v>
      </c>
      <c r="T482" s="602"/>
      <c r="U482" s="603"/>
      <c r="V482" s="593">
        <f t="shared" si="312"/>
        <v>0</v>
      </c>
      <c r="W482" s="604">
        <f t="shared" si="344"/>
        <v>0</v>
      </c>
      <c r="X482" s="604">
        <f t="shared" si="341"/>
        <v>0</v>
      </c>
      <c r="Y482" s="604">
        <f t="shared" si="342"/>
        <v>0</v>
      </c>
      <c r="Z482" s="605">
        <f t="shared" si="336"/>
        <v>0</v>
      </c>
      <c r="AA482" s="751">
        <f t="shared" si="337"/>
        <v>0</v>
      </c>
      <c r="AB482" s="605">
        <f t="shared" si="338"/>
        <v>0</v>
      </c>
      <c r="AC482" s="607"/>
      <c r="AD482" s="591" t="str">
        <f t="shared" si="339"/>
        <v>Friesland College</v>
      </c>
      <c r="AE482" s="608"/>
      <c r="AF482" s="639">
        <v>7</v>
      </c>
      <c r="AG482" s="639">
        <f t="shared" si="311"/>
        <v>7</v>
      </c>
      <c r="AH482" s="639">
        <f t="shared" si="346"/>
        <v>0</v>
      </c>
      <c r="AI482" s="640"/>
      <c r="AJ482" s="641">
        <f t="shared" si="347"/>
        <v>0</v>
      </c>
      <c r="AK482" s="642"/>
      <c r="AL482" s="642" t="s">
        <v>364</v>
      </c>
      <c r="AM482" s="642"/>
      <c r="AN482" s="642"/>
      <c r="AO482" s="644">
        <v>1834</v>
      </c>
      <c r="AP482" s="565"/>
      <c r="AQ482" s="566"/>
      <c r="AR482" s="566"/>
      <c r="AS482" s="566"/>
      <c r="AT482" s="566"/>
      <c r="AU482" s="566"/>
      <c r="AV482" s="566"/>
      <c r="AW482" s="566"/>
      <c r="AX482" s="566"/>
      <c r="AY482" s="566"/>
      <c r="AZ482" s="566"/>
      <c r="BA482" s="566"/>
      <c r="BB482" s="566"/>
      <c r="BC482" s="566"/>
      <c r="BD482" s="566"/>
      <c r="BE482" s="566"/>
      <c r="BF482" s="566"/>
      <c r="BG482" s="566"/>
    </row>
    <row r="483" spans="1:59">
      <c r="A483" s="591"/>
      <c r="B483" s="592"/>
      <c r="C483" s="593"/>
      <c r="D483" s="594">
        <v>1</v>
      </c>
      <c r="E483" s="595" t="s">
        <v>374</v>
      </c>
      <c r="F483" s="593" t="s">
        <v>367</v>
      </c>
      <c r="G483" s="596" t="s">
        <v>651</v>
      </c>
      <c r="H483" s="596" t="s">
        <v>651</v>
      </c>
      <c r="I483" s="596"/>
      <c r="J483" s="596"/>
      <c r="K483" s="596"/>
      <c r="L483" s="591" t="s">
        <v>914</v>
      </c>
      <c r="M483" s="597" t="str">
        <f t="shared" si="345"/>
        <v>Sanitaire ruimte (toilet-/doucheruimte)</v>
      </c>
      <c r="N483" s="591" t="s">
        <v>323</v>
      </c>
      <c r="O483" s="621"/>
      <c r="P483" s="622"/>
      <c r="Q483" s="600">
        <f t="shared" si="329"/>
        <v>0</v>
      </c>
      <c r="R483" s="601">
        <f t="shared" si="332"/>
        <v>7</v>
      </c>
      <c r="S483" s="647">
        <v>103200</v>
      </c>
      <c r="T483" s="647">
        <v>103400</v>
      </c>
      <c r="U483" s="645">
        <v>1</v>
      </c>
      <c r="V483" s="593">
        <f t="shared" si="312"/>
        <v>400</v>
      </c>
      <c r="W483" s="604">
        <f t="shared" si="344"/>
        <v>0</v>
      </c>
      <c r="X483" s="604">
        <f t="shared" si="341"/>
        <v>0</v>
      </c>
      <c r="Y483" s="604">
        <f t="shared" si="342"/>
        <v>0</v>
      </c>
      <c r="Z483" s="605">
        <f t="shared" si="336"/>
        <v>0</v>
      </c>
      <c r="AA483" s="751">
        <f t="shared" si="337"/>
        <v>0</v>
      </c>
      <c r="AB483" s="605">
        <f t="shared" si="338"/>
        <v>0</v>
      </c>
      <c r="AC483" s="607"/>
      <c r="AD483" s="591" t="str">
        <f t="shared" si="339"/>
        <v>Friesland College</v>
      </c>
      <c r="AE483" s="608"/>
      <c r="AF483" s="639">
        <v>7</v>
      </c>
      <c r="AG483" s="639">
        <f t="shared" si="311"/>
        <v>7</v>
      </c>
      <c r="AH483" s="639">
        <f t="shared" si="346"/>
        <v>0</v>
      </c>
      <c r="AI483" s="640"/>
      <c r="AJ483" s="641">
        <f t="shared" si="347"/>
        <v>0</v>
      </c>
      <c r="AK483" s="642"/>
      <c r="AL483" s="642" t="s">
        <v>364</v>
      </c>
      <c r="AM483" s="642"/>
      <c r="AN483" s="642"/>
      <c r="AO483" s="644">
        <v>1835</v>
      </c>
      <c r="AP483" s="565"/>
      <c r="AQ483" s="566"/>
      <c r="AR483" s="566"/>
      <c r="AS483" s="566"/>
      <c r="AT483" s="566"/>
      <c r="AU483" s="566"/>
      <c r="AV483" s="566"/>
      <c r="AW483" s="566"/>
      <c r="AX483" s="566"/>
      <c r="AY483" s="566"/>
      <c r="AZ483" s="566"/>
      <c r="BA483" s="566"/>
      <c r="BB483" s="566"/>
      <c r="BC483" s="566"/>
      <c r="BD483" s="566"/>
      <c r="BE483" s="566"/>
      <c r="BF483" s="566"/>
      <c r="BG483" s="566"/>
    </row>
    <row r="484" spans="1:59">
      <c r="A484" s="591"/>
      <c r="B484" s="592"/>
      <c r="C484" s="593"/>
      <c r="D484" s="594">
        <v>1</v>
      </c>
      <c r="E484" s="595" t="s">
        <v>374</v>
      </c>
      <c r="F484" s="593" t="s">
        <v>367</v>
      </c>
      <c r="G484" s="596" t="s">
        <v>652</v>
      </c>
      <c r="H484" s="596" t="s">
        <v>652</v>
      </c>
      <c r="I484" s="596"/>
      <c r="J484" s="596"/>
      <c r="K484" s="596"/>
      <c r="L484" s="591" t="s">
        <v>877</v>
      </c>
      <c r="M484" s="597" t="str">
        <f t="shared" si="345"/>
        <v>Sanitaire ruimte (toilet-/doucheruimte)</v>
      </c>
      <c r="N484" s="591" t="s">
        <v>323</v>
      </c>
      <c r="O484" s="621"/>
      <c r="P484" s="622"/>
      <c r="Q484" s="600">
        <f t="shared" si="329"/>
        <v>0</v>
      </c>
      <c r="R484" s="601">
        <f t="shared" si="332"/>
        <v>6</v>
      </c>
      <c r="S484" s="647">
        <v>103200</v>
      </c>
      <c r="T484" s="647">
        <v>103400</v>
      </c>
      <c r="U484" s="645">
        <v>1</v>
      </c>
      <c r="V484" s="593">
        <f t="shared" si="312"/>
        <v>400</v>
      </c>
      <c r="W484" s="604">
        <f t="shared" si="344"/>
        <v>0</v>
      </c>
      <c r="X484" s="604">
        <f t="shared" si="341"/>
        <v>0</v>
      </c>
      <c r="Y484" s="604">
        <f t="shared" si="342"/>
        <v>0</v>
      </c>
      <c r="Z484" s="605">
        <f t="shared" si="336"/>
        <v>0</v>
      </c>
      <c r="AA484" s="751">
        <f t="shared" si="337"/>
        <v>0</v>
      </c>
      <c r="AB484" s="605">
        <f t="shared" si="338"/>
        <v>0</v>
      </c>
      <c r="AC484" s="607"/>
      <c r="AD484" s="591" t="str">
        <f t="shared" si="339"/>
        <v>Friesland College</v>
      </c>
      <c r="AE484" s="608"/>
      <c r="AF484" s="639">
        <v>6</v>
      </c>
      <c r="AG484" s="639">
        <f t="shared" si="311"/>
        <v>6</v>
      </c>
      <c r="AH484" s="639">
        <f t="shared" si="346"/>
        <v>0</v>
      </c>
      <c r="AI484" s="640"/>
      <c r="AJ484" s="641">
        <f t="shared" si="347"/>
        <v>0</v>
      </c>
      <c r="AK484" s="642"/>
      <c r="AL484" s="642" t="s">
        <v>364</v>
      </c>
      <c r="AM484" s="642"/>
      <c r="AN484" s="642"/>
      <c r="AO484" s="644">
        <v>1836</v>
      </c>
      <c r="AP484" s="565"/>
      <c r="AQ484" s="566"/>
      <c r="AR484" s="566"/>
      <c r="AS484" s="566"/>
      <c r="AT484" s="566"/>
      <c r="AU484" s="566"/>
      <c r="AV484" s="566"/>
      <c r="AW484" s="566"/>
      <c r="AX484" s="566"/>
      <c r="AY484" s="566"/>
      <c r="AZ484" s="566"/>
      <c r="BA484" s="566"/>
      <c r="BB484" s="566"/>
      <c r="BC484" s="566"/>
      <c r="BD484" s="566"/>
      <c r="BE484" s="566"/>
      <c r="BF484" s="566"/>
      <c r="BG484" s="566"/>
    </row>
    <row r="485" spans="1:59">
      <c r="A485" s="591"/>
      <c r="B485" s="592"/>
      <c r="C485" s="593"/>
      <c r="D485" s="594">
        <v>1</v>
      </c>
      <c r="E485" s="595" t="s">
        <v>374</v>
      </c>
      <c r="F485" s="593" t="s">
        <v>367</v>
      </c>
      <c r="G485" s="596" t="s">
        <v>653</v>
      </c>
      <c r="H485" s="596" t="s">
        <v>653</v>
      </c>
      <c r="I485" s="596"/>
      <c r="J485" s="596"/>
      <c r="K485" s="596"/>
      <c r="L485" s="591" t="s">
        <v>878</v>
      </c>
      <c r="M485" s="597" t="str">
        <f t="shared" si="345"/>
        <v>Sanitaire ruimte (toilet-/doucheruimte)</v>
      </c>
      <c r="N485" s="591" t="s">
        <v>323</v>
      </c>
      <c r="O485" s="621"/>
      <c r="P485" s="622"/>
      <c r="Q485" s="600">
        <f t="shared" si="329"/>
        <v>0</v>
      </c>
      <c r="R485" s="601">
        <f t="shared" si="332"/>
        <v>16</v>
      </c>
      <c r="S485" s="647">
        <v>103200</v>
      </c>
      <c r="T485" s="647">
        <v>103400</v>
      </c>
      <c r="U485" s="645">
        <v>1</v>
      </c>
      <c r="V485" s="593">
        <f t="shared" si="312"/>
        <v>400</v>
      </c>
      <c r="W485" s="604">
        <f t="shared" si="344"/>
        <v>0</v>
      </c>
      <c r="X485" s="604">
        <f t="shared" si="341"/>
        <v>0</v>
      </c>
      <c r="Y485" s="604">
        <f t="shared" si="342"/>
        <v>0</v>
      </c>
      <c r="Z485" s="605">
        <f t="shared" si="336"/>
        <v>0</v>
      </c>
      <c r="AA485" s="751">
        <f t="shared" si="337"/>
        <v>0</v>
      </c>
      <c r="AB485" s="605">
        <f t="shared" si="338"/>
        <v>0</v>
      </c>
      <c r="AC485" s="607"/>
      <c r="AD485" s="591" t="str">
        <f t="shared" si="339"/>
        <v>Friesland College</v>
      </c>
      <c r="AE485" s="608"/>
      <c r="AF485" s="639">
        <v>16</v>
      </c>
      <c r="AG485" s="639">
        <f t="shared" si="311"/>
        <v>16</v>
      </c>
      <c r="AH485" s="639">
        <f t="shared" si="346"/>
        <v>0</v>
      </c>
      <c r="AI485" s="640"/>
      <c r="AJ485" s="641">
        <f t="shared" si="347"/>
        <v>0</v>
      </c>
      <c r="AK485" s="642"/>
      <c r="AL485" s="642" t="s">
        <v>364</v>
      </c>
      <c r="AM485" s="642"/>
      <c r="AN485" s="642"/>
      <c r="AO485" s="644">
        <v>1837</v>
      </c>
      <c r="AP485" s="565"/>
      <c r="AQ485" s="566"/>
      <c r="AR485" s="566"/>
      <c r="AS485" s="566"/>
      <c r="AT485" s="566"/>
      <c r="AU485" s="566"/>
      <c r="AV485" s="566"/>
      <c r="AW485" s="566"/>
      <c r="AX485" s="566"/>
      <c r="AY485" s="566"/>
      <c r="AZ485" s="566"/>
      <c r="BA485" s="566"/>
      <c r="BB485" s="566"/>
      <c r="BC485" s="566"/>
      <c r="BD485" s="566"/>
      <c r="BE485" s="566"/>
      <c r="BF485" s="566"/>
      <c r="BG485" s="566"/>
    </row>
    <row r="486" spans="1:59">
      <c r="A486" s="591"/>
      <c r="B486" s="592"/>
      <c r="C486" s="593"/>
      <c r="D486" s="594">
        <v>1</v>
      </c>
      <c r="E486" s="595" t="s">
        <v>374</v>
      </c>
      <c r="F486" s="593" t="s">
        <v>367</v>
      </c>
      <c r="G486" s="596" t="s">
        <v>654</v>
      </c>
      <c r="H486" s="596" t="s">
        <v>654</v>
      </c>
      <c r="I486" s="596"/>
      <c r="J486" s="596"/>
      <c r="K486" s="596"/>
      <c r="L486" s="591" t="s">
        <v>915</v>
      </c>
      <c r="M486" s="597" t="str">
        <f t="shared" si="345"/>
        <v>Sanitaire ruimte (toilet-/doucheruimte)</v>
      </c>
      <c r="N486" s="591" t="s">
        <v>323</v>
      </c>
      <c r="O486" s="621"/>
      <c r="P486" s="622"/>
      <c r="Q486" s="600">
        <f t="shared" si="329"/>
        <v>0</v>
      </c>
      <c r="R486" s="601">
        <f t="shared" si="332"/>
        <v>2</v>
      </c>
      <c r="S486" s="647">
        <v>103200</v>
      </c>
      <c r="T486" s="647">
        <v>103400</v>
      </c>
      <c r="U486" s="645">
        <v>1</v>
      </c>
      <c r="V486" s="593">
        <f t="shared" si="312"/>
        <v>400</v>
      </c>
      <c r="W486" s="604">
        <f t="shared" si="344"/>
        <v>0</v>
      </c>
      <c r="X486" s="604">
        <f t="shared" si="341"/>
        <v>0</v>
      </c>
      <c r="Y486" s="604">
        <f t="shared" si="342"/>
        <v>0</v>
      </c>
      <c r="Z486" s="605">
        <f t="shared" si="336"/>
        <v>0</v>
      </c>
      <c r="AA486" s="751">
        <f t="shared" si="337"/>
        <v>0</v>
      </c>
      <c r="AB486" s="605">
        <f t="shared" si="338"/>
        <v>0</v>
      </c>
      <c r="AC486" s="607"/>
      <c r="AD486" s="591" t="str">
        <f t="shared" si="339"/>
        <v>Friesland College</v>
      </c>
      <c r="AE486" s="608"/>
      <c r="AF486" s="639">
        <v>2</v>
      </c>
      <c r="AG486" s="639">
        <f t="shared" si="311"/>
        <v>2</v>
      </c>
      <c r="AH486" s="639">
        <f t="shared" si="346"/>
        <v>0</v>
      </c>
      <c r="AI486" s="640"/>
      <c r="AJ486" s="641">
        <f t="shared" si="347"/>
        <v>0</v>
      </c>
      <c r="AK486" s="642"/>
      <c r="AL486" s="642" t="s">
        <v>364</v>
      </c>
      <c r="AM486" s="642"/>
      <c r="AN486" s="642"/>
      <c r="AO486" s="644">
        <v>1838</v>
      </c>
      <c r="AP486" s="565"/>
      <c r="AQ486" s="566"/>
      <c r="AR486" s="566"/>
      <c r="AS486" s="566"/>
      <c r="AT486" s="566"/>
      <c r="AU486" s="566"/>
      <c r="AV486" s="566"/>
      <c r="AW486" s="566"/>
      <c r="AX486" s="566"/>
      <c r="AY486" s="566"/>
      <c r="AZ486" s="566"/>
      <c r="BA486" s="566"/>
      <c r="BB486" s="566"/>
      <c r="BC486" s="566"/>
      <c r="BD486" s="566"/>
      <c r="BE486" s="566"/>
      <c r="BF486" s="566"/>
      <c r="BG486" s="566"/>
    </row>
    <row r="487" spans="1:59">
      <c r="A487" s="591"/>
      <c r="B487" s="592"/>
      <c r="C487" s="593"/>
      <c r="D487" s="594">
        <v>1</v>
      </c>
      <c r="E487" s="595" t="s">
        <v>374</v>
      </c>
      <c r="F487" s="593" t="s">
        <v>367</v>
      </c>
      <c r="G487" s="596" t="s">
        <v>655</v>
      </c>
      <c r="H487" s="596" t="s">
        <v>655</v>
      </c>
      <c r="I487" s="596"/>
      <c r="J487" s="596"/>
      <c r="K487" s="596"/>
      <c r="L487" s="591" t="s">
        <v>876</v>
      </c>
      <c r="M487" s="597" t="str">
        <f t="shared" si="345"/>
        <v>Niet van toepassing</v>
      </c>
      <c r="N487" s="591" t="s">
        <v>323</v>
      </c>
      <c r="O487" s="621"/>
      <c r="P487" s="622"/>
      <c r="Q487" s="600">
        <f t="shared" si="329"/>
        <v>0</v>
      </c>
      <c r="R487" s="601">
        <f t="shared" si="332"/>
        <v>10</v>
      </c>
      <c r="S487" s="603" t="s">
        <v>28</v>
      </c>
      <c r="T487" s="602"/>
      <c r="U487" s="603"/>
      <c r="V487" s="593">
        <f t="shared" si="312"/>
        <v>0</v>
      </c>
      <c r="W487" s="604">
        <f t="shared" si="344"/>
        <v>0</v>
      </c>
      <c r="X487" s="604">
        <f t="shared" si="341"/>
        <v>0</v>
      </c>
      <c r="Y487" s="604">
        <f t="shared" si="342"/>
        <v>0</v>
      </c>
      <c r="Z487" s="605">
        <f t="shared" si="336"/>
        <v>0</v>
      </c>
      <c r="AA487" s="751">
        <f t="shared" si="337"/>
        <v>0</v>
      </c>
      <c r="AB487" s="605">
        <f t="shared" si="338"/>
        <v>0</v>
      </c>
      <c r="AC487" s="607"/>
      <c r="AD487" s="591" t="str">
        <f t="shared" si="339"/>
        <v>Friesland College</v>
      </c>
      <c r="AE487" s="608"/>
      <c r="AF487" s="639">
        <v>10</v>
      </c>
      <c r="AG487" s="639">
        <f t="shared" si="311"/>
        <v>10</v>
      </c>
      <c r="AH487" s="639">
        <f t="shared" si="346"/>
        <v>0</v>
      </c>
      <c r="AI487" s="640"/>
      <c r="AJ487" s="641">
        <f t="shared" si="347"/>
        <v>0</v>
      </c>
      <c r="AK487" s="642"/>
      <c r="AL487" s="642" t="s">
        <v>364</v>
      </c>
      <c r="AM487" s="642"/>
      <c r="AN487" s="642"/>
      <c r="AO487" s="644">
        <v>1839</v>
      </c>
      <c r="AP487" s="565"/>
      <c r="AQ487" s="566"/>
      <c r="AR487" s="566"/>
      <c r="AS487" s="566"/>
      <c r="AT487" s="566"/>
      <c r="AU487" s="566"/>
      <c r="AV487" s="566"/>
      <c r="AW487" s="566"/>
      <c r="AX487" s="566"/>
      <c r="AY487" s="566"/>
      <c r="AZ487" s="566"/>
      <c r="BA487" s="566"/>
      <c r="BB487" s="566"/>
      <c r="BC487" s="566"/>
      <c r="BD487" s="566"/>
      <c r="BE487" s="566"/>
      <c r="BF487" s="566"/>
      <c r="BG487" s="566"/>
    </row>
    <row r="488" spans="1:59">
      <c r="A488" s="591"/>
      <c r="B488" s="592"/>
      <c r="C488" s="593"/>
      <c r="D488" s="594">
        <v>1</v>
      </c>
      <c r="E488" s="595" t="s">
        <v>374</v>
      </c>
      <c r="F488" s="593" t="s">
        <v>367</v>
      </c>
      <c r="G488" s="596" t="s">
        <v>656</v>
      </c>
      <c r="H488" s="596" t="s">
        <v>656</v>
      </c>
      <c r="I488" s="596"/>
      <c r="J488" s="596"/>
      <c r="K488" s="596"/>
      <c r="L488" s="591" t="s">
        <v>876</v>
      </c>
      <c r="M488" s="597" t="str">
        <f t="shared" si="345"/>
        <v>Niet van toepassing</v>
      </c>
      <c r="N488" s="591" t="s">
        <v>323</v>
      </c>
      <c r="O488" s="621"/>
      <c r="P488" s="622"/>
      <c r="Q488" s="600">
        <f t="shared" si="329"/>
        <v>0</v>
      </c>
      <c r="R488" s="601">
        <f t="shared" si="332"/>
        <v>1</v>
      </c>
      <c r="S488" s="603" t="s">
        <v>28</v>
      </c>
      <c r="T488" s="602"/>
      <c r="U488" s="603"/>
      <c r="V488" s="593">
        <f t="shared" si="312"/>
        <v>0</v>
      </c>
      <c r="W488" s="604">
        <f t="shared" si="344"/>
        <v>0</v>
      </c>
      <c r="X488" s="604">
        <f t="shared" si="341"/>
        <v>0</v>
      </c>
      <c r="Y488" s="604">
        <f t="shared" si="342"/>
        <v>0</v>
      </c>
      <c r="Z488" s="605">
        <f t="shared" si="336"/>
        <v>0</v>
      </c>
      <c r="AA488" s="751">
        <f t="shared" si="337"/>
        <v>0</v>
      </c>
      <c r="AB488" s="605">
        <f t="shared" si="338"/>
        <v>0</v>
      </c>
      <c r="AC488" s="607"/>
      <c r="AD488" s="591" t="str">
        <f t="shared" si="339"/>
        <v>Friesland College</v>
      </c>
      <c r="AE488" s="608"/>
      <c r="AF488" s="639">
        <v>1</v>
      </c>
      <c r="AG488" s="639">
        <f t="shared" si="311"/>
        <v>1</v>
      </c>
      <c r="AH488" s="639">
        <f t="shared" si="346"/>
        <v>0</v>
      </c>
      <c r="AI488" s="640"/>
      <c r="AJ488" s="641">
        <f t="shared" si="347"/>
        <v>0</v>
      </c>
      <c r="AK488" s="642"/>
      <c r="AL488" s="642" t="s">
        <v>364</v>
      </c>
      <c r="AM488" s="642"/>
      <c r="AN488" s="642"/>
      <c r="AO488" s="644">
        <v>1840</v>
      </c>
      <c r="AP488" s="565"/>
      <c r="AQ488" s="566"/>
      <c r="AR488" s="566"/>
      <c r="AS488" s="566"/>
      <c r="AT488" s="566"/>
      <c r="AU488" s="566"/>
      <c r="AV488" s="566"/>
      <c r="AW488" s="566"/>
      <c r="AX488" s="566"/>
      <c r="AY488" s="566"/>
      <c r="AZ488" s="566"/>
      <c r="BA488" s="566"/>
      <c r="BB488" s="566"/>
      <c r="BC488" s="566"/>
      <c r="BD488" s="566"/>
      <c r="BE488" s="566"/>
      <c r="BF488" s="566"/>
      <c r="BG488" s="566"/>
    </row>
    <row r="489" spans="1:59">
      <c r="A489" s="591"/>
      <c r="B489" s="592"/>
      <c r="C489" s="593"/>
      <c r="D489" s="594">
        <v>1</v>
      </c>
      <c r="E489" s="595" t="s">
        <v>374</v>
      </c>
      <c r="F489" s="593" t="s">
        <v>367</v>
      </c>
      <c r="G489" s="596" t="s">
        <v>728</v>
      </c>
      <c r="H489" s="596" t="s">
        <v>728</v>
      </c>
      <c r="I489" s="596"/>
      <c r="J489" s="596"/>
      <c r="K489" s="596"/>
      <c r="L489" s="591" t="s">
        <v>916</v>
      </c>
      <c r="M489" s="597" t="str">
        <f t="shared" si="345"/>
        <v>Niet van toepassing</v>
      </c>
      <c r="N489" s="591" t="s">
        <v>323</v>
      </c>
      <c r="O489" s="621"/>
      <c r="P489" s="622"/>
      <c r="Q489" s="600">
        <f t="shared" si="329"/>
        <v>0</v>
      </c>
      <c r="R489" s="601">
        <f t="shared" si="332"/>
        <v>5</v>
      </c>
      <c r="S489" s="603" t="s">
        <v>28</v>
      </c>
      <c r="T489" s="602"/>
      <c r="U489" s="603"/>
      <c r="V489" s="593">
        <f t="shared" si="312"/>
        <v>0</v>
      </c>
      <c r="W489" s="604">
        <f t="shared" si="344"/>
        <v>0</v>
      </c>
      <c r="X489" s="604">
        <f t="shared" si="341"/>
        <v>0</v>
      </c>
      <c r="Y489" s="604">
        <f t="shared" si="342"/>
        <v>0</v>
      </c>
      <c r="Z489" s="605">
        <f t="shared" si="336"/>
        <v>0</v>
      </c>
      <c r="AA489" s="751">
        <f t="shared" si="337"/>
        <v>0</v>
      </c>
      <c r="AB489" s="605">
        <f t="shared" si="338"/>
        <v>0</v>
      </c>
      <c r="AC489" s="607"/>
      <c r="AD489" s="591" t="str">
        <f t="shared" si="339"/>
        <v>Friesland College</v>
      </c>
      <c r="AE489" s="608"/>
      <c r="AF489" s="639">
        <v>5</v>
      </c>
      <c r="AG489" s="639">
        <f t="shared" si="311"/>
        <v>5</v>
      </c>
      <c r="AH489" s="639">
        <f t="shared" si="346"/>
        <v>0</v>
      </c>
      <c r="AI489" s="640"/>
      <c r="AJ489" s="641">
        <f t="shared" si="347"/>
        <v>0</v>
      </c>
      <c r="AK489" s="642"/>
      <c r="AL489" s="642" t="s">
        <v>364</v>
      </c>
      <c r="AM489" s="642"/>
      <c r="AN489" s="642"/>
      <c r="AO489" s="644">
        <v>1841</v>
      </c>
      <c r="AP489" s="565"/>
      <c r="AQ489" s="566"/>
      <c r="AR489" s="566"/>
      <c r="AS489" s="566"/>
      <c r="AT489" s="566"/>
      <c r="AU489" s="566"/>
      <c r="AV489" s="566"/>
      <c r="AW489" s="566"/>
      <c r="AX489" s="566"/>
      <c r="AY489" s="566"/>
      <c r="AZ489" s="566"/>
      <c r="BA489" s="566"/>
      <c r="BB489" s="566"/>
      <c r="BC489" s="566"/>
      <c r="BD489" s="566"/>
      <c r="BE489" s="566"/>
      <c r="BF489" s="566"/>
      <c r="BG489" s="566"/>
    </row>
    <row r="490" spans="1:59">
      <c r="A490" s="591"/>
      <c r="B490" s="592"/>
      <c r="C490" s="593"/>
      <c r="D490" s="594">
        <v>1</v>
      </c>
      <c r="E490" s="595" t="s">
        <v>374</v>
      </c>
      <c r="F490" s="593" t="s">
        <v>367</v>
      </c>
      <c r="G490" s="596" t="s">
        <v>657</v>
      </c>
      <c r="H490" s="596" t="s">
        <v>657</v>
      </c>
      <c r="I490" s="596"/>
      <c r="J490" s="596"/>
      <c r="K490" s="596"/>
      <c r="L490" s="591" t="s">
        <v>917</v>
      </c>
      <c r="M490" s="597" t="str">
        <f t="shared" si="345"/>
        <v>Niet van toepassing</v>
      </c>
      <c r="N490" s="591" t="s">
        <v>323</v>
      </c>
      <c r="O490" s="621"/>
      <c r="P490" s="622"/>
      <c r="Q490" s="600">
        <f t="shared" si="329"/>
        <v>0</v>
      </c>
      <c r="R490" s="601">
        <f t="shared" si="332"/>
        <v>10</v>
      </c>
      <c r="S490" s="603" t="s">
        <v>28</v>
      </c>
      <c r="T490" s="602"/>
      <c r="U490" s="603"/>
      <c r="V490" s="593">
        <f t="shared" si="312"/>
        <v>0</v>
      </c>
      <c r="W490" s="604">
        <f t="shared" si="344"/>
        <v>0</v>
      </c>
      <c r="X490" s="604">
        <f t="shared" si="341"/>
        <v>0</v>
      </c>
      <c r="Y490" s="604">
        <f t="shared" si="342"/>
        <v>0</v>
      </c>
      <c r="Z490" s="605">
        <f t="shared" si="336"/>
        <v>0</v>
      </c>
      <c r="AA490" s="751">
        <f t="shared" si="337"/>
        <v>0</v>
      </c>
      <c r="AB490" s="605">
        <f t="shared" si="338"/>
        <v>0</v>
      </c>
      <c r="AC490" s="607"/>
      <c r="AD490" s="591" t="str">
        <f t="shared" si="339"/>
        <v>Friesland College</v>
      </c>
      <c r="AE490" s="608"/>
      <c r="AF490" s="639">
        <v>10</v>
      </c>
      <c r="AG490" s="639">
        <f t="shared" si="311"/>
        <v>10</v>
      </c>
      <c r="AH490" s="639">
        <f t="shared" si="346"/>
        <v>0</v>
      </c>
      <c r="AI490" s="640"/>
      <c r="AJ490" s="641">
        <f t="shared" si="347"/>
        <v>0</v>
      </c>
      <c r="AK490" s="642"/>
      <c r="AL490" s="642" t="s">
        <v>364</v>
      </c>
      <c r="AM490" s="642"/>
      <c r="AN490" s="642"/>
      <c r="AO490" s="644">
        <v>1842</v>
      </c>
      <c r="AP490" s="565"/>
      <c r="AQ490" s="566"/>
      <c r="AR490" s="566"/>
      <c r="AS490" s="566"/>
      <c r="AT490" s="566"/>
      <c r="AU490" s="566"/>
      <c r="AV490" s="566"/>
      <c r="AW490" s="566"/>
      <c r="AX490" s="566"/>
      <c r="AY490" s="566"/>
      <c r="AZ490" s="566"/>
      <c r="BA490" s="566"/>
      <c r="BB490" s="566"/>
      <c r="BC490" s="566"/>
      <c r="BD490" s="566"/>
      <c r="BE490" s="566"/>
      <c r="BF490" s="566"/>
      <c r="BG490" s="566"/>
    </row>
    <row r="491" spans="1:59">
      <c r="A491" s="591"/>
      <c r="B491" s="592"/>
      <c r="C491" s="593"/>
      <c r="D491" s="594">
        <v>1</v>
      </c>
      <c r="E491" s="595" t="s">
        <v>374</v>
      </c>
      <c r="F491" s="593" t="s">
        <v>367</v>
      </c>
      <c r="G491" s="596" t="s">
        <v>658</v>
      </c>
      <c r="H491" s="596" t="s">
        <v>658</v>
      </c>
      <c r="I491" s="596"/>
      <c r="J491" s="596"/>
      <c r="K491" s="596"/>
      <c r="L491" s="591" t="s">
        <v>918</v>
      </c>
      <c r="M491" s="597" t="str">
        <f t="shared" si="345"/>
        <v>Niet van toepassing</v>
      </c>
      <c r="N491" s="591" t="s">
        <v>323</v>
      </c>
      <c r="O491" s="621"/>
      <c r="P491" s="622"/>
      <c r="Q491" s="600">
        <f t="shared" si="329"/>
        <v>0</v>
      </c>
      <c r="R491" s="601">
        <f t="shared" si="332"/>
        <v>3</v>
      </c>
      <c r="S491" s="603" t="s">
        <v>28</v>
      </c>
      <c r="T491" s="602"/>
      <c r="U491" s="603"/>
      <c r="V491" s="593">
        <f t="shared" si="312"/>
        <v>0</v>
      </c>
      <c r="W491" s="604">
        <f t="shared" si="344"/>
        <v>0</v>
      </c>
      <c r="X491" s="604">
        <f t="shared" si="341"/>
        <v>0</v>
      </c>
      <c r="Y491" s="604">
        <f t="shared" si="342"/>
        <v>0</v>
      </c>
      <c r="Z491" s="605">
        <f t="shared" si="336"/>
        <v>0</v>
      </c>
      <c r="AA491" s="751">
        <f t="shared" si="337"/>
        <v>0</v>
      </c>
      <c r="AB491" s="605">
        <f t="shared" si="338"/>
        <v>0</v>
      </c>
      <c r="AC491" s="607"/>
      <c r="AD491" s="591" t="str">
        <f t="shared" si="339"/>
        <v>Friesland College</v>
      </c>
      <c r="AE491" s="608"/>
      <c r="AF491" s="639">
        <v>3</v>
      </c>
      <c r="AG491" s="639">
        <f t="shared" si="311"/>
        <v>3</v>
      </c>
      <c r="AH491" s="639">
        <f t="shared" si="346"/>
        <v>0</v>
      </c>
      <c r="AI491" s="640"/>
      <c r="AJ491" s="641">
        <f t="shared" si="347"/>
        <v>0</v>
      </c>
      <c r="AK491" s="642"/>
      <c r="AL491" s="642" t="s">
        <v>364</v>
      </c>
      <c r="AM491" s="642"/>
      <c r="AN491" s="642"/>
      <c r="AO491" s="644">
        <v>1843</v>
      </c>
      <c r="AP491" s="565"/>
      <c r="AQ491" s="566"/>
      <c r="AR491" s="566"/>
      <c r="AS491" s="566"/>
      <c r="AT491" s="566"/>
      <c r="AU491" s="566"/>
      <c r="AV491" s="566"/>
      <c r="AW491" s="566"/>
      <c r="AX491" s="566"/>
      <c r="AY491" s="566"/>
      <c r="AZ491" s="566"/>
      <c r="BA491" s="566"/>
      <c r="BB491" s="566"/>
      <c r="BC491" s="566"/>
      <c r="BD491" s="566"/>
      <c r="BE491" s="566"/>
      <c r="BF491" s="566"/>
      <c r="BG491" s="566"/>
    </row>
    <row r="492" spans="1:59">
      <c r="A492" s="591"/>
      <c r="B492" s="592"/>
      <c r="C492" s="593"/>
      <c r="D492" s="594">
        <v>1</v>
      </c>
      <c r="E492" s="595" t="s">
        <v>374</v>
      </c>
      <c r="F492" s="593" t="s">
        <v>367</v>
      </c>
      <c r="G492" s="596" t="s">
        <v>659</v>
      </c>
      <c r="H492" s="596" t="s">
        <v>659</v>
      </c>
      <c r="I492" s="596"/>
      <c r="J492" s="596"/>
      <c r="K492" s="596"/>
      <c r="L492" s="591" t="s">
        <v>919</v>
      </c>
      <c r="M492" s="597" t="str">
        <f t="shared" si="345"/>
        <v>Niet van toepassing</v>
      </c>
      <c r="N492" s="591" t="s">
        <v>323</v>
      </c>
      <c r="O492" s="598"/>
      <c r="P492" s="599"/>
      <c r="Q492" s="600">
        <f t="shared" si="329"/>
        <v>0</v>
      </c>
      <c r="R492" s="601">
        <f t="shared" si="332"/>
        <v>12</v>
      </c>
      <c r="S492" s="603" t="s">
        <v>28</v>
      </c>
      <c r="T492" s="602"/>
      <c r="U492" s="603"/>
      <c r="V492" s="593">
        <f t="shared" si="312"/>
        <v>0</v>
      </c>
      <c r="W492" s="604">
        <f t="shared" si="344"/>
        <v>0</v>
      </c>
      <c r="X492" s="604">
        <f t="shared" si="341"/>
        <v>0</v>
      </c>
      <c r="Y492" s="604">
        <f t="shared" si="342"/>
        <v>0</v>
      </c>
      <c r="Z492" s="605">
        <f t="shared" si="336"/>
        <v>0</v>
      </c>
      <c r="AA492" s="751">
        <f t="shared" si="337"/>
        <v>0</v>
      </c>
      <c r="AB492" s="605">
        <f t="shared" si="338"/>
        <v>0</v>
      </c>
      <c r="AC492" s="607"/>
      <c r="AD492" s="591" t="str">
        <f t="shared" si="339"/>
        <v>Friesland College</v>
      </c>
      <c r="AE492" s="608"/>
      <c r="AF492" s="639">
        <v>12</v>
      </c>
      <c r="AG492" s="639">
        <f t="shared" si="311"/>
        <v>12</v>
      </c>
      <c r="AH492" s="639">
        <f t="shared" si="346"/>
        <v>0</v>
      </c>
      <c r="AI492" s="640"/>
      <c r="AJ492" s="641">
        <f t="shared" si="347"/>
        <v>0</v>
      </c>
      <c r="AK492" s="642"/>
      <c r="AL492" s="642" t="s">
        <v>364</v>
      </c>
      <c r="AM492" s="642"/>
      <c r="AN492" s="642"/>
      <c r="AO492" s="644">
        <v>1844</v>
      </c>
      <c r="AP492" s="565"/>
      <c r="AQ492" s="566"/>
      <c r="AR492" s="566"/>
      <c r="AS492" s="566"/>
      <c r="AT492" s="566"/>
      <c r="AU492" s="566"/>
      <c r="AV492" s="566"/>
      <c r="AW492" s="566"/>
      <c r="AX492" s="566"/>
      <c r="AY492" s="566"/>
      <c r="AZ492" s="566"/>
      <c r="BA492" s="566"/>
      <c r="BB492" s="566"/>
      <c r="BC492" s="566"/>
      <c r="BD492" s="566"/>
      <c r="BE492" s="566"/>
      <c r="BF492" s="566"/>
      <c r="BG492" s="566"/>
    </row>
    <row r="493" spans="1:59">
      <c r="A493" s="591"/>
      <c r="B493" s="592"/>
      <c r="C493" s="593"/>
      <c r="D493" s="594">
        <v>1</v>
      </c>
      <c r="E493" s="595" t="s">
        <v>374</v>
      </c>
      <c r="F493" s="593" t="s">
        <v>367</v>
      </c>
      <c r="G493" s="596" t="s">
        <v>660</v>
      </c>
      <c r="H493" s="596" t="s">
        <v>660</v>
      </c>
      <c r="I493" s="596"/>
      <c r="J493" s="596"/>
      <c r="K493" s="596"/>
      <c r="L493" s="591" t="s">
        <v>920</v>
      </c>
      <c r="M493" s="597" t="str">
        <f t="shared" si="345"/>
        <v>Niet van toepassing</v>
      </c>
      <c r="N493" s="591" t="s">
        <v>323</v>
      </c>
      <c r="O493" s="598"/>
      <c r="P493" s="599"/>
      <c r="Q493" s="600">
        <f t="shared" si="329"/>
        <v>0</v>
      </c>
      <c r="R493" s="601">
        <f t="shared" si="332"/>
        <v>3</v>
      </c>
      <c r="S493" s="603" t="s">
        <v>28</v>
      </c>
      <c r="T493" s="602"/>
      <c r="U493" s="603"/>
      <c r="V493" s="593">
        <f t="shared" si="312"/>
        <v>0</v>
      </c>
      <c r="W493" s="604">
        <f t="shared" si="344"/>
        <v>0</v>
      </c>
      <c r="X493" s="604">
        <f t="shared" si="341"/>
        <v>0</v>
      </c>
      <c r="Y493" s="604">
        <f t="shared" si="342"/>
        <v>0</v>
      </c>
      <c r="Z493" s="605">
        <f t="shared" si="336"/>
        <v>0</v>
      </c>
      <c r="AA493" s="751">
        <f t="shared" si="337"/>
        <v>0</v>
      </c>
      <c r="AB493" s="605">
        <f t="shared" si="338"/>
        <v>0</v>
      </c>
      <c r="AC493" s="607"/>
      <c r="AD493" s="591" t="str">
        <f t="shared" si="339"/>
        <v>Friesland College</v>
      </c>
      <c r="AE493" s="608"/>
      <c r="AF493" s="639">
        <v>3</v>
      </c>
      <c r="AG493" s="639">
        <f t="shared" si="311"/>
        <v>3</v>
      </c>
      <c r="AH493" s="639">
        <f t="shared" si="346"/>
        <v>0</v>
      </c>
      <c r="AI493" s="640"/>
      <c r="AJ493" s="641">
        <f t="shared" si="347"/>
        <v>0</v>
      </c>
      <c r="AK493" s="642"/>
      <c r="AL493" s="642" t="s">
        <v>364</v>
      </c>
      <c r="AM493" s="642"/>
      <c r="AN493" s="642"/>
      <c r="AO493" s="644">
        <v>1845</v>
      </c>
      <c r="AP493" s="565"/>
      <c r="AQ493" s="566"/>
      <c r="AR493" s="566"/>
      <c r="AS493" s="566"/>
      <c r="AT493" s="566"/>
      <c r="AU493" s="566"/>
      <c r="AV493" s="566"/>
      <c r="AW493" s="566"/>
      <c r="AX493" s="566"/>
      <c r="AY493" s="566"/>
      <c r="AZ493" s="566"/>
      <c r="BA493" s="566"/>
      <c r="BB493" s="566"/>
      <c r="BC493" s="566"/>
      <c r="BD493" s="566"/>
      <c r="BE493" s="566"/>
      <c r="BF493" s="566"/>
      <c r="BG493" s="566"/>
    </row>
    <row r="494" spans="1:59">
      <c r="A494" s="591"/>
      <c r="B494" s="592"/>
      <c r="C494" s="593"/>
      <c r="D494" s="594">
        <v>1</v>
      </c>
      <c r="E494" s="595" t="s">
        <v>374</v>
      </c>
      <c r="F494" s="593" t="s">
        <v>367</v>
      </c>
      <c r="G494" s="596" t="s">
        <v>661</v>
      </c>
      <c r="H494" s="627" t="s">
        <v>661</v>
      </c>
      <c r="I494" s="596"/>
      <c r="J494" s="596"/>
      <c r="K494" s="596"/>
      <c r="L494" s="591" t="s">
        <v>921</v>
      </c>
      <c r="M494" s="597" t="str">
        <f t="shared" si="345"/>
        <v>Administratieve -, personeels- en vergaderruimte</v>
      </c>
      <c r="N494" s="591" t="s">
        <v>78</v>
      </c>
      <c r="O494" s="598"/>
      <c r="P494" s="599"/>
      <c r="Q494" s="600">
        <f t="shared" si="329"/>
        <v>0</v>
      </c>
      <c r="R494" s="601">
        <f t="shared" si="332"/>
        <v>7</v>
      </c>
      <c r="S494" s="647">
        <v>101100</v>
      </c>
      <c r="T494" s="602"/>
      <c r="U494" s="645">
        <v>1</v>
      </c>
      <c r="V494" s="593">
        <f t="shared" si="312"/>
        <v>100</v>
      </c>
      <c r="W494" s="604">
        <f t="shared" si="344"/>
        <v>0</v>
      </c>
      <c r="X494" s="604">
        <f t="shared" si="341"/>
        <v>0</v>
      </c>
      <c r="Y494" s="604">
        <f t="shared" si="342"/>
        <v>0</v>
      </c>
      <c r="Z494" s="605">
        <f t="shared" si="336"/>
        <v>0</v>
      </c>
      <c r="AA494" s="751">
        <f t="shared" si="337"/>
        <v>0</v>
      </c>
      <c r="AB494" s="605">
        <f t="shared" si="338"/>
        <v>0</v>
      </c>
      <c r="AC494" s="607"/>
      <c r="AD494" s="591" t="str">
        <f t="shared" si="339"/>
        <v>Friesland College</v>
      </c>
      <c r="AE494" s="608"/>
      <c r="AF494" s="639">
        <v>7</v>
      </c>
      <c r="AG494" s="639">
        <f t="shared" si="311"/>
        <v>7</v>
      </c>
      <c r="AH494" s="639">
        <f t="shared" si="346"/>
        <v>0</v>
      </c>
      <c r="AI494" s="640"/>
      <c r="AJ494" s="641">
        <f t="shared" si="347"/>
        <v>0</v>
      </c>
      <c r="AK494" s="642"/>
      <c r="AL494" s="642" t="s">
        <v>364</v>
      </c>
      <c r="AM494" s="642"/>
      <c r="AN494" s="642"/>
      <c r="AO494" s="644">
        <v>1846</v>
      </c>
      <c r="AP494" s="565"/>
      <c r="AQ494" s="566"/>
      <c r="AR494" s="566"/>
      <c r="AS494" s="566"/>
      <c r="AT494" s="566"/>
      <c r="AU494" s="566"/>
      <c r="AV494" s="566"/>
      <c r="AW494" s="566"/>
      <c r="AX494" s="566"/>
      <c r="AY494" s="566"/>
      <c r="AZ494" s="566"/>
      <c r="BA494" s="566"/>
      <c r="BB494" s="566"/>
      <c r="BC494" s="566"/>
      <c r="BD494" s="566"/>
      <c r="BE494" s="566"/>
      <c r="BF494" s="566"/>
      <c r="BG494" s="566"/>
    </row>
    <row r="495" spans="1:59">
      <c r="A495" s="591"/>
      <c r="B495" s="592"/>
      <c r="C495" s="593"/>
      <c r="D495" s="594">
        <v>1</v>
      </c>
      <c r="E495" s="595" t="s">
        <v>374</v>
      </c>
      <c r="F495" s="593" t="s">
        <v>367</v>
      </c>
      <c r="G495" s="596" t="s">
        <v>662</v>
      </c>
      <c r="H495" s="627" t="s">
        <v>662</v>
      </c>
      <c r="I495" s="596"/>
      <c r="J495" s="596"/>
      <c r="K495" s="596"/>
      <c r="L495" s="591" t="s">
        <v>922</v>
      </c>
      <c r="M495" s="597" t="str">
        <f t="shared" si="345"/>
        <v>Administratieve -, personeels- en vergaderruimte</v>
      </c>
      <c r="N495" s="591" t="s">
        <v>78</v>
      </c>
      <c r="O495" s="598"/>
      <c r="P495" s="599"/>
      <c r="Q495" s="600">
        <f t="shared" si="329"/>
        <v>0</v>
      </c>
      <c r="R495" s="601">
        <f t="shared" si="332"/>
        <v>14</v>
      </c>
      <c r="S495" s="647">
        <v>101100</v>
      </c>
      <c r="T495" s="602"/>
      <c r="U495" s="645">
        <v>1</v>
      </c>
      <c r="V495" s="593">
        <f t="shared" si="312"/>
        <v>100</v>
      </c>
      <c r="W495" s="604">
        <f t="shared" si="344"/>
        <v>0</v>
      </c>
      <c r="X495" s="604">
        <f t="shared" si="341"/>
        <v>0</v>
      </c>
      <c r="Y495" s="604">
        <f t="shared" si="342"/>
        <v>0</v>
      </c>
      <c r="Z495" s="605">
        <f t="shared" si="336"/>
        <v>0</v>
      </c>
      <c r="AA495" s="751">
        <f t="shared" si="337"/>
        <v>0</v>
      </c>
      <c r="AB495" s="605">
        <f t="shared" si="338"/>
        <v>0</v>
      </c>
      <c r="AC495" s="607"/>
      <c r="AD495" s="591" t="str">
        <f t="shared" si="339"/>
        <v>Friesland College</v>
      </c>
      <c r="AE495" s="608"/>
      <c r="AF495" s="639">
        <v>14</v>
      </c>
      <c r="AG495" s="639">
        <f t="shared" si="311"/>
        <v>14</v>
      </c>
      <c r="AH495" s="639">
        <f t="shared" si="346"/>
        <v>0</v>
      </c>
      <c r="AI495" s="640"/>
      <c r="AJ495" s="641">
        <f t="shared" si="347"/>
        <v>0</v>
      </c>
      <c r="AK495" s="642"/>
      <c r="AL495" s="642" t="s">
        <v>364</v>
      </c>
      <c r="AM495" s="642"/>
      <c r="AN495" s="642"/>
      <c r="AO495" s="644">
        <v>1847</v>
      </c>
      <c r="AP495" s="565"/>
      <c r="AQ495" s="566"/>
      <c r="AR495" s="566"/>
      <c r="AS495" s="566"/>
      <c r="AT495" s="566"/>
      <c r="AU495" s="566"/>
      <c r="AV495" s="566"/>
      <c r="AW495" s="566"/>
      <c r="AX495" s="566"/>
      <c r="AY495" s="566"/>
      <c r="AZ495" s="566"/>
      <c r="BA495" s="566"/>
      <c r="BB495" s="566"/>
      <c r="BC495" s="566"/>
      <c r="BD495" s="566"/>
      <c r="BE495" s="566"/>
      <c r="BF495" s="566"/>
      <c r="BG495" s="566"/>
    </row>
    <row r="496" spans="1:59">
      <c r="A496" s="591"/>
      <c r="B496" s="609"/>
      <c r="C496" s="609"/>
      <c r="D496" s="594">
        <v>1</v>
      </c>
      <c r="E496" s="595" t="s">
        <v>374</v>
      </c>
      <c r="F496" s="593" t="s">
        <v>367</v>
      </c>
      <c r="G496" s="610" t="s">
        <v>662</v>
      </c>
      <c r="H496" s="610" t="s">
        <v>662</v>
      </c>
      <c r="I496" s="610"/>
      <c r="J496" s="610"/>
      <c r="K496" s="610"/>
      <c r="L496" s="611" t="s">
        <v>922</v>
      </c>
      <c r="M496" s="612">
        <f t="shared" si="345"/>
        <v>0</v>
      </c>
      <c r="N496" s="613"/>
      <c r="O496" s="614" t="s">
        <v>1039</v>
      </c>
      <c r="P496" s="615">
        <v>100</v>
      </c>
      <c r="Q496" s="616">
        <f t="shared" si="329"/>
        <v>14</v>
      </c>
      <c r="R496" s="613"/>
      <c r="S496" s="603"/>
      <c r="T496" s="606"/>
      <c r="U496" s="606"/>
      <c r="V496" s="593">
        <f t="shared" si="312"/>
        <v>0</v>
      </c>
      <c r="W496" s="606"/>
      <c r="X496" s="606"/>
      <c r="Y496" s="606"/>
      <c r="Z496" s="606"/>
      <c r="AA496" s="606"/>
      <c r="AB496" s="606"/>
      <c r="AC496" s="607"/>
      <c r="AD496" s="606"/>
      <c r="AE496" s="608"/>
      <c r="AF496" s="639">
        <v>14</v>
      </c>
      <c r="AG496" s="639">
        <f t="shared" si="311"/>
        <v>14</v>
      </c>
      <c r="AH496" s="639">
        <f t="shared" si="346"/>
        <v>0</v>
      </c>
      <c r="AI496" s="640"/>
      <c r="AJ496" s="641">
        <f t="shared" si="347"/>
        <v>0</v>
      </c>
      <c r="AK496" s="642"/>
      <c r="AL496" s="642" t="s">
        <v>364</v>
      </c>
      <c r="AM496" s="642"/>
      <c r="AN496" s="642"/>
      <c r="AO496" s="644">
        <v>1848</v>
      </c>
      <c r="AP496" s="565"/>
      <c r="AQ496" s="566"/>
      <c r="AR496" s="566"/>
      <c r="AS496" s="566"/>
      <c r="AT496" s="566"/>
      <c r="AU496" s="566"/>
      <c r="AV496" s="566"/>
      <c r="AW496" s="566"/>
      <c r="AX496" s="566"/>
      <c r="AY496" s="566"/>
      <c r="AZ496" s="566"/>
      <c r="BA496" s="566"/>
      <c r="BB496" s="566"/>
      <c r="BC496" s="566"/>
      <c r="BD496" s="566"/>
      <c r="BE496" s="566"/>
      <c r="BF496" s="566"/>
      <c r="BG496" s="566"/>
    </row>
    <row r="497" spans="1:59">
      <c r="A497" s="591"/>
      <c r="B497" s="592"/>
      <c r="C497" s="593"/>
      <c r="D497" s="594">
        <v>1</v>
      </c>
      <c r="E497" s="595" t="s">
        <v>374</v>
      </c>
      <c r="F497" s="593" t="s">
        <v>367</v>
      </c>
      <c r="G497" s="596" t="s">
        <v>663</v>
      </c>
      <c r="H497" s="627" t="s">
        <v>663</v>
      </c>
      <c r="I497" s="596"/>
      <c r="J497" s="596"/>
      <c r="K497" s="596"/>
      <c r="L497" s="591" t="s">
        <v>786</v>
      </c>
      <c r="M497" s="597" t="str">
        <f t="shared" si="345"/>
        <v>Op afroep (in overleg)</v>
      </c>
      <c r="N497" s="591" t="s">
        <v>78</v>
      </c>
      <c r="O497" s="598"/>
      <c r="P497" s="599"/>
      <c r="Q497" s="600">
        <f t="shared" si="329"/>
        <v>0</v>
      </c>
      <c r="R497" s="601">
        <f>AF497</f>
        <v>9</v>
      </c>
      <c r="S497" s="603" t="s">
        <v>959</v>
      </c>
      <c r="T497" s="602"/>
      <c r="U497" s="603"/>
      <c r="V497" s="593">
        <f t="shared" si="312"/>
        <v>0</v>
      </c>
      <c r="W497" s="604">
        <f>Z497*R497*U497</f>
        <v>0</v>
      </c>
      <c r="X497" s="604">
        <f>AA497*R497</f>
        <v>0</v>
      </c>
      <c r="Y497" s="604">
        <f>AB497*R497</f>
        <v>0</v>
      </c>
      <c r="Z497" s="605">
        <f>VLOOKUP(S497,Kengetal,6,FALSE)</f>
        <v>0</v>
      </c>
      <c r="AA497" s="751">
        <f>VLOOKUP(S497,Kengetal,7,FALSE)</f>
        <v>0</v>
      </c>
      <c r="AB497" s="605">
        <f>VLOOKUP(T497,Kengetal,6,FALSE)</f>
        <v>0</v>
      </c>
      <c r="AC497" s="607"/>
      <c r="AD497" s="591" t="str">
        <f>AL497</f>
        <v>Friesland College</v>
      </c>
      <c r="AE497" s="608"/>
      <c r="AF497" s="639">
        <v>9</v>
      </c>
      <c r="AG497" s="639">
        <f t="shared" si="311"/>
        <v>9</v>
      </c>
      <c r="AH497" s="639">
        <f t="shared" si="346"/>
        <v>0</v>
      </c>
      <c r="AI497" s="640"/>
      <c r="AJ497" s="641">
        <f t="shared" si="347"/>
        <v>0</v>
      </c>
      <c r="AK497" s="642"/>
      <c r="AL497" s="642" t="s">
        <v>364</v>
      </c>
      <c r="AM497" s="642"/>
      <c r="AN497" s="642"/>
      <c r="AO497" s="644">
        <v>1849</v>
      </c>
      <c r="AP497" s="565"/>
      <c r="AQ497" s="566"/>
      <c r="AR497" s="566"/>
      <c r="AS497" s="566"/>
      <c r="AT497" s="566"/>
      <c r="AU497" s="566"/>
      <c r="AV497" s="566"/>
      <c r="AW497" s="566"/>
      <c r="AX497" s="566"/>
      <c r="AY497" s="566"/>
      <c r="AZ497" s="566"/>
      <c r="BA497" s="566"/>
      <c r="BB497" s="566"/>
      <c r="BC497" s="566"/>
      <c r="BD497" s="566"/>
      <c r="BE497" s="566"/>
      <c r="BF497" s="566"/>
      <c r="BG497" s="566"/>
    </row>
    <row r="498" spans="1:59">
      <c r="A498" s="591"/>
      <c r="B498" s="609"/>
      <c r="C498" s="609"/>
      <c r="D498" s="594">
        <v>1</v>
      </c>
      <c r="E498" s="595" t="s">
        <v>374</v>
      </c>
      <c r="F498" s="593" t="s">
        <v>367</v>
      </c>
      <c r="G498" s="610" t="s">
        <v>663</v>
      </c>
      <c r="H498" s="610" t="s">
        <v>663</v>
      </c>
      <c r="I498" s="610"/>
      <c r="J498" s="610"/>
      <c r="K498" s="610"/>
      <c r="L498" s="611" t="s">
        <v>786</v>
      </c>
      <c r="M498" s="612">
        <f t="shared" si="345"/>
        <v>0</v>
      </c>
      <c r="N498" s="613"/>
      <c r="O498" s="614" t="s">
        <v>1039</v>
      </c>
      <c r="P498" s="615">
        <v>100</v>
      </c>
      <c r="Q498" s="616">
        <f t="shared" si="329"/>
        <v>9</v>
      </c>
      <c r="R498" s="613"/>
      <c r="S498" s="603"/>
      <c r="T498" s="606"/>
      <c r="U498" s="606"/>
      <c r="V498" s="593">
        <f t="shared" si="312"/>
        <v>0</v>
      </c>
      <c r="W498" s="606"/>
      <c r="X498" s="606"/>
      <c r="Y498" s="606"/>
      <c r="Z498" s="606"/>
      <c r="AA498" s="606"/>
      <c r="AB498" s="606"/>
      <c r="AC498" s="607"/>
      <c r="AD498" s="606"/>
      <c r="AE498" s="608"/>
      <c r="AF498" s="639">
        <v>9</v>
      </c>
      <c r="AG498" s="639">
        <f t="shared" si="311"/>
        <v>9</v>
      </c>
      <c r="AH498" s="639">
        <f t="shared" si="346"/>
        <v>0</v>
      </c>
      <c r="AI498" s="640"/>
      <c r="AJ498" s="641">
        <f t="shared" si="347"/>
        <v>0</v>
      </c>
      <c r="AK498" s="642"/>
      <c r="AL498" s="642" t="s">
        <v>364</v>
      </c>
      <c r="AM498" s="642"/>
      <c r="AN498" s="642"/>
      <c r="AO498" s="644">
        <v>1850</v>
      </c>
      <c r="AP498" s="565"/>
      <c r="AQ498" s="566"/>
      <c r="AR498" s="566"/>
      <c r="AS498" s="566"/>
      <c r="AT498" s="566"/>
      <c r="AU498" s="566"/>
      <c r="AV498" s="566"/>
      <c r="AW498" s="566"/>
      <c r="AX498" s="566"/>
      <c r="AY498" s="566"/>
      <c r="AZ498" s="566"/>
      <c r="BA498" s="566"/>
      <c r="BB498" s="566"/>
      <c r="BC498" s="566"/>
      <c r="BD498" s="566"/>
      <c r="BE498" s="566"/>
      <c r="BF498" s="566"/>
      <c r="BG498" s="566"/>
    </row>
    <row r="499" spans="1:59">
      <c r="A499" s="591"/>
      <c r="B499" s="592"/>
      <c r="C499" s="593"/>
      <c r="D499" s="594">
        <v>1</v>
      </c>
      <c r="E499" s="595" t="s">
        <v>374</v>
      </c>
      <c r="F499" s="593" t="s">
        <v>367</v>
      </c>
      <c r="G499" s="596" t="s">
        <v>664</v>
      </c>
      <c r="H499" s="627" t="s">
        <v>664</v>
      </c>
      <c r="I499" s="596"/>
      <c r="J499" s="596"/>
      <c r="K499" s="596"/>
      <c r="L499" s="591" t="s">
        <v>923</v>
      </c>
      <c r="M499" s="597" t="str">
        <f t="shared" si="345"/>
        <v>Administratieve -, personeels- en vergaderruimte</v>
      </c>
      <c r="N499" s="591" t="s">
        <v>78</v>
      </c>
      <c r="O499" s="598"/>
      <c r="P499" s="599"/>
      <c r="Q499" s="600">
        <f t="shared" si="329"/>
        <v>0</v>
      </c>
      <c r="R499" s="601">
        <f>AF499</f>
        <v>26</v>
      </c>
      <c r="S499" s="647">
        <v>101100</v>
      </c>
      <c r="T499" s="602"/>
      <c r="U499" s="645">
        <v>1</v>
      </c>
      <c r="V499" s="593">
        <f t="shared" si="312"/>
        <v>100</v>
      </c>
      <c r="W499" s="604">
        <f>Z499*R499*U499</f>
        <v>0</v>
      </c>
      <c r="X499" s="604">
        <f>AA499*R499</f>
        <v>0</v>
      </c>
      <c r="Y499" s="604">
        <f>AB499*R499</f>
        <v>0</v>
      </c>
      <c r="Z499" s="605">
        <f>VLOOKUP(S499,Kengetal,6,FALSE)</f>
        <v>0</v>
      </c>
      <c r="AA499" s="751">
        <f>VLOOKUP(S499,Kengetal,7,FALSE)</f>
        <v>0</v>
      </c>
      <c r="AB499" s="605">
        <f>VLOOKUP(T499,Kengetal,6,FALSE)</f>
        <v>0</v>
      </c>
      <c r="AC499" s="607"/>
      <c r="AD499" s="591" t="str">
        <f>AL499</f>
        <v>Friesland College</v>
      </c>
      <c r="AE499" s="608"/>
      <c r="AF499" s="639">
        <v>26</v>
      </c>
      <c r="AG499" s="639">
        <f t="shared" si="311"/>
        <v>26</v>
      </c>
      <c r="AH499" s="639">
        <f t="shared" si="346"/>
        <v>0</v>
      </c>
      <c r="AI499" s="640"/>
      <c r="AJ499" s="641">
        <f t="shared" si="347"/>
        <v>0</v>
      </c>
      <c r="AK499" s="642"/>
      <c r="AL499" s="642" t="s">
        <v>364</v>
      </c>
      <c r="AM499" s="642"/>
      <c r="AN499" s="642"/>
      <c r="AO499" s="644">
        <v>1851</v>
      </c>
      <c r="AP499" s="565"/>
      <c r="AQ499" s="566"/>
      <c r="AR499" s="566"/>
      <c r="AS499" s="566"/>
      <c r="AT499" s="566"/>
      <c r="AU499" s="566"/>
      <c r="AV499" s="566"/>
      <c r="AW499" s="566"/>
      <c r="AX499" s="566"/>
      <c r="AY499" s="566"/>
      <c r="AZ499" s="566"/>
      <c r="BA499" s="566"/>
      <c r="BB499" s="566"/>
      <c r="BC499" s="566"/>
      <c r="BD499" s="566"/>
      <c r="BE499" s="566"/>
      <c r="BF499" s="566"/>
      <c r="BG499" s="566"/>
    </row>
    <row r="500" spans="1:59">
      <c r="A500" s="591"/>
      <c r="B500" s="609"/>
      <c r="C500" s="609"/>
      <c r="D500" s="594">
        <v>1</v>
      </c>
      <c r="E500" s="595" t="s">
        <v>374</v>
      </c>
      <c r="F500" s="593" t="s">
        <v>367</v>
      </c>
      <c r="G500" s="610" t="s">
        <v>664</v>
      </c>
      <c r="H500" s="610" t="s">
        <v>664</v>
      </c>
      <c r="I500" s="610"/>
      <c r="J500" s="610"/>
      <c r="K500" s="610"/>
      <c r="L500" s="611" t="s">
        <v>923</v>
      </c>
      <c r="M500" s="612">
        <f t="shared" si="345"/>
        <v>0</v>
      </c>
      <c r="N500" s="613"/>
      <c r="O500" s="614" t="s">
        <v>1039</v>
      </c>
      <c r="P500" s="615">
        <v>100</v>
      </c>
      <c r="Q500" s="616">
        <f t="shared" si="329"/>
        <v>26</v>
      </c>
      <c r="R500" s="613"/>
      <c r="S500" s="603"/>
      <c r="T500" s="606"/>
      <c r="U500" s="606"/>
      <c r="V500" s="593">
        <f t="shared" si="312"/>
        <v>0</v>
      </c>
      <c r="W500" s="606"/>
      <c r="X500" s="606"/>
      <c r="Y500" s="606"/>
      <c r="Z500" s="606"/>
      <c r="AA500" s="606"/>
      <c r="AB500" s="606"/>
      <c r="AC500" s="607"/>
      <c r="AD500" s="606"/>
      <c r="AE500" s="608"/>
      <c r="AF500" s="639">
        <v>26</v>
      </c>
      <c r="AG500" s="639">
        <f t="shared" si="311"/>
        <v>26</v>
      </c>
      <c r="AH500" s="639">
        <f t="shared" si="346"/>
        <v>0</v>
      </c>
      <c r="AI500" s="640"/>
      <c r="AJ500" s="641">
        <f t="shared" si="347"/>
        <v>0</v>
      </c>
      <c r="AK500" s="642"/>
      <c r="AL500" s="642" t="s">
        <v>364</v>
      </c>
      <c r="AM500" s="643"/>
      <c r="AN500" s="642"/>
      <c r="AO500" s="644">
        <v>1852</v>
      </c>
      <c r="AP500" s="565"/>
      <c r="AQ500" s="566"/>
      <c r="AR500" s="566"/>
      <c r="AS500" s="566"/>
      <c r="AT500" s="566"/>
      <c r="AU500" s="566"/>
      <c r="AV500" s="566"/>
      <c r="AW500" s="566"/>
      <c r="AX500" s="566"/>
      <c r="AY500" s="566"/>
      <c r="AZ500" s="566"/>
      <c r="BA500" s="566"/>
      <c r="BB500" s="566"/>
      <c r="BC500" s="566"/>
      <c r="BD500" s="566"/>
      <c r="BE500" s="566"/>
      <c r="BF500" s="566"/>
      <c r="BG500" s="566"/>
    </row>
    <row r="501" spans="1:59">
      <c r="A501" s="591"/>
      <c r="B501" s="592"/>
      <c r="C501" s="593"/>
      <c r="D501" s="594">
        <v>1</v>
      </c>
      <c r="E501" s="595" t="s">
        <v>374</v>
      </c>
      <c r="F501" s="593" t="s">
        <v>367</v>
      </c>
      <c r="G501" s="596" t="s">
        <v>665</v>
      </c>
      <c r="H501" s="627" t="s">
        <v>665</v>
      </c>
      <c r="I501" s="596"/>
      <c r="J501" s="596"/>
      <c r="K501" s="596"/>
      <c r="L501" s="591" t="s">
        <v>924</v>
      </c>
      <c r="M501" s="597" t="str">
        <f t="shared" si="345"/>
        <v>Administratieve -, personeels- en vergaderruimte</v>
      </c>
      <c r="N501" s="591" t="s">
        <v>78</v>
      </c>
      <c r="O501" s="598"/>
      <c r="P501" s="599"/>
      <c r="Q501" s="600">
        <f t="shared" si="329"/>
        <v>0</v>
      </c>
      <c r="R501" s="601">
        <f>AF501</f>
        <v>23</v>
      </c>
      <c r="S501" s="647">
        <v>101100</v>
      </c>
      <c r="T501" s="602"/>
      <c r="U501" s="645">
        <v>1</v>
      </c>
      <c r="V501" s="593">
        <f t="shared" si="312"/>
        <v>100</v>
      </c>
      <c r="W501" s="604">
        <f>Z501*R501*U501</f>
        <v>0</v>
      </c>
      <c r="X501" s="604">
        <f>AA501*R501</f>
        <v>0</v>
      </c>
      <c r="Y501" s="604">
        <f>AB501*R501</f>
        <v>0</v>
      </c>
      <c r="Z501" s="605">
        <f>VLOOKUP(S501,Kengetal,6,FALSE)</f>
        <v>0</v>
      </c>
      <c r="AA501" s="751">
        <f>VLOOKUP(S501,Kengetal,7,FALSE)</f>
        <v>0</v>
      </c>
      <c r="AB501" s="605">
        <f>VLOOKUP(T501,Kengetal,6,FALSE)</f>
        <v>0</v>
      </c>
      <c r="AC501" s="607"/>
      <c r="AD501" s="591" t="str">
        <f>AL501</f>
        <v>Friesland College</v>
      </c>
      <c r="AE501" s="608"/>
      <c r="AF501" s="639">
        <v>23</v>
      </c>
      <c r="AG501" s="639">
        <f t="shared" si="311"/>
        <v>23</v>
      </c>
      <c r="AH501" s="639">
        <f t="shared" si="346"/>
        <v>0</v>
      </c>
      <c r="AI501" s="640"/>
      <c r="AJ501" s="641">
        <f t="shared" si="347"/>
        <v>0</v>
      </c>
      <c r="AK501" s="642"/>
      <c r="AL501" s="642" t="s">
        <v>364</v>
      </c>
      <c r="AM501" s="643"/>
      <c r="AN501" s="642"/>
      <c r="AO501" s="644">
        <v>1853</v>
      </c>
      <c r="AP501" s="565"/>
      <c r="AQ501" s="566"/>
      <c r="AR501" s="566"/>
      <c r="AS501" s="566"/>
      <c r="AT501" s="566"/>
      <c r="AU501" s="566"/>
      <c r="AV501" s="566"/>
      <c r="AW501" s="566"/>
      <c r="AX501" s="566"/>
      <c r="AY501" s="566"/>
      <c r="AZ501" s="566"/>
      <c r="BA501" s="566"/>
      <c r="BB501" s="566"/>
      <c r="BC501" s="566"/>
      <c r="BD501" s="566"/>
      <c r="BE501" s="566"/>
      <c r="BF501" s="566"/>
      <c r="BG501" s="566"/>
    </row>
    <row r="502" spans="1:59">
      <c r="A502" s="591"/>
      <c r="B502" s="609"/>
      <c r="C502" s="609"/>
      <c r="D502" s="594">
        <v>1</v>
      </c>
      <c r="E502" s="595" t="s">
        <v>374</v>
      </c>
      <c r="F502" s="593" t="s">
        <v>367</v>
      </c>
      <c r="G502" s="610" t="s">
        <v>665</v>
      </c>
      <c r="H502" s="610" t="s">
        <v>665</v>
      </c>
      <c r="I502" s="610"/>
      <c r="J502" s="610"/>
      <c r="K502" s="610"/>
      <c r="L502" s="611" t="s">
        <v>924</v>
      </c>
      <c r="M502" s="612">
        <f t="shared" si="345"/>
        <v>0</v>
      </c>
      <c r="N502" s="613"/>
      <c r="O502" s="614" t="s">
        <v>1039</v>
      </c>
      <c r="P502" s="615">
        <v>100</v>
      </c>
      <c r="Q502" s="616">
        <f t="shared" si="329"/>
        <v>23</v>
      </c>
      <c r="R502" s="613"/>
      <c r="S502" s="603"/>
      <c r="T502" s="606"/>
      <c r="U502" s="606"/>
      <c r="V502" s="593">
        <f t="shared" si="312"/>
        <v>0</v>
      </c>
      <c r="W502" s="606"/>
      <c r="X502" s="606"/>
      <c r="Y502" s="606"/>
      <c r="Z502" s="606"/>
      <c r="AA502" s="606"/>
      <c r="AB502" s="606"/>
      <c r="AC502" s="607"/>
      <c r="AD502" s="606"/>
      <c r="AE502" s="608"/>
      <c r="AF502" s="639">
        <v>23</v>
      </c>
      <c r="AG502" s="639">
        <f t="shared" si="311"/>
        <v>23</v>
      </c>
      <c r="AH502" s="639">
        <f t="shared" si="346"/>
        <v>0</v>
      </c>
      <c r="AI502" s="640"/>
      <c r="AJ502" s="641">
        <f t="shared" si="347"/>
        <v>0</v>
      </c>
      <c r="AK502" s="642"/>
      <c r="AL502" s="642" t="s">
        <v>364</v>
      </c>
      <c r="AM502" s="643"/>
      <c r="AN502" s="642"/>
      <c r="AO502" s="644">
        <v>1854</v>
      </c>
      <c r="AP502" s="565"/>
      <c r="AQ502" s="566"/>
      <c r="AR502" s="566"/>
      <c r="AS502" s="566"/>
      <c r="AT502" s="566"/>
      <c r="AU502" s="566"/>
      <c r="AV502" s="566"/>
      <c r="AW502" s="566"/>
      <c r="AX502" s="566"/>
      <c r="AY502" s="566"/>
      <c r="AZ502" s="566"/>
      <c r="BA502" s="566"/>
      <c r="BB502" s="566"/>
      <c r="BC502" s="566"/>
      <c r="BD502" s="566"/>
      <c r="BE502" s="566"/>
      <c r="BF502" s="566"/>
      <c r="BG502" s="566"/>
    </row>
    <row r="503" spans="1:59">
      <c r="A503" s="591"/>
      <c r="B503" s="592"/>
      <c r="C503" s="593"/>
      <c r="D503" s="594">
        <v>1</v>
      </c>
      <c r="E503" s="595" t="s">
        <v>374</v>
      </c>
      <c r="F503" s="593" t="s">
        <v>367</v>
      </c>
      <c r="G503" s="596" t="s">
        <v>666</v>
      </c>
      <c r="H503" s="627" t="s">
        <v>666</v>
      </c>
      <c r="I503" s="596"/>
      <c r="J503" s="596"/>
      <c r="K503" s="596"/>
      <c r="L503" s="591" t="s">
        <v>882</v>
      </c>
      <c r="M503" s="597" t="str">
        <f t="shared" si="345"/>
        <v>Niet van toepassing</v>
      </c>
      <c r="N503" s="591" t="s">
        <v>323</v>
      </c>
      <c r="O503" s="598"/>
      <c r="P503" s="599"/>
      <c r="Q503" s="600">
        <f t="shared" si="329"/>
        <v>0</v>
      </c>
      <c r="R503" s="601">
        <f>AF503</f>
        <v>1</v>
      </c>
      <c r="S503" s="603" t="s">
        <v>28</v>
      </c>
      <c r="T503" s="602"/>
      <c r="U503" s="603"/>
      <c r="V503" s="593">
        <f t="shared" si="312"/>
        <v>0</v>
      </c>
      <c r="W503" s="604">
        <f t="shared" ref="W503:W504" si="348">Z503*R503*U503</f>
        <v>0</v>
      </c>
      <c r="X503" s="604">
        <f t="shared" ref="X503:X504" si="349">AA503*R503</f>
        <v>0</v>
      </c>
      <c r="Y503" s="604">
        <f t="shared" ref="Y503:Y504" si="350">AB503*R503</f>
        <v>0</v>
      </c>
      <c r="Z503" s="605">
        <f>VLOOKUP(S503,Kengetal,6,FALSE)</f>
        <v>0</v>
      </c>
      <c r="AA503" s="751">
        <f>VLOOKUP(S503,Kengetal,7,FALSE)</f>
        <v>0</v>
      </c>
      <c r="AB503" s="605">
        <f>VLOOKUP(T503,Kengetal,6,FALSE)</f>
        <v>0</v>
      </c>
      <c r="AC503" s="607"/>
      <c r="AD503" s="591" t="str">
        <f>AL503</f>
        <v>Friesland College</v>
      </c>
      <c r="AE503" s="608"/>
      <c r="AF503" s="639">
        <v>1</v>
      </c>
      <c r="AG503" s="639">
        <f t="shared" si="311"/>
        <v>1</v>
      </c>
      <c r="AH503" s="639">
        <f t="shared" si="346"/>
        <v>0</v>
      </c>
      <c r="AI503" s="640"/>
      <c r="AJ503" s="641">
        <f t="shared" si="347"/>
        <v>0</v>
      </c>
      <c r="AK503" s="642"/>
      <c r="AL503" s="642" t="s">
        <v>364</v>
      </c>
      <c r="AM503" s="643"/>
      <c r="AN503" s="642"/>
      <c r="AO503" s="644">
        <v>1855</v>
      </c>
      <c r="AP503" s="565"/>
      <c r="AQ503" s="566"/>
      <c r="AR503" s="566"/>
      <c r="AS503" s="566"/>
      <c r="AT503" s="566"/>
      <c r="AU503" s="566"/>
      <c r="AV503" s="566"/>
      <c r="AW503" s="566"/>
      <c r="AX503" s="566"/>
      <c r="AY503" s="566"/>
      <c r="AZ503" s="566"/>
      <c r="BA503" s="566"/>
      <c r="BB503" s="566"/>
      <c r="BC503" s="566"/>
      <c r="BD503" s="566"/>
      <c r="BE503" s="566"/>
      <c r="BF503" s="566"/>
      <c r="BG503" s="566"/>
    </row>
    <row r="504" spans="1:59">
      <c r="A504" s="591"/>
      <c r="B504" s="592"/>
      <c r="C504" s="593"/>
      <c r="D504" s="594">
        <v>1</v>
      </c>
      <c r="E504" s="595" t="s">
        <v>374</v>
      </c>
      <c r="F504" s="593" t="s">
        <v>367</v>
      </c>
      <c r="G504" s="596" t="s">
        <v>667</v>
      </c>
      <c r="H504" s="627" t="s">
        <v>667</v>
      </c>
      <c r="I504" s="596"/>
      <c r="J504" s="596"/>
      <c r="K504" s="596"/>
      <c r="L504" s="591" t="s">
        <v>925</v>
      </c>
      <c r="M504" s="597" t="str">
        <f t="shared" si="345"/>
        <v>Administratieve -, personeels- en vergaderruimte</v>
      </c>
      <c r="N504" s="591" t="s">
        <v>78</v>
      </c>
      <c r="O504" s="598"/>
      <c r="P504" s="599"/>
      <c r="Q504" s="600">
        <f t="shared" si="329"/>
        <v>0</v>
      </c>
      <c r="R504" s="601">
        <f>AF504</f>
        <v>45</v>
      </c>
      <c r="S504" s="647">
        <v>101100</v>
      </c>
      <c r="T504" s="602"/>
      <c r="U504" s="645">
        <v>1</v>
      </c>
      <c r="V504" s="593">
        <f t="shared" si="312"/>
        <v>100</v>
      </c>
      <c r="W504" s="604">
        <f t="shared" si="348"/>
        <v>0</v>
      </c>
      <c r="X504" s="604">
        <f t="shared" si="349"/>
        <v>0</v>
      </c>
      <c r="Y504" s="604">
        <f t="shared" si="350"/>
        <v>0</v>
      </c>
      <c r="Z504" s="605">
        <f>VLOOKUP(S504,Kengetal,6,FALSE)</f>
        <v>0</v>
      </c>
      <c r="AA504" s="751">
        <f>VLOOKUP(S504,Kengetal,7,FALSE)</f>
        <v>0</v>
      </c>
      <c r="AB504" s="605">
        <f>VLOOKUP(T504,Kengetal,6,FALSE)</f>
        <v>0</v>
      </c>
      <c r="AC504" s="607"/>
      <c r="AD504" s="591" t="str">
        <f>AL504</f>
        <v>Friesland College</v>
      </c>
      <c r="AE504" s="608"/>
      <c r="AF504" s="639">
        <v>45</v>
      </c>
      <c r="AG504" s="639">
        <f t="shared" si="311"/>
        <v>45</v>
      </c>
      <c r="AH504" s="639">
        <f t="shared" si="346"/>
        <v>0</v>
      </c>
      <c r="AI504" s="640"/>
      <c r="AJ504" s="641">
        <f t="shared" si="347"/>
        <v>0</v>
      </c>
      <c r="AK504" s="642"/>
      <c r="AL504" s="642" t="s">
        <v>364</v>
      </c>
      <c r="AM504" s="643"/>
      <c r="AN504" s="642"/>
      <c r="AO504" s="644">
        <v>1856</v>
      </c>
      <c r="AP504" s="565"/>
      <c r="AQ504" s="566"/>
      <c r="AR504" s="566"/>
      <c r="AS504" s="566"/>
      <c r="AT504" s="566"/>
      <c r="AU504" s="566"/>
      <c r="AV504" s="566"/>
      <c r="AW504" s="566"/>
      <c r="AX504" s="566"/>
      <c r="AY504" s="566"/>
      <c r="AZ504" s="566"/>
      <c r="BA504" s="566"/>
      <c r="BB504" s="566"/>
      <c r="BC504" s="566"/>
      <c r="BD504" s="566"/>
      <c r="BE504" s="566"/>
      <c r="BF504" s="566"/>
      <c r="BG504" s="566"/>
    </row>
    <row r="505" spans="1:59">
      <c r="A505" s="591"/>
      <c r="B505" s="609"/>
      <c r="C505" s="609"/>
      <c r="D505" s="594">
        <v>1</v>
      </c>
      <c r="E505" s="595" t="s">
        <v>374</v>
      </c>
      <c r="F505" s="593" t="s">
        <v>367</v>
      </c>
      <c r="G505" s="610" t="s">
        <v>667</v>
      </c>
      <c r="H505" s="610" t="s">
        <v>667</v>
      </c>
      <c r="I505" s="610"/>
      <c r="J505" s="610"/>
      <c r="K505" s="610"/>
      <c r="L505" s="611" t="s">
        <v>925</v>
      </c>
      <c r="M505" s="612">
        <f t="shared" si="345"/>
        <v>0</v>
      </c>
      <c r="N505" s="613"/>
      <c r="O505" s="614" t="s">
        <v>1039</v>
      </c>
      <c r="P505" s="615">
        <v>100</v>
      </c>
      <c r="Q505" s="616">
        <f t="shared" si="329"/>
        <v>45</v>
      </c>
      <c r="R505" s="613"/>
      <c r="S505" s="603"/>
      <c r="T505" s="606"/>
      <c r="U505" s="606"/>
      <c r="V505" s="593">
        <f t="shared" si="312"/>
        <v>0</v>
      </c>
      <c r="W505" s="606"/>
      <c r="X505" s="606"/>
      <c r="Y505" s="606"/>
      <c r="Z505" s="606"/>
      <c r="AA505" s="606"/>
      <c r="AB505" s="606"/>
      <c r="AC505" s="607"/>
      <c r="AD505" s="606"/>
      <c r="AE505" s="608"/>
      <c r="AF505" s="639">
        <v>45</v>
      </c>
      <c r="AG505" s="639">
        <f t="shared" si="311"/>
        <v>45</v>
      </c>
      <c r="AH505" s="639">
        <f t="shared" si="346"/>
        <v>0</v>
      </c>
      <c r="AI505" s="640"/>
      <c r="AJ505" s="641">
        <f t="shared" si="347"/>
        <v>0</v>
      </c>
      <c r="AK505" s="642"/>
      <c r="AL505" s="642" t="s">
        <v>364</v>
      </c>
      <c r="AM505" s="643"/>
      <c r="AN505" s="642"/>
      <c r="AO505" s="644">
        <v>1857</v>
      </c>
      <c r="AP505" s="565"/>
      <c r="AQ505" s="566"/>
      <c r="AR505" s="566"/>
      <c r="AS505" s="566"/>
      <c r="AT505" s="566"/>
      <c r="AU505" s="566"/>
      <c r="AV505" s="566"/>
      <c r="AW505" s="566"/>
      <c r="AX505" s="566"/>
      <c r="AY505" s="566"/>
      <c r="AZ505" s="566"/>
      <c r="BA505" s="566"/>
      <c r="BB505" s="566"/>
      <c r="BC505" s="566"/>
      <c r="BD505" s="566"/>
      <c r="BE505" s="566"/>
      <c r="BF505" s="566"/>
      <c r="BG505" s="566"/>
    </row>
    <row r="506" spans="1:59">
      <c r="A506" s="591"/>
      <c r="B506" s="592"/>
      <c r="C506" s="593"/>
      <c r="D506" s="594">
        <v>1</v>
      </c>
      <c r="E506" s="595" t="s">
        <v>374</v>
      </c>
      <c r="F506" s="593" t="s">
        <v>367</v>
      </c>
      <c r="G506" s="596" t="s">
        <v>668</v>
      </c>
      <c r="H506" s="627" t="s">
        <v>729</v>
      </c>
      <c r="I506" s="596"/>
      <c r="J506" s="596"/>
      <c r="K506" s="596"/>
      <c r="L506" s="591" t="s">
        <v>926</v>
      </c>
      <c r="M506" s="597" t="str">
        <f t="shared" si="345"/>
        <v>Gang, hal, pantry, aula, repro, gardarobe</v>
      </c>
      <c r="N506" s="591" t="s">
        <v>78</v>
      </c>
      <c r="O506" s="598"/>
      <c r="P506" s="599"/>
      <c r="Q506" s="600">
        <f t="shared" si="329"/>
        <v>0</v>
      </c>
      <c r="R506" s="601">
        <f>AF506</f>
        <v>26</v>
      </c>
      <c r="S506" s="647">
        <v>104200</v>
      </c>
      <c r="T506" s="602"/>
      <c r="U506" s="645">
        <v>1</v>
      </c>
      <c r="V506" s="593">
        <f t="shared" si="312"/>
        <v>200</v>
      </c>
      <c r="W506" s="604">
        <f>Z506*R506*U506</f>
        <v>0</v>
      </c>
      <c r="X506" s="604">
        <f>AA506*R506</f>
        <v>0</v>
      </c>
      <c r="Y506" s="604">
        <f>AB506*R506</f>
        <v>0</v>
      </c>
      <c r="Z506" s="605">
        <f>VLOOKUP(S506,Kengetal,6,FALSE)</f>
        <v>0</v>
      </c>
      <c r="AA506" s="751">
        <f>VLOOKUP(S506,Kengetal,7,FALSE)</f>
        <v>0</v>
      </c>
      <c r="AB506" s="605">
        <f>VLOOKUP(T506,Kengetal,6,FALSE)</f>
        <v>0</v>
      </c>
      <c r="AC506" s="607"/>
      <c r="AD506" s="591" t="str">
        <f>AL506</f>
        <v>Friesland College</v>
      </c>
      <c r="AE506" s="608"/>
      <c r="AF506" s="639">
        <v>26</v>
      </c>
      <c r="AG506" s="639">
        <f t="shared" si="311"/>
        <v>26</v>
      </c>
      <c r="AH506" s="639">
        <f t="shared" si="346"/>
        <v>0</v>
      </c>
      <c r="AI506" s="640"/>
      <c r="AJ506" s="641">
        <f t="shared" si="347"/>
        <v>0</v>
      </c>
      <c r="AK506" s="642"/>
      <c r="AL506" s="642" t="s">
        <v>364</v>
      </c>
      <c r="AM506" s="643"/>
      <c r="AN506" s="642"/>
      <c r="AO506" s="644">
        <v>1858</v>
      </c>
      <c r="AP506" s="565"/>
      <c r="AQ506" s="566"/>
      <c r="AR506" s="566"/>
      <c r="AS506" s="566"/>
      <c r="AT506" s="566"/>
      <c r="AU506" s="566"/>
      <c r="AV506" s="566"/>
      <c r="AW506" s="566"/>
      <c r="AX506" s="566"/>
      <c r="AY506" s="566"/>
      <c r="AZ506" s="566"/>
      <c r="BA506" s="566"/>
      <c r="BB506" s="566"/>
      <c r="BC506" s="566"/>
      <c r="BD506" s="566"/>
      <c r="BE506" s="566"/>
      <c r="BF506" s="566"/>
      <c r="BG506" s="566"/>
    </row>
    <row r="507" spans="1:59">
      <c r="A507" s="591"/>
      <c r="B507" s="618"/>
      <c r="C507" s="609"/>
      <c r="D507" s="594">
        <v>1</v>
      </c>
      <c r="E507" s="595" t="s">
        <v>374</v>
      </c>
      <c r="F507" s="593" t="s">
        <v>367</v>
      </c>
      <c r="G507" s="610" t="s">
        <v>668</v>
      </c>
      <c r="H507" s="610" t="s">
        <v>729</v>
      </c>
      <c r="I507" s="610"/>
      <c r="J507" s="610"/>
      <c r="K507" s="610"/>
      <c r="L507" s="611" t="s">
        <v>926</v>
      </c>
      <c r="M507" s="612">
        <f t="shared" si="345"/>
        <v>0</v>
      </c>
      <c r="N507" s="613"/>
      <c r="O507" s="614" t="s">
        <v>1039</v>
      </c>
      <c r="P507" s="615">
        <v>100</v>
      </c>
      <c r="Q507" s="616">
        <f t="shared" si="329"/>
        <v>26</v>
      </c>
      <c r="R507" s="613"/>
      <c r="S507" s="603"/>
      <c r="T507" s="606"/>
      <c r="U507" s="606"/>
      <c r="V507" s="593">
        <f t="shared" si="312"/>
        <v>0</v>
      </c>
      <c r="W507" s="606"/>
      <c r="X507" s="606"/>
      <c r="Y507" s="606"/>
      <c r="Z507" s="606"/>
      <c r="AA507" s="606"/>
      <c r="AB507" s="606"/>
      <c r="AC507" s="607"/>
      <c r="AD507" s="606"/>
      <c r="AE507" s="608"/>
      <c r="AF507" s="639">
        <v>26</v>
      </c>
      <c r="AG507" s="639">
        <f t="shared" si="311"/>
        <v>26</v>
      </c>
      <c r="AH507" s="639">
        <f t="shared" si="346"/>
        <v>0</v>
      </c>
      <c r="AI507" s="640"/>
      <c r="AJ507" s="641">
        <f t="shared" si="347"/>
        <v>0</v>
      </c>
      <c r="AK507" s="642"/>
      <c r="AL507" s="642" t="s">
        <v>364</v>
      </c>
      <c r="AM507" s="643"/>
      <c r="AN507" s="642"/>
      <c r="AO507" s="644">
        <v>1859</v>
      </c>
      <c r="AP507" s="565"/>
      <c r="AQ507" s="566"/>
      <c r="AR507" s="566"/>
      <c r="AS507" s="566"/>
      <c r="AT507" s="566"/>
      <c r="AU507" s="566"/>
      <c r="AV507" s="566"/>
      <c r="AW507" s="566"/>
      <c r="AX507" s="566"/>
      <c r="AY507" s="566"/>
      <c r="AZ507" s="566"/>
      <c r="BA507" s="566"/>
      <c r="BB507" s="566"/>
      <c r="BC507" s="566"/>
      <c r="BD507" s="566"/>
      <c r="BE507" s="566"/>
      <c r="BF507" s="566"/>
      <c r="BG507" s="566"/>
    </row>
    <row r="508" spans="1:59">
      <c r="A508" s="591"/>
      <c r="B508" s="592"/>
      <c r="C508" s="593"/>
      <c r="D508" s="594">
        <v>1</v>
      </c>
      <c r="E508" s="595" t="s">
        <v>374</v>
      </c>
      <c r="F508" s="593" t="s">
        <v>367</v>
      </c>
      <c r="G508" s="596" t="s">
        <v>692</v>
      </c>
      <c r="H508" s="596" t="s">
        <v>730</v>
      </c>
      <c r="I508" s="596"/>
      <c r="J508" s="596"/>
      <c r="K508" s="596"/>
      <c r="L508" s="591" t="s">
        <v>927</v>
      </c>
      <c r="M508" s="597" t="str">
        <f t="shared" si="345"/>
        <v>Niet van toepassing</v>
      </c>
      <c r="N508" s="591" t="s">
        <v>947</v>
      </c>
      <c r="O508" s="598"/>
      <c r="P508" s="599"/>
      <c r="Q508" s="600">
        <f t="shared" si="329"/>
        <v>0</v>
      </c>
      <c r="R508" s="601">
        <f>AF508</f>
        <v>603</v>
      </c>
      <c r="S508" s="603" t="s">
        <v>28</v>
      </c>
      <c r="T508" s="602"/>
      <c r="U508" s="603"/>
      <c r="V508" s="593">
        <f t="shared" si="312"/>
        <v>0</v>
      </c>
      <c r="W508" s="604">
        <f>Z508*R508*U508</f>
        <v>0</v>
      </c>
      <c r="X508" s="604">
        <f>AA508*R508</f>
        <v>0</v>
      </c>
      <c r="Y508" s="604">
        <f>AB508*R508</f>
        <v>0</v>
      </c>
      <c r="Z508" s="605">
        <f>VLOOKUP(S508,Kengetal,6,FALSE)</f>
        <v>0</v>
      </c>
      <c r="AA508" s="751">
        <f>VLOOKUP(S508,Kengetal,7,FALSE)</f>
        <v>0</v>
      </c>
      <c r="AB508" s="605">
        <f>VLOOKUP(T508,Kengetal,6,FALSE)</f>
        <v>0</v>
      </c>
      <c r="AC508" s="607"/>
      <c r="AD508" s="591" t="str">
        <f>AL508</f>
        <v>Friesland College</v>
      </c>
      <c r="AE508" s="608"/>
      <c r="AF508" s="639">
        <v>603</v>
      </c>
      <c r="AG508" s="639">
        <f t="shared" si="311"/>
        <v>603</v>
      </c>
      <c r="AH508" s="639">
        <f t="shared" si="346"/>
        <v>0</v>
      </c>
      <c r="AI508" s="640"/>
      <c r="AJ508" s="641">
        <f t="shared" si="347"/>
        <v>0</v>
      </c>
      <c r="AK508" s="642"/>
      <c r="AL508" s="642" t="s">
        <v>364</v>
      </c>
      <c r="AM508" s="643"/>
      <c r="AN508" s="642"/>
      <c r="AO508" s="644">
        <v>1860</v>
      </c>
      <c r="AP508" s="565"/>
      <c r="AQ508" s="566"/>
      <c r="AR508" s="566"/>
      <c r="AS508" s="566"/>
      <c r="AT508" s="566"/>
      <c r="AU508" s="566"/>
      <c r="AV508" s="566"/>
      <c r="AW508" s="566"/>
      <c r="AX508" s="566"/>
      <c r="AY508" s="566"/>
      <c r="AZ508" s="566"/>
      <c r="BA508" s="566"/>
      <c r="BB508" s="566"/>
      <c r="BC508" s="566"/>
      <c r="BD508" s="566"/>
      <c r="BE508" s="566"/>
      <c r="BF508" s="566"/>
      <c r="BG508" s="566"/>
    </row>
    <row r="509" spans="1:59">
      <c r="A509" s="591"/>
      <c r="B509" s="618"/>
      <c r="C509" s="609"/>
      <c r="D509" s="594">
        <v>1</v>
      </c>
      <c r="E509" s="595" t="s">
        <v>374</v>
      </c>
      <c r="F509" s="593" t="s">
        <v>367</v>
      </c>
      <c r="G509" s="610" t="s">
        <v>692</v>
      </c>
      <c r="H509" s="610" t="s">
        <v>730</v>
      </c>
      <c r="I509" s="610"/>
      <c r="J509" s="610"/>
      <c r="K509" s="610"/>
      <c r="L509" s="611" t="s">
        <v>927</v>
      </c>
      <c r="M509" s="612">
        <f t="shared" si="345"/>
        <v>0</v>
      </c>
      <c r="N509" s="613"/>
      <c r="O509" s="614" t="s">
        <v>1036</v>
      </c>
      <c r="P509" s="615">
        <v>100</v>
      </c>
      <c r="Q509" s="616">
        <f t="shared" si="329"/>
        <v>603</v>
      </c>
      <c r="R509" s="613"/>
      <c r="S509" s="603"/>
      <c r="T509" s="606"/>
      <c r="U509" s="606"/>
      <c r="V509" s="593">
        <f t="shared" si="312"/>
        <v>0</v>
      </c>
      <c r="W509" s="606"/>
      <c r="X509" s="606"/>
      <c r="Y509" s="606"/>
      <c r="Z509" s="606"/>
      <c r="AA509" s="606"/>
      <c r="AB509" s="606"/>
      <c r="AC509" s="607"/>
      <c r="AD509" s="606"/>
      <c r="AE509" s="608"/>
      <c r="AF509" s="639">
        <v>603</v>
      </c>
      <c r="AG509" s="639">
        <f t="shared" si="311"/>
        <v>603</v>
      </c>
      <c r="AH509" s="639">
        <f t="shared" si="346"/>
        <v>0</v>
      </c>
      <c r="AI509" s="640"/>
      <c r="AJ509" s="641">
        <f t="shared" si="347"/>
        <v>0</v>
      </c>
      <c r="AK509" s="642"/>
      <c r="AL509" s="642" t="s">
        <v>364</v>
      </c>
      <c r="AM509" s="643"/>
      <c r="AN509" s="642"/>
      <c r="AO509" s="644">
        <v>1861</v>
      </c>
      <c r="AP509" s="565"/>
      <c r="AQ509" s="566"/>
      <c r="AR509" s="566"/>
      <c r="AS509" s="566"/>
      <c r="AT509" s="566"/>
      <c r="AU509" s="566"/>
      <c r="AV509" s="566"/>
      <c r="AW509" s="566"/>
      <c r="AX509" s="566"/>
      <c r="AY509" s="566"/>
      <c r="AZ509" s="566"/>
      <c r="BA509" s="566"/>
      <c r="BB509" s="566"/>
      <c r="BC509" s="566"/>
      <c r="BD509" s="566"/>
      <c r="BE509" s="566"/>
      <c r="BF509" s="566"/>
      <c r="BG509" s="566"/>
    </row>
    <row r="510" spans="1:59">
      <c r="A510" s="591"/>
      <c r="B510" s="592"/>
      <c r="C510" s="593"/>
      <c r="D510" s="594">
        <v>1</v>
      </c>
      <c r="E510" s="595" t="s">
        <v>374</v>
      </c>
      <c r="F510" s="593" t="s">
        <v>367</v>
      </c>
      <c r="G510" s="596" t="s">
        <v>693</v>
      </c>
      <c r="H510" s="596" t="s">
        <v>693</v>
      </c>
      <c r="I510" s="596"/>
      <c r="J510" s="596"/>
      <c r="K510" s="596"/>
      <c r="L510" s="591" t="s">
        <v>905</v>
      </c>
      <c r="M510" s="597" t="str">
        <f t="shared" si="345"/>
        <v>Gang, hal, pantry, aula, repro, gardarobe</v>
      </c>
      <c r="N510" s="591" t="s">
        <v>78</v>
      </c>
      <c r="O510" s="598"/>
      <c r="P510" s="599"/>
      <c r="Q510" s="600">
        <f t="shared" si="329"/>
        <v>0</v>
      </c>
      <c r="R510" s="601">
        <f>AF510</f>
        <v>4</v>
      </c>
      <c r="S510" s="647">
        <v>104200</v>
      </c>
      <c r="T510" s="602"/>
      <c r="U510" s="645">
        <v>1</v>
      </c>
      <c r="V510" s="593">
        <f t="shared" si="312"/>
        <v>200</v>
      </c>
      <c r="W510" s="604">
        <f t="shared" ref="W510:W511" si="351">Z510*R510*U510</f>
        <v>0</v>
      </c>
      <c r="X510" s="604">
        <f t="shared" ref="X510:X511" si="352">AA510*R510</f>
        <v>0</v>
      </c>
      <c r="Y510" s="604">
        <f t="shared" ref="Y510:Y511" si="353">AB510*R510</f>
        <v>0</v>
      </c>
      <c r="Z510" s="605">
        <f>VLOOKUP(S510,Kengetal,6,FALSE)</f>
        <v>0</v>
      </c>
      <c r="AA510" s="751">
        <f>VLOOKUP(S510,Kengetal,7,FALSE)</f>
        <v>0</v>
      </c>
      <c r="AB510" s="605">
        <f>VLOOKUP(T510,Kengetal,6,FALSE)</f>
        <v>0</v>
      </c>
      <c r="AC510" s="607"/>
      <c r="AD510" s="591" t="str">
        <f>AL510</f>
        <v>Friesland College</v>
      </c>
      <c r="AE510" s="608"/>
      <c r="AF510" s="639">
        <v>4</v>
      </c>
      <c r="AG510" s="639">
        <f t="shared" si="311"/>
        <v>4</v>
      </c>
      <c r="AH510" s="639">
        <f t="shared" si="346"/>
        <v>0</v>
      </c>
      <c r="AI510" s="640"/>
      <c r="AJ510" s="641">
        <f t="shared" si="347"/>
        <v>0</v>
      </c>
      <c r="AK510" s="642"/>
      <c r="AL510" s="642" t="s">
        <v>364</v>
      </c>
      <c r="AM510" s="643"/>
      <c r="AN510" s="642"/>
      <c r="AO510" s="644">
        <v>1862</v>
      </c>
      <c r="AP510" s="565"/>
      <c r="AQ510" s="566"/>
      <c r="AR510" s="566"/>
      <c r="AS510" s="566"/>
      <c r="AT510" s="566"/>
      <c r="AU510" s="566"/>
      <c r="AV510" s="566"/>
      <c r="AW510" s="566"/>
      <c r="AX510" s="566"/>
      <c r="AY510" s="566"/>
      <c r="AZ510" s="566"/>
      <c r="BA510" s="566"/>
      <c r="BB510" s="566"/>
      <c r="BC510" s="566"/>
      <c r="BD510" s="566"/>
      <c r="BE510" s="566"/>
      <c r="BF510" s="566"/>
      <c r="BG510" s="566"/>
    </row>
    <row r="511" spans="1:59">
      <c r="A511" s="591"/>
      <c r="B511" s="592"/>
      <c r="C511" s="593"/>
      <c r="D511" s="594">
        <v>1</v>
      </c>
      <c r="E511" s="595" t="s">
        <v>374</v>
      </c>
      <c r="F511" s="593" t="s">
        <v>367</v>
      </c>
      <c r="G511" s="596" t="s">
        <v>694</v>
      </c>
      <c r="H511" s="596" t="s">
        <v>694</v>
      </c>
      <c r="I511" s="596"/>
      <c r="J511" s="596"/>
      <c r="K511" s="596"/>
      <c r="L511" s="591" t="s">
        <v>812</v>
      </c>
      <c r="M511" s="597" t="str">
        <f t="shared" si="345"/>
        <v>Administratieve -, personeels- en vergaderruimte</v>
      </c>
      <c r="N511" s="591" t="s">
        <v>323</v>
      </c>
      <c r="O511" s="598"/>
      <c r="P511" s="599"/>
      <c r="Q511" s="600">
        <f t="shared" si="329"/>
        <v>0</v>
      </c>
      <c r="R511" s="601">
        <f>AF511</f>
        <v>27</v>
      </c>
      <c r="S511" s="647">
        <v>101100</v>
      </c>
      <c r="T511" s="602"/>
      <c r="U511" s="645">
        <v>1</v>
      </c>
      <c r="V511" s="593">
        <f t="shared" si="312"/>
        <v>100</v>
      </c>
      <c r="W511" s="604">
        <f t="shared" si="351"/>
        <v>0</v>
      </c>
      <c r="X511" s="604">
        <f t="shared" si="352"/>
        <v>0</v>
      </c>
      <c r="Y511" s="604">
        <f t="shared" si="353"/>
        <v>0</v>
      </c>
      <c r="Z511" s="605">
        <f>VLOOKUP(S511,Kengetal,6,FALSE)</f>
        <v>0</v>
      </c>
      <c r="AA511" s="751">
        <f>VLOOKUP(S511,Kengetal,7,FALSE)</f>
        <v>0</v>
      </c>
      <c r="AB511" s="605">
        <f>VLOOKUP(T511,Kengetal,6,FALSE)</f>
        <v>0</v>
      </c>
      <c r="AC511" s="607"/>
      <c r="AD511" s="591" t="str">
        <f>AL511</f>
        <v>Friesland College</v>
      </c>
      <c r="AE511" s="608"/>
      <c r="AF511" s="639">
        <v>27</v>
      </c>
      <c r="AG511" s="639">
        <f t="shared" si="311"/>
        <v>27</v>
      </c>
      <c r="AH511" s="639">
        <f t="shared" si="346"/>
        <v>0</v>
      </c>
      <c r="AI511" s="640"/>
      <c r="AJ511" s="641">
        <f t="shared" si="347"/>
        <v>0</v>
      </c>
      <c r="AK511" s="642"/>
      <c r="AL511" s="642" t="s">
        <v>364</v>
      </c>
      <c r="AM511" s="642"/>
      <c r="AN511" s="642"/>
      <c r="AO511" s="644">
        <v>1863</v>
      </c>
      <c r="AP511" s="565"/>
      <c r="AQ511" s="566"/>
      <c r="AR511" s="566"/>
      <c r="AS511" s="566"/>
      <c r="AT511" s="566"/>
      <c r="AU511" s="566"/>
      <c r="AV511" s="566"/>
      <c r="AW511" s="566"/>
      <c r="AX511" s="566"/>
      <c r="AY511" s="566"/>
      <c r="AZ511" s="566"/>
      <c r="BA511" s="566"/>
      <c r="BB511" s="566"/>
      <c r="BC511" s="566"/>
      <c r="BD511" s="566"/>
      <c r="BE511" s="566"/>
      <c r="BF511" s="566"/>
      <c r="BG511" s="566"/>
    </row>
    <row r="512" spans="1:59">
      <c r="A512" s="591"/>
      <c r="B512" s="618"/>
      <c r="C512" s="609"/>
      <c r="D512" s="594">
        <v>1</v>
      </c>
      <c r="E512" s="595" t="s">
        <v>374</v>
      </c>
      <c r="F512" s="593" t="s">
        <v>367</v>
      </c>
      <c r="G512" s="610" t="s">
        <v>694</v>
      </c>
      <c r="H512" s="610" t="s">
        <v>694</v>
      </c>
      <c r="I512" s="610"/>
      <c r="J512" s="610"/>
      <c r="K512" s="610"/>
      <c r="L512" s="611" t="s">
        <v>812</v>
      </c>
      <c r="M512" s="612">
        <f t="shared" ref="M512:M541" si="354">VLOOKUP(S512,Kengetal,4,FALSE)</f>
        <v>0</v>
      </c>
      <c r="N512" s="613"/>
      <c r="O512" s="614" t="s">
        <v>1036</v>
      </c>
      <c r="P512" s="615">
        <v>100</v>
      </c>
      <c r="Q512" s="616">
        <f t="shared" si="329"/>
        <v>27</v>
      </c>
      <c r="R512" s="613"/>
      <c r="S512" s="603"/>
      <c r="T512" s="606"/>
      <c r="U512" s="606"/>
      <c r="V512" s="593">
        <f t="shared" si="312"/>
        <v>0</v>
      </c>
      <c r="W512" s="606"/>
      <c r="X512" s="606"/>
      <c r="Y512" s="606"/>
      <c r="Z512" s="606"/>
      <c r="AA512" s="606"/>
      <c r="AB512" s="606"/>
      <c r="AC512" s="607"/>
      <c r="AD512" s="606"/>
      <c r="AE512" s="608"/>
      <c r="AF512" s="639">
        <v>27</v>
      </c>
      <c r="AG512" s="639">
        <f t="shared" si="311"/>
        <v>27</v>
      </c>
      <c r="AH512" s="639">
        <f t="shared" si="346"/>
        <v>0</v>
      </c>
      <c r="AI512" s="640"/>
      <c r="AJ512" s="641">
        <f t="shared" si="347"/>
        <v>0</v>
      </c>
      <c r="AK512" s="642"/>
      <c r="AL512" s="642" t="s">
        <v>364</v>
      </c>
      <c r="AM512" s="642"/>
      <c r="AN512" s="642"/>
      <c r="AO512" s="644">
        <v>1864</v>
      </c>
      <c r="AP512" s="565"/>
      <c r="AQ512" s="566"/>
      <c r="AR512" s="566"/>
      <c r="AS512" s="566"/>
      <c r="AT512" s="566"/>
      <c r="AU512" s="566"/>
      <c r="AV512" s="566"/>
      <c r="AW512" s="566"/>
      <c r="AX512" s="566"/>
      <c r="AY512" s="566"/>
      <c r="AZ512" s="566"/>
      <c r="BA512" s="566"/>
      <c r="BB512" s="566"/>
      <c r="BC512" s="566"/>
      <c r="BD512" s="566"/>
      <c r="BE512" s="566"/>
      <c r="BF512" s="566"/>
      <c r="BG512" s="566"/>
    </row>
    <row r="513" spans="1:59">
      <c r="A513" s="591"/>
      <c r="B513" s="592"/>
      <c r="C513" s="593"/>
      <c r="D513" s="594">
        <v>1</v>
      </c>
      <c r="E513" s="595" t="s">
        <v>374</v>
      </c>
      <c r="F513" s="593" t="s">
        <v>367</v>
      </c>
      <c r="G513" s="596" t="s">
        <v>695</v>
      </c>
      <c r="H513" s="596" t="s">
        <v>695</v>
      </c>
      <c r="I513" s="596"/>
      <c r="J513" s="596"/>
      <c r="K513" s="596"/>
      <c r="L513" s="591" t="s">
        <v>879</v>
      </c>
      <c r="M513" s="597" t="str">
        <f t="shared" si="354"/>
        <v>Niet van toepassing</v>
      </c>
      <c r="N513" s="591" t="s">
        <v>322</v>
      </c>
      <c r="O513" s="598"/>
      <c r="P513" s="599"/>
      <c r="Q513" s="600">
        <f t="shared" si="329"/>
        <v>0</v>
      </c>
      <c r="R513" s="601">
        <f>AF513</f>
        <v>4</v>
      </c>
      <c r="S513" s="603" t="s">
        <v>28</v>
      </c>
      <c r="T513" s="602"/>
      <c r="U513" s="603"/>
      <c r="V513" s="593">
        <f t="shared" si="312"/>
        <v>0</v>
      </c>
      <c r="W513" s="604">
        <f t="shared" ref="W513:W517" si="355">Z513*R513*U513</f>
        <v>0</v>
      </c>
      <c r="X513" s="604">
        <f t="shared" ref="X513:X517" si="356">AA513*R513</f>
        <v>0</v>
      </c>
      <c r="Y513" s="604">
        <f t="shared" ref="Y513:Y517" si="357">AB513*R513</f>
        <v>0</v>
      </c>
      <c r="Z513" s="605">
        <f>VLOOKUP(S513,Kengetal,6,FALSE)</f>
        <v>0</v>
      </c>
      <c r="AA513" s="751">
        <f>VLOOKUP(S513,Kengetal,7,FALSE)</f>
        <v>0</v>
      </c>
      <c r="AB513" s="605">
        <f>VLOOKUP(T513,Kengetal,6,FALSE)</f>
        <v>0</v>
      </c>
      <c r="AC513" s="607"/>
      <c r="AD513" s="591" t="str">
        <f>AL513</f>
        <v>Friesland College</v>
      </c>
      <c r="AE513" s="608"/>
      <c r="AF513" s="639">
        <v>4</v>
      </c>
      <c r="AG513" s="639">
        <f t="shared" si="311"/>
        <v>4</v>
      </c>
      <c r="AH513" s="639">
        <f t="shared" si="346"/>
        <v>0</v>
      </c>
      <c r="AI513" s="640"/>
      <c r="AJ513" s="641">
        <f t="shared" si="347"/>
        <v>0</v>
      </c>
      <c r="AK513" s="642"/>
      <c r="AL513" s="642" t="s">
        <v>364</v>
      </c>
      <c r="AM513" s="643"/>
      <c r="AN513" s="642"/>
      <c r="AO513" s="644">
        <v>1865</v>
      </c>
      <c r="AP513" s="565"/>
      <c r="AQ513" s="566"/>
      <c r="AR513" s="566"/>
      <c r="AS513" s="566"/>
      <c r="AT513" s="566"/>
      <c r="AU513" s="566"/>
      <c r="AV513" s="566"/>
      <c r="AW513" s="566"/>
      <c r="AX513" s="566"/>
      <c r="AY513" s="566"/>
      <c r="AZ513" s="566"/>
      <c r="BA513" s="566"/>
      <c r="BB513" s="566"/>
      <c r="BC513" s="566"/>
      <c r="BD513" s="566"/>
      <c r="BE513" s="566"/>
      <c r="BF513" s="566"/>
      <c r="BG513" s="566"/>
    </row>
    <row r="514" spans="1:59">
      <c r="A514" s="591"/>
      <c r="B514" s="592"/>
      <c r="C514" s="593"/>
      <c r="D514" s="594">
        <v>1</v>
      </c>
      <c r="E514" s="595" t="s">
        <v>374</v>
      </c>
      <c r="F514" s="593" t="s">
        <v>367</v>
      </c>
      <c r="G514" s="596" t="s">
        <v>696</v>
      </c>
      <c r="H514" s="596" t="s">
        <v>696</v>
      </c>
      <c r="I514" s="596"/>
      <c r="J514" s="596"/>
      <c r="K514" s="596"/>
      <c r="L514" s="591" t="s">
        <v>878</v>
      </c>
      <c r="M514" s="597" t="str">
        <f t="shared" si="354"/>
        <v>Sanitaire ruimte (toilet-/doucheruimte)</v>
      </c>
      <c r="N514" s="591" t="s">
        <v>323</v>
      </c>
      <c r="O514" s="598"/>
      <c r="P514" s="599"/>
      <c r="Q514" s="600">
        <f t="shared" si="329"/>
        <v>0</v>
      </c>
      <c r="R514" s="601">
        <f>AF514</f>
        <v>9</v>
      </c>
      <c r="S514" s="647">
        <v>103200</v>
      </c>
      <c r="T514" s="647">
        <v>103400</v>
      </c>
      <c r="U514" s="645">
        <v>1</v>
      </c>
      <c r="V514" s="593">
        <f t="shared" si="312"/>
        <v>400</v>
      </c>
      <c r="W514" s="604">
        <f t="shared" si="355"/>
        <v>0</v>
      </c>
      <c r="X514" s="604">
        <f t="shared" si="356"/>
        <v>0</v>
      </c>
      <c r="Y514" s="604">
        <f t="shared" si="357"/>
        <v>0</v>
      </c>
      <c r="Z514" s="605">
        <f>VLOOKUP(S514,Kengetal,6,FALSE)</f>
        <v>0</v>
      </c>
      <c r="AA514" s="751">
        <f>VLOOKUP(S514,Kengetal,7,FALSE)</f>
        <v>0</v>
      </c>
      <c r="AB514" s="605">
        <f>VLOOKUP(T514,Kengetal,6,FALSE)</f>
        <v>0</v>
      </c>
      <c r="AC514" s="607"/>
      <c r="AD514" s="591" t="str">
        <f>AL514</f>
        <v>Friesland College</v>
      </c>
      <c r="AE514" s="608"/>
      <c r="AF514" s="639">
        <v>9</v>
      </c>
      <c r="AG514" s="639">
        <f t="shared" si="311"/>
        <v>9</v>
      </c>
      <c r="AH514" s="639">
        <f t="shared" si="346"/>
        <v>0</v>
      </c>
      <c r="AI514" s="640"/>
      <c r="AJ514" s="641">
        <f t="shared" si="347"/>
        <v>0</v>
      </c>
      <c r="AK514" s="642"/>
      <c r="AL514" s="642" t="s">
        <v>364</v>
      </c>
      <c r="AM514" s="643"/>
      <c r="AN514" s="642"/>
      <c r="AO514" s="644">
        <v>1866</v>
      </c>
      <c r="AP514" s="565"/>
      <c r="AQ514" s="566"/>
      <c r="AR514" s="566"/>
      <c r="AS514" s="566"/>
      <c r="AT514" s="566"/>
      <c r="AU514" s="566"/>
      <c r="AV514" s="566"/>
      <c r="AW514" s="566"/>
      <c r="AX514" s="566"/>
      <c r="AY514" s="566"/>
      <c r="AZ514" s="566"/>
      <c r="BA514" s="566"/>
      <c r="BB514" s="566"/>
      <c r="BC514" s="566"/>
      <c r="BD514" s="566"/>
      <c r="BE514" s="566"/>
      <c r="BF514" s="566"/>
      <c r="BG514" s="566"/>
    </row>
    <row r="515" spans="1:59">
      <c r="A515" s="591"/>
      <c r="B515" s="592"/>
      <c r="C515" s="593"/>
      <c r="D515" s="594">
        <v>1</v>
      </c>
      <c r="E515" s="595" t="s">
        <v>374</v>
      </c>
      <c r="F515" s="593" t="s">
        <v>367</v>
      </c>
      <c r="G515" s="596" t="s">
        <v>697</v>
      </c>
      <c r="H515" s="596" t="s">
        <v>697</v>
      </c>
      <c r="I515" s="596"/>
      <c r="J515" s="596"/>
      <c r="K515" s="596"/>
      <c r="L515" s="591" t="s">
        <v>903</v>
      </c>
      <c r="M515" s="597" t="str">
        <f t="shared" si="354"/>
        <v>Niet van toepassing</v>
      </c>
      <c r="N515" s="591" t="s">
        <v>323</v>
      </c>
      <c r="O515" s="598"/>
      <c r="P515" s="599"/>
      <c r="Q515" s="600">
        <f t="shared" si="329"/>
        <v>0</v>
      </c>
      <c r="R515" s="601">
        <f>AF515</f>
        <v>17</v>
      </c>
      <c r="S515" s="603" t="s">
        <v>28</v>
      </c>
      <c r="T515" s="602"/>
      <c r="U515" s="603"/>
      <c r="V515" s="593">
        <f t="shared" si="312"/>
        <v>0</v>
      </c>
      <c r="W515" s="604">
        <f t="shared" si="355"/>
        <v>0</v>
      </c>
      <c r="X515" s="604">
        <f t="shared" si="356"/>
        <v>0</v>
      </c>
      <c r="Y515" s="604">
        <f t="shared" si="357"/>
        <v>0</v>
      </c>
      <c r="Z515" s="605">
        <f>VLOOKUP(S515,Kengetal,6,FALSE)</f>
        <v>0</v>
      </c>
      <c r="AA515" s="751">
        <f>VLOOKUP(S515,Kengetal,7,FALSE)</f>
        <v>0</v>
      </c>
      <c r="AB515" s="605">
        <f>VLOOKUP(T515,Kengetal,6,FALSE)</f>
        <v>0</v>
      </c>
      <c r="AC515" s="607"/>
      <c r="AD515" s="591" t="str">
        <f>AL515</f>
        <v>Friesland College</v>
      </c>
      <c r="AE515" s="608"/>
      <c r="AF515" s="639">
        <v>17</v>
      </c>
      <c r="AG515" s="639">
        <f t="shared" si="311"/>
        <v>17</v>
      </c>
      <c r="AH515" s="639">
        <f t="shared" si="346"/>
        <v>0</v>
      </c>
      <c r="AI515" s="640"/>
      <c r="AJ515" s="641">
        <f t="shared" si="347"/>
        <v>0</v>
      </c>
      <c r="AK515" s="642"/>
      <c r="AL515" s="642" t="s">
        <v>364</v>
      </c>
      <c r="AM515" s="643"/>
      <c r="AN515" s="642"/>
      <c r="AO515" s="644">
        <v>1867</v>
      </c>
      <c r="AP515" s="565"/>
      <c r="AQ515" s="566"/>
      <c r="AR515" s="566"/>
      <c r="AS515" s="566"/>
      <c r="AT515" s="566"/>
      <c r="AU515" s="566"/>
      <c r="AV515" s="566"/>
      <c r="AW515" s="566"/>
      <c r="AX515" s="566"/>
      <c r="AY515" s="566"/>
      <c r="AZ515" s="566"/>
      <c r="BA515" s="566"/>
      <c r="BB515" s="566"/>
      <c r="BC515" s="566"/>
      <c r="BD515" s="566"/>
      <c r="BE515" s="566"/>
      <c r="BF515" s="566"/>
      <c r="BG515" s="566"/>
    </row>
    <row r="516" spans="1:59">
      <c r="A516" s="591"/>
      <c r="B516" s="592"/>
      <c r="C516" s="593"/>
      <c r="D516" s="594">
        <v>1</v>
      </c>
      <c r="E516" s="595" t="s">
        <v>374</v>
      </c>
      <c r="F516" s="593" t="s">
        <v>367</v>
      </c>
      <c r="G516" s="596" t="s">
        <v>698</v>
      </c>
      <c r="H516" s="596" t="s">
        <v>698</v>
      </c>
      <c r="I516" s="596"/>
      <c r="J516" s="596"/>
      <c r="K516" s="596"/>
      <c r="L516" s="591" t="s">
        <v>877</v>
      </c>
      <c r="M516" s="597" t="str">
        <f t="shared" si="354"/>
        <v>Sanitaire ruimte (toilet-/doucheruimte)</v>
      </c>
      <c r="N516" s="591" t="s">
        <v>323</v>
      </c>
      <c r="O516" s="598"/>
      <c r="P516" s="599"/>
      <c r="Q516" s="600">
        <f t="shared" si="329"/>
        <v>0</v>
      </c>
      <c r="R516" s="601">
        <f>AF516</f>
        <v>2</v>
      </c>
      <c r="S516" s="647">
        <v>103200</v>
      </c>
      <c r="T516" s="647">
        <v>103400</v>
      </c>
      <c r="U516" s="645">
        <v>1</v>
      </c>
      <c r="V516" s="593">
        <f t="shared" si="312"/>
        <v>400</v>
      </c>
      <c r="W516" s="604">
        <f t="shared" si="355"/>
        <v>0</v>
      </c>
      <c r="X516" s="604">
        <f t="shared" si="356"/>
        <v>0</v>
      </c>
      <c r="Y516" s="604">
        <f t="shared" si="357"/>
        <v>0</v>
      </c>
      <c r="Z516" s="605">
        <f>VLOOKUP(S516,Kengetal,6,FALSE)</f>
        <v>0</v>
      </c>
      <c r="AA516" s="751">
        <f>VLOOKUP(S516,Kengetal,7,FALSE)</f>
        <v>0</v>
      </c>
      <c r="AB516" s="605">
        <f>VLOOKUP(T516,Kengetal,6,FALSE)</f>
        <v>0</v>
      </c>
      <c r="AC516" s="607"/>
      <c r="AD516" s="591" t="str">
        <f>AL516</f>
        <v>Friesland College</v>
      </c>
      <c r="AE516" s="608"/>
      <c r="AF516" s="639">
        <v>2</v>
      </c>
      <c r="AG516" s="639">
        <f t="shared" si="311"/>
        <v>2</v>
      </c>
      <c r="AH516" s="639">
        <f t="shared" si="346"/>
        <v>0</v>
      </c>
      <c r="AI516" s="640"/>
      <c r="AJ516" s="641">
        <f t="shared" si="347"/>
        <v>0</v>
      </c>
      <c r="AK516" s="642"/>
      <c r="AL516" s="642" t="s">
        <v>364</v>
      </c>
      <c r="AM516" s="643"/>
      <c r="AN516" s="642"/>
      <c r="AO516" s="644">
        <v>1868</v>
      </c>
      <c r="AP516" s="565"/>
      <c r="AQ516" s="566"/>
      <c r="AR516" s="566"/>
      <c r="AS516" s="566"/>
      <c r="AT516" s="566"/>
      <c r="AU516" s="566"/>
      <c r="AV516" s="566"/>
      <c r="AW516" s="566"/>
      <c r="AX516" s="566"/>
      <c r="AY516" s="566"/>
      <c r="AZ516" s="566"/>
      <c r="BA516" s="566"/>
      <c r="BB516" s="566"/>
      <c r="BC516" s="566"/>
      <c r="BD516" s="566"/>
      <c r="BE516" s="566"/>
      <c r="BF516" s="566"/>
      <c r="BG516" s="566"/>
    </row>
    <row r="517" spans="1:59">
      <c r="A517" s="591"/>
      <c r="B517" s="592"/>
      <c r="C517" s="593"/>
      <c r="D517" s="594">
        <v>1</v>
      </c>
      <c r="E517" s="595" t="s">
        <v>374</v>
      </c>
      <c r="F517" s="593" t="s">
        <v>367</v>
      </c>
      <c r="G517" s="627" t="s">
        <v>731</v>
      </c>
      <c r="H517" s="627" t="s">
        <v>731</v>
      </c>
      <c r="I517" s="627"/>
      <c r="J517" s="627"/>
      <c r="K517" s="627"/>
      <c r="L517" s="620" t="s">
        <v>928</v>
      </c>
      <c r="M517" s="597" t="str">
        <f t="shared" si="354"/>
        <v>Gang, hal, pantry, aula, repro, gardarobe</v>
      </c>
      <c r="N517" s="620" t="s">
        <v>947</v>
      </c>
      <c r="O517" s="630"/>
      <c r="P517" s="631"/>
      <c r="Q517" s="632">
        <f t="shared" si="329"/>
        <v>0</v>
      </c>
      <c r="R517" s="633">
        <f>AF517</f>
        <v>75</v>
      </c>
      <c r="S517" s="647">
        <v>104200</v>
      </c>
      <c r="T517" s="602"/>
      <c r="U517" s="645">
        <v>1</v>
      </c>
      <c r="V517" s="593">
        <f t="shared" ref="V517" si="358">VLOOKUP(S517,Kengetal,3,FALSE)+VLOOKUP(T517,Kengetal,3,FALSE)</f>
        <v>200</v>
      </c>
      <c r="W517" s="604">
        <f t="shared" si="355"/>
        <v>0</v>
      </c>
      <c r="X517" s="604">
        <f t="shared" si="356"/>
        <v>0</v>
      </c>
      <c r="Y517" s="604">
        <f t="shared" si="357"/>
        <v>0</v>
      </c>
      <c r="Z517" s="605">
        <f>VLOOKUP(S517,Kengetal,6,FALSE)</f>
        <v>0</v>
      </c>
      <c r="AA517" s="751">
        <f>VLOOKUP(S517,Kengetal,7,FALSE)</f>
        <v>0</v>
      </c>
      <c r="AB517" s="605">
        <f>VLOOKUP(T517,Kengetal,6,FALSE)</f>
        <v>0</v>
      </c>
      <c r="AC517" s="607"/>
      <c r="AD517" s="591" t="str">
        <f>AL517</f>
        <v>Friesland College</v>
      </c>
      <c r="AE517" s="608"/>
      <c r="AF517" s="639">
        <v>75</v>
      </c>
      <c r="AG517" s="639">
        <f t="shared" ref="AG517:AG580" si="359">IF(AND(C517="t"),-AF517,IF(AND(C517="v"),-AF517,IF(AND(C517="W"),-AF517,IF(AND(C517=""),AF517))))</f>
        <v>75</v>
      </c>
      <c r="AH517" s="639">
        <f t="shared" si="346"/>
        <v>0</v>
      </c>
      <c r="AI517" s="640"/>
      <c r="AJ517" s="641">
        <f t="shared" si="347"/>
        <v>0</v>
      </c>
      <c r="AK517" s="642"/>
      <c r="AL517" s="642" t="s">
        <v>364</v>
      </c>
      <c r="AM517" s="642"/>
      <c r="AN517" s="642"/>
      <c r="AO517" s="644">
        <v>1869</v>
      </c>
      <c r="AP517" s="565"/>
      <c r="AQ517" s="566"/>
      <c r="AR517" s="566"/>
      <c r="AS517" s="566"/>
      <c r="AT517" s="566"/>
      <c r="AU517" s="566"/>
      <c r="AV517" s="566"/>
      <c r="AW517" s="566"/>
      <c r="AX517" s="566"/>
      <c r="AY517" s="566"/>
      <c r="AZ517" s="566"/>
      <c r="BA517" s="566"/>
      <c r="BB517" s="566"/>
      <c r="BC517" s="566"/>
      <c r="BD517" s="566"/>
      <c r="BE517" s="566"/>
      <c r="BF517" s="566"/>
      <c r="BG517" s="566"/>
    </row>
    <row r="518" spans="1:59">
      <c r="A518" s="591"/>
      <c r="B518" s="609"/>
      <c r="C518" s="609"/>
      <c r="D518" s="594">
        <v>1</v>
      </c>
      <c r="E518" s="595" t="s">
        <v>374</v>
      </c>
      <c r="F518" s="593" t="s">
        <v>367</v>
      </c>
      <c r="G518" s="634" t="s">
        <v>731</v>
      </c>
      <c r="H518" s="634" t="s">
        <v>731</v>
      </c>
      <c r="I518" s="610"/>
      <c r="J518" s="610"/>
      <c r="K518" s="610"/>
      <c r="L518" s="611" t="s">
        <v>928</v>
      </c>
      <c r="M518" s="612">
        <f t="shared" si="354"/>
        <v>0</v>
      </c>
      <c r="N518" s="613"/>
      <c r="O518" s="614" t="s">
        <v>1036</v>
      </c>
      <c r="P518" s="615">
        <v>100</v>
      </c>
      <c r="Q518" s="616">
        <f t="shared" si="329"/>
        <v>75</v>
      </c>
      <c r="R518" s="613"/>
      <c r="S518" s="603"/>
      <c r="T518" s="606"/>
      <c r="U518" s="606"/>
      <c r="V518" s="593">
        <f t="shared" ref="V518:V582" si="360">VLOOKUP(S518,Kengetal,3,FALSE)+VLOOKUP(T518,Kengetal,3,FALSE)</f>
        <v>0</v>
      </c>
      <c r="W518" s="606"/>
      <c r="X518" s="606"/>
      <c r="Y518" s="606"/>
      <c r="Z518" s="606"/>
      <c r="AA518" s="606"/>
      <c r="AB518" s="606"/>
      <c r="AC518" s="607"/>
      <c r="AD518" s="606"/>
      <c r="AE518" s="608"/>
      <c r="AF518" s="639">
        <v>75</v>
      </c>
      <c r="AG518" s="639">
        <f t="shared" si="359"/>
        <v>75</v>
      </c>
      <c r="AH518" s="639">
        <f t="shared" si="346"/>
        <v>0</v>
      </c>
      <c r="AI518" s="640"/>
      <c r="AJ518" s="641">
        <f t="shared" si="347"/>
        <v>0</v>
      </c>
      <c r="AK518" s="642"/>
      <c r="AL518" s="642" t="s">
        <v>364</v>
      </c>
      <c r="AM518" s="643"/>
      <c r="AN518" s="642"/>
      <c r="AO518" s="644">
        <v>1870</v>
      </c>
      <c r="AP518" s="565"/>
      <c r="AQ518" s="566"/>
      <c r="AR518" s="566"/>
      <c r="AS518" s="566"/>
      <c r="AT518" s="566"/>
      <c r="AU518" s="566"/>
      <c r="AV518" s="566"/>
      <c r="AW518" s="566"/>
      <c r="AX518" s="566"/>
      <c r="AY518" s="566"/>
      <c r="AZ518" s="566"/>
      <c r="BA518" s="566"/>
      <c r="BB518" s="566"/>
      <c r="BC518" s="566"/>
      <c r="BD518" s="566"/>
      <c r="BE518" s="566"/>
      <c r="BF518" s="566"/>
      <c r="BG518" s="566"/>
    </row>
    <row r="519" spans="1:59">
      <c r="A519" s="591"/>
      <c r="B519" s="592"/>
      <c r="C519" s="593"/>
      <c r="D519" s="594">
        <v>1</v>
      </c>
      <c r="E519" s="595" t="s">
        <v>374</v>
      </c>
      <c r="F519" s="593" t="s">
        <v>367</v>
      </c>
      <c r="G519" s="596" t="s">
        <v>699</v>
      </c>
      <c r="H519" s="596" t="s">
        <v>699</v>
      </c>
      <c r="I519" s="596"/>
      <c r="J519" s="596"/>
      <c r="K519" s="596"/>
      <c r="L519" s="591" t="s">
        <v>878</v>
      </c>
      <c r="M519" s="597" t="str">
        <f t="shared" si="354"/>
        <v>Sanitaire ruimte (toilet-/doucheruimte)</v>
      </c>
      <c r="N519" s="591" t="s">
        <v>323</v>
      </c>
      <c r="O519" s="598"/>
      <c r="P519" s="599"/>
      <c r="Q519" s="600">
        <f t="shared" si="329"/>
        <v>0</v>
      </c>
      <c r="R519" s="601">
        <f t="shared" ref="R519:R526" si="361">AF519</f>
        <v>2</v>
      </c>
      <c r="S519" s="647">
        <v>103200</v>
      </c>
      <c r="T519" s="647">
        <v>103400</v>
      </c>
      <c r="U519" s="645">
        <v>1</v>
      </c>
      <c r="V519" s="593">
        <f t="shared" si="360"/>
        <v>400</v>
      </c>
      <c r="W519" s="604">
        <f t="shared" ref="W519:W526" si="362">Z519*R519*U519</f>
        <v>0</v>
      </c>
      <c r="X519" s="604">
        <f t="shared" ref="X519:X526" si="363">AA519*R519</f>
        <v>0</v>
      </c>
      <c r="Y519" s="604">
        <f t="shared" ref="Y519:Y526" si="364">AB519*R519</f>
        <v>0</v>
      </c>
      <c r="Z519" s="605">
        <f t="shared" ref="Z519:Z526" si="365">VLOOKUP(S519,Kengetal,6,FALSE)</f>
        <v>0</v>
      </c>
      <c r="AA519" s="751">
        <f t="shared" ref="AA519:AA526" si="366">VLOOKUP(S519,Kengetal,7,FALSE)</f>
        <v>0</v>
      </c>
      <c r="AB519" s="605">
        <f t="shared" ref="AB519:AB526" si="367">VLOOKUP(T519,Kengetal,6,FALSE)</f>
        <v>0</v>
      </c>
      <c r="AC519" s="607"/>
      <c r="AD519" s="591" t="str">
        <f t="shared" ref="AD519:AD526" si="368">AL519</f>
        <v>Friesland College</v>
      </c>
      <c r="AE519" s="608"/>
      <c r="AF519" s="639">
        <v>2</v>
      </c>
      <c r="AG519" s="639">
        <f t="shared" si="359"/>
        <v>2</v>
      </c>
      <c r="AH519" s="639">
        <f t="shared" si="346"/>
        <v>0</v>
      </c>
      <c r="AI519" s="640"/>
      <c r="AJ519" s="641">
        <f t="shared" si="347"/>
        <v>0</v>
      </c>
      <c r="AK519" s="642"/>
      <c r="AL519" s="642" t="s">
        <v>364</v>
      </c>
      <c r="AM519" s="643"/>
      <c r="AN519" s="642"/>
      <c r="AO519" s="644">
        <v>1871</v>
      </c>
      <c r="AP519" s="565"/>
      <c r="AQ519" s="566"/>
      <c r="AR519" s="566"/>
      <c r="AS519" s="566"/>
      <c r="AT519" s="566"/>
      <c r="AU519" s="566"/>
      <c r="AV519" s="566"/>
      <c r="AW519" s="566"/>
      <c r="AX519" s="566"/>
      <c r="AY519" s="566"/>
      <c r="AZ519" s="566"/>
      <c r="BA519" s="566"/>
      <c r="BB519" s="566"/>
      <c r="BC519" s="566"/>
      <c r="BD519" s="566"/>
      <c r="BE519" s="566"/>
      <c r="BF519" s="566"/>
      <c r="BG519" s="566"/>
    </row>
    <row r="520" spans="1:59">
      <c r="A520" s="591"/>
      <c r="B520" s="592"/>
      <c r="C520" s="593"/>
      <c r="D520" s="594">
        <v>1</v>
      </c>
      <c r="E520" s="595" t="s">
        <v>374</v>
      </c>
      <c r="F520" s="593" t="s">
        <v>367</v>
      </c>
      <c r="G520" s="596" t="s">
        <v>700</v>
      </c>
      <c r="H520" s="596" t="s">
        <v>700</v>
      </c>
      <c r="I520" s="596"/>
      <c r="J520" s="596"/>
      <c r="K520" s="596"/>
      <c r="L520" s="591" t="s">
        <v>929</v>
      </c>
      <c r="M520" s="597" t="str">
        <f t="shared" si="354"/>
        <v>Sanitaire ruimte (toilet-/doucheruimte)</v>
      </c>
      <c r="N520" s="591" t="s">
        <v>323</v>
      </c>
      <c r="O520" s="598"/>
      <c r="P520" s="599"/>
      <c r="Q520" s="600">
        <f t="shared" si="329"/>
        <v>0</v>
      </c>
      <c r="R520" s="601">
        <f t="shared" si="361"/>
        <v>2</v>
      </c>
      <c r="S520" s="647">
        <v>103200</v>
      </c>
      <c r="T520" s="647">
        <v>103400</v>
      </c>
      <c r="U520" s="645">
        <v>1</v>
      </c>
      <c r="V520" s="593">
        <f t="shared" si="360"/>
        <v>400</v>
      </c>
      <c r="W520" s="604">
        <f t="shared" si="362"/>
        <v>0</v>
      </c>
      <c r="X520" s="604">
        <f t="shared" si="363"/>
        <v>0</v>
      </c>
      <c r="Y520" s="604">
        <f t="shared" si="364"/>
        <v>0</v>
      </c>
      <c r="Z520" s="605">
        <f t="shared" si="365"/>
        <v>0</v>
      </c>
      <c r="AA520" s="751">
        <f t="shared" si="366"/>
        <v>0</v>
      </c>
      <c r="AB520" s="605">
        <f t="shared" si="367"/>
        <v>0</v>
      </c>
      <c r="AC520" s="607"/>
      <c r="AD520" s="591" t="str">
        <f t="shared" si="368"/>
        <v>Friesland College</v>
      </c>
      <c r="AE520" s="608"/>
      <c r="AF520" s="639">
        <v>2</v>
      </c>
      <c r="AG520" s="639">
        <f t="shared" si="359"/>
        <v>2</v>
      </c>
      <c r="AH520" s="639">
        <f t="shared" si="346"/>
        <v>0</v>
      </c>
      <c r="AI520" s="640"/>
      <c r="AJ520" s="641">
        <f t="shared" si="347"/>
        <v>0</v>
      </c>
      <c r="AK520" s="642"/>
      <c r="AL520" s="642" t="s">
        <v>364</v>
      </c>
      <c r="AM520" s="643"/>
      <c r="AN520" s="642"/>
      <c r="AO520" s="644">
        <v>1872</v>
      </c>
      <c r="AP520" s="565"/>
      <c r="AQ520" s="566"/>
      <c r="AR520" s="566"/>
      <c r="AS520" s="566"/>
      <c r="AT520" s="566"/>
      <c r="AU520" s="566"/>
      <c r="AV520" s="566"/>
      <c r="AW520" s="566"/>
      <c r="AX520" s="566"/>
      <c r="AY520" s="566"/>
      <c r="AZ520" s="566"/>
      <c r="BA520" s="566"/>
      <c r="BB520" s="566"/>
      <c r="BC520" s="566"/>
      <c r="BD520" s="566"/>
      <c r="BE520" s="566"/>
      <c r="BF520" s="566"/>
      <c r="BG520" s="566"/>
    </row>
    <row r="521" spans="1:59">
      <c r="A521" s="591"/>
      <c r="B521" s="592"/>
      <c r="C521" s="593"/>
      <c r="D521" s="594">
        <v>1</v>
      </c>
      <c r="E521" s="595" t="s">
        <v>374</v>
      </c>
      <c r="F521" s="593" t="s">
        <v>367</v>
      </c>
      <c r="G521" s="596" t="s">
        <v>701</v>
      </c>
      <c r="H521" s="596" t="s">
        <v>701</v>
      </c>
      <c r="I521" s="596"/>
      <c r="J521" s="596"/>
      <c r="K521" s="596"/>
      <c r="L521" s="591" t="s">
        <v>763</v>
      </c>
      <c r="M521" s="597" t="str">
        <f t="shared" si="354"/>
        <v>Trappenhuis-bordes</v>
      </c>
      <c r="N521" s="591" t="s">
        <v>949</v>
      </c>
      <c r="O521" s="598"/>
      <c r="P521" s="599"/>
      <c r="Q521" s="600">
        <f t="shared" si="329"/>
        <v>0</v>
      </c>
      <c r="R521" s="601">
        <f t="shared" si="361"/>
        <v>11</v>
      </c>
      <c r="S521" s="647">
        <v>108200</v>
      </c>
      <c r="T521" s="602"/>
      <c r="U521" s="645">
        <v>1</v>
      </c>
      <c r="V521" s="593">
        <f t="shared" si="360"/>
        <v>200</v>
      </c>
      <c r="W521" s="604">
        <f t="shared" si="362"/>
        <v>0</v>
      </c>
      <c r="X521" s="604">
        <f t="shared" si="363"/>
        <v>0</v>
      </c>
      <c r="Y521" s="604">
        <f t="shared" si="364"/>
        <v>0</v>
      </c>
      <c r="Z521" s="605">
        <f t="shared" si="365"/>
        <v>0</v>
      </c>
      <c r="AA521" s="751">
        <f t="shared" si="366"/>
        <v>0</v>
      </c>
      <c r="AB521" s="605">
        <f t="shared" si="367"/>
        <v>0</v>
      </c>
      <c r="AC521" s="607"/>
      <c r="AD521" s="591" t="str">
        <f t="shared" si="368"/>
        <v>Friesland College</v>
      </c>
      <c r="AE521" s="608"/>
      <c r="AF521" s="639">
        <v>11</v>
      </c>
      <c r="AG521" s="639">
        <f t="shared" si="359"/>
        <v>11</v>
      </c>
      <c r="AH521" s="639">
        <f t="shared" si="346"/>
        <v>0</v>
      </c>
      <c r="AI521" s="640"/>
      <c r="AJ521" s="641">
        <f t="shared" si="347"/>
        <v>0</v>
      </c>
      <c r="AK521" s="642"/>
      <c r="AL521" s="642" t="s">
        <v>364</v>
      </c>
      <c r="AM521" s="643"/>
      <c r="AN521" s="642"/>
      <c r="AO521" s="644">
        <v>1873</v>
      </c>
      <c r="AP521" s="565"/>
      <c r="AQ521" s="566"/>
      <c r="AR521" s="566"/>
      <c r="AS521" s="566"/>
      <c r="AT521" s="566"/>
      <c r="AU521" s="566"/>
      <c r="AV521" s="566"/>
      <c r="AW521" s="566"/>
      <c r="AX521" s="566"/>
      <c r="AY521" s="566"/>
      <c r="AZ521" s="566"/>
      <c r="BA521" s="566"/>
      <c r="BB521" s="566"/>
      <c r="BC521" s="566"/>
      <c r="BD521" s="566"/>
      <c r="BE521" s="566"/>
      <c r="BF521" s="566"/>
      <c r="BG521" s="566"/>
    </row>
    <row r="522" spans="1:59">
      <c r="A522" s="591"/>
      <c r="B522" s="592"/>
      <c r="C522" s="593"/>
      <c r="D522" s="594">
        <v>1</v>
      </c>
      <c r="E522" s="595" t="s">
        <v>374</v>
      </c>
      <c r="F522" s="593" t="s">
        <v>367</v>
      </c>
      <c r="G522" s="596" t="s">
        <v>702</v>
      </c>
      <c r="H522" s="596" t="s">
        <v>702</v>
      </c>
      <c r="I522" s="596"/>
      <c r="J522" s="596"/>
      <c r="K522" s="596"/>
      <c r="L522" s="591" t="s">
        <v>904</v>
      </c>
      <c r="M522" s="597" t="str">
        <f t="shared" si="354"/>
        <v>Niet van toepassing</v>
      </c>
      <c r="N522" s="591" t="s">
        <v>323</v>
      </c>
      <c r="O522" s="598"/>
      <c r="P522" s="599"/>
      <c r="Q522" s="600">
        <f t="shared" si="329"/>
        <v>0</v>
      </c>
      <c r="R522" s="601">
        <f t="shared" si="361"/>
        <v>6</v>
      </c>
      <c r="S522" s="603" t="s">
        <v>28</v>
      </c>
      <c r="T522" s="602"/>
      <c r="U522" s="603"/>
      <c r="V522" s="593">
        <f t="shared" si="360"/>
        <v>0</v>
      </c>
      <c r="W522" s="604">
        <f t="shared" si="362"/>
        <v>0</v>
      </c>
      <c r="X522" s="604">
        <f t="shared" si="363"/>
        <v>0</v>
      </c>
      <c r="Y522" s="604">
        <f t="shared" si="364"/>
        <v>0</v>
      </c>
      <c r="Z522" s="605">
        <f t="shared" si="365"/>
        <v>0</v>
      </c>
      <c r="AA522" s="751">
        <f t="shared" si="366"/>
        <v>0</v>
      </c>
      <c r="AB522" s="605">
        <f t="shared" si="367"/>
        <v>0</v>
      </c>
      <c r="AC522" s="607"/>
      <c r="AD522" s="591" t="str">
        <f t="shared" si="368"/>
        <v>Friesland College</v>
      </c>
      <c r="AE522" s="608"/>
      <c r="AF522" s="639">
        <v>6</v>
      </c>
      <c r="AG522" s="639">
        <f t="shared" si="359"/>
        <v>6</v>
      </c>
      <c r="AH522" s="639">
        <f t="shared" si="346"/>
        <v>0</v>
      </c>
      <c r="AI522" s="640"/>
      <c r="AJ522" s="641">
        <f t="shared" si="347"/>
        <v>0</v>
      </c>
      <c r="AK522" s="642"/>
      <c r="AL522" s="642" t="s">
        <v>364</v>
      </c>
      <c r="AM522" s="643"/>
      <c r="AN522" s="642"/>
      <c r="AO522" s="644">
        <v>1874</v>
      </c>
      <c r="AP522" s="565"/>
      <c r="AQ522" s="566"/>
      <c r="AR522" s="566"/>
      <c r="AS522" s="566"/>
      <c r="AT522" s="566"/>
      <c r="AU522" s="566"/>
      <c r="AV522" s="566"/>
      <c r="AW522" s="566"/>
      <c r="AX522" s="566"/>
      <c r="AY522" s="566"/>
      <c r="AZ522" s="566"/>
      <c r="BA522" s="566"/>
      <c r="BB522" s="566"/>
      <c r="BC522" s="566"/>
      <c r="BD522" s="566"/>
      <c r="BE522" s="566"/>
      <c r="BF522" s="566"/>
      <c r="BG522" s="566"/>
    </row>
    <row r="523" spans="1:59">
      <c r="A523" s="591"/>
      <c r="B523" s="592"/>
      <c r="C523" s="593"/>
      <c r="D523" s="594">
        <v>1</v>
      </c>
      <c r="E523" s="595" t="s">
        <v>374</v>
      </c>
      <c r="F523" s="593" t="s">
        <v>367</v>
      </c>
      <c r="G523" s="596" t="s">
        <v>703</v>
      </c>
      <c r="H523" s="596" t="s">
        <v>703</v>
      </c>
      <c r="I523" s="596"/>
      <c r="J523" s="596"/>
      <c r="K523" s="596"/>
      <c r="L523" s="591" t="s">
        <v>877</v>
      </c>
      <c r="M523" s="597" t="str">
        <f t="shared" si="354"/>
        <v>Sanitaire ruimte (toilet-/doucheruimte)</v>
      </c>
      <c r="N523" s="591" t="s">
        <v>323</v>
      </c>
      <c r="O523" s="598"/>
      <c r="P523" s="599"/>
      <c r="Q523" s="600">
        <f t="shared" si="329"/>
        <v>0</v>
      </c>
      <c r="R523" s="601">
        <f t="shared" si="361"/>
        <v>3</v>
      </c>
      <c r="S523" s="647">
        <v>103200</v>
      </c>
      <c r="T523" s="647">
        <v>103400</v>
      </c>
      <c r="U523" s="645">
        <v>1</v>
      </c>
      <c r="V523" s="593">
        <f t="shared" si="360"/>
        <v>400</v>
      </c>
      <c r="W523" s="604">
        <f t="shared" si="362"/>
        <v>0</v>
      </c>
      <c r="X523" s="604">
        <f t="shared" si="363"/>
        <v>0</v>
      </c>
      <c r="Y523" s="604">
        <f t="shared" si="364"/>
        <v>0</v>
      </c>
      <c r="Z523" s="605">
        <f t="shared" si="365"/>
        <v>0</v>
      </c>
      <c r="AA523" s="751">
        <f t="shared" si="366"/>
        <v>0</v>
      </c>
      <c r="AB523" s="605">
        <f t="shared" si="367"/>
        <v>0</v>
      </c>
      <c r="AC523" s="607"/>
      <c r="AD523" s="591" t="str">
        <f t="shared" si="368"/>
        <v>Friesland College</v>
      </c>
      <c r="AE523" s="608"/>
      <c r="AF523" s="639">
        <v>3</v>
      </c>
      <c r="AG523" s="639">
        <f t="shared" si="359"/>
        <v>3</v>
      </c>
      <c r="AH523" s="639">
        <f t="shared" si="346"/>
        <v>0</v>
      </c>
      <c r="AI523" s="640"/>
      <c r="AJ523" s="641">
        <f t="shared" si="347"/>
        <v>0</v>
      </c>
      <c r="AK523" s="642"/>
      <c r="AL523" s="642" t="s">
        <v>364</v>
      </c>
      <c r="AM523" s="643"/>
      <c r="AN523" s="642"/>
      <c r="AO523" s="644">
        <v>1875</v>
      </c>
      <c r="AP523" s="565"/>
      <c r="AQ523" s="566"/>
      <c r="AR523" s="566"/>
      <c r="AS523" s="566"/>
      <c r="AT523" s="566"/>
      <c r="AU523" s="566"/>
      <c r="AV523" s="566"/>
      <c r="AW523" s="566"/>
      <c r="AX523" s="566"/>
      <c r="AY523" s="566"/>
      <c r="AZ523" s="566"/>
      <c r="BA523" s="566"/>
      <c r="BB523" s="566"/>
      <c r="BC523" s="566"/>
      <c r="BD523" s="566"/>
      <c r="BE523" s="566"/>
      <c r="BF523" s="566"/>
      <c r="BG523" s="566"/>
    </row>
    <row r="524" spans="1:59">
      <c r="A524" s="591"/>
      <c r="B524" s="592"/>
      <c r="C524" s="593"/>
      <c r="D524" s="594">
        <v>1</v>
      </c>
      <c r="E524" s="595" t="s">
        <v>374</v>
      </c>
      <c r="F524" s="593" t="s">
        <v>367</v>
      </c>
      <c r="G524" s="596" t="s">
        <v>704</v>
      </c>
      <c r="H524" s="596" t="s">
        <v>704</v>
      </c>
      <c r="I524" s="596"/>
      <c r="J524" s="596"/>
      <c r="K524" s="596"/>
      <c r="L524" s="591" t="s">
        <v>319</v>
      </c>
      <c r="M524" s="597" t="str">
        <f t="shared" si="354"/>
        <v>Gang, hal, pantry, aula, repro, gardarobe</v>
      </c>
      <c r="N524" s="591" t="s">
        <v>323</v>
      </c>
      <c r="O524" s="598"/>
      <c r="P524" s="599"/>
      <c r="Q524" s="600">
        <f t="shared" si="329"/>
        <v>0</v>
      </c>
      <c r="R524" s="601">
        <f t="shared" si="361"/>
        <v>73</v>
      </c>
      <c r="S524" s="647">
        <v>104200</v>
      </c>
      <c r="T524" s="602"/>
      <c r="U524" s="645">
        <v>1</v>
      </c>
      <c r="V524" s="593">
        <f t="shared" si="360"/>
        <v>200</v>
      </c>
      <c r="W524" s="604">
        <f t="shared" si="362"/>
        <v>0</v>
      </c>
      <c r="X524" s="604">
        <f t="shared" si="363"/>
        <v>0</v>
      </c>
      <c r="Y524" s="604">
        <f t="shared" si="364"/>
        <v>0</v>
      </c>
      <c r="Z524" s="605">
        <f t="shared" si="365"/>
        <v>0</v>
      </c>
      <c r="AA524" s="751">
        <f t="shared" si="366"/>
        <v>0</v>
      </c>
      <c r="AB524" s="605">
        <f t="shared" si="367"/>
        <v>0</v>
      </c>
      <c r="AC524" s="607"/>
      <c r="AD524" s="591" t="str">
        <f t="shared" si="368"/>
        <v>Friesland College</v>
      </c>
      <c r="AE524" s="608"/>
      <c r="AF524" s="639">
        <v>73</v>
      </c>
      <c r="AG524" s="639">
        <f t="shared" si="359"/>
        <v>73</v>
      </c>
      <c r="AH524" s="639">
        <f t="shared" si="346"/>
        <v>0</v>
      </c>
      <c r="AI524" s="640"/>
      <c r="AJ524" s="641">
        <f t="shared" si="347"/>
        <v>0</v>
      </c>
      <c r="AK524" s="642"/>
      <c r="AL524" s="642" t="s">
        <v>364</v>
      </c>
      <c r="AM524" s="643"/>
      <c r="AN524" s="642"/>
      <c r="AO524" s="644">
        <v>1876</v>
      </c>
      <c r="AP524" s="565"/>
      <c r="AQ524" s="566"/>
      <c r="AR524" s="566"/>
      <c r="AS524" s="566"/>
      <c r="AT524" s="566"/>
      <c r="AU524" s="566"/>
      <c r="AV524" s="566"/>
      <c r="AW524" s="566"/>
      <c r="AX524" s="566"/>
      <c r="AY524" s="566"/>
      <c r="AZ524" s="566"/>
      <c r="BA524" s="566"/>
      <c r="BB524" s="566"/>
      <c r="BC524" s="566"/>
      <c r="BD524" s="566"/>
      <c r="BE524" s="566"/>
      <c r="BF524" s="566"/>
      <c r="BG524" s="566"/>
    </row>
    <row r="525" spans="1:59">
      <c r="A525" s="591"/>
      <c r="B525" s="592"/>
      <c r="C525" s="593"/>
      <c r="D525" s="594">
        <v>1</v>
      </c>
      <c r="E525" s="595" t="s">
        <v>374</v>
      </c>
      <c r="F525" s="593" t="s">
        <v>367</v>
      </c>
      <c r="G525" s="596" t="s">
        <v>705</v>
      </c>
      <c r="H525" s="596" t="s">
        <v>705</v>
      </c>
      <c r="I525" s="596"/>
      <c r="J525" s="596"/>
      <c r="K525" s="596"/>
      <c r="L525" s="591" t="s">
        <v>876</v>
      </c>
      <c r="M525" s="597" t="str">
        <f t="shared" si="354"/>
        <v>Niet van toepassing</v>
      </c>
      <c r="N525" s="591" t="s">
        <v>322</v>
      </c>
      <c r="O525" s="598"/>
      <c r="P525" s="599"/>
      <c r="Q525" s="600">
        <f t="shared" si="329"/>
        <v>0</v>
      </c>
      <c r="R525" s="601">
        <f t="shared" si="361"/>
        <v>3</v>
      </c>
      <c r="S525" s="603" t="s">
        <v>28</v>
      </c>
      <c r="T525" s="602"/>
      <c r="U525" s="603"/>
      <c r="V525" s="593">
        <f t="shared" si="360"/>
        <v>0</v>
      </c>
      <c r="W525" s="604">
        <f t="shared" si="362"/>
        <v>0</v>
      </c>
      <c r="X525" s="604">
        <f t="shared" si="363"/>
        <v>0</v>
      </c>
      <c r="Y525" s="604">
        <f t="shared" si="364"/>
        <v>0</v>
      </c>
      <c r="Z525" s="605">
        <f t="shared" si="365"/>
        <v>0</v>
      </c>
      <c r="AA525" s="751">
        <f t="shared" si="366"/>
        <v>0</v>
      </c>
      <c r="AB525" s="605">
        <f t="shared" si="367"/>
        <v>0</v>
      </c>
      <c r="AC525" s="607"/>
      <c r="AD525" s="591" t="str">
        <f t="shared" si="368"/>
        <v>Friesland College</v>
      </c>
      <c r="AE525" s="608"/>
      <c r="AF525" s="639">
        <v>3</v>
      </c>
      <c r="AG525" s="639">
        <f t="shared" si="359"/>
        <v>3</v>
      </c>
      <c r="AH525" s="639">
        <f t="shared" si="346"/>
        <v>0</v>
      </c>
      <c r="AI525" s="640"/>
      <c r="AJ525" s="641">
        <f t="shared" si="347"/>
        <v>0</v>
      </c>
      <c r="AK525" s="642"/>
      <c r="AL525" s="642" t="s">
        <v>364</v>
      </c>
      <c r="AM525" s="643"/>
      <c r="AN525" s="642"/>
      <c r="AO525" s="644">
        <v>1877</v>
      </c>
      <c r="AP525" s="565"/>
      <c r="AQ525" s="566"/>
      <c r="AR525" s="566"/>
      <c r="AS525" s="566"/>
      <c r="AT525" s="566"/>
      <c r="AU525" s="566"/>
      <c r="AV525" s="566"/>
      <c r="AW525" s="566"/>
      <c r="AX525" s="566"/>
      <c r="AY525" s="566"/>
      <c r="AZ525" s="566"/>
      <c r="BA525" s="566"/>
      <c r="BB525" s="566"/>
      <c r="BC525" s="566"/>
      <c r="BD525" s="566"/>
      <c r="BE525" s="566"/>
      <c r="BF525" s="566"/>
      <c r="BG525" s="566"/>
    </row>
    <row r="526" spans="1:59">
      <c r="A526" s="591"/>
      <c r="B526" s="592"/>
      <c r="C526" s="593"/>
      <c r="D526" s="594">
        <v>1</v>
      </c>
      <c r="E526" s="595" t="s">
        <v>374</v>
      </c>
      <c r="F526" s="593" t="s">
        <v>367</v>
      </c>
      <c r="G526" s="596" t="s">
        <v>706</v>
      </c>
      <c r="H526" s="596" t="s">
        <v>732</v>
      </c>
      <c r="I526" s="596"/>
      <c r="J526" s="596"/>
      <c r="K526" s="596"/>
      <c r="L526" s="591" t="s">
        <v>930</v>
      </c>
      <c r="M526" s="597" t="str">
        <f t="shared" si="354"/>
        <v>Onderwijsruimte (praktijk)</v>
      </c>
      <c r="N526" s="591" t="s">
        <v>322</v>
      </c>
      <c r="O526" s="598"/>
      <c r="P526" s="599"/>
      <c r="Q526" s="600">
        <f t="shared" si="329"/>
        <v>0</v>
      </c>
      <c r="R526" s="601">
        <f t="shared" si="361"/>
        <v>190</v>
      </c>
      <c r="S526" s="647">
        <v>112200</v>
      </c>
      <c r="T526" s="602"/>
      <c r="U526" s="645">
        <v>1</v>
      </c>
      <c r="V526" s="593">
        <f t="shared" si="360"/>
        <v>200</v>
      </c>
      <c r="W526" s="604">
        <f t="shared" si="362"/>
        <v>0</v>
      </c>
      <c r="X526" s="604">
        <f t="shared" si="363"/>
        <v>0</v>
      </c>
      <c r="Y526" s="604">
        <f t="shared" si="364"/>
        <v>0</v>
      </c>
      <c r="Z526" s="605">
        <f t="shared" si="365"/>
        <v>0</v>
      </c>
      <c r="AA526" s="751">
        <f t="shared" si="366"/>
        <v>0</v>
      </c>
      <c r="AB526" s="605">
        <f t="shared" si="367"/>
        <v>0</v>
      </c>
      <c r="AC526" s="607"/>
      <c r="AD526" s="591" t="str">
        <f t="shared" si="368"/>
        <v>Friesland College</v>
      </c>
      <c r="AE526" s="608"/>
      <c r="AF526" s="639">
        <v>190</v>
      </c>
      <c r="AG526" s="639">
        <f t="shared" si="359"/>
        <v>190</v>
      </c>
      <c r="AH526" s="639">
        <f t="shared" si="346"/>
        <v>0</v>
      </c>
      <c r="AI526" s="640"/>
      <c r="AJ526" s="641">
        <f t="shared" si="347"/>
        <v>0</v>
      </c>
      <c r="AK526" s="642"/>
      <c r="AL526" s="642" t="s">
        <v>364</v>
      </c>
      <c r="AM526" s="643"/>
      <c r="AN526" s="642"/>
      <c r="AO526" s="644">
        <v>1878</v>
      </c>
      <c r="AP526" s="565"/>
      <c r="AQ526" s="566"/>
      <c r="AR526" s="566"/>
      <c r="AS526" s="566"/>
      <c r="AT526" s="566"/>
      <c r="AU526" s="566"/>
      <c r="AV526" s="566"/>
      <c r="AW526" s="566"/>
      <c r="AX526" s="566"/>
      <c r="AY526" s="566"/>
      <c r="AZ526" s="566"/>
      <c r="BA526" s="566"/>
      <c r="BB526" s="566"/>
      <c r="BC526" s="566"/>
      <c r="BD526" s="566"/>
      <c r="BE526" s="566"/>
      <c r="BF526" s="566"/>
      <c r="BG526" s="566"/>
    </row>
    <row r="527" spans="1:59">
      <c r="A527" s="591"/>
      <c r="B527" s="618"/>
      <c r="C527" s="609"/>
      <c r="D527" s="594">
        <v>1</v>
      </c>
      <c r="E527" s="595" t="s">
        <v>374</v>
      </c>
      <c r="F527" s="593" t="s">
        <v>367</v>
      </c>
      <c r="G527" s="610" t="s">
        <v>706</v>
      </c>
      <c r="H527" s="610" t="s">
        <v>732</v>
      </c>
      <c r="I527" s="610"/>
      <c r="J527" s="610"/>
      <c r="K527" s="610"/>
      <c r="L527" s="611" t="s">
        <v>930</v>
      </c>
      <c r="M527" s="612">
        <f t="shared" si="354"/>
        <v>0</v>
      </c>
      <c r="N527" s="613"/>
      <c r="O527" s="614" t="s">
        <v>1036</v>
      </c>
      <c r="P527" s="615">
        <v>100</v>
      </c>
      <c r="Q527" s="616">
        <f t="shared" si="329"/>
        <v>190</v>
      </c>
      <c r="R527" s="613"/>
      <c r="S527" s="603"/>
      <c r="T527" s="606"/>
      <c r="U527" s="606"/>
      <c r="V527" s="593">
        <f t="shared" si="360"/>
        <v>0</v>
      </c>
      <c r="W527" s="606"/>
      <c r="X527" s="606"/>
      <c r="Y527" s="606"/>
      <c r="Z527" s="606"/>
      <c r="AA527" s="606"/>
      <c r="AB527" s="606"/>
      <c r="AC527" s="607"/>
      <c r="AD527" s="606"/>
      <c r="AE527" s="608"/>
      <c r="AF527" s="639">
        <v>190</v>
      </c>
      <c r="AG527" s="639">
        <f t="shared" si="359"/>
        <v>190</v>
      </c>
      <c r="AH527" s="639">
        <f t="shared" si="346"/>
        <v>0</v>
      </c>
      <c r="AI527" s="640"/>
      <c r="AJ527" s="641">
        <f t="shared" si="347"/>
        <v>0</v>
      </c>
      <c r="AK527" s="642"/>
      <c r="AL527" s="642" t="s">
        <v>364</v>
      </c>
      <c r="AM527" s="643"/>
      <c r="AN527" s="642"/>
      <c r="AO527" s="644">
        <v>1879</v>
      </c>
      <c r="AP527" s="565"/>
      <c r="AQ527" s="566"/>
      <c r="AR527" s="566"/>
      <c r="AS527" s="566"/>
      <c r="AT527" s="566"/>
      <c r="AU527" s="566"/>
      <c r="AV527" s="566"/>
      <c r="AW527" s="566"/>
      <c r="AX527" s="566"/>
      <c r="AY527" s="566"/>
      <c r="AZ527" s="566"/>
      <c r="BA527" s="566"/>
      <c r="BB527" s="566"/>
      <c r="BC527" s="566"/>
      <c r="BD527" s="566"/>
      <c r="BE527" s="566"/>
      <c r="BF527" s="566"/>
      <c r="BG527" s="566"/>
    </row>
    <row r="528" spans="1:59">
      <c r="A528" s="591"/>
      <c r="B528" s="592"/>
      <c r="C528" s="593"/>
      <c r="D528" s="594">
        <v>1</v>
      </c>
      <c r="E528" s="595" t="s">
        <v>374</v>
      </c>
      <c r="F528" s="593" t="s">
        <v>339</v>
      </c>
      <c r="G528" s="596" t="s">
        <v>635</v>
      </c>
      <c r="H528" s="596" t="s">
        <v>635</v>
      </c>
      <c r="I528" s="596"/>
      <c r="J528" s="596"/>
      <c r="K528" s="596"/>
      <c r="L528" s="591" t="s">
        <v>931</v>
      </c>
      <c r="M528" s="597" t="str">
        <f t="shared" si="354"/>
        <v>Niet van toepassing</v>
      </c>
      <c r="N528" s="591" t="s">
        <v>343</v>
      </c>
      <c r="O528" s="598"/>
      <c r="P528" s="599"/>
      <c r="Q528" s="600">
        <f t="shared" si="329"/>
        <v>0</v>
      </c>
      <c r="R528" s="601">
        <f>AF528</f>
        <v>141</v>
      </c>
      <c r="S528" s="603" t="s">
        <v>28</v>
      </c>
      <c r="T528" s="602"/>
      <c r="U528" s="603"/>
      <c r="V528" s="593">
        <f t="shared" si="360"/>
        <v>0</v>
      </c>
      <c r="W528" s="604">
        <f t="shared" ref="W528:W530" si="369">Z528*R528*U528</f>
        <v>0</v>
      </c>
      <c r="X528" s="604">
        <f t="shared" ref="X528:X530" si="370">AA528*R528</f>
        <v>0</v>
      </c>
      <c r="Y528" s="604">
        <f t="shared" ref="Y528:Y530" si="371">AB528*R528</f>
        <v>0</v>
      </c>
      <c r="Z528" s="605">
        <f>VLOOKUP(S528,Kengetal,6,FALSE)</f>
        <v>0</v>
      </c>
      <c r="AA528" s="751">
        <f>VLOOKUP(S528,Kengetal,7,FALSE)</f>
        <v>0</v>
      </c>
      <c r="AB528" s="605">
        <f>VLOOKUP(T528,Kengetal,6,FALSE)</f>
        <v>0</v>
      </c>
      <c r="AC528" s="607"/>
      <c r="AD528" s="591" t="str">
        <f>AL528</f>
        <v>Friesland College</v>
      </c>
      <c r="AE528" s="608"/>
      <c r="AF528" s="639">
        <v>141</v>
      </c>
      <c r="AG528" s="639">
        <f t="shared" si="359"/>
        <v>141</v>
      </c>
      <c r="AH528" s="639">
        <f t="shared" si="346"/>
        <v>0</v>
      </c>
      <c r="AI528" s="640"/>
      <c r="AJ528" s="641">
        <f t="shared" si="347"/>
        <v>0</v>
      </c>
      <c r="AK528" s="642"/>
      <c r="AL528" s="642" t="s">
        <v>364</v>
      </c>
      <c r="AM528" s="643"/>
      <c r="AN528" s="642"/>
      <c r="AO528" s="644">
        <v>1880</v>
      </c>
      <c r="AP528" s="565"/>
      <c r="AQ528" s="566"/>
      <c r="AR528" s="566"/>
      <c r="AS528" s="566"/>
      <c r="AT528" s="566"/>
      <c r="AU528" s="566"/>
      <c r="AV528" s="566"/>
      <c r="AW528" s="566"/>
      <c r="AX528" s="566"/>
      <c r="AY528" s="566"/>
      <c r="AZ528" s="566"/>
      <c r="BA528" s="566"/>
      <c r="BB528" s="566"/>
      <c r="BC528" s="566"/>
      <c r="BD528" s="566"/>
      <c r="BE528" s="566"/>
      <c r="BF528" s="566"/>
      <c r="BG528" s="566"/>
    </row>
    <row r="529" spans="1:59">
      <c r="A529" s="591"/>
      <c r="B529" s="592"/>
      <c r="C529" s="593"/>
      <c r="D529" s="594">
        <v>1</v>
      </c>
      <c r="E529" s="595" t="s">
        <v>374</v>
      </c>
      <c r="F529" s="593" t="s">
        <v>339</v>
      </c>
      <c r="G529" s="596" t="s">
        <v>733</v>
      </c>
      <c r="H529" s="596" t="s">
        <v>733</v>
      </c>
      <c r="I529" s="596"/>
      <c r="J529" s="596"/>
      <c r="K529" s="596"/>
      <c r="L529" s="591" t="s">
        <v>763</v>
      </c>
      <c r="M529" s="597" t="str">
        <f t="shared" si="354"/>
        <v>Trappenhuis-bordes</v>
      </c>
      <c r="N529" s="591" t="s">
        <v>950</v>
      </c>
      <c r="O529" s="598"/>
      <c r="P529" s="599"/>
      <c r="Q529" s="600">
        <f t="shared" ref="Q529:Q547" si="372">AF529*P529/100</f>
        <v>0</v>
      </c>
      <c r="R529" s="601">
        <f>AF529</f>
        <v>8</v>
      </c>
      <c r="S529" s="647">
        <v>108200</v>
      </c>
      <c r="T529" s="602"/>
      <c r="U529" s="645">
        <v>1</v>
      </c>
      <c r="V529" s="593">
        <f t="shared" si="360"/>
        <v>200</v>
      </c>
      <c r="W529" s="604">
        <f t="shared" si="369"/>
        <v>0</v>
      </c>
      <c r="X529" s="604">
        <f t="shared" si="370"/>
        <v>0</v>
      </c>
      <c r="Y529" s="604">
        <f t="shared" si="371"/>
        <v>0</v>
      </c>
      <c r="Z529" s="605">
        <f>VLOOKUP(S529,Kengetal,6,FALSE)</f>
        <v>0</v>
      </c>
      <c r="AA529" s="751">
        <f>VLOOKUP(S529,Kengetal,7,FALSE)</f>
        <v>0</v>
      </c>
      <c r="AB529" s="605">
        <f>VLOOKUP(T529,Kengetal,6,FALSE)</f>
        <v>0</v>
      </c>
      <c r="AC529" s="607"/>
      <c r="AD529" s="591" t="str">
        <f>AL529</f>
        <v>Friesland College</v>
      </c>
      <c r="AE529" s="608"/>
      <c r="AF529" s="639">
        <v>8</v>
      </c>
      <c r="AG529" s="639">
        <f t="shared" si="359"/>
        <v>8</v>
      </c>
      <c r="AH529" s="639">
        <f t="shared" si="346"/>
        <v>0</v>
      </c>
      <c r="AI529" s="640"/>
      <c r="AJ529" s="641">
        <f t="shared" si="347"/>
        <v>0</v>
      </c>
      <c r="AK529" s="642"/>
      <c r="AL529" s="642" t="s">
        <v>364</v>
      </c>
      <c r="AM529" s="643"/>
      <c r="AN529" s="642"/>
      <c r="AO529" s="644">
        <v>1881</v>
      </c>
      <c r="AP529" s="565"/>
      <c r="AQ529" s="566"/>
      <c r="AR529" s="566"/>
      <c r="AS529" s="566"/>
      <c r="AT529" s="566"/>
      <c r="AU529" s="566"/>
      <c r="AV529" s="566"/>
      <c r="AW529" s="566"/>
      <c r="AX529" s="566"/>
      <c r="AY529" s="566"/>
      <c r="AZ529" s="566"/>
      <c r="BA529" s="566"/>
      <c r="BB529" s="566"/>
      <c r="BC529" s="566"/>
      <c r="BD529" s="566"/>
      <c r="BE529" s="566"/>
      <c r="BF529" s="566"/>
      <c r="BG529" s="566"/>
    </row>
    <row r="530" spans="1:59">
      <c r="A530" s="591"/>
      <c r="B530" s="592"/>
      <c r="C530" s="593"/>
      <c r="D530" s="594">
        <v>1</v>
      </c>
      <c r="E530" s="595" t="s">
        <v>374</v>
      </c>
      <c r="F530" s="593" t="s">
        <v>339</v>
      </c>
      <c r="G530" s="596" t="s">
        <v>669</v>
      </c>
      <c r="H530" s="596" t="s">
        <v>734</v>
      </c>
      <c r="I530" s="596"/>
      <c r="J530" s="596"/>
      <c r="K530" s="596"/>
      <c r="L530" s="591" t="s">
        <v>932</v>
      </c>
      <c r="M530" s="597" t="str">
        <f t="shared" si="354"/>
        <v>Onderwijsruimte (theorie)</v>
      </c>
      <c r="N530" s="591" t="s">
        <v>322</v>
      </c>
      <c r="O530" s="598"/>
      <c r="P530" s="599"/>
      <c r="Q530" s="600">
        <f t="shared" si="372"/>
        <v>0</v>
      </c>
      <c r="R530" s="601">
        <f>AF530</f>
        <v>37</v>
      </c>
      <c r="S530" s="647">
        <v>102200</v>
      </c>
      <c r="T530" s="602"/>
      <c r="U530" s="645">
        <v>1</v>
      </c>
      <c r="V530" s="593">
        <f t="shared" si="360"/>
        <v>200</v>
      </c>
      <c r="W530" s="604">
        <f t="shared" si="369"/>
        <v>0</v>
      </c>
      <c r="X530" s="604">
        <f t="shared" si="370"/>
        <v>0</v>
      </c>
      <c r="Y530" s="604">
        <f t="shared" si="371"/>
        <v>0</v>
      </c>
      <c r="Z530" s="605">
        <f>VLOOKUP(S530,Kengetal,6,FALSE)</f>
        <v>0</v>
      </c>
      <c r="AA530" s="751">
        <f>VLOOKUP(S530,Kengetal,7,FALSE)</f>
        <v>0</v>
      </c>
      <c r="AB530" s="605">
        <f>VLOOKUP(T530,Kengetal,6,FALSE)</f>
        <v>0</v>
      </c>
      <c r="AC530" s="607"/>
      <c r="AD530" s="591" t="str">
        <f>AL530</f>
        <v>Friesland College</v>
      </c>
      <c r="AE530" s="608"/>
      <c r="AF530" s="639">
        <v>37</v>
      </c>
      <c r="AG530" s="639">
        <f t="shared" si="359"/>
        <v>37</v>
      </c>
      <c r="AH530" s="639">
        <f t="shared" si="346"/>
        <v>0</v>
      </c>
      <c r="AI530" s="640"/>
      <c r="AJ530" s="641">
        <f t="shared" si="347"/>
        <v>0</v>
      </c>
      <c r="AK530" s="642"/>
      <c r="AL530" s="642" t="s">
        <v>364</v>
      </c>
      <c r="AM530" s="643"/>
      <c r="AN530" s="642"/>
      <c r="AO530" s="644">
        <v>1882</v>
      </c>
      <c r="AP530" s="565"/>
      <c r="AQ530" s="566"/>
      <c r="AR530" s="566"/>
      <c r="AS530" s="566"/>
      <c r="AT530" s="566"/>
      <c r="AU530" s="566"/>
      <c r="AV530" s="566"/>
      <c r="AW530" s="566"/>
      <c r="AX530" s="566"/>
      <c r="AY530" s="566"/>
      <c r="AZ530" s="566"/>
      <c r="BA530" s="566"/>
      <c r="BB530" s="566"/>
      <c r="BC530" s="566"/>
      <c r="BD530" s="566"/>
      <c r="BE530" s="566"/>
      <c r="BF530" s="566"/>
      <c r="BG530" s="566"/>
    </row>
    <row r="531" spans="1:59">
      <c r="A531" s="591"/>
      <c r="B531" s="618"/>
      <c r="C531" s="609"/>
      <c r="D531" s="594">
        <v>1</v>
      </c>
      <c r="E531" s="595" t="s">
        <v>374</v>
      </c>
      <c r="F531" s="593" t="s">
        <v>339</v>
      </c>
      <c r="G531" s="610" t="s">
        <v>669</v>
      </c>
      <c r="H531" s="610" t="s">
        <v>734</v>
      </c>
      <c r="I531" s="610"/>
      <c r="J531" s="610"/>
      <c r="K531" s="610"/>
      <c r="L531" s="611" t="s">
        <v>932</v>
      </c>
      <c r="M531" s="612">
        <f t="shared" si="354"/>
        <v>0</v>
      </c>
      <c r="N531" s="613"/>
      <c r="O531" s="614" t="s">
        <v>987</v>
      </c>
      <c r="P531" s="615">
        <v>20</v>
      </c>
      <c r="Q531" s="616">
        <f t="shared" si="372"/>
        <v>7.4</v>
      </c>
      <c r="R531" s="613"/>
      <c r="S531" s="603"/>
      <c r="T531" s="606"/>
      <c r="U531" s="606"/>
      <c r="V531" s="593">
        <f t="shared" si="360"/>
        <v>0</v>
      </c>
      <c r="W531" s="606"/>
      <c r="X531" s="606"/>
      <c r="Y531" s="606"/>
      <c r="Z531" s="606"/>
      <c r="AA531" s="606"/>
      <c r="AB531" s="606"/>
      <c r="AC531" s="607"/>
      <c r="AD531" s="606"/>
      <c r="AE531" s="608"/>
      <c r="AF531" s="639">
        <v>37</v>
      </c>
      <c r="AG531" s="639">
        <f t="shared" si="359"/>
        <v>37</v>
      </c>
      <c r="AH531" s="639">
        <f t="shared" si="346"/>
        <v>0</v>
      </c>
      <c r="AI531" s="640"/>
      <c r="AJ531" s="641">
        <f t="shared" si="347"/>
        <v>0</v>
      </c>
      <c r="AK531" s="642"/>
      <c r="AL531" s="642" t="s">
        <v>364</v>
      </c>
      <c r="AM531" s="643"/>
      <c r="AN531" s="642"/>
      <c r="AO531" s="644">
        <v>1883</v>
      </c>
      <c r="AP531" s="565"/>
      <c r="AQ531" s="566"/>
      <c r="AR531" s="566"/>
      <c r="AS531" s="566"/>
      <c r="AT531" s="566"/>
      <c r="AU531" s="566"/>
      <c r="AV531" s="566"/>
      <c r="AW531" s="566"/>
      <c r="AX531" s="566"/>
      <c r="AY531" s="566"/>
      <c r="AZ531" s="566"/>
      <c r="BA531" s="566"/>
      <c r="BB531" s="566"/>
      <c r="BC531" s="566"/>
      <c r="BD531" s="566"/>
      <c r="BE531" s="566"/>
      <c r="BF531" s="566"/>
      <c r="BG531" s="566"/>
    </row>
    <row r="532" spans="1:59">
      <c r="A532" s="591"/>
      <c r="B532" s="618"/>
      <c r="C532" s="609"/>
      <c r="D532" s="594">
        <v>1</v>
      </c>
      <c r="E532" s="595" t="s">
        <v>374</v>
      </c>
      <c r="F532" s="593" t="s">
        <v>339</v>
      </c>
      <c r="G532" s="610" t="s">
        <v>669</v>
      </c>
      <c r="H532" s="610" t="s">
        <v>734</v>
      </c>
      <c r="I532" s="610"/>
      <c r="J532" s="610"/>
      <c r="K532" s="610"/>
      <c r="L532" s="611" t="s">
        <v>932</v>
      </c>
      <c r="M532" s="612">
        <f t="shared" si="354"/>
        <v>0</v>
      </c>
      <c r="N532" s="613"/>
      <c r="O532" s="614" t="s">
        <v>1010</v>
      </c>
      <c r="P532" s="615">
        <v>80</v>
      </c>
      <c r="Q532" s="616">
        <f t="shared" si="372"/>
        <v>29.6</v>
      </c>
      <c r="R532" s="613"/>
      <c r="S532" s="603"/>
      <c r="T532" s="606"/>
      <c r="U532" s="606"/>
      <c r="V532" s="593">
        <f t="shared" si="360"/>
        <v>0</v>
      </c>
      <c r="W532" s="606"/>
      <c r="X532" s="606"/>
      <c r="Y532" s="606"/>
      <c r="Z532" s="606"/>
      <c r="AA532" s="606"/>
      <c r="AB532" s="606"/>
      <c r="AC532" s="607"/>
      <c r="AD532" s="606"/>
      <c r="AE532" s="608"/>
      <c r="AF532" s="639">
        <v>37</v>
      </c>
      <c r="AG532" s="639">
        <f t="shared" si="359"/>
        <v>37</v>
      </c>
      <c r="AH532" s="639">
        <f t="shared" si="346"/>
        <v>0</v>
      </c>
      <c r="AI532" s="640"/>
      <c r="AJ532" s="641">
        <f t="shared" si="347"/>
        <v>0</v>
      </c>
      <c r="AK532" s="642"/>
      <c r="AL532" s="642" t="s">
        <v>364</v>
      </c>
      <c r="AM532" s="643"/>
      <c r="AN532" s="642"/>
      <c r="AO532" s="644">
        <v>1884</v>
      </c>
      <c r="AP532" s="565"/>
      <c r="AQ532" s="566"/>
      <c r="AR532" s="566"/>
      <c r="AS532" s="566"/>
      <c r="AT532" s="566"/>
      <c r="AU532" s="566"/>
      <c r="AV532" s="566"/>
      <c r="AW532" s="566"/>
      <c r="AX532" s="566"/>
      <c r="AY532" s="566"/>
      <c r="AZ532" s="566"/>
      <c r="BA532" s="566"/>
      <c r="BB532" s="566"/>
      <c r="BC532" s="566"/>
      <c r="BD532" s="566"/>
      <c r="BE532" s="566"/>
      <c r="BF532" s="566"/>
      <c r="BG532" s="566"/>
    </row>
    <row r="533" spans="1:59">
      <c r="A533" s="591"/>
      <c r="B533" s="592"/>
      <c r="C533" s="593"/>
      <c r="D533" s="594">
        <v>1</v>
      </c>
      <c r="E533" s="595" t="s">
        <v>374</v>
      </c>
      <c r="F533" s="593" t="s">
        <v>339</v>
      </c>
      <c r="G533" s="596" t="s">
        <v>670</v>
      </c>
      <c r="H533" s="596" t="s">
        <v>670</v>
      </c>
      <c r="I533" s="596"/>
      <c r="J533" s="596"/>
      <c r="K533" s="596"/>
      <c r="L533" s="591" t="s">
        <v>876</v>
      </c>
      <c r="M533" s="597" t="str">
        <f t="shared" si="354"/>
        <v>Niet van toepassing</v>
      </c>
      <c r="N533" s="591" t="s">
        <v>323</v>
      </c>
      <c r="O533" s="598"/>
      <c r="P533" s="599"/>
      <c r="Q533" s="600">
        <f t="shared" si="372"/>
        <v>0</v>
      </c>
      <c r="R533" s="601">
        <f t="shared" ref="R533:R547" si="373">AF533</f>
        <v>6</v>
      </c>
      <c r="S533" s="603" t="s">
        <v>28</v>
      </c>
      <c r="T533" s="602"/>
      <c r="U533" s="603"/>
      <c r="V533" s="593">
        <f t="shared" si="360"/>
        <v>0</v>
      </c>
      <c r="W533" s="604">
        <f t="shared" ref="W533:W547" si="374">Z533*R533*U533</f>
        <v>0</v>
      </c>
      <c r="X533" s="604">
        <f t="shared" ref="X533:X547" si="375">AA533*R533</f>
        <v>0</v>
      </c>
      <c r="Y533" s="604">
        <f t="shared" ref="Y533:Y547" si="376">AB533*R533</f>
        <v>0</v>
      </c>
      <c r="Z533" s="605">
        <f t="shared" ref="Z533:Z547" si="377">VLOOKUP(S533,Kengetal,6,FALSE)</f>
        <v>0</v>
      </c>
      <c r="AA533" s="751">
        <f t="shared" ref="AA533:AA547" si="378">VLOOKUP(S533,Kengetal,7,FALSE)</f>
        <v>0</v>
      </c>
      <c r="AB533" s="605">
        <f t="shared" ref="AB533:AB547" si="379">VLOOKUP(T533,Kengetal,6,FALSE)</f>
        <v>0</v>
      </c>
      <c r="AC533" s="607"/>
      <c r="AD533" s="591" t="str">
        <f t="shared" ref="AD533:AD547" si="380">AL533</f>
        <v>Friesland College</v>
      </c>
      <c r="AE533" s="608"/>
      <c r="AF533" s="639">
        <v>6</v>
      </c>
      <c r="AG533" s="639">
        <f t="shared" si="359"/>
        <v>6</v>
      </c>
      <c r="AH533" s="639">
        <f t="shared" si="346"/>
        <v>0</v>
      </c>
      <c r="AI533" s="640"/>
      <c r="AJ533" s="641">
        <f t="shared" si="347"/>
        <v>0</v>
      </c>
      <c r="AK533" s="642"/>
      <c r="AL533" s="642" t="s">
        <v>364</v>
      </c>
      <c r="AM533" s="643"/>
      <c r="AN533" s="642"/>
      <c r="AO533" s="644">
        <v>1885</v>
      </c>
      <c r="AP533" s="565"/>
      <c r="AQ533" s="566"/>
      <c r="AR533" s="566"/>
      <c r="AS533" s="566"/>
      <c r="AT533" s="566"/>
      <c r="AU533" s="566"/>
      <c r="AV533" s="566"/>
      <c r="AW533" s="566"/>
      <c r="AX533" s="566"/>
      <c r="AY533" s="566"/>
      <c r="AZ533" s="566"/>
      <c r="BA533" s="566"/>
      <c r="BB533" s="566"/>
      <c r="BC533" s="566"/>
      <c r="BD533" s="566"/>
      <c r="BE533" s="566"/>
      <c r="BF533" s="566"/>
      <c r="BG533" s="566"/>
    </row>
    <row r="534" spans="1:59">
      <c r="A534" s="591"/>
      <c r="B534" s="592"/>
      <c r="C534" s="593"/>
      <c r="D534" s="594">
        <v>1</v>
      </c>
      <c r="E534" s="595" t="s">
        <v>374</v>
      </c>
      <c r="F534" s="593" t="s">
        <v>339</v>
      </c>
      <c r="G534" s="596" t="s">
        <v>671</v>
      </c>
      <c r="H534" s="596" t="s">
        <v>671</v>
      </c>
      <c r="I534" s="596"/>
      <c r="J534" s="596"/>
      <c r="K534" s="596"/>
      <c r="L534" s="591" t="s">
        <v>914</v>
      </c>
      <c r="M534" s="597" t="str">
        <f t="shared" si="354"/>
        <v>Sanitaire ruimte (toilet-/doucheruimte)</v>
      </c>
      <c r="N534" s="591" t="s">
        <v>323</v>
      </c>
      <c r="O534" s="598"/>
      <c r="P534" s="599"/>
      <c r="Q534" s="600">
        <f t="shared" si="372"/>
        <v>0</v>
      </c>
      <c r="R534" s="601">
        <f t="shared" si="373"/>
        <v>6</v>
      </c>
      <c r="S534" s="647">
        <v>103200</v>
      </c>
      <c r="T534" s="647">
        <v>103400</v>
      </c>
      <c r="U534" s="645">
        <v>1</v>
      </c>
      <c r="V534" s="593">
        <f t="shared" si="360"/>
        <v>400</v>
      </c>
      <c r="W534" s="604">
        <f t="shared" si="374"/>
        <v>0</v>
      </c>
      <c r="X534" s="604">
        <f t="shared" si="375"/>
        <v>0</v>
      </c>
      <c r="Y534" s="604">
        <f t="shared" si="376"/>
        <v>0</v>
      </c>
      <c r="Z534" s="605">
        <f t="shared" si="377"/>
        <v>0</v>
      </c>
      <c r="AA534" s="751">
        <f t="shared" si="378"/>
        <v>0</v>
      </c>
      <c r="AB534" s="605">
        <f t="shared" si="379"/>
        <v>0</v>
      </c>
      <c r="AC534" s="607"/>
      <c r="AD534" s="591" t="str">
        <f t="shared" si="380"/>
        <v>Friesland College</v>
      </c>
      <c r="AE534" s="608"/>
      <c r="AF534" s="639">
        <v>6</v>
      </c>
      <c r="AG534" s="639">
        <f t="shared" si="359"/>
        <v>6</v>
      </c>
      <c r="AH534" s="639">
        <f t="shared" si="346"/>
        <v>0</v>
      </c>
      <c r="AI534" s="640"/>
      <c r="AJ534" s="641">
        <f t="shared" si="347"/>
        <v>0</v>
      </c>
      <c r="AK534" s="642"/>
      <c r="AL534" s="642" t="s">
        <v>364</v>
      </c>
      <c r="AM534" s="643"/>
      <c r="AN534" s="642"/>
      <c r="AO534" s="644">
        <v>1886</v>
      </c>
      <c r="AP534" s="565"/>
      <c r="AQ534" s="566"/>
      <c r="AR534" s="566"/>
      <c r="AS534" s="566"/>
      <c r="AT534" s="566"/>
      <c r="AU534" s="566"/>
      <c r="AV534" s="566"/>
      <c r="AW534" s="566"/>
      <c r="AX534" s="566"/>
      <c r="AY534" s="566"/>
      <c r="AZ534" s="566"/>
      <c r="BA534" s="566"/>
      <c r="BB534" s="566"/>
      <c r="BC534" s="566"/>
      <c r="BD534" s="566"/>
      <c r="BE534" s="566"/>
      <c r="BF534" s="566"/>
      <c r="BG534" s="566"/>
    </row>
    <row r="535" spans="1:59">
      <c r="A535" s="591"/>
      <c r="B535" s="592"/>
      <c r="C535" s="593"/>
      <c r="D535" s="594">
        <v>1</v>
      </c>
      <c r="E535" s="595" t="s">
        <v>374</v>
      </c>
      <c r="F535" s="593" t="s">
        <v>339</v>
      </c>
      <c r="G535" s="596" t="s">
        <v>672</v>
      </c>
      <c r="H535" s="596" t="s">
        <v>672</v>
      </c>
      <c r="I535" s="596"/>
      <c r="J535" s="596"/>
      <c r="K535" s="596"/>
      <c r="L535" s="591" t="s">
        <v>319</v>
      </c>
      <c r="M535" s="597" t="str">
        <f t="shared" si="354"/>
        <v>Gang, hal, pantry, aula, repro, gardarobe</v>
      </c>
      <c r="N535" s="591" t="s">
        <v>322</v>
      </c>
      <c r="O535" s="621"/>
      <c r="P535" s="622"/>
      <c r="Q535" s="600">
        <f t="shared" si="372"/>
        <v>0</v>
      </c>
      <c r="R535" s="601">
        <f t="shared" si="373"/>
        <v>8</v>
      </c>
      <c r="S535" s="647">
        <v>104200</v>
      </c>
      <c r="T535" s="602"/>
      <c r="U535" s="645">
        <v>1</v>
      </c>
      <c r="V535" s="593">
        <f t="shared" si="360"/>
        <v>200</v>
      </c>
      <c r="W535" s="604">
        <f t="shared" si="374"/>
        <v>0</v>
      </c>
      <c r="X535" s="604">
        <f t="shared" si="375"/>
        <v>0</v>
      </c>
      <c r="Y535" s="604">
        <f t="shared" si="376"/>
        <v>0</v>
      </c>
      <c r="Z535" s="605">
        <f t="shared" si="377"/>
        <v>0</v>
      </c>
      <c r="AA535" s="751">
        <f t="shared" si="378"/>
        <v>0</v>
      </c>
      <c r="AB535" s="605">
        <f t="shared" si="379"/>
        <v>0</v>
      </c>
      <c r="AC535" s="607"/>
      <c r="AD535" s="591" t="str">
        <f t="shared" si="380"/>
        <v>Friesland College</v>
      </c>
      <c r="AE535" s="608"/>
      <c r="AF535" s="639">
        <v>8</v>
      </c>
      <c r="AG535" s="639">
        <f t="shared" si="359"/>
        <v>8</v>
      </c>
      <c r="AH535" s="639">
        <f t="shared" si="346"/>
        <v>0</v>
      </c>
      <c r="AI535" s="640"/>
      <c r="AJ535" s="641">
        <f t="shared" si="347"/>
        <v>0</v>
      </c>
      <c r="AK535" s="642"/>
      <c r="AL535" s="642" t="s">
        <v>364</v>
      </c>
      <c r="AM535" s="643"/>
      <c r="AN535" s="642"/>
      <c r="AO535" s="644">
        <v>1887</v>
      </c>
      <c r="AP535" s="565"/>
      <c r="AQ535" s="566"/>
      <c r="AR535" s="566"/>
      <c r="AS535" s="566"/>
      <c r="AT535" s="566"/>
      <c r="AU535" s="566"/>
      <c r="AV535" s="566"/>
      <c r="AW535" s="566"/>
      <c r="AX535" s="566"/>
      <c r="AY535" s="566"/>
      <c r="AZ535" s="566"/>
      <c r="BA535" s="566"/>
      <c r="BB535" s="566"/>
      <c r="BC535" s="566"/>
      <c r="BD535" s="566"/>
      <c r="BE535" s="566"/>
      <c r="BF535" s="566"/>
      <c r="BG535" s="566"/>
    </row>
    <row r="536" spans="1:59">
      <c r="A536" s="591"/>
      <c r="B536" s="592"/>
      <c r="C536" s="593"/>
      <c r="D536" s="594">
        <v>1</v>
      </c>
      <c r="E536" s="595" t="s">
        <v>374</v>
      </c>
      <c r="F536" s="593" t="s">
        <v>339</v>
      </c>
      <c r="G536" s="596" t="s">
        <v>673</v>
      </c>
      <c r="H536" s="596" t="s">
        <v>673</v>
      </c>
      <c r="I536" s="596"/>
      <c r="J536" s="596"/>
      <c r="K536" s="596"/>
      <c r="L536" s="591" t="s">
        <v>880</v>
      </c>
      <c r="M536" s="597" t="str">
        <f t="shared" si="354"/>
        <v>Sanitaire ruimte (toilet-/doucheruimte)</v>
      </c>
      <c r="N536" s="591" t="s">
        <v>323</v>
      </c>
      <c r="O536" s="621"/>
      <c r="P536" s="622"/>
      <c r="Q536" s="600">
        <f t="shared" si="372"/>
        <v>0</v>
      </c>
      <c r="R536" s="601">
        <f t="shared" si="373"/>
        <v>3</v>
      </c>
      <c r="S536" s="647">
        <v>103200</v>
      </c>
      <c r="T536" s="647">
        <v>103400</v>
      </c>
      <c r="U536" s="645">
        <v>1</v>
      </c>
      <c r="V536" s="593">
        <f t="shared" si="360"/>
        <v>400</v>
      </c>
      <c r="W536" s="604">
        <f t="shared" si="374"/>
        <v>0</v>
      </c>
      <c r="X536" s="604">
        <f t="shared" si="375"/>
        <v>0</v>
      </c>
      <c r="Y536" s="604">
        <f t="shared" si="376"/>
        <v>0</v>
      </c>
      <c r="Z536" s="605">
        <f t="shared" si="377"/>
        <v>0</v>
      </c>
      <c r="AA536" s="751">
        <f t="shared" si="378"/>
        <v>0</v>
      </c>
      <c r="AB536" s="605">
        <f t="shared" si="379"/>
        <v>0</v>
      </c>
      <c r="AC536" s="607"/>
      <c r="AD536" s="591" t="str">
        <f t="shared" si="380"/>
        <v>Friesland College</v>
      </c>
      <c r="AE536" s="608"/>
      <c r="AF536" s="639">
        <v>3</v>
      </c>
      <c r="AG536" s="639">
        <f t="shared" si="359"/>
        <v>3</v>
      </c>
      <c r="AH536" s="639">
        <f t="shared" si="346"/>
        <v>0</v>
      </c>
      <c r="AI536" s="640"/>
      <c r="AJ536" s="641">
        <f t="shared" si="347"/>
        <v>0</v>
      </c>
      <c r="AK536" s="642"/>
      <c r="AL536" s="642" t="s">
        <v>364</v>
      </c>
      <c r="AM536" s="643"/>
      <c r="AN536" s="642"/>
      <c r="AO536" s="644">
        <v>1888</v>
      </c>
      <c r="AP536" s="565"/>
      <c r="AQ536" s="566"/>
      <c r="AR536" s="566"/>
      <c r="AS536" s="566"/>
      <c r="AT536" s="566"/>
      <c r="AU536" s="566"/>
      <c r="AV536" s="566"/>
      <c r="AW536" s="566"/>
      <c r="AX536" s="566"/>
      <c r="AY536" s="566"/>
      <c r="AZ536" s="566"/>
      <c r="BA536" s="566"/>
      <c r="BB536" s="566"/>
      <c r="BC536" s="566"/>
      <c r="BD536" s="566"/>
      <c r="BE536" s="566"/>
      <c r="BF536" s="566"/>
      <c r="BG536" s="566"/>
    </row>
    <row r="537" spans="1:59">
      <c r="A537" s="591"/>
      <c r="B537" s="592"/>
      <c r="C537" s="593"/>
      <c r="D537" s="594">
        <v>1</v>
      </c>
      <c r="E537" s="595" t="s">
        <v>374</v>
      </c>
      <c r="F537" s="593" t="s">
        <v>339</v>
      </c>
      <c r="G537" s="596" t="s">
        <v>674</v>
      </c>
      <c r="H537" s="596" t="s">
        <v>674</v>
      </c>
      <c r="I537" s="596"/>
      <c r="J537" s="596"/>
      <c r="K537" s="596"/>
      <c r="L537" s="591" t="s">
        <v>877</v>
      </c>
      <c r="M537" s="597" t="str">
        <f t="shared" si="354"/>
        <v>Sanitaire ruimte (toilet-/doucheruimte)</v>
      </c>
      <c r="N537" s="591" t="s">
        <v>323</v>
      </c>
      <c r="O537" s="598"/>
      <c r="P537" s="599"/>
      <c r="Q537" s="600">
        <f t="shared" si="372"/>
        <v>0</v>
      </c>
      <c r="R537" s="601">
        <f t="shared" si="373"/>
        <v>3</v>
      </c>
      <c r="S537" s="647">
        <v>103200</v>
      </c>
      <c r="T537" s="647">
        <v>103400</v>
      </c>
      <c r="U537" s="645">
        <v>1</v>
      </c>
      <c r="V537" s="593">
        <f t="shared" si="360"/>
        <v>400</v>
      </c>
      <c r="W537" s="604">
        <f t="shared" si="374"/>
        <v>0</v>
      </c>
      <c r="X537" s="604">
        <f t="shared" si="375"/>
        <v>0</v>
      </c>
      <c r="Y537" s="604">
        <f t="shared" si="376"/>
        <v>0</v>
      </c>
      <c r="Z537" s="605">
        <f t="shared" si="377"/>
        <v>0</v>
      </c>
      <c r="AA537" s="751">
        <f t="shared" si="378"/>
        <v>0</v>
      </c>
      <c r="AB537" s="605">
        <f t="shared" si="379"/>
        <v>0</v>
      </c>
      <c r="AC537" s="607"/>
      <c r="AD537" s="591" t="str">
        <f t="shared" si="380"/>
        <v>Friesland College</v>
      </c>
      <c r="AE537" s="608"/>
      <c r="AF537" s="639">
        <v>3</v>
      </c>
      <c r="AG537" s="639">
        <f t="shared" si="359"/>
        <v>3</v>
      </c>
      <c r="AH537" s="639">
        <f t="shared" si="346"/>
        <v>0</v>
      </c>
      <c r="AI537" s="640"/>
      <c r="AJ537" s="641">
        <f t="shared" si="347"/>
        <v>0</v>
      </c>
      <c r="AK537" s="642"/>
      <c r="AL537" s="642" t="s">
        <v>364</v>
      </c>
      <c r="AM537" s="643"/>
      <c r="AN537" s="642"/>
      <c r="AO537" s="644">
        <v>1889</v>
      </c>
      <c r="AP537" s="565"/>
      <c r="AQ537" s="566"/>
      <c r="AR537" s="566"/>
      <c r="AS537" s="566"/>
      <c r="AT537" s="566"/>
      <c r="AU537" s="566"/>
      <c r="AV537" s="566"/>
      <c r="AW537" s="566"/>
      <c r="AX537" s="566"/>
      <c r="AY537" s="566"/>
      <c r="AZ537" s="566"/>
      <c r="BA537" s="566"/>
      <c r="BB537" s="566"/>
      <c r="BC537" s="566"/>
      <c r="BD537" s="566"/>
      <c r="BE537" s="566"/>
      <c r="BF537" s="566"/>
      <c r="BG537" s="566"/>
    </row>
    <row r="538" spans="1:59">
      <c r="A538" s="591"/>
      <c r="B538" s="592"/>
      <c r="C538" s="593"/>
      <c r="D538" s="594">
        <v>1</v>
      </c>
      <c r="E538" s="595" t="s">
        <v>374</v>
      </c>
      <c r="F538" s="593" t="s">
        <v>339</v>
      </c>
      <c r="G538" s="596" t="s">
        <v>675</v>
      </c>
      <c r="H538" s="596" t="s">
        <v>675</v>
      </c>
      <c r="I538" s="596"/>
      <c r="J538" s="596"/>
      <c r="K538" s="596"/>
      <c r="L538" s="591" t="s">
        <v>878</v>
      </c>
      <c r="M538" s="597" t="str">
        <f t="shared" si="354"/>
        <v>Sanitaire ruimte (toilet-/doucheruimte)</v>
      </c>
      <c r="N538" s="591" t="s">
        <v>323</v>
      </c>
      <c r="O538" s="598"/>
      <c r="P538" s="599"/>
      <c r="Q538" s="600">
        <f t="shared" si="372"/>
        <v>0</v>
      </c>
      <c r="R538" s="601">
        <f t="shared" si="373"/>
        <v>12</v>
      </c>
      <c r="S538" s="647">
        <v>103200</v>
      </c>
      <c r="T538" s="647">
        <v>103400</v>
      </c>
      <c r="U538" s="645">
        <v>1</v>
      </c>
      <c r="V538" s="593">
        <f t="shared" si="360"/>
        <v>400</v>
      </c>
      <c r="W538" s="604">
        <f t="shared" si="374"/>
        <v>0</v>
      </c>
      <c r="X538" s="604">
        <f t="shared" si="375"/>
        <v>0</v>
      </c>
      <c r="Y538" s="604">
        <f t="shared" si="376"/>
        <v>0</v>
      </c>
      <c r="Z538" s="605">
        <f t="shared" si="377"/>
        <v>0</v>
      </c>
      <c r="AA538" s="751">
        <f t="shared" si="378"/>
        <v>0</v>
      </c>
      <c r="AB538" s="605">
        <f t="shared" si="379"/>
        <v>0</v>
      </c>
      <c r="AC538" s="607"/>
      <c r="AD538" s="591" t="str">
        <f t="shared" si="380"/>
        <v>Friesland College</v>
      </c>
      <c r="AE538" s="608"/>
      <c r="AF538" s="639">
        <v>12</v>
      </c>
      <c r="AG538" s="639">
        <f t="shared" si="359"/>
        <v>12</v>
      </c>
      <c r="AH538" s="639">
        <f t="shared" si="346"/>
        <v>0</v>
      </c>
      <c r="AI538" s="640"/>
      <c r="AJ538" s="641">
        <f t="shared" si="347"/>
        <v>0</v>
      </c>
      <c r="AK538" s="642"/>
      <c r="AL538" s="642" t="s">
        <v>364</v>
      </c>
      <c r="AM538" s="643"/>
      <c r="AN538" s="642"/>
      <c r="AO538" s="644">
        <v>1890</v>
      </c>
      <c r="AP538" s="565"/>
      <c r="AQ538" s="566"/>
      <c r="AR538" s="566"/>
      <c r="AS538" s="566"/>
      <c r="AT538" s="566"/>
      <c r="AU538" s="566"/>
      <c r="AV538" s="566"/>
      <c r="AW538" s="566"/>
      <c r="AX538" s="566"/>
      <c r="AY538" s="566"/>
      <c r="AZ538" s="566"/>
      <c r="BA538" s="566"/>
      <c r="BB538" s="566"/>
      <c r="BC538" s="566"/>
      <c r="BD538" s="566"/>
      <c r="BE538" s="566"/>
      <c r="BF538" s="566"/>
      <c r="BG538" s="566"/>
    </row>
    <row r="539" spans="1:59">
      <c r="A539" s="591"/>
      <c r="B539" s="592"/>
      <c r="C539" s="593"/>
      <c r="D539" s="594">
        <v>1</v>
      </c>
      <c r="E539" s="595" t="s">
        <v>374</v>
      </c>
      <c r="F539" s="593" t="s">
        <v>339</v>
      </c>
      <c r="G539" s="596" t="s">
        <v>676</v>
      </c>
      <c r="H539" s="596" t="s">
        <v>676</v>
      </c>
      <c r="I539" s="596"/>
      <c r="J539" s="596"/>
      <c r="K539" s="596"/>
      <c r="L539" s="591" t="s">
        <v>771</v>
      </c>
      <c r="M539" s="597" t="str">
        <f t="shared" si="354"/>
        <v>Niet van toepassing</v>
      </c>
      <c r="N539" s="591" t="s">
        <v>323</v>
      </c>
      <c r="O539" s="598"/>
      <c r="P539" s="599"/>
      <c r="Q539" s="600">
        <f t="shared" si="372"/>
        <v>0</v>
      </c>
      <c r="R539" s="601">
        <f t="shared" si="373"/>
        <v>2</v>
      </c>
      <c r="S539" s="603" t="s">
        <v>28</v>
      </c>
      <c r="T539" s="602"/>
      <c r="U539" s="603"/>
      <c r="V539" s="593">
        <f t="shared" si="360"/>
        <v>0</v>
      </c>
      <c r="W539" s="604">
        <f t="shared" si="374"/>
        <v>0</v>
      </c>
      <c r="X539" s="604">
        <f t="shared" si="375"/>
        <v>0</v>
      </c>
      <c r="Y539" s="604">
        <f t="shared" si="376"/>
        <v>0</v>
      </c>
      <c r="Z539" s="605">
        <f t="shared" si="377"/>
        <v>0</v>
      </c>
      <c r="AA539" s="751">
        <f t="shared" si="378"/>
        <v>0</v>
      </c>
      <c r="AB539" s="605">
        <f t="shared" si="379"/>
        <v>0</v>
      </c>
      <c r="AC539" s="607"/>
      <c r="AD539" s="591" t="str">
        <f t="shared" si="380"/>
        <v>Friesland College</v>
      </c>
      <c r="AE539" s="608"/>
      <c r="AF539" s="639">
        <v>2</v>
      </c>
      <c r="AG539" s="639">
        <f t="shared" si="359"/>
        <v>2</v>
      </c>
      <c r="AH539" s="639">
        <f t="shared" si="346"/>
        <v>0</v>
      </c>
      <c r="AI539" s="640"/>
      <c r="AJ539" s="641">
        <f t="shared" si="347"/>
        <v>0</v>
      </c>
      <c r="AK539" s="642"/>
      <c r="AL539" s="642" t="s">
        <v>364</v>
      </c>
      <c r="AM539" s="643"/>
      <c r="AN539" s="642"/>
      <c r="AO539" s="644">
        <v>1891</v>
      </c>
      <c r="AP539" s="565"/>
      <c r="AQ539" s="566"/>
      <c r="AR539" s="566"/>
      <c r="AS539" s="566"/>
      <c r="AT539" s="566"/>
      <c r="AU539" s="566"/>
      <c r="AV539" s="566"/>
      <c r="AW539" s="566"/>
      <c r="AX539" s="566"/>
      <c r="AY539" s="566"/>
      <c r="AZ539" s="566"/>
      <c r="BA539" s="566"/>
      <c r="BB539" s="566"/>
      <c r="BC539" s="566"/>
      <c r="BD539" s="566"/>
      <c r="BE539" s="566"/>
      <c r="BF539" s="566"/>
      <c r="BG539" s="566"/>
    </row>
    <row r="540" spans="1:59">
      <c r="A540" s="591"/>
      <c r="B540" s="592"/>
      <c r="C540" s="593"/>
      <c r="D540" s="594">
        <v>1</v>
      </c>
      <c r="E540" s="595" t="s">
        <v>374</v>
      </c>
      <c r="F540" s="593" t="s">
        <v>339</v>
      </c>
      <c r="G540" s="596" t="s">
        <v>677</v>
      </c>
      <c r="H540" s="596" t="s">
        <v>677</v>
      </c>
      <c r="I540" s="596"/>
      <c r="J540" s="596"/>
      <c r="K540" s="596"/>
      <c r="L540" s="591" t="s">
        <v>319</v>
      </c>
      <c r="M540" s="597" t="str">
        <f t="shared" si="354"/>
        <v>Gang, hal, pantry, aula, repro, gardarobe</v>
      </c>
      <c r="N540" s="591" t="s">
        <v>322</v>
      </c>
      <c r="O540" s="598"/>
      <c r="P540" s="599"/>
      <c r="Q540" s="600">
        <f t="shared" si="372"/>
        <v>0</v>
      </c>
      <c r="R540" s="601">
        <f t="shared" si="373"/>
        <v>5</v>
      </c>
      <c r="S540" s="647">
        <v>104200</v>
      </c>
      <c r="T540" s="602"/>
      <c r="U540" s="645">
        <v>1</v>
      </c>
      <c r="V540" s="593">
        <f t="shared" si="360"/>
        <v>200</v>
      </c>
      <c r="W540" s="604">
        <f t="shared" si="374"/>
        <v>0</v>
      </c>
      <c r="X540" s="604">
        <f t="shared" si="375"/>
        <v>0</v>
      </c>
      <c r="Y540" s="604">
        <f t="shared" si="376"/>
        <v>0</v>
      </c>
      <c r="Z540" s="605">
        <f t="shared" si="377"/>
        <v>0</v>
      </c>
      <c r="AA540" s="751">
        <f t="shared" si="378"/>
        <v>0</v>
      </c>
      <c r="AB540" s="605">
        <f t="shared" si="379"/>
        <v>0</v>
      </c>
      <c r="AC540" s="607"/>
      <c r="AD540" s="591" t="str">
        <f t="shared" si="380"/>
        <v>Friesland College</v>
      </c>
      <c r="AE540" s="608"/>
      <c r="AF540" s="639">
        <v>5</v>
      </c>
      <c r="AG540" s="639">
        <f t="shared" si="359"/>
        <v>5</v>
      </c>
      <c r="AH540" s="639">
        <f t="shared" si="346"/>
        <v>0</v>
      </c>
      <c r="AI540" s="640"/>
      <c r="AJ540" s="641">
        <f t="shared" si="347"/>
        <v>0</v>
      </c>
      <c r="AK540" s="642"/>
      <c r="AL540" s="642" t="s">
        <v>364</v>
      </c>
      <c r="AM540" s="643"/>
      <c r="AN540" s="642"/>
      <c r="AO540" s="644">
        <v>1892</v>
      </c>
      <c r="AP540" s="565"/>
      <c r="AQ540" s="566"/>
      <c r="AR540" s="566"/>
      <c r="AS540" s="566"/>
      <c r="AT540" s="566"/>
      <c r="AU540" s="566"/>
      <c r="AV540" s="566"/>
      <c r="AW540" s="566"/>
      <c r="AX540" s="566"/>
      <c r="AY540" s="566"/>
      <c r="AZ540" s="566"/>
      <c r="BA540" s="566"/>
      <c r="BB540" s="566"/>
      <c r="BC540" s="566"/>
      <c r="BD540" s="566"/>
      <c r="BE540" s="566"/>
      <c r="BF540" s="566"/>
      <c r="BG540" s="566"/>
    </row>
    <row r="541" spans="1:59">
      <c r="A541" s="591"/>
      <c r="B541" s="592"/>
      <c r="C541" s="593"/>
      <c r="D541" s="594">
        <v>1</v>
      </c>
      <c r="E541" s="595" t="s">
        <v>374</v>
      </c>
      <c r="F541" s="593" t="s">
        <v>339</v>
      </c>
      <c r="G541" s="596" t="s">
        <v>678</v>
      </c>
      <c r="H541" s="596" t="s">
        <v>678</v>
      </c>
      <c r="I541" s="596"/>
      <c r="J541" s="596"/>
      <c r="K541" s="596"/>
      <c r="L541" s="591" t="s">
        <v>933</v>
      </c>
      <c r="M541" s="597" t="str">
        <f t="shared" si="354"/>
        <v>Kleedruimte</v>
      </c>
      <c r="N541" s="591" t="s">
        <v>322</v>
      </c>
      <c r="O541" s="598"/>
      <c r="P541" s="599"/>
      <c r="Q541" s="600">
        <f t="shared" si="372"/>
        <v>0</v>
      </c>
      <c r="R541" s="601">
        <f t="shared" si="373"/>
        <v>6</v>
      </c>
      <c r="S541" s="647">
        <v>111200</v>
      </c>
      <c r="T541" s="647"/>
      <c r="U541" s="645">
        <v>1</v>
      </c>
      <c r="V541" s="593">
        <f t="shared" si="360"/>
        <v>200</v>
      </c>
      <c r="W541" s="604">
        <f t="shared" si="374"/>
        <v>0</v>
      </c>
      <c r="X541" s="604">
        <f t="shared" si="375"/>
        <v>0</v>
      </c>
      <c r="Y541" s="604">
        <f t="shared" si="376"/>
        <v>0</v>
      </c>
      <c r="Z541" s="605">
        <f t="shared" si="377"/>
        <v>0</v>
      </c>
      <c r="AA541" s="751">
        <f t="shared" si="378"/>
        <v>0</v>
      </c>
      <c r="AB541" s="605">
        <f t="shared" si="379"/>
        <v>0</v>
      </c>
      <c r="AC541" s="607"/>
      <c r="AD541" s="591" t="str">
        <f t="shared" si="380"/>
        <v>Friesland College</v>
      </c>
      <c r="AE541" s="608"/>
      <c r="AF541" s="639">
        <v>6</v>
      </c>
      <c r="AG541" s="639">
        <f t="shared" si="359"/>
        <v>6</v>
      </c>
      <c r="AH541" s="639">
        <f t="shared" si="346"/>
        <v>0</v>
      </c>
      <c r="AI541" s="640"/>
      <c r="AJ541" s="641">
        <f t="shared" si="347"/>
        <v>0</v>
      </c>
      <c r="AK541" s="642"/>
      <c r="AL541" s="642" t="s">
        <v>364</v>
      </c>
      <c r="AM541" s="643"/>
      <c r="AN541" s="642"/>
      <c r="AO541" s="644">
        <v>1893</v>
      </c>
      <c r="AP541" s="565"/>
      <c r="AQ541" s="566"/>
      <c r="AR541" s="566"/>
      <c r="AS541" s="566"/>
      <c r="AT541" s="566"/>
      <c r="AU541" s="566"/>
      <c r="AV541" s="566"/>
      <c r="AW541" s="566"/>
      <c r="AX541" s="566"/>
      <c r="AY541" s="566"/>
      <c r="AZ541" s="566"/>
      <c r="BA541" s="566"/>
      <c r="BB541" s="566"/>
      <c r="BC541" s="566"/>
      <c r="BD541" s="566"/>
      <c r="BE541" s="566"/>
      <c r="BF541" s="566"/>
      <c r="BG541" s="566"/>
    </row>
    <row r="542" spans="1:59">
      <c r="A542" s="591"/>
      <c r="B542" s="592"/>
      <c r="C542" s="593"/>
      <c r="D542" s="594">
        <v>1</v>
      </c>
      <c r="E542" s="595" t="s">
        <v>374</v>
      </c>
      <c r="F542" s="593" t="s">
        <v>339</v>
      </c>
      <c r="G542" s="596" t="s">
        <v>679</v>
      </c>
      <c r="H542" s="596" t="s">
        <v>679</v>
      </c>
      <c r="I542" s="596"/>
      <c r="J542" s="596"/>
      <c r="K542" s="596"/>
      <c r="L542" s="591" t="s">
        <v>768</v>
      </c>
      <c r="M542" s="597" t="str">
        <f t="shared" ref="M542:M573" si="381">VLOOKUP(S542,Kengetal,4,FALSE)</f>
        <v>Niet van toepassing</v>
      </c>
      <c r="N542" s="591" t="s">
        <v>323</v>
      </c>
      <c r="O542" s="598"/>
      <c r="P542" s="599"/>
      <c r="Q542" s="600">
        <f t="shared" si="372"/>
        <v>0</v>
      </c>
      <c r="R542" s="601">
        <f t="shared" si="373"/>
        <v>1</v>
      </c>
      <c r="S542" s="603" t="s">
        <v>28</v>
      </c>
      <c r="T542" s="602"/>
      <c r="U542" s="603"/>
      <c r="V542" s="593">
        <f t="shared" si="360"/>
        <v>0</v>
      </c>
      <c r="W542" s="604">
        <f t="shared" si="374"/>
        <v>0</v>
      </c>
      <c r="X542" s="604">
        <f t="shared" si="375"/>
        <v>0</v>
      </c>
      <c r="Y542" s="604">
        <f t="shared" si="376"/>
        <v>0</v>
      </c>
      <c r="Z542" s="605">
        <f t="shared" si="377"/>
        <v>0</v>
      </c>
      <c r="AA542" s="751">
        <f t="shared" si="378"/>
        <v>0</v>
      </c>
      <c r="AB542" s="605">
        <f t="shared" si="379"/>
        <v>0</v>
      </c>
      <c r="AC542" s="607"/>
      <c r="AD542" s="591" t="str">
        <f t="shared" si="380"/>
        <v>Friesland College</v>
      </c>
      <c r="AE542" s="608"/>
      <c r="AF542" s="639">
        <v>1</v>
      </c>
      <c r="AG542" s="639">
        <f t="shared" si="359"/>
        <v>1</v>
      </c>
      <c r="AH542" s="639">
        <f t="shared" si="346"/>
        <v>0</v>
      </c>
      <c r="AI542" s="640"/>
      <c r="AJ542" s="641">
        <f t="shared" si="347"/>
        <v>0</v>
      </c>
      <c r="AK542" s="642"/>
      <c r="AL542" s="642" t="s">
        <v>364</v>
      </c>
      <c r="AM542" s="643"/>
      <c r="AN542" s="642"/>
      <c r="AO542" s="644">
        <v>1894</v>
      </c>
      <c r="AP542" s="565"/>
      <c r="AQ542" s="566"/>
      <c r="AR542" s="566"/>
      <c r="AS542" s="566"/>
      <c r="AT542" s="566"/>
      <c r="AU542" s="566"/>
      <c r="AV542" s="566"/>
      <c r="AW542" s="566"/>
      <c r="AX542" s="566"/>
      <c r="AY542" s="566"/>
      <c r="AZ542" s="566"/>
      <c r="BA542" s="566"/>
      <c r="BB542" s="566"/>
      <c r="BC542" s="566"/>
      <c r="BD542" s="566"/>
      <c r="BE542" s="566"/>
      <c r="BF542" s="566"/>
      <c r="BG542" s="566"/>
    </row>
    <row r="543" spans="1:59">
      <c r="A543" s="591"/>
      <c r="B543" s="592"/>
      <c r="C543" s="593"/>
      <c r="D543" s="594">
        <v>1</v>
      </c>
      <c r="E543" s="595" t="s">
        <v>374</v>
      </c>
      <c r="F543" s="593" t="s">
        <v>339</v>
      </c>
      <c r="G543" s="596" t="s">
        <v>680</v>
      </c>
      <c r="H543" s="596" t="s">
        <v>680</v>
      </c>
      <c r="I543" s="596"/>
      <c r="J543" s="596"/>
      <c r="K543" s="596"/>
      <c r="L543" s="591" t="s">
        <v>876</v>
      </c>
      <c r="M543" s="597" t="str">
        <f t="shared" si="381"/>
        <v>Niet van toepassing</v>
      </c>
      <c r="N543" s="591" t="s">
        <v>323</v>
      </c>
      <c r="O543" s="598"/>
      <c r="P543" s="599"/>
      <c r="Q543" s="600">
        <f t="shared" si="372"/>
        <v>0</v>
      </c>
      <c r="R543" s="601">
        <f t="shared" si="373"/>
        <v>5</v>
      </c>
      <c r="S543" s="603" t="s">
        <v>28</v>
      </c>
      <c r="T543" s="602"/>
      <c r="U543" s="603"/>
      <c r="V543" s="593">
        <f t="shared" si="360"/>
        <v>0</v>
      </c>
      <c r="W543" s="604">
        <f t="shared" si="374"/>
        <v>0</v>
      </c>
      <c r="X543" s="604">
        <f t="shared" si="375"/>
        <v>0</v>
      </c>
      <c r="Y543" s="604">
        <f t="shared" si="376"/>
        <v>0</v>
      </c>
      <c r="Z543" s="605">
        <f t="shared" si="377"/>
        <v>0</v>
      </c>
      <c r="AA543" s="751">
        <f t="shared" si="378"/>
        <v>0</v>
      </c>
      <c r="AB543" s="605">
        <f t="shared" si="379"/>
        <v>0</v>
      </c>
      <c r="AC543" s="607"/>
      <c r="AD543" s="591" t="str">
        <f t="shared" si="380"/>
        <v>Friesland College</v>
      </c>
      <c r="AE543" s="608"/>
      <c r="AF543" s="639">
        <v>5</v>
      </c>
      <c r="AG543" s="639">
        <f t="shared" si="359"/>
        <v>5</v>
      </c>
      <c r="AH543" s="639">
        <f t="shared" si="346"/>
        <v>0</v>
      </c>
      <c r="AI543" s="640"/>
      <c r="AJ543" s="641">
        <f t="shared" si="347"/>
        <v>0</v>
      </c>
      <c r="AK543" s="642"/>
      <c r="AL543" s="642" t="s">
        <v>364</v>
      </c>
      <c r="AM543" s="643"/>
      <c r="AN543" s="642"/>
      <c r="AO543" s="644">
        <v>1895</v>
      </c>
      <c r="AP543" s="565"/>
      <c r="AQ543" s="566"/>
      <c r="AR543" s="566"/>
      <c r="AS543" s="566"/>
      <c r="AT543" s="566"/>
      <c r="AU543" s="566"/>
      <c r="AV543" s="566"/>
      <c r="AW543" s="566"/>
      <c r="AX543" s="566"/>
      <c r="AY543" s="566"/>
      <c r="AZ543" s="566"/>
      <c r="BA543" s="566"/>
      <c r="BB543" s="566"/>
      <c r="BC543" s="566"/>
      <c r="BD543" s="566"/>
      <c r="BE543" s="566"/>
      <c r="BF543" s="566"/>
      <c r="BG543" s="566"/>
    </row>
    <row r="544" spans="1:59">
      <c r="A544" s="591"/>
      <c r="B544" s="592"/>
      <c r="C544" s="593"/>
      <c r="D544" s="594">
        <v>1</v>
      </c>
      <c r="E544" s="595" t="s">
        <v>374</v>
      </c>
      <c r="F544" s="593" t="s">
        <v>339</v>
      </c>
      <c r="G544" s="596" t="s">
        <v>681</v>
      </c>
      <c r="H544" s="596" t="s">
        <v>681</v>
      </c>
      <c r="I544" s="596"/>
      <c r="J544" s="596"/>
      <c r="K544" s="596"/>
      <c r="L544" s="591" t="s">
        <v>876</v>
      </c>
      <c r="M544" s="597" t="str">
        <f t="shared" si="381"/>
        <v>Niet van toepassing</v>
      </c>
      <c r="N544" s="591" t="s">
        <v>323</v>
      </c>
      <c r="O544" s="598"/>
      <c r="P544" s="599"/>
      <c r="Q544" s="600">
        <f t="shared" si="372"/>
        <v>0</v>
      </c>
      <c r="R544" s="601">
        <f t="shared" si="373"/>
        <v>3</v>
      </c>
      <c r="S544" s="603" t="s">
        <v>28</v>
      </c>
      <c r="T544" s="602"/>
      <c r="U544" s="603"/>
      <c r="V544" s="593">
        <f t="shared" si="360"/>
        <v>0</v>
      </c>
      <c r="W544" s="604">
        <f t="shared" si="374"/>
        <v>0</v>
      </c>
      <c r="X544" s="604">
        <f t="shared" si="375"/>
        <v>0</v>
      </c>
      <c r="Y544" s="604">
        <f t="shared" si="376"/>
        <v>0</v>
      </c>
      <c r="Z544" s="605">
        <f t="shared" si="377"/>
        <v>0</v>
      </c>
      <c r="AA544" s="751">
        <f t="shared" si="378"/>
        <v>0</v>
      </c>
      <c r="AB544" s="605">
        <f t="shared" si="379"/>
        <v>0</v>
      </c>
      <c r="AC544" s="607"/>
      <c r="AD544" s="591" t="str">
        <f t="shared" si="380"/>
        <v>Friesland College</v>
      </c>
      <c r="AE544" s="608"/>
      <c r="AF544" s="639">
        <v>3</v>
      </c>
      <c r="AG544" s="639">
        <f t="shared" si="359"/>
        <v>3</v>
      </c>
      <c r="AH544" s="639">
        <f t="shared" si="346"/>
        <v>0</v>
      </c>
      <c r="AI544" s="640"/>
      <c r="AJ544" s="641">
        <f t="shared" si="347"/>
        <v>0</v>
      </c>
      <c r="AK544" s="642"/>
      <c r="AL544" s="642" t="s">
        <v>364</v>
      </c>
      <c r="AM544" s="643"/>
      <c r="AN544" s="642"/>
      <c r="AO544" s="644">
        <v>1896</v>
      </c>
      <c r="AP544" s="565"/>
      <c r="AQ544" s="566"/>
      <c r="AR544" s="566"/>
      <c r="AS544" s="566"/>
      <c r="AT544" s="566"/>
      <c r="AU544" s="566"/>
      <c r="AV544" s="566"/>
      <c r="AW544" s="566"/>
      <c r="AX544" s="566"/>
      <c r="AY544" s="566"/>
      <c r="AZ544" s="566"/>
      <c r="BA544" s="566"/>
      <c r="BB544" s="566"/>
      <c r="BC544" s="566"/>
      <c r="BD544" s="566"/>
      <c r="BE544" s="566"/>
      <c r="BF544" s="566"/>
      <c r="BG544" s="566"/>
    </row>
    <row r="545" spans="1:59">
      <c r="A545" s="591"/>
      <c r="B545" s="592"/>
      <c r="C545" s="593"/>
      <c r="D545" s="594">
        <v>1</v>
      </c>
      <c r="E545" s="595" t="s">
        <v>374</v>
      </c>
      <c r="F545" s="593" t="s">
        <v>339</v>
      </c>
      <c r="G545" s="596" t="s">
        <v>682</v>
      </c>
      <c r="H545" s="596" t="s">
        <v>682</v>
      </c>
      <c r="I545" s="596"/>
      <c r="J545" s="596"/>
      <c r="K545" s="596"/>
      <c r="L545" s="591" t="s">
        <v>934</v>
      </c>
      <c r="M545" s="597" t="str">
        <f t="shared" si="381"/>
        <v>Niet van toepassing</v>
      </c>
      <c r="N545" s="591" t="s">
        <v>323</v>
      </c>
      <c r="O545" s="598"/>
      <c r="P545" s="599"/>
      <c r="Q545" s="600">
        <f t="shared" si="372"/>
        <v>0</v>
      </c>
      <c r="R545" s="601">
        <f t="shared" si="373"/>
        <v>10</v>
      </c>
      <c r="S545" s="603" t="s">
        <v>28</v>
      </c>
      <c r="T545" s="602"/>
      <c r="U545" s="603"/>
      <c r="V545" s="593">
        <f t="shared" si="360"/>
        <v>0</v>
      </c>
      <c r="W545" s="604">
        <f t="shared" si="374"/>
        <v>0</v>
      </c>
      <c r="X545" s="604">
        <f t="shared" si="375"/>
        <v>0</v>
      </c>
      <c r="Y545" s="604">
        <f t="shared" si="376"/>
        <v>0</v>
      </c>
      <c r="Z545" s="605">
        <f t="shared" si="377"/>
        <v>0</v>
      </c>
      <c r="AA545" s="751">
        <f t="shared" si="378"/>
        <v>0</v>
      </c>
      <c r="AB545" s="605">
        <f t="shared" si="379"/>
        <v>0</v>
      </c>
      <c r="AC545" s="607"/>
      <c r="AD545" s="591" t="str">
        <f t="shared" si="380"/>
        <v>Friesland College</v>
      </c>
      <c r="AE545" s="608"/>
      <c r="AF545" s="639">
        <v>10</v>
      </c>
      <c r="AG545" s="639">
        <f t="shared" si="359"/>
        <v>10</v>
      </c>
      <c r="AH545" s="639">
        <f t="shared" ref="AH545:AH582" si="382">IF(B545=0,0,MONTH(B545))</f>
        <v>0</v>
      </c>
      <c r="AI545" s="640"/>
      <c r="AJ545" s="641">
        <f t="shared" ref="AJ545:AJ608" si="383">W545+X545</f>
        <v>0</v>
      </c>
      <c r="AK545" s="642"/>
      <c r="AL545" s="642" t="s">
        <v>364</v>
      </c>
      <c r="AM545" s="643"/>
      <c r="AN545" s="642"/>
      <c r="AO545" s="644">
        <v>1897</v>
      </c>
      <c r="AP545" s="565"/>
      <c r="AQ545" s="566"/>
      <c r="AR545" s="566"/>
      <c r="AS545" s="566"/>
      <c r="AT545" s="566"/>
      <c r="AU545" s="566"/>
      <c r="AV545" s="566"/>
      <c r="AW545" s="566"/>
      <c r="AX545" s="566"/>
      <c r="AY545" s="566"/>
      <c r="AZ545" s="566"/>
      <c r="BA545" s="566"/>
      <c r="BB545" s="566"/>
      <c r="BC545" s="566"/>
      <c r="BD545" s="566"/>
      <c r="BE545" s="566"/>
      <c r="BF545" s="566"/>
      <c r="BG545" s="566"/>
    </row>
    <row r="546" spans="1:59">
      <c r="A546" s="591"/>
      <c r="B546" s="592"/>
      <c r="C546" s="593"/>
      <c r="D546" s="594">
        <v>1</v>
      </c>
      <c r="E546" s="595" t="s">
        <v>374</v>
      </c>
      <c r="F546" s="593" t="s">
        <v>339</v>
      </c>
      <c r="G546" s="596" t="s">
        <v>683</v>
      </c>
      <c r="H546" s="596" t="s">
        <v>683</v>
      </c>
      <c r="I546" s="596"/>
      <c r="J546" s="596"/>
      <c r="K546" s="596"/>
      <c r="L546" s="591" t="s">
        <v>319</v>
      </c>
      <c r="M546" s="597" t="str">
        <f t="shared" si="381"/>
        <v>Gang, hal, pantry, aula, repro, gardarobe</v>
      </c>
      <c r="N546" s="591" t="s">
        <v>78</v>
      </c>
      <c r="O546" s="598"/>
      <c r="P546" s="599"/>
      <c r="Q546" s="600">
        <f t="shared" si="372"/>
        <v>0</v>
      </c>
      <c r="R546" s="601">
        <f t="shared" si="373"/>
        <v>297</v>
      </c>
      <c r="S546" s="647">
        <v>104200</v>
      </c>
      <c r="T546" s="602"/>
      <c r="U546" s="645">
        <v>1</v>
      </c>
      <c r="V546" s="593">
        <f t="shared" si="360"/>
        <v>200</v>
      </c>
      <c r="W546" s="604">
        <f t="shared" si="374"/>
        <v>0</v>
      </c>
      <c r="X546" s="604">
        <f t="shared" si="375"/>
        <v>0</v>
      </c>
      <c r="Y546" s="604">
        <f t="shared" si="376"/>
        <v>0</v>
      </c>
      <c r="Z546" s="605">
        <f t="shared" si="377"/>
        <v>0</v>
      </c>
      <c r="AA546" s="751">
        <f t="shared" si="378"/>
        <v>0</v>
      </c>
      <c r="AB546" s="605">
        <f t="shared" si="379"/>
        <v>0</v>
      </c>
      <c r="AC546" s="607"/>
      <c r="AD546" s="591" t="str">
        <f t="shared" si="380"/>
        <v>Friesland College</v>
      </c>
      <c r="AE546" s="608"/>
      <c r="AF546" s="639">
        <v>297</v>
      </c>
      <c r="AG546" s="639">
        <f t="shared" si="359"/>
        <v>297</v>
      </c>
      <c r="AH546" s="639">
        <f t="shared" si="382"/>
        <v>0</v>
      </c>
      <c r="AI546" s="640"/>
      <c r="AJ546" s="641">
        <f t="shared" si="383"/>
        <v>0</v>
      </c>
      <c r="AK546" s="642"/>
      <c r="AL546" s="642" t="s">
        <v>364</v>
      </c>
      <c r="AM546" s="643"/>
      <c r="AN546" s="642"/>
      <c r="AO546" s="644">
        <v>1898</v>
      </c>
      <c r="AP546" s="565"/>
      <c r="AQ546" s="566"/>
      <c r="AR546" s="566"/>
      <c r="AS546" s="566"/>
      <c r="AT546" s="566"/>
      <c r="AU546" s="566"/>
      <c r="AV546" s="566"/>
      <c r="AW546" s="566"/>
      <c r="AX546" s="566"/>
      <c r="AY546" s="566"/>
      <c r="AZ546" s="566"/>
      <c r="BA546" s="566"/>
      <c r="BB546" s="566"/>
      <c r="BC546" s="566"/>
      <c r="BD546" s="566"/>
      <c r="BE546" s="566"/>
      <c r="BF546" s="566"/>
      <c r="BG546" s="566"/>
    </row>
    <row r="547" spans="1:59">
      <c r="A547" s="591"/>
      <c r="B547" s="592"/>
      <c r="C547" s="593"/>
      <c r="D547" s="594">
        <v>1</v>
      </c>
      <c r="E547" s="595" t="s">
        <v>374</v>
      </c>
      <c r="F547" s="593" t="s">
        <v>339</v>
      </c>
      <c r="G547" s="596" t="s">
        <v>684</v>
      </c>
      <c r="H547" s="596" t="s">
        <v>735</v>
      </c>
      <c r="I547" s="596"/>
      <c r="J547" s="596"/>
      <c r="K547" s="596"/>
      <c r="L547" s="591" t="s">
        <v>932</v>
      </c>
      <c r="M547" s="597" t="str">
        <f t="shared" si="381"/>
        <v>Onderwijsruimte (theorie)</v>
      </c>
      <c r="N547" s="591" t="s">
        <v>78</v>
      </c>
      <c r="O547" s="598"/>
      <c r="P547" s="599"/>
      <c r="Q547" s="600">
        <f t="shared" si="372"/>
        <v>0</v>
      </c>
      <c r="R547" s="601">
        <f t="shared" si="373"/>
        <v>82</v>
      </c>
      <c r="S547" s="647">
        <v>102200</v>
      </c>
      <c r="T547" s="602"/>
      <c r="U547" s="645">
        <v>1</v>
      </c>
      <c r="V547" s="593">
        <f t="shared" si="360"/>
        <v>200</v>
      </c>
      <c r="W547" s="604">
        <f t="shared" si="374"/>
        <v>0</v>
      </c>
      <c r="X547" s="604">
        <f t="shared" si="375"/>
        <v>0</v>
      </c>
      <c r="Y547" s="604">
        <f t="shared" si="376"/>
        <v>0</v>
      </c>
      <c r="Z547" s="605">
        <f t="shared" si="377"/>
        <v>0</v>
      </c>
      <c r="AA547" s="751">
        <f t="shared" si="378"/>
        <v>0</v>
      </c>
      <c r="AB547" s="605">
        <f t="shared" si="379"/>
        <v>0</v>
      </c>
      <c r="AC547" s="607"/>
      <c r="AD547" s="591" t="str">
        <f t="shared" si="380"/>
        <v>Friesland College</v>
      </c>
      <c r="AE547" s="608"/>
      <c r="AF547" s="639">
        <v>82</v>
      </c>
      <c r="AG547" s="639">
        <f t="shared" si="359"/>
        <v>82</v>
      </c>
      <c r="AH547" s="639">
        <f t="shared" si="382"/>
        <v>0</v>
      </c>
      <c r="AI547" s="640"/>
      <c r="AJ547" s="641">
        <f t="shared" si="383"/>
        <v>0</v>
      </c>
      <c r="AK547" s="642"/>
      <c r="AL547" s="642" t="s">
        <v>364</v>
      </c>
      <c r="AM547" s="642"/>
      <c r="AN547" s="642"/>
      <c r="AO547" s="644">
        <v>1899</v>
      </c>
      <c r="AP547" s="565"/>
      <c r="AQ547" s="566"/>
      <c r="AR547" s="566"/>
      <c r="AS547" s="566"/>
      <c r="AT547" s="566"/>
      <c r="AU547" s="566"/>
      <c r="AV547" s="566"/>
      <c r="AW547" s="566"/>
      <c r="AX547" s="566"/>
      <c r="AY547" s="566"/>
      <c r="AZ547" s="566"/>
      <c r="BA547" s="566"/>
      <c r="BB547" s="566"/>
      <c r="BC547" s="566"/>
      <c r="BD547" s="566"/>
      <c r="BE547" s="566"/>
      <c r="BF547" s="566"/>
      <c r="BG547" s="566"/>
    </row>
    <row r="548" spans="1:59">
      <c r="A548" s="591"/>
      <c r="B548" s="618"/>
      <c r="C548" s="609"/>
      <c r="D548" s="594">
        <v>1</v>
      </c>
      <c r="E548" s="595" t="s">
        <v>374</v>
      </c>
      <c r="F548" s="593" t="s">
        <v>339</v>
      </c>
      <c r="G548" s="610" t="s">
        <v>684</v>
      </c>
      <c r="H548" s="610" t="s">
        <v>735</v>
      </c>
      <c r="I548" s="610"/>
      <c r="J548" s="610"/>
      <c r="K548" s="610"/>
      <c r="L548" s="611" t="s">
        <v>932</v>
      </c>
      <c r="M548" s="612">
        <f t="shared" si="381"/>
        <v>0</v>
      </c>
      <c r="N548" s="613"/>
      <c r="O548" s="614" t="s">
        <v>1039</v>
      </c>
      <c r="P548" s="615">
        <v>100</v>
      </c>
      <c r="Q548" s="616">
        <v>82</v>
      </c>
      <c r="R548" s="613"/>
      <c r="S548" s="603"/>
      <c r="T548" s="606"/>
      <c r="U548" s="606"/>
      <c r="V548" s="593">
        <f t="shared" si="360"/>
        <v>0</v>
      </c>
      <c r="W548" s="606"/>
      <c r="X548" s="606"/>
      <c r="Y548" s="606"/>
      <c r="Z548" s="606"/>
      <c r="AA548" s="606"/>
      <c r="AB548" s="606"/>
      <c r="AC548" s="607"/>
      <c r="AD548" s="606"/>
      <c r="AE548" s="608"/>
      <c r="AF548" s="639">
        <v>38</v>
      </c>
      <c r="AG548" s="639">
        <f t="shared" si="359"/>
        <v>38</v>
      </c>
      <c r="AH548" s="639">
        <f t="shared" si="382"/>
        <v>0</v>
      </c>
      <c r="AI548" s="640"/>
      <c r="AJ548" s="641">
        <f t="shared" si="383"/>
        <v>0</v>
      </c>
      <c r="AK548" s="642"/>
      <c r="AL548" s="642" t="s">
        <v>364</v>
      </c>
      <c r="AM548" s="643"/>
      <c r="AN548" s="642"/>
      <c r="AO548" s="644">
        <v>1900</v>
      </c>
      <c r="AP548" s="565"/>
      <c r="AQ548" s="566"/>
      <c r="AR548" s="566"/>
      <c r="AS548" s="566"/>
      <c r="AT548" s="566"/>
      <c r="AU548" s="566"/>
      <c r="AV548" s="566"/>
      <c r="AW548" s="566"/>
      <c r="AX548" s="566"/>
      <c r="AY548" s="566"/>
      <c r="AZ548" s="566"/>
      <c r="BA548" s="566"/>
      <c r="BB548" s="566"/>
      <c r="BC548" s="566"/>
      <c r="BD548" s="566"/>
      <c r="BE548" s="566"/>
      <c r="BF548" s="566"/>
      <c r="BG548" s="566"/>
    </row>
    <row r="549" spans="1:59">
      <c r="A549" s="591"/>
      <c r="B549" s="592"/>
      <c r="C549" s="593"/>
      <c r="D549" s="594">
        <v>1</v>
      </c>
      <c r="E549" s="595" t="s">
        <v>374</v>
      </c>
      <c r="F549" s="593" t="s">
        <v>339</v>
      </c>
      <c r="G549" s="596" t="s">
        <v>685</v>
      </c>
      <c r="H549" s="596" t="s">
        <v>736</v>
      </c>
      <c r="I549" s="596"/>
      <c r="J549" s="596"/>
      <c r="K549" s="596"/>
      <c r="L549" s="591" t="s">
        <v>932</v>
      </c>
      <c r="M549" s="597" t="str">
        <f t="shared" si="381"/>
        <v>Onderwijsruimte (theorie)</v>
      </c>
      <c r="N549" s="591" t="s">
        <v>78</v>
      </c>
      <c r="O549" s="598"/>
      <c r="P549" s="599"/>
      <c r="Q549" s="600">
        <f t="shared" ref="Q549:Q582" si="384">AF549*P549/100</f>
        <v>0</v>
      </c>
      <c r="R549" s="601">
        <f>AF549</f>
        <v>38</v>
      </c>
      <c r="S549" s="647">
        <v>102200</v>
      </c>
      <c r="T549" s="602"/>
      <c r="U549" s="645">
        <v>1</v>
      </c>
      <c r="V549" s="593">
        <f t="shared" si="360"/>
        <v>200</v>
      </c>
      <c r="W549" s="604">
        <f>Z549*R549*U549</f>
        <v>0</v>
      </c>
      <c r="X549" s="604">
        <f>AA549*R549</f>
        <v>0</v>
      </c>
      <c r="Y549" s="604">
        <f>AB549*R549</f>
        <v>0</v>
      </c>
      <c r="Z549" s="605">
        <f>VLOOKUP(S549,Kengetal,6,FALSE)</f>
        <v>0</v>
      </c>
      <c r="AA549" s="751">
        <f>VLOOKUP(S549,Kengetal,7,FALSE)</f>
        <v>0</v>
      </c>
      <c r="AB549" s="605">
        <f>VLOOKUP(T549,Kengetal,6,FALSE)</f>
        <v>0</v>
      </c>
      <c r="AC549" s="607"/>
      <c r="AD549" s="591" t="str">
        <f>AL549</f>
        <v>Friesland College</v>
      </c>
      <c r="AE549" s="608"/>
      <c r="AF549" s="639">
        <v>38</v>
      </c>
      <c r="AG549" s="639">
        <f t="shared" si="359"/>
        <v>38</v>
      </c>
      <c r="AH549" s="639">
        <f t="shared" si="382"/>
        <v>0</v>
      </c>
      <c r="AI549" s="640"/>
      <c r="AJ549" s="641">
        <f t="shared" si="383"/>
        <v>0</v>
      </c>
      <c r="AK549" s="642"/>
      <c r="AL549" s="642" t="s">
        <v>364</v>
      </c>
      <c r="AM549" s="643"/>
      <c r="AN549" s="642"/>
      <c r="AO549" s="644">
        <v>1901</v>
      </c>
      <c r="AP549" s="565"/>
      <c r="AQ549" s="566"/>
      <c r="AR549" s="566"/>
      <c r="AS549" s="566"/>
      <c r="AT549" s="566"/>
      <c r="AU549" s="566"/>
      <c r="AV549" s="566"/>
      <c r="AW549" s="566"/>
      <c r="AX549" s="566"/>
      <c r="AY549" s="566"/>
      <c r="AZ549" s="566"/>
      <c r="BA549" s="566"/>
      <c r="BB549" s="566"/>
      <c r="BC549" s="566"/>
      <c r="BD549" s="566"/>
      <c r="BE549" s="566"/>
      <c r="BF549" s="566"/>
      <c r="BG549" s="566"/>
    </row>
    <row r="550" spans="1:59">
      <c r="A550" s="591"/>
      <c r="B550" s="618"/>
      <c r="C550" s="609"/>
      <c r="D550" s="594">
        <v>1</v>
      </c>
      <c r="E550" s="595" t="s">
        <v>374</v>
      </c>
      <c r="F550" s="593" t="s">
        <v>339</v>
      </c>
      <c r="G550" s="610" t="s">
        <v>685</v>
      </c>
      <c r="H550" s="610" t="s">
        <v>736</v>
      </c>
      <c r="I550" s="610"/>
      <c r="J550" s="610"/>
      <c r="K550" s="610"/>
      <c r="L550" s="611" t="s">
        <v>932</v>
      </c>
      <c r="M550" s="612">
        <f t="shared" si="381"/>
        <v>0</v>
      </c>
      <c r="N550" s="613"/>
      <c r="O550" s="614" t="s">
        <v>1039</v>
      </c>
      <c r="P550" s="615">
        <v>100</v>
      </c>
      <c r="Q550" s="616">
        <f t="shared" si="384"/>
        <v>38</v>
      </c>
      <c r="R550" s="613"/>
      <c r="S550" s="603"/>
      <c r="T550" s="606"/>
      <c r="U550" s="606"/>
      <c r="V550" s="593">
        <f t="shared" si="360"/>
        <v>0</v>
      </c>
      <c r="W550" s="606"/>
      <c r="X550" s="606"/>
      <c r="Y550" s="606"/>
      <c r="Z550" s="606"/>
      <c r="AA550" s="606"/>
      <c r="AB550" s="606"/>
      <c r="AC550" s="607"/>
      <c r="AD550" s="606"/>
      <c r="AE550" s="608"/>
      <c r="AF550" s="639">
        <v>38</v>
      </c>
      <c r="AG550" s="639">
        <f t="shared" si="359"/>
        <v>38</v>
      </c>
      <c r="AH550" s="639">
        <f t="shared" si="382"/>
        <v>0</v>
      </c>
      <c r="AI550" s="640"/>
      <c r="AJ550" s="641">
        <f t="shared" si="383"/>
        <v>0</v>
      </c>
      <c r="AK550" s="642"/>
      <c r="AL550" s="642" t="s">
        <v>364</v>
      </c>
      <c r="AM550" s="643"/>
      <c r="AN550" s="642"/>
      <c r="AO550" s="644">
        <v>1902</v>
      </c>
      <c r="AP550" s="565"/>
      <c r="AQ550" s="566"/>
      <c r="AR550" s="566"/>
      <c r="AS550" s="566"/>
      <c r="AT550" s="566"/>
      <c r="AU550" s="566"/>
      <c r="AV550" s="566"/>
      <c r="AW550" s="566"/>
      <c r="AX550" s="566"/>
      <c r="AY550" s="566"/>
      <c r="AZ550" s="566"/>
      <c r="BA550" s="566"/>
      <c r="BB550" s="566"/>
      <c r="BC550" s="566"/>
      <c r="BD550" s="566"/>
      <c r="BE550" s="566"/>
      <c r="BF550" s="566"/>
      <c r="BG550" s="566"/>
    </row>
    <row r="551" spans="1:59">
      <c r="A551" s="591"/>
      <c r="B551" s="592"/>
      <c r="C551" s="593"/>
      <c r="D551" s="594">
        <v>1</v>
      </c>
      <c r="E551" s="595" t="s">
        <v>374</v>
      </c>
      <c r="F551" s="593" t="s">
        <v>339</v>
      </c>
      <c r="G551" s="596" t="s">
        <v>737</v>
      </c>
      <c r="H551" s="596" t="s">
        <v>738</v>
      </c>
      <c r="I551" s="596"/>
      <c r="J551" s="596"/>
      <c r="K551" s="596"/>
      <c r="L551" s="591" t="s">
        <v>932</v>
      </c>
      <c r="M551" s="597" t="str">
        <f t="shared" si="381"/>
        <v>Onderwijsruimte (theorie)</v>
      </c>
      <c r="N551" s="591" t="s">
        <v>78</v>
      </c>
      <c r="O551" s="598"/>
      <c r="P551" s="599"/>
      <c r="Q551" s="600">
        <f t="shared" si="384"/>
        <v>0</v>
      </c>
      <c r="R551" s="601">
        <f>AF551</f>
        <v>20</v>
      </c>
      <c r="S551" s="647">
        <v>102200</v>
      </c>
      <c r="T551" s="602"/>
      <c r="U551" s="645">
        <v>1</v>
      </c>
      <c r="V551" s="593">
        <f t="shared" si="360"/>
        <v>200</v>
      </c>
      <c r="W551" s="604">
        <f>Z551*R551*U551</f>
        <v>0</v>
      </c>
      <c r="X551" s="604">
        <f>AA551*R551</f>
        <v>0</v>
      </c>
      <c r="Y551" s="604">
        <f>AB551*R551</f>
        <v>0</v>
      </c>
      <c r="Z551" s="605">
        <f>VLOOKUP(S551,Kengetal,6,FALSE)</f>
        <v>0</v>
      </c>
      <c r="AA551" s="751">
        <f>VLOOKUP(S551,Kengetal,7,FALSE)</f>
        <v>0</v>
      </c>
      <c r="AB551" s="605">
        <f>VLOOKUP(T551,Kengetal,6,FALSE)</f>
        <v>0</v>
      </c>
      <c r="AC551" s="607"/>
      <c r="AD551" s="591" t="str">
        <f>AL551</f>
        <v>Friesland College</v>
      </c>
      <c r="AE551" s="608"/>
      <c r="AF551" s="639">
        <v>20</v>
      </c>
      <c r="AG551" s="639">
        <f t="shared" si="359"/>
        <v>20</v>
      </c>
      <c r="AH551" s="639">
        <f t="shared" si="382"/>
        <v>0</v>
      </c>
      <c r="AI551" s="640"/>
      <c r="AJ551" s="641">
        <f t="shared" si="383"/>
        <v>0</v>
      </c>
      <c r="AK551" s="642"/>
      <c r="AL551" s="642" t="s">
        <v>364</v>
      </c>
      <c r="AM551" s="643"/>
      <c r="AN551" s="642"/>
      <c r="AO551" s="644">
        <v>1903</v>
      </c>
      <c r="AP551" s="565"/>
      <c r="AQ551" s="566"/>
      <c r="AR551" s="566"/>
      <c r="AS551" s="566"/>
      <c r="AT551" s="566"/>
      <c r="AU551" s="566"/>
      <c r="AV551" s="566"/>
      <c r="AW551" s="566"/>
      <c r="AX551" s="566"/>
      <c r="AY551" s="566"/>
      <c r="AZ551" s="566"/>
      <c r="BA551" s="566"/>
      <c r="BB551" s="566"/>
      <c r="BC551" s="566"/>
      <c r="BD551" s="566"/>
      <c r="BE551" s="566"/>
      <c r="BF551" s="566"/>
      <c r="BG551" s="566"/>
    </row>
    <row r="552" spans="1:59">
      <c r="A552" s="591"/>
      <c r="B552" s="618"/>
      <c r="C552" s="609"/>
      <c r="D552" s="594">
        <v>1</v>
      </c>
      <c r="E552" s="595" t="s">
        <v>374</v>
      </c>
      <c r="F552" s="593" t="s">
        <v>339</v>
      </c>
      <c r="G552" s="610" t="s">
        <v>737</v>
      </c>
      <c r="H552" s="610" t="s">
        <v>738</v>
      </c>
      <c r="I552" s="610"/>
      <c r="J552" s="610"/>
      <c r="K552" s="610"/>
      <c r="L552" s="611" t="s">
        <v>932</v>
      </c>
      <c r="M552" s="612">
        <f t="shared" si="381"/>
        <v>0</v>
      </c>
      <c r="N552" s="613"/>
      <c r="O552" s="614" t="s">
        <v>1039</v>
      </c>
      <c r="P552" s="615">
        <v>100</v>
      </c>
      <c r="Q552" s="616">
        <f t="shared" si="384"/>
        <v>20</v>
      </c>
      <c r="R552" s="613"/>
      <c r="S552" s="603"/>
      <c r="T552" s="606"/>
      <c r="U552" s="606"/>
      <c r="V552" s="593">
        <f t="shared" si="360"/>
        <v>0</v>
      </c>
      <c r="W552" s="606"/>
      <c r="X552" s="606"/>
      <c r="Y552" s="606"/>
      <c r="Z552" s="606"/>
      <c r="AA552" s="606"/>
      <c r="AB552" s="606"/>
      <c r="AC552" s="607"/>
      <c r="AD552" s="606"/>
      <c r="AE552" s="608"/>
      <c r="AF552" s="639">
        <v>20</v>
      </c>
      <c r="AG552" s="639">
        <f t="shared" si="359"/>
        <v>20</v>
      </c>
      <c r="AH552" s="639">
        <f t="shared" si="382"/>
        <v>0</v>
      </c>
      <c r="AI552" s="640"/>
      <c r="AJ552" s="641">
        <f t="shared" si="383"/>
        <v>0</v>
      </c>
      <c r="AK552" s="642"/>
      <c r="AL552" s="642" t="s">
        <v>364</v>
      </c>
      <c r="AM552" s="643"/>
      <c r="AN552" s="642"/>
      <c r="AO552" s="644">
        <v>1904</v>
      </c>
      <c r="AP552" s="565"/>
      <c r="AQ552" s="566"/>
      <c r="AR552" s="566"/>
      <c r="AS552" s="566"/>
      <c r="AT552" s="566"/>
      <c r="AU552" s="566"/>
      <c r="AV552" s="566"/>
      <c r="AW552" s="566"/>
      <c r="AX552" s="566"/>
      <c r="AY552" s="566"/>
      <c r="AZ552" s="566"/>
      <c r="BA552" s="566"/>
      <c r="BB552" s="566"/>
      <c r="BC552" s="566"/>
      <c r="BD552" s="566"/>
      <c r="BE552" s="566"/>
      <c r="BF552" s="566"/>
      <c r="BG552" s="566"/>
    </row>
    <row r="553" spans="1:59">
      <c r="A553" s="591"/>
      <c r="B553" s="592"/>
      <c r="C553" s="593"/>
      <c r="D553" s="594">
        <v>1</v>
      </c>
      <c r="E553" s="595" t="s">
        <v>374</v>
      </c>
      <c r="F553" s="593" t="s">
        <v>339</v>
      </c>
      <c r="G553" s="596" t="s">
        <v>686</v>
      </c>
      <c r="H553" s="596" t="s">
        <v>739</v>
      </c>
      <c r="I553" s="596"/>
      <c r="J553" s="596"/>
      <c r="K553" s="596"/>
      <c r="L553" s="591" t="s">
        <v>812</v>
      </c>
      <c r="M553" s="597" t="str">
        <f t="shared" si="381"/>
        <v>Administratieve -, personeels- en vergaderruimte</v>
      </c>
      <c r="N553" s="591" t="s">
        <v>78</v>
      </c>
      <c r="O553" s="598"/>
      <c r="P553" s="599"/>
      <c r="Q553" s="600">
        <f t="shared" si="384"/>
        <v>0</v>
      </c>
      <c r="R553" s="601">
        <f>AF553</f>
        <v>21</v>
      </c>
      <c r="S553" s="647">
        <v>101100</v>
      </c>
      <c r="T553" s="602"/>
      <c r="U553" s="645">
        <v>1</v>
      </c>
      <c r="V553" s="593">
        <f t="shared" si="360"/>
        <v>100</v>
      </c>
      <c r="W553" s="604">
        <f>Z553*R553*U553</f>
        <v>0</v>
      </c>
      <c r="X553" s="604">
        <f>AA553*R553</f>
        <v>0</v>
      </c>
      <c r="Y553" s="604">
        <f>AB553*R553</f>
        <v>0</v>
      </c>
      <c r="Z553" s="605">
        <f>VLOOKUP(S553,Kengetal,6,FALSE)</f>
        <v>0</v>
      </c>
      <c r="AA553" s="751">
        <f>VLOOKUP(S553,Kengetal,7,FALSE)</f>
        <v>0</v>
      </c>
      <c r="AB553" s="605">
        <f>VLOOKUP(T553,Kengetal,6,FALSE)</f>
        <v>0</v>
      </c>
      <c r="AC553" s="607"/>
      <c r="AD553" s="591" t="str">
        <f>AL553</f>
        <v>Friesland College</v>
      </c>
      <c r="AE553" s="608"/>
      <c r="AF553" s="639">
        <v>21</v>
      </c>
      <c r="AG553" s="639">
        <f t="shared" si="359"/>
        <v>21</v>
      </c>
      <c r="AH553" s="639">
        <f t="shared" si="382"/>
        <v>0</v>
      </c>
      <c r="AI553" s="640"/>
      <c r="AJ553" s="641">
        <f t="shared" si="383"/>
        <v>0</v>
      </c>
      <c r="AK553" s="642"/>
      <c r="AL553" s="642" t="s">
        <v>364</v>
      </c>
      <c r="AM553" s="643"/>
      <c r="AN553" s="642"/>
      <c r="AO553" s="644">
        <v>1905</v>
      </c>
      <c r="AP553" s="565"/>
      <c r="AQ553" s="566"/>
      <c r="AR553" s="566"/>
      <c r="AS553" s="566"/>
      <c r="AT553" s="566"/>
      <c r="AU553" s="566"/>
      <c r="AV553" s="566"/>
      <c r="AW553" s="566"/>
      <c r="AX553" s="566"/>
      <c r="AY553" s="566"/>
      <c r="AZ553" s="566"/>
      <c r="BA553" s="566"/>
      <c r="BB553" s="566"/>
      <c r="BC553" s="566"/>
      <c r="BD553" s="566"/>
      <c r="BE553" s="566"/>
      <c r="BF553" s="566"/>
      <c r="BG553" s="566"/>
    </row>
    <row r="554" spans="1:59">
      <c r="A554" s="591"/>
      <c r="B554" s="618"/>
      <c r="C554" s="609"/>
      <c r="D554" s="594">
        <v>1</v>
      </c>
      <c r="E554" s="595" t="s">
        <v>374</v>
      </c>
      <c r="F554" s="593" t="s">
        <v>339</v>
      </c>
      <c r="G554" s="610" t="s">
        <v>686</v>
      </c>
      <c r="H554" s="610" t="s">
        <v>739</v>
      </c>
      <c r="I554" s="610"/>
      <c r="J554" s="610"/>
      <c r="K554" s="610"/>
      <c r="L554" s="611" t="s">
        <v>812</v>
      </c>
      <c r="M554" s="612">
        <f t="shared" si="381"/>
        <v>0</v>
      </c>
      <c r="N554" s="613"/>
      <c r="O554" s="614" t="s">
        <v>1039</v>
      </c>
      <c r="P554" s="615">
        <v>100</v>
      </c>
      <c r="Q554" s="616">
        <f t="shared" si="384"/>
        <v>21</v>
      </c>
      <c r="R554" s="613"/>
      <c r="S554" s="603"/>
      <c r="T554" s="606"/>
      <c r="U554" s="606"/>
      <c r="V554" s="593">
        <f t="shared" si="360"/>
        <v>0</v>
      </c>
      <c r="W554" s="606"/>
      <c r="X554" s="606"/>
      <c r="Y554" s="606"/>
      <c r="Z554" s="606"/>
      <c r="AA554" s="606"/>
      <c r="AB554" s="606"/>
      <c r="AC554" s="607"/>
      <c r="AD554" s="606"/>
      <c r="AE554" s="608"/>
      <c r="AF554" s="639">
        <v>21</v>
      </c>
      <c r="AG554" s="639">
        <f t="shared" si="359"/>
        <v>21</v>
      </c>
      <c r="AH554" s="639">
        <f t="shared" si="382"/>
        <v>0</v>
      </c>
      <c r="AI554" s="640"/>
      <c r="AJ554" s="641">
        <f t="shared" si="383"/>
        <v>0</v>
      </c>
      <c r="AK554" s="642"/>
      <c r="AL554" s="642" t="s">
        <v>364</v>
      </c>
      <c r="AM554" s="643"/>
      <c r="AN554" s="642"/>
      <c r="AO554" s="644">
        <v>1906</v>
      </c>
      <c r="AP554" s="565"/>
      <c r="AQ554" s="566"/>
      <c r="AR554" s="566"/>
      <c r="AS554" s="566"/>
      <c r="AT554" s="566"/>
      <c r="AU554" s="566"/>
      <c r="AV554" s="566"/>
      <c r="AW554" s="566"/>
      <c r="AX554" s="566"/>
      <c r="AY554" s="566"/>
      <c r="AZ554" s="566"/>
      <c r="BA554" s="566"/>
      <c r="BB554" s="566"/>
      <c r="BC554" s="566"/>
      <c r="BD554" s="566"/>
      <c r="BE554" s="566"/>
      <c r="BF554" s="566"/>
      <c r="BG554" s="566"/>
    </row>
    <row r="555" spans="1:59">
      <c r="A555" s="591"/>
      <c r="B555" s="592"/>
      <c r="C555" s="593"/>
      <c r="D555" s="594">
        <v>1</v>
      </c>
      <c r="E555" s="595" t="s">
        <v>374</v>
      </c>
      <c r="F555" s="593" t="s">
        <v>339</v>
      </c>
      <c r="G555" s="596" t="s">
        <v>687</v>
      </c>
      <c r="H555" s="596" t="s">
        <v>687</v>
      </c>
      <c r="I555" s="596"/>
      <c r="J555" s="596"/>
      <c r="K555" s="596"/>
      <c r="L555" s="591" t="s">
        <v>935</v>
      </c>
      <c r="M555" s="597" t="str">
        <f t="shared" si="381"/>
        <v>Op afroep (in overleg)</v>
      </c>
      <c r="N555" s="591" t="s">
        <v>78</v>
      </c>
      <c r="O555" s="598"/>
      <c r="P555" s="599"/>
      <c r="Q555" s="600">
        <f t="shared" si="384"/>
        <v>0</v>
      </c>
      <c r="R555" s="601">
        <f>AF555</f>
        <v>29</v>
      </c>
      <c r="S555" s="603" t="s">
        <v>959</v>
      </c>
      <c r="T555" s="602"/>
      <c r="U555" s="603"/>
      <c r="V555" s="593">
        <f t="shared" si="360"/>
        <v>0</v>
      </c>
      <c r="W555" s="604">
        <f t="shared" ref="W555:W556" si="385">Z555*R555*U555</f>
        <v>0</v>
      </c>
      <c r="X555" s="604">
        <f t="shared" ref="X555:X556" si="386">AA555*R555</f>
        <v>0</v>
      </c>
      <c r="Y555" s="604">
        <f t="shared" ref="Y555:Y556" si="387">AB555*R555</f>
        <v>0</v>
      </c>
      <c r="Z555" s="605">
        <f>VLOOKUP(S555,Kengetal,6,FALSE)</f>
        <v>0</v>
      </c>
      <c r="AA555" s="751">
        <f>VLOOKUP(S555,Kengetal,7,FALSE)</f>
        <v>0</v>
      </c>
      <c r="AB555" s="605">
        <f>VLOOKUP(T555,Kengetal,6,FALSE)</f>
        <v>0</v>
      </c>
      <c r="AC555" s="607"/>
      <c r="AD555" s="591" t="str">
        <f>AL555</f>
        <v>Friesland College</v>
      </c>
      <c r="AE555" s="608"/>
      <c r="AF555" s="639">
        <v>29</v>
      </c>
      <c r="AG555" s="639">
        <f t="shared" si="359"/>
        <v>29</v>
      </c>
      <c r="AH555" s="639">
        <f t="shared" si="382"/>
        <v>0</v>
      </c>
      <c r="AI555" s="640"/>
      <c r="AJ555" s="641">
        <f t="shared" si="383"/>
        <v>0</v>
      </c>
      <c r="AK555" s="642"/>
      <c r="AL555" s="642" t="s">
        <v>364</v>
      </c>
      <c r="AM555" s="643"/>
      <c r="AN555" s="642"/>
      <c r="AO555" s="644">
        <v>1907</v>
      </c>
      <c r="AP555" s="565"/>
      <c r="AQ555" s="566"/>
      <c r="AR555" s="566"/>
      <c r="AS555" s="566"/>
      <c r="AT555" s="566"/>
      <c r="AU555" s="566"/>
      <c r="AV555" s="566"/>
      <c r="AW555" s="566"/>
      <c r="AX555" s="566"/>
      <c r="AY555" s="566"/>
      <c r="AZ555" s="566"/>
      <c r="BA555" s="566"/>
      <c r="BB555" s="566"/>
      <c r="BC555" s="566"/>
      <c r="BD555" s="566"/>
      <c r="BE555" s="566"/>
      <c r="BF555" s="566"/>
      <c r="BG555" s="566"/>
    </row>
    <row r="556" spans="1:59">
      <c r="A556" s="591"/>
      <c r="B556" s="592"/>
      <c r="C556" s="593"/>
      <c r="D556" s="594">
        <v>1</v>
      </c>
      <c r="E556" s="595" t="s">
        <v>374</v>
      </c>
      <c r="F556" s="593" t="s">
        <v>339</v>
      </c>
      <c r="G556" s="596" t="s">
        <v>688</v>
      </c>
      <c r="H556" s="596" t="s">
        <v>740</v>
      </c>
      <c r="I556" s="596"/>
      <c r="J556" s="596"/>
      <c r="K556" s="596"/>
      <c r="L556" s="591" t="s">
        <v>932</v>
      </c>
      <c r="M556" s="597" t="str">
        <f t="shared" si="381"/>
        <v>Onderwijsruimte (theorie)</v>
      </c>
      <c r="N556" s="591" t="s">
        <v>78</v>
      </c>
      <c r="O556" s="598"/>
      <c r="P556" s="599"/>
      <c r="Q556" s="600">
        <f t="shared" si="384"/>
        <v>0</v>
      </c>
      <c r="R556" s="601">
        <f>AF556</f>
        <v>20</v>
      </c>
      <c r="S556" s="647">
        <v>102200</v>
      </c>
      <c r="T556" s="602"/>
      <c r="U556" s="645">
        <v>1</v>
      </c>
      <c r="V556" s="593">
        <f t="shared" si="360"/>
        <v>200</v>
      </c>
      <c r="W556" s="604">
        <f t="shared" si="385"/>
        <v>0</v>
      </c>
      <c r="X556" s="604">
        <f t="shared" si="386"/>
        <v>0</v>
      </c>
      <c r="Y556" s="604">
        <f t="shared" si="387"/>
        <v>0</v>
      </c>
      <c r="Z556" s="605">
        <f>VLOOKUP(S556,Kengetal,6,FALSE)</f>
        <v>0</v>
      </c>
      <c r="AA556" s="751">
        <f>VLOOKUP(S556,Kengetal,7,FALSE)</f>
        <v>0</v>
      </c>
      <c r="AB556" s="605">
        <f>VLOOKUP(T556,Kengetal,6,FALSE)</f>
        <v>0</v>
      </c>
      <c r="AC556" s="607"/>
      <c r="AD556" s="591" t="str">
        <f>AL556</f>
        <v>Friesland College</v>
      </c>
      <c r="AE556" s="608"/>
      <c r="AF556" s="639">
        <v>20</v>
      </c>
      <c r="AG556" s="639">
        <f t="shared" si="359"/>
        <v>20</v>
      </c>
      <c r="AH556" s="639">
        <f t="shared" si="382"/>
        <v>0</v>
      </c>
      <c r="AI556" s="640"/>
      <c r="AJ556" s="641">
        <f t="shared" si="383"/>
        <v>0</v>
      </c>
      <c r="AK556" s="642"/>
      <c r="AL556" s="642" t="s">
        <v>364</v>
      </c>
      <c r="AM556" s="643"/>
      <c r="AN556" s="642"/>
      <c r="AO556" s="644">
        <v>1908</v>
      </c>
      <c r="AP556" s="565"/>
      <c r="AQ556" s="566"/>
      <c r="AR556" s="566"/>
      <c r="AS556" s="566"/>
      <c r="AT556" s="566"/>
      <c r="AU556" s="566"/>
      <c r="AV556" s="566"/>
      <c r="AW556" s="566"/>
      <c r="AX556" s="566"/>
      <c r="AY556" s="566"/>
      <c r="AZ556" s="566"/>
      <c r="BA556" s="566"/>
      <c r="BB556" s="566"/>
      <c r="BC556" s="566"/>
      <c r="BD556" s="566"/>
      <c r="BE556" s="566"/>
      <c r="BF556" s="566"/>
      <c r="BG556" s="566"/>
    </row>
    <row r="557" spans="1:59">
      <c r="A557" s="591"/>
      <c r="B557" s="618"/>
      <c r="C557" s="609"/>
      <c r="D557" s="594">
        <v>1</v>
      </c>
      <c r="E557" s="595" t="s">
        <v>374</v>
      </c>
      <c r="F557" s="593" t="s">
        <v>339</v>
      </c>
      <c r="G557" s="610" t="s">
        <v>688</v>
      </c>
      <c r="H557" s="610" t="s">
        <v>740</v>
      </c>
      <c r="I557" s="610"/>
      <c r="J557" s="610"/>
      <c r="K557" s="610"/>
      <c r="L557" s="611" t="s">
        <v>932</v>
      </c>
      <c r="M557" s="612">
        <f t="shared" si="381"/>
        <v>0</v>
      </c>
      <c r="N557" s="613"/>
      <c r="O557" s="614" t="s">
        <v>1039</v>
      </c>
      <c r="P557" s="615">
        <v>100</v>
      </c>
      <c r="Q557" s="616">
        <f t="shared" si="384"/>
        <v>20</v>
      </c>
      <c r="R557" s="613"/>
      <c r="S557" s="603"/>
      <c r="T557" s="606"/>
      <c r="U557" s="606"/>
      <c r="V557" s="593">
        <f t="shared" si="360"/>
        <v>0</v>
      </c>
      <c r="W557" s="606"/>
      <c r="X557" s="606"/>
      <c r="Y557" s="606"/>
      <c r="Z557" s="606"/>
      <c r="AA557" s="606"/>
      <c r="AB557" s="606"/>
      <c r="AC557" s="607"/>
      <c r="AD557" s="606"/>
      <c r="AE557" s="608"/>
      <c r="AF557" s="639">
        <v>20</v>
      </c>
      <c r="AG557" s="639">
        <f t="shared" si="359"/>
        <v>20</v>
      </c>
      <c r="AH557" s="639">
        <f t="shared" si="382"/>
        <v>0</v>
      </c>
      <c r="AI557" s="640"/>
      <c r="AJ557" s="641">
        <f t="shared" si="383"/>
        <v>0</v>
      </c>
      <c r="AK557" s="642"/>
      <c r="AL557" s="642" t="s">
        <v>364</v>
      </c>
      <c r="AM557" s="643"/>
      <c r="AN557" s="642"/>
      <c r="AO557" s="644">
        <v>1909</v>
      </c>
      <c r="AP557" s="565"/>
      <c r="AQ557" s="566"/>
      <c r="AR557" s="566"/>
      <c r="AS557" s="566"/>
      <c r="AT557" s="566"/>
      <c r="AU557" s="566"/>
      <c r="AV557" s="566"/>
      <c r="AW557" s="566"/>
      <c r="AX557" s="566"/>
      <c r="AY557" s="566"/>
      <c r="AZ557" s="566"/>
      <c r="BA557" s="566"/>
      <c r="BB557" s="566"/>
      <c r="BC557" s="566"/>
      <c r="BD557" s="566"/>
      <c r="BE557" s="566"/>
      <c r="BF557" s="566"/>
      <c r="BG557" s="566"/>
    </row>
    <row r="558" spans="1:59">
      <c r="A558" s="591"/>
      <c r="B558" s="592"/>
      <c r="C558" s="593"/>
      <c r="D558" s="594">
        <v>1</v>
      </c>
      <c r="E558" s="595" t="s">
        <v>374</v>
      </c>
      <c r="F558" s="593" t="s">
        <v>339</v>
      </c>
      <c r="G558" s="596" t="s">
        <v>689</v>
      </c>
      <c r="H558" s="596" t="s">
        <v>741</v>
      </c>
      <c r="I558" s="596"/>
      <c r="J558" s="596"/>
      <c r="K558" s="596"/>
      <c r="L558" s="591" t="s">
        <v>932</v>
      </c>
      <c r="M558" s="597" t="str">
        <f t="shared" si="381"/>
        <v>Onderwijsruimte (theorie)</v>
      </c>
      <c r="N558" s="591" t="s">
        <v>78</v>
      </c>
      <c r="O558" s="598"/>
      <c r="P558" s="599"/>
      <c r="Q558" s="600">
        <f t="shared" si="384"/>
        <v>0</v>
      </c>
      <c r="R558" s="601">
        <f>AF558</f>
        <v>51.5</v>
      </c>
      <c r="S558" s="647">
        <v>102200</v>
      </c>
      <c r="T558" s="602"/>
      <c r="U558" s="645">
        <v>1</v>
      </c>
      <c r="V558" s="593">
        <f t="shared" si="360"/>
        <v>200</v>
      </c>
      <c r="W558" s="604">
        <f>Z558*R558*U558</f>
        <v>0</v>
      </c>
      <c r="X558" s="604">
        <f>AA558*R558</f>
        <v>0</v>
      </c>
      <c r="Y558" s="604">
        <f>AB558*R558</f>
        <v>0</v>
      </c>
      <c r="Z558" s="605">
        <f>VLOOKUP(S558,Kengetal,6,FALSE)</f>
        <v>0</v>
      </c>
      <c r="AA558" s="751">
        <f>VLOOKUP(S558,Kengetal,7,FALSE)</f>
        <v>0</v>
      </c>
      <c r="AB558" s="605">
        <f>VLOOKUP(T558,Kengetal,6,FALSE)</f>
        <v>0</v>
      </c>
      <c r="AC558" s="607"/>
      <c r="AD558" s="591" t="str">
        <f>AL558</f>
        <v>Friesland College</v>
      </c>
      <c r="AE558" s="608"/>
      <c r="AF558" s="639">
        <v>51.5</v>
      </c>
      <c r="AG558" s="639">
        <f t="shared" si="359"/>
        <v>51.5</v>
      </c>
      <c r="AH558" s="639">
        <f t="shared" si="382"/>
        <v>0</v>
      </c>
      <c r="AI558" s="640"/>
      <c r="AJ558" s="641">
        <f t="shared" si="383"/>
        <v>0</v>
      </c>
      <c r="AK558" s="642"/>
      <c r="AL558" s="642" t="s">
        <v>364</v>
      </c>
      <c r="AM558" s="643"/>
      <c r="AN558" s="642"/>
      <c r="AO558" s="644">
        <v>1910</v>
      </c>
      <c r="AP558" s="565"/>
      <c r="AQ558" s="566"/>
      <c r="AR558" s="566"/>
      <c r="AS558" s="566"/>
      <c r="AT558" s="566"/>
      <c r="AU558" s="566"/>
      <c r="AV558" s="566"/>
      <c r="AW558" s="566"/>
      <c r="AX558" s="566"/>
      <c r="AY558" s="566"/>
      <c r="AZ558" s="566"/>
      <c r="BA558" s="566"/>
      <c r="BB558" s="566"/>
      <c r="BC558" s="566"/>
      <c r="BD558" s="566"/>
      <c r="BE558" s="566"/>
      <c r="BF558" s="566"/>
      <c r="BG558" s="566"/>
    </row>
    <row r="559" spans="1:59">
      <c r="A559" s="591"/>
      <c r="B559" s="618"/>
      <c r="C559" s="609"/>
      <c r="D559" s="594">
        <v>1</v>
      </c>
      <c r="E559" s="595" t="s">
        <v>374</v>
      </c>
      <c r="F559" s="593" t="s">
        <v>339</v>
      </c>
      <c r="G559" s="610" t="s">
        <v>689</v>
      </c>
      <c r="H559" s="610" t="s">
        <v>741</v>
      </c>
      <c r="I559" s="610"/>
      <c r="J559" s="610"/>
      <c r="K559" s="610"/>
      <c r="L559" s="611" t="s">
        <v>932</v>
      </c>
      <c r="M559" s="612">
        <f t="shared" si="381"/>
        <v>0</v>
      </c>
      <c r="N559" s="613"/>
      <c r="O559" s="614" t="s">
        <v>1039</v>
      </c>
      <c r="P559" s="615">
        <v>100</v>
      </c>
      <c r="Q559" s="616">
        <f t="shared" si="384"/>
        <v>51.5</v>
      </c>
      <c r="R559" s="613"/>
      <c r="S559" s="603"/>
      <c r="T559" s="606"/>
      <c r="U559" s="606"/>
      <c r="V559" s="593">
        <f t="shared" si="360"/>
        <v>0</v>
      </c>
      <c r="W559" s="606"/>
      <c r="X559" s="606"/>
      <c r="Y559" s="606"/>
      <c r="Z559" s="606"/>
      <c r="AA559" s="606"/>
      <c r="AB559" s="606"/>
      <c r="AC559" s="607"/>
      <c r="AD559" s="606"/>
      <c r="AE559" s="608"/>
      <c r="AF559" s="639">
        <v>51.5</v>
      </c>
      <c r="AG559" s="639">
        <f t="shared" si="359"/>
        <v>51.5</v>
      </c>
      <c r="AH559" s="639">
        <f t="shared" si="382"/>
        <v>0</v>
      </c>
      <c r="AI559" s="640"/>
      <c r="AJ559" s="641">
        <f t="shared" si="383"/>
        <v>0</v>
      </c>
      <c r="AK559" s="642"/>
      <c r="AL559" s="642" t="s">
        <v>364</v>
      </c>
      <c r="AM559" s="643"/>
      <c r="AN559" s="642"/>
      <c r="AO559" s="644">
        <v>1911</v>
      </c>
      <c r="AP559" s="565"/>
      <c r="AQ559" s="566"/>
      <c r="AR559" s="566"/>
      <c r="AS559" s="566"/>
      <c r="AT559" s="566"/>
      <c r="AU559" s="566"/>
      <c r="AV559" s="566"/>
      <c r="AW559" s="566"/>
      <c r="AX559" s="566"/>
      <c r="AY559" s="566"/>
      <c r="AZ559" s="566"/>
      <c r="BA559" s="566"/>
      <c r="BB559" s="566"/>
      <c r="BC559" s="566"/>
      <c r="BD559" s="566"/>
      <c r="BE559" s="566"/>
      <c r="BF559" s="566"/>
      <c r="BG559" s="566"/>
    </row>
    <row r="560" spans="1:59">
      <c r="A560" s="591"/>
      <c r="B560" s="592"/>
      <c r="C560" s="593"/>
      <c r="D560" s="594">
        <v>1</v>
      </c>
      <c r="E560" s="595" t="s">
        <v>374</v>
      </c>
      <c r="F560" s="593" t="s">
        <v>339</v>
      </c>
      <c r="G560" s="596" t="s">
        <v>742</v>
      </c>
      <c r="H560" s="596" t="s">
        <v>743</v>
      </c>
      <c r="I560" s="596"/>
      <c r="J560" s="596"/>
      <c r="K560" s="596"/>
      <c r="L560" s="591" t="s">
        <v>932</v>
      </c>
      <c r="M560" s="597" t="str">
        <f t="shared" si="381"/>
        <v>Onderwijsruimte (theorie)</v>
      </c>
      <c r="N560" s="591" t="s">
        <v>78</v>
      </c>
      <c r="O560" s="598"/>
      <c r="P560" s="599"/>
      <c r="Q560" s="600">
        <f t="shared" si="384"/>
        <v>0</v>
      </c>
      <c r="R560" s="601">
        <f>AF560</f>
        <v>51.5</v>
      </c>
      <c r="S560" s="647">
        <v>102200</v>
      </c>
      <c r="T560" s="602"/>
      <c r="U560" s="645">
        <v>1</v>
      </c>
      <c r="V560" s="593">
        <f t="shared" si="360"/>
        <v>200</v>
      </c>
      <c r="W560" s="604">
        <f>Z560*R560*U560</f>
        <v>0</v>
      </c>
      <c r="X560" s="604">
        <f>AA560*R560</f>
        <v>0</v>
      </c>
      <c r="Y560" s="604">
        <f>AB560*R560</f>
        <v>0</v>
      </c>
      <c r="Z560" s="605">
        <f>VLOOKUP(S560,Kengetal,6,FALSE)</f>
        <v>0</v>
      </c>
      <c r="AA560" s="751">
        <f>VLOOKUP(S560,Kengetal,7,FALSE)</f>
        <v>0</v>
      </c>
      <c r="AB560" s="605">
        <f>VLOOKUP(T560,Kengetal,6,FALSE)</f>
        <v>0</v>
      </c>
      <c r="AC560" s="607"/>
      <c r="AD560" s="591" t="str">
        <f>AL560</f>
        <v>Friesland College</v>
      </c>
      <c r="AE560" s="608"/>
      <c r="AF560" s="639">
        <v>51.5</v>
      </c>
      <c r="AG560" s="639">
        <f t="shared" si="359"/>
        <v>51.5</v>
      </c>
      <c r="AH560" s="639">
        <f t="shared" si="382"/>
        <v>0</v>
      </c>
      <c r="AI560" s="640"/>
      <c r="AJ560" s="641">
        <f t="shared" si="383"/>
        <v>0</v>
      </c>
      <c r="AK560" s="642"/>
      <c r="AL560" s="642" t="s">
        <v>364</v>
      </c>
      <c r="AM560" s="643"/>
      <c r="AN560" s="642"/>
      <c r="AO560" s="644">
        <v>1912</v>
      </c>
      <c r="AP560" s="565"/>
      <c r="AQ560" s="566"/>
      <c r="AR560" s="566"/>
      <c r="AS560" s="566"/>
      <c r="AT560" s="566"/>
      <c r="AU560" s="566"/>
      <c r="AV560" s="566"/>
      <c r="AW560" s="566"/>
      <c r="AX560" s="566"/>
      <c r="AY560" s="566"/>
      <c r="AZ560" s="566"/>
      <c r="BA560" s="566"/>
      <c r="BB560" s="566"/>
      <c r="BC560" s="566"/>
      <c r="BD560" s="566"/>
      <c r="BE560" s="566"/>
      <c r="BF560" s="566"/>
      <c r="BG560" s="566"/>
    </row>
    <row r="561" spans="1:59">
      <c r="A561" s="591"/>
      <c r="B561" s="618"/>
      <c r="C561" s="609"/>
      <c r="D561" s="594">
        <v>1</v>
      </c>
      <c r="E561" s="595" t="s">
        <v>374</v>
      </c>
      <c r="F561" s="593" t="s">
        <v>339</v>
      </c>
      <c r="G561" s="610" t="s">
        <v>742</v>
      </c>
      <c r="H561" s="610" t="s">
        <v>743</v>
      </c>
      <c r="I561" s="610"/>
      <c r="J561" s="610"/>
      <c r="K561" s="610"/>
      <c r="L561" s="611" t="s">
        <v>932</v>
      </c>
      <c r="M561" s="612">
        <f t="shared" si="381"/>
        <v>0</v>
      </c>
      <c r="N561" s="613"/>
      <c r="O561" s="614" t="s">
        <v>1039</v>
      </c>
      <c r="P561" s="615">
        <v>100</v>
      </c>
      <c r="Q561" s="616">
        <f t="shared" si="384"/>
        <v>51.5</v>
      </c>
      <c r="R561" s="613"/>
      <c r="S561" s="603"/>
      <c r="T561" s="606"/>
      <c r="U561" s="606"/>
      <c r="V561" s="593">
        <f t="shared" si="360"/>
        <v>0</v>
      </c>
      <c r="W561" s="606"/>
      <c r="X561" s="606"/>
      <c r="Y561" s="606"/>
      <c r="Z561" s="606"/>
      <c r="AA561" s="606"/>
      <c r="AB561" s="606"/>
      <c r="AC561" s="607"/>
      <c r="AD561" s="606"/>
      <c r="AE561" s="608"/>
      <c r="AF561" s="639">
        <v>51.5</v>
      </c>
      <c r="AG561" s="639">
        <f t="shared" si="359"/>
        <v>51.5</v>
      </c>
      <c r="AH561" s="639">
        <f t="shared" si="382"/>
        <v>0</v>
      </c>
      <c r="AI561" s="640"/>
      <c r="AJ561" s="641">
        <f t="shared" si="383"/>
        <v>0</v>
      </c>
      <c r="AK561" s="642"/>
      <c r="AL561" s="642" t="s">
        <v>364</v>
      </c>
      <c r="AM561" s="643"/>
      <c r="AN561" s="642"/>
      <c r="AO561" s="644">
        <v>1913</v>
      </c>
      <c r="AP561" s="565"/>
      <c r="AQ561" s="566"/>
      <c r="AR561" s="566"/>
      <c r="AS561" s="566"/>
      <c r="AT561" s="566"/>
      <c r="AU561" s="566"/>
      <c r="AV561" s="566"/>
      <c r="AW561" s="566"/>
      <c r="AX561" s="566"/>
      <c r="AY561" s="566"/>
      <c r="AZ561" s="566"/>
      <c r="BA561" s="566"/>
      <c r="BB561" s="566"/>
      <c r="BC561" s="566"/>
      <c r="BD561" s="566"/>
      <c r="BE561" s="566"/>
      <c r="BF561" s="566"/>
      <c r="BG561" s="566"/>
    </row>
    <row r="562" spans="1:59">
      <c r="A562" s="591"/>
      <c r="B562" s="592"/>
      <c r="C562" s="593"/>
      <c r="D562" s="594">
        <v>1</v>
      </c>
      <c r="E562" s="595" t="s">
        <v>374</v>
      </c>
      <c r="F562" s="593" t="s">
        <v>339</v>
      </c>
      <c r="G562" s="596" t="s">
        <v>690</v>
      </c>
      <c r="H562" s="596" t="s">
        <v>744</v>
      </c>
      <c r="I562" s="596"/>
      <c r="J562" s="596"/>
      <c r="K562" s="596"/>
      <c r="L562" s="591" t="s">
        <v>812</v>
      </c>
      <c r="M562" s="597" t="str">
        <f t="shared" si="381"/>
        <v>Administratieve -, personeels- en vergaderruimte</v>
      </c>
      <c r="N562" s="591" t="s">
        <v>78</v>
      </c>
      <c r="O562" s="598"/>
      <c r="P562" s="599"/>
      <c r="Q562" s="600">
        <f t="shared" si="384"/>
        <v>0</v>
      </c>
      <c r="R562" s="601">
        <f>AF562</f>
        <v>40</v>
      </c>
      <c r="S562" s="647">
        <v>101100</v>
      </c>
      <c r="T562" s="602"/>
      <c r="U562" s="645">
        <v>1</v>
      </c>
      <c r="V562" s="593">
        <f t="shared" si="360"/>
        <v>100</v>
      </c>
      <c r="W562" s="604">
        <f>Z562*R562*U562</f>
        <v>0</v>
      </c>
      <c r="X562" s="604">
        <f>AA562*R562</f>
        <v>0</v>
      </c>
      <c r="Y562" s="604">
        <f>AB562*R562</f>
        <v>0</v>
      </c>
      <c r="Z562" s="605">
        <f>VLOOKUP(S562,Kengetal,6,FALSE)</f>
        <v>0</v>
      </c>
      <c r="AA562" s="751">
        <f>VLOOKUP(S562,Kengetal,7,FALSE)</f>
        <v>0</v>
      </c>
      <c r="AB562" s="605">
        <f>VLOOKUP(T562,Kengetal,6,FALSE)</f>
        <v>0</v>
      </c>
      <c r="AC562" s="607"/>
      <c r="AD562" s="591" t="str">
        <f>AL562</f>
        <v>Friesland College</v>
      </c>
      <c r="AE562" s="608"/>
      <c r="AF562" s="639">
        <v>40</v>
      </c>
      <c r="AG562" s="639">
        <f t="shared" si="359"/>
        <v>40</v>
      </c>
      <c r="AH562" s="639">
        <f t="shared" si="382"/>
        <v>0</v>
      </c>
      <c r="AI562" s="640"/>
      <c r="AJ562" s="641">
        <f t="shared" si="383"/>
        <v>0</v>
      </c>
      <c r="AK562" s="642"/>
      <c r="AL562" s="642" t="s">
        <v>364</v>
      </c>
      <c r="AM562" s="642"/>
      <c r="AN562" s="642"/>
      <c r="AO562" s="644">
        <v>1914</v>
      </c>
      <c r="AP562" s="565"/>
      <c r="AQ562" s="566"/>
      <c r="AR562" s="566"/>
      <c r="AS562" s="566"/>
      <c r="AT562" s="566"/>
      <c r="AU562" s="566"/>
      <c r="AV562" s="566"/>
      <c r="AW562" s="566"/>
      <c r="AX562" s="566"/>
      <c r="AY562" s="566"/>
      <c r="AZ562" s="566"/>
      <c r="BA562" s="566"/>
      <c r="BB562" s="566"/>
      <c r="BC562" s="566"/>
      <c r="BD562" s="566"/>
      <c r="BE562" s="566"/>
      <c r="BF562" s="566"/>
      <c r="BG562" s="566"/>
    </row>
    <row r="563" spans="1:59">
      <c r="A563" s="591"/>
      <c r="B563" s="618"/>
      <c r="C563" s="609"/>
      <c r="D563" s="594">
        <v>1</v>
      </c>
      <c r="E563" s="595" t="s">
        <v>374</v>
      </c>
      <c r="F563" s="593" t="s">
        <v>339</v>
      </c>
      <c r="G563" s="610" t="s">
        <v>690</v>
      </c>
      <c r="H563" s="610" t="s">
        <v>744</v>
      </c>
      <c r="I563" s="610"/>
      <c r="J563" s="610"/>
      <c r="K563" s="610"/>
      <c r="L563" s="611" t="s">
        <v>812</v>
      </c>
      <c r="M563" s="612">
        <f t="shared" si="381"/>
        <v>0</v>
      </c>
      <c r="N563" s="613"/>
      <c r="O563" s="614" t="s">
        <v>1039</v>
      </c>
      <c r="P563" s="615">
        <v>40</v>
      </c>
      <c r="Q563" s="616">
        <f t="shared" si="384"/>
        <v>16</v>
      </c>
      <c r="R563" s="613"/>
      <c r="S563" s="603"/>
      <c r="T563" s="606"/>
      <c r="U563" s="606"/>
      <c r="V563" s="593">
        <f t="shared" si="360"/>
        <v>0</v>
      </c>
      <c r="W563" s="606"/>
      <c r="X563" s="606"/>
      <c r="Y563" s="606"/>
      <c r="Z563" s="606"/>
      <c r="AA563" s="606"/>
      <c r="AB563" s="606"/>
      <c r="AC563" s="607"/>
      <c r="AD563" s="606"/>
      <c r="AE563" s="608"/>
      <c r="AF563" s="639">
        <v>40</v>
      </c>
      <c r="AG563" s="639">
        <f t="shared" si="359"/>
        <v>40</v>
      </c>
      <c r="AH563" s="639">
        <f t="shared" si="382"/>
        <v>0</v>
      </c>
      <c r="AI563" s="640"/>
      <c r="AJ563" s="641">
        <f t="shared" si="383"/>
        <v>0</v>
      </c>
      <c r="AK563" s="642"/>
      <c r="AL563" s="642" t="s">
        <v>364</v>
      </c>
      <c r="AM563" s="642"/>
      <c r="AN563" s="642"/>
      <c r="AO563" s="644">
        <v>1915</v>
      </c>
      <c r="AP563" s="565"/>
      <c r="AQ563" s="566"/>
      <c r="AR563" s="566"/>
      <c r="AS563" s="566"/>
      <c r="AT563" s="566"/>
      <c r="AU563" s="566"/>
      <c r="AV563" s="566"/>
      <c r="AW563" s="566"/>
      <c r="AX563" s="566"/>
      <c r="AY563" s="566"/>
      <c r="AZ563" s="566"/>
      <c r="BA563" s="566"/>
      <c r="BB563" s="566"/>
      <c r="BC563" s="566"/>
      <c r="BD563" s="566"/>
      <c r="BE563" s="566"/>
      <c r="BF563" s="566"/>
      <c r="BG563" s="566"/>
    </row>
    <row r="564" spans="1:59">
      <c r="A564" s="591"/>
      <c r="B564" s="609"/>
      <c r="C564" s="609"/>
      <c r="D564" s="594">
        <v>1</v>
      </c>
      <c r="E564" s="595" t="s">
        <v>374</v>
      </c>
      <c r="F564" s="593" t="s">
        <v>339</v>
      </c>
      <c r="G564" s="610" t="s">
        <v>690</v>
      </c>
      <c r="H564" s="610" t="s">
        <v>744</v>
      </c>
      <c r="I564" s="610"/>
      <c r="J564" s="610"/>
      <c r="K564" s="610"/>
      <c r="L564" s="611" t="s">
        <v>812</v>
      </c>
      <c r="M564" s="612">
        <f t="shared" si="381"/>
        <v>0</v>
      </c>
      <c r="N564" s="613"/>
      <c r="O564" s="614" t="s">
        <v>1034</v>
      </c>
      <c r="P564" s="615">
        <v>60</v>
      </c>
      <c r="Q564" s="616">
        <f t="shared" si="384"/>
        <v>24</v>
      </c>
      <c r="R564" s="613"/>
      <c r="S564" s="603"/>
      <c r="T564" s="606"/>
      <c r="U564" s="606"/>
      <c r="V564" s="593">
        <f t="shared" si="360"/>
        <v>0</v>
      </c>
      <c r="W564" s="606"/>
      <c r="X564" s="606"/>
      <c r="Y564" s="606"/>
      <c r="Z564" s="606"/>
      <c r="AA564" s="606"/>
      <c r="AB564" s="606"/>
      <c r="AC564" s="607"/>
      <c r="AD564" s="606"/>
      <c r="AE564" s="608"/>
      <c r="AF564" s="639">
        <v>40</v>
      </c>
      <c r="AG564" s="639">
        <f t="shared" si="359"/>
        <v>40</v>
      </c>
      <c r="AH564" s="639">
        <f t="shared" si="382"/>
        <v>0</v>
      </c>
      <c r="AI564" s="640"/>
      <c r="AJ564" s="641">
        <f t="shared" si="383"/>
        <v>0</v>
      </c>
      <c r="AK564" s="642"/>
      <c r="AL564" s="642" t="s">
        <v>364</v>
      </c>
      <c r="AM564" s="643"/>
      <c r="AN564" s="642"/>
      <c r="AO564" s="644">
        <v>1916</v>
      </c>
      <c r="AP564" s="565"/>
      <c r="AQ564" s="566"/>
      <c r="AR564" s="566"/>
      <c r="AS564" s="566"/>
      <c r="AT564" s="566"/>
      <c r="AU564" s="566"/>
      <c r="AV564" s="566"/>
      <c r="AW564" s="566"/>
      <c r="AX564" s="566"/>
      <c r="AY564" s="566"/>
      <c r="AZ564" s="566"/>
      <c r="BA564" s="566"/>
      <c r="BB564" s="566"/>
      <c r="BC564" s="566"/>
      <c r="BD564" s="566"/>
      <c r="BE564" s="566"/>
      <c r="BF564" s="566"/>
      <c r="BG564" s="566"/>
    </row>
    <row r="565" spans="1:59">
      <c r="A565" s="591"/>
      <c r="B565" s="592"/>
      <c r="C565" s="593"/>
      <c r="D565" s="594">
        <v>1</v>
      </c>
      <c r="E565" s="595" t="s">
        <v>374</v>
      </c>
      <c r="F565" s="593" t="s">
        <v>339</v>
      </c>
      <c r="G565" s="596" t="s">
        <v>691</v>
      </c>
      <c r="H565" s="596" t="s">
        <v>745</v>
      </c>
      <c r="I565" s="596"/>
      <c r="J565" s="596"/>
      <c r="K565" s="596"/>
      <c r="L565" s="591" t="s">
        <v>932</v>
      </c>
      <c r="M565" s="597" t="str">
        <f t="shared" si="381"/>
        <v>Onderwijsruimte (theorie)</v>
      </c>
      <c r="N565" s="591" t="s">
        <v>78</v>
      </c>
      <c r="O565" s="598"/>
      <c r="P565" s="599"/>
      <c r="Q565" s="600">
        <f t="shared" si="384"/>
        <v>0</v>
      </c>
      <c r="R565" s="601">
        <f>AF565</f>
        <v>40</v>
      </c>
      <c r="S565" s="647">
        <v>102200</v>
      </c>
      <c r="T565" s="602"/>
      <c r="U565" s="645">
        <v>1</v>
      </c>
      <c r="V565" s="593">
        <f t="shared" si="360"/>
        <v>200</v>
      </c>
      <c r="W565" s="604">
        <f>Z565*R565*U565</f>
        <v>0</v>
      </c>
      <c r="X565" s="604">
        <f>AA565*R565</f>
        <v>0</v>
      </c>
      <c r="Y565" s="604">
        <f>AB565*R565</f>
        <v>0</v>
      </c>
      <c r="Z565" s="605">
        <f>VLOOKUP(S565,Kengetal,6,FALSE)</f>
        <v>0</v>
      </c>
      <c r="AA565" s="751">
        <f>VLOOKUP(S565,Kengetal,7,FALSE)</f>
        <v>0</v>
      </c>
      <c r="AB565" s="605">
        <f>VLOOKUP(T565,Kengetal,6,FALSE)</f>
        <v>0</v>
      </c>
      <c r="AC565" s="607"/>
      <c r="AD565" s="591" t="str">
        <f>AL565</f>
        <v>Friesland College</v>
      </c>
      <c r="AE565" s="608"/>
      <c r="AF565" s="639">
        <v>40</v>
      </c>
      <c r="AG565" s="639">
        <f t="shared" si="359"/>
        <v>40</v>
      </c>
      <c r="AH565" s="639">
        <f t="shared" si="382"/>
        <v>0</v>
      </c>
      <c r="AI565" s="640"/>
      <c r="AJ565" s="641">
        <f t="shared" si="383"/>
        <v>0</v>
      </c>
      <c r="AK565" s="642"/>
      <c r="AL565" s="642" t="s">
        <v>364</v>
      </c>
      <c r="AM565" s="643"/>
      <c r="AN565" s="642"/>
      <c r="AO565" s="644">
        <v>1917</v>
      </c>
      <c r="AP565" s="565"/>
      <c r="AQ565" s="566"/>
      <c r="AR565" s="566"/>
      <c r="AS565" s="566"/>
      <c r="AT565" s="566"/>
      <c r="AU565" s="566"/>
      <c r="AV565" s="566"/>
      <c r="AW565" s="566"/>
      <c r="AX565" s="566"/>
      <c r="AY565" s="566"/>
      <c r="AZ565" s="566"/>
      <c r="BA565" s="566"/>
      <c r="BB565" s="566"/>
      <c r="BC565" s="566"/>
      <c r="BD565" s="566"/>
      <c r="BE565" s="566"/>
      <c r="BF565" s="566"/>
      <c r="BG565" s="566"/>
    </row>
    <row r="566" spans="1:59">
      <c r="A566" s="591"/>
      <c r="B566" s="609"/>
      <c r="C566" s="609"/>
      <c r="D566" s="594">
        <v>1</v>
      </c>
      <c r="E566" s="595" t="s">
        <v>374</v>
      </c>
      <c r="F566" s="593" t="s">
        <v>339</v>
      </c>
      <c r="G566" s="610" t="s">
        <v>691</v>
      </c>
      <c r="H566" s="610" t="s">
        <v>745</v>
      </c>
      <c r="I566" s="610"/>
      <c r="J566" s="610"/>
      <c r="K566" s="610"/>
      <c r="L566" s="611" t="s">
        <v>932</v>
      </c>
      <c r="M566" s="612">
        <f t="shared" si="381"/>
        <v>0</v>
      </c>
      <c r="N566" s="613"/>
      <c r="O566" s="614" t="s">
        <v>1036</v>
      </c>
      <c r="P566" s="615">
        <v>80</v>
      </c>
      <c r="Q566" s="616">
        <f t="shared" si="384"/>
        <v>32</v>
      </c>
      <c r="R566" s="613"/>
      <c r="S566" s="603"/>
      <c r="T566" s="606"/>
      <c r="U566" s="606"/>
      <c r="V566" s="593">
        <f t="shared" si="360"/>
        <v>0</v>
      </c>
      <c r="W566" s="606"/>
      <c r="X566" s="606"/>
      <c r="Y566" s="606"/>
      <c r="Z566" s="606"/>
      <c r="AA566" s="606"/>
      <c r="AB566" s="606"/>
      <c r="AC566" s="607"/>
      <c r="AD566" s="606"/>
      <c r="AE566" s="608"/>
      <c r="AF566" s="639">
        <v>40</v>
      </c>
      <c r="AG566" s="639">
        <f t="shared" si="359"/>
        <v>40</v>
      </c>
      <c r="AH566" s="639">
        <f t="shared" si="382"/>
        <v>0</v>
      </c>
      <c r="AI566" s="640"/>
      <c r="AJ566" s="641">
        <f t="shared" si="383"/>
        <v>0</v>
      </c>
      <c r="AK566" s="642"/>
      <c r="AL566" s="642" t="s">
        <v>364</v>
      </c>
      <c r="AM566" s="643"/>
      <c r="AN566" s="642"/>
      <c r="AO566" s="644">
        <v>1918</v>
      </c>
      <c r="AP566" s="565"/>
      <c r="AQ566" s="566"/>
      <c r="AR566" s="566"/>
      <c r="AS566" s="566"/>
      <c r="AT566" s="566"/>
      <c r="AU566" s="566"/>
      <c r="AV566" s="566"/>
      <c r="AW566" s="566"/>
      <c r="AX566" s="566"/>
      <c r="AY566" s="566"/>
      <c r="AZ566" s="566"/>
      <c r="BA566" s="566"/>
      <c r="BB566" s="566"/>
      <c r="BC566" s="566"/>
      <c r="BD566" s="566"/>
      <c r="BE566" s="566"/>
      <c r="BF566" s="566"/>
      <c r="BG566" s="566"/>
    </row>
    <row r="567" spans="1:59">
      <c r="A567" s="591"/>
      <c r="B567" s="618"/>
      <c r="C567" s="609"/>
      <c r="D567" s="594">
        <v>1</v>
      </c>
      <c r="E567" s="595" t="s">
        <v>374</v>
      </c>
      <c r="F567" s="593" t="s">
        <v>339</v>
      </c>
      <c r="G567" s="610" t="s">
        <v>691</v>
      </c>
      <c r="H567" s="610" t="s">
        <v>745</v>
      </c>
      <c r="I567" s="610"/>
      <c r="J567" s="610"/>
      <c r="K567" s="610"/>
      <c r="L567" s="611" t="s">
        <v>932</v>
      </c>
      <c r="M567" s="612">
        <f t="shared" si="381"/>
        <v>0</v>
      </c>
      <c r="N567" s="613"/>
      <c r="O567" s="614" t="s">
        <v>1039</v>
      </c>
      <c r="P567" s="615">
        <v>20</v>
      </c>
      <c r="Q567" s="616">
        <f t="shared" si="384"/>
        <v>8</v>
      </c>
      <c r="R567" s="613"/>
      <c r="S567" s="603"/>
      <c r="T567" s="606"/>
      <c r="U567" s="606"/>
      <c r="V567" s="593">
        <f t="shared" si="360"/>
        <v>0</v>
      </c>
      <c r="W567" s="606"/>
      <c r="X567" s="606"/>
      <c r="Y567" s="606"/>
      <c r="Z567" s="606"/>
      <c r="AA567" s="606"/>
      <c r="AB567" s="606"/>
      <c r="AC567" s="607"/>
      <c r="AD567" s="606"/>
      <c r="AE567" s="608"/>
      <c r="AF567" s="639">
        <v>40</v>
      </c>
      <c r="AG567" s="639">
        <f t="shared" si="359"/>
        <v>40</v>
      </c>
      <c r="AH567" s="639">
        <f t="shared" si="382"/>
        <v>0</v>
      </c>
      <c r="AI567" s="640"/>
      <c r="AJ567" s="641">
        <f t="shared" si="383"/>
        <v>0</v>
      </c>
      <c r="AK567" s="642"/>
      <c r="AL567" s="642" t="s">
        <v>364</v>
      </c>
      <c r="AM567" s="643"/>
      <c r="AN567" s="642"/>
      <c r="AO567" s="644">
        <v>1919</v>
      </c>
      <c r="AP567" s="565"/>
      <c r="AQ567" s="566"/>
      <c r="AR567" s="566"/>
      <c r="AS567" s="566"/>
      <c r="AT567" s="566"/>
      <c r="AU567" s="566"/>
      <c r="AV567" s="566"/>
      <c r="AW567" s="566"/>
      <c r="AX567" s="566"/>
      <c r="AY567" s="566"/>
      <c r="AZ567" s="566"/>
      <c r="BA567" s="566"/>
      <c r="BB567" s="566"/>
      <c r="BC567" s="566"/>
      <c r="BD567" s="566"/>
      <c r="BE567" s="566"/>
      <c r="BF567" s="566"/>
      <c r="BG567" s="566"/>
    </row>
    <row r="568" spans="1:59">
      <c r="A568" s="591"/>
      <c r="B568" s="592"/>
      <c r="C568" s="593"/>
      <c r="D568" s="594">
        <v>1</v>
      </c>
      <c r="E568" s="595" t="s">
        <v>374</v>
      </c>
      <c r="F568" s="593" t="s">
        <v>339</v>
      </c>
      <c r="G568" s="596" t="s">
        <v>707</v>
      </c>
      <c r="H568" s="596" t="s">
        <v>707</v>
      </c>
      <c r="I568" s="596"/>
      <c r="J568" s="596"/>
      <c r="K568" s="596"/>
      <c r="L568" s="591" t="s">
        <v>936</v>
      </c>
      <c r="M568" s="597" t="str">
        <f t="shared" si="381"/>
        <v>Niet van toepassing</v>
      </c>
      <c r="N568" s="591" t="s">
        <v>343</v>
      </c>
      <c r="O568" s="598"/>
      <c r="P568" s="599"/>
      <c r="Q568" s="600">
        <f t="shared" si="384"/>
        <v>0</v>
      </c>
      <c r="R568" s="601">
        <f t="shared" ref="R568:R577" si="388">AF568</f>
        <v>93</v>
      </c>
      <c r="S568" s="603" t="s">
        <v>28</v>
      </c>
      <c r="T568" s="602"/>
      <c r="U568" s="603"/>
      <c r="V568" s="593">
        <f t="shared" si="360"/>
        <v>0</v>
      </c>
      <c r="W568" s="604">
        <f t="shared" ref="W568:W573" si="389">Z568*R568*U568</f>
        <v>0</v>
      </c>
      <c r="X568" s="604">
        <f t="shared" ref="X568:X573" si="390">AA568*R568</f>
        <v>0</v>
      </c>
      <c r="Y568" s="604">
        <f t="shared" ref="Y568:Y573" si="391">AB568*R568</f>
        <v>0</v>
      </c>
      <c r="Z568" s="605">
        <f t="shared" ref="Z568:Z573" si="392">VLOOKUP(S568,Kengetal,6,FALSE)</f>
        <v>0</v>
      </c>
      <c r="AA568" s="751">
        <f t="shared" ref="AA568:AA573" si="393">VLOOKUP(S568,Kengetal,7,FALSE)</f>
        <v>0</v>
      </c>
      <c r="AB568" s="605">
        <f t="shared" ref="AB568:AB573" si="394">VLOOKUP(T568,Kengetal,6,FALSE)</f>
        <v>0</v>
      </c>
      <c r="AC568" s="607"/>
      <c r="AD568" s="591" t="str">
        <f t="shared" ref="AD568:AD573" si="395">AL568</f>
        <v>Friesland College</v>
      </c>
      <c r="AE568" s="608"/>
      <c r="AF568" s="639">
        <v>93</v>
      </c>
      <c r="AG568" s="639">
        <f t="shared" si="359"/>
        <v>93</v>
      </c>
      <c r="AH568" s="639">
        <f t="shared" si="382"/>
        <v>0</v>
      </c>
      <c r="AI568" s="640"/>
      <c r="AJ568" s="641">
        <f t="shared" si="383"/>
        <v>0</v>
      </c>
      <c r="AK568" s="642"/>
      <c r="AL568" s="642" t="s">
        <v>364</v>
      </c>
      <c r="AM568" s="643"/>
      <c r="AN568" s="642"/>
      <c r="AO568" s="644">
        <v>1920</v>
      </c>
      <c r="AP568" s="565"/>
      <c r="AQ568" s="566"/>
      <c r="AR568" s="566"/>
      <c r="AS568" s="566"/>
      <c r="AT568" s="566"/>
      <c r="AU568" s="566"/>
      <c r="AV568" s="566"/>
      <c r="AW568" s="566"/>
      <c r="AX568" s="566"/>
      <c r="AY568" s="566"/>
      <c r="AZ568" s="566"/>
      <c r="BA568" s="566"/>
      <c r="BB568" s="566"/>
      <c r="BC568" s="566"/>
      <c r="BD568" s="566"/>
      <c r="BE568" s="566"/>
      <c r="BF568" s="566"/>
      <c r="BG568" s="566"/>
    </row>
    <row r="569" spans="1:59">
      <c r="A569" s="591"/>
      <c r="B569" s="592"/>
      <c r="C569" s="593"/>
      <c r="D569" s="594">
        <v>1</v>
      </c>
      <c r="E569" s="595" t="s">
        <v>374</v>
      </c>
      <c r="F569" s="593" t="s">
        <v>339</v>
      </c>
      <c r="G569" s="596" t="s">
        <v>746</v>
      </c>
      <c r="H569" s="596" t="s">
        <v>746</v>
      </c>
      <c r="I569" s="596"/>
      <c r="J569" s="596"/>
      <c r="K569" s="596"/>
      <c r="L569" s="591" t="s">
        <v>763</v>
      </c>
      <c r="M569" s="597" t="str">
        <f t="shared" si="381"/>
        <v>Trappenhuis-bordes</v>
      </c>
      <c r="N569" s="591" t="s">
        <v>943</v>
      </c>
      <c r="O569" s="598"/>
      <c r="P569" s="599"/>
      <c r="Q569" s="600">
        <f t="shared" si="384"/>
        <v>0</v>
      </c>
      <c r="R569" s="601">
        <f t="shared" si="388"/>
        <v>7</v>
      </c>
      <c r="S569" s="647">
        <v>108200</v>
      </c>
      <c r="T569" s="602"/>
      <c r="U569" s="645">
        <v>1</v>
      </c>
      <c r="V569" s="593">
        <f t="shared" si="360"/>
        <v>200</v>
      </c>
      <c r="W569" s="604">
        <f t="shared" si="389"/>
        <v>0</v>
      </c>
      <c r="X569" s="604">
        <f t="shared" si="390"/>
        <v>0</v>
      </c>
      <c r="Y569" s="604">
        <f t="shared" si="391"/>
        <v>0</v>
      </c>
      <c r="Z569" s="605">
        <f t="shared" si="392"/>
        <v>0</v>
      </c>
      <c r="AA569" s="751">
        <f t="shared" si="393"/>
        <v>0</v>
      </c>
      <c r="AB569" s="605">
        <f t="shared" si="394"/>
        <v>0</v>
      </c>
      <c r="AC569" s="607"/>
      <c r="AD569" s="591" t="str">
        <f t="shared" si="395"/>
        <v>Friesland College</v>
      </c>
      <c r="AE569" s="608"/>
      <c r="AF569" s="639">
        <v>7</v>
      </c>
      <c r="AG569" s="639">
        <f t="shared" si="359"/>
        <v>7</v>
      </c>
      <c r="AH569" s="639">
        <f t="shared" si="382"/>
        <v>0</v>
      </c>
      <c r="AI569" s="640"/>
      <c r="AJ569" s="641">
        <f t="shared" si="383"/>
        <v>0</v>
      </c>
      <c r="AK569" s="642"/>
      <c r="AL569" s="642" t="s">
        <v>364</v>
      </c>
      <c r="AM569" s="643"/>
      <c r="AN569" s="642"/>
      <c r="AO569" s="644">
        <v>1921</v>
      </c>
      <c r="AP569" s="565"/>
      <c r="AQ569" s="566"/>
      <c r="AR569" s="566"/>
      <c r="AS569" s="566"/>
      <c r="AT569" s="566"/>
      <c r="AU569" s="566"/>
      <c r="AV569" s="566"/>
      <c r="AW569" s="566"/>
      <c r="AX569" s="566"/>
      <c r="AY569" s="566"/>
      <c r="AZ569" s="566"/>
      <c r="BA569" s="566"/>
      <c r="BB569" s="566"/>
      <c r="BC569" s="566"/>
      <c r="BD569" s="566"/>
      <c r="BE569" s="566"/>
      <c r="BF569" s="566"/>
      <c r="BG569" s="566"/>
    </row>
    <row r="570" spans="1:59">
      <c r="A570" s="591"/>
      <c r="B570" s="592"/>
      <c r="C570" s="593"/>
      <c r="D570" s="594">
        <v>1</v>
      </c>
      <c r="E570" s="595" t="s">
        <v>374</v>
      </c>
      <c r="F570" s="593" t="s">
        <v>339</v>
      </c>
      <c r="G570" s="596" t="s">
        <v>708</v>
      </c>
      <c r="H570" s="596" t="s">
        <v>708</v>
      </c>
      <c r="I570" s="596"/>
      <c r="J570" s="596"/>
      <c r="K570" s="596"/>
      <c r="L570" s="591" t="s">
        <v>937</v>
      </c>
      <c r="M570" s="597" t="str">
        <f t="shared" si="381"/>
        <v>Gang, hal, pantry, aula, repro, gardarobe</v>
      </c>
      <c r="N570" s="591" t="s">
        <v>322</v>
      </c>
      <c r="O570" s="598"/>
      <c r="P570" s="599"/>
      <c r="Q570" s="600">
        <f t="shared" si="384"/>
        <v>0</v>
      </c>
      <c r="R570" s="601">
        <f t="shared" si="388"/>
        <v>13</v>
      </c>
      <c r="S570" s="647">
        <v>104200</v>
      </c>
      <c r="T570" s="602"/>
      <c r="U570" s="645">
        <v>1</v>
      </c>
      <c r="V570" s="593">
        <f t="shared" si="360"/>
        <v>200</v>
      </c>
      <c r="W570" s="604">
        <f t="shared" si="389"/>
        <v>0</v>
      </c>
      <c r="X570" s="604">
        <f t="shared" si="390"/>
        <v>0</v>
      </c>
      <c r="Y570" s="604">
        <f t="shared" si="391"/>
        <v>0</v>
      </c>
      <c r="Z570" s="605">
        <f t="shared" si="392"/>
        <v>0</v>
      </c>
      <c r="AA570" s="751">
        <f t="shared" si="393"/>
        <v>0</v>
      </c>
      <c r="AB570" s="605">
        <f t="shared" si="394"/>
        <v>0</v>
      </c>
      <c r="AC570" s="607"/>
      <c r="AD570" s="591" t="str">
        <f t="shared" si="395"/>
        <v>Friesland College</v>
      </c>
      <c r="AE570" s="608"/>
      <c r="AF570" s="639">
        <v>13</v>
      </c>
      <c r="AG570" s="639">
        <f t="shared" si="359"/>
        <v>13</v>
      </c>
      <c r="AH570" s="639">
        <f t="shared" si="382"/>
        <v>0</v>
      </c>
      <c r="AI570" s="640"/>
      <c r="AJ570" s="641">
        <f t="shared" si="383"/>
        <v>0</v>
      </c>
      <c r="AK570" s="642"/>
      <c r="AL570" s="642" t="s">
        <v>364</v>
      </c>
      <c r="AM570" s="643"/>
      <c r="AN570" s="642"/>
      <c r="AO570" s="644">
        <v>1922</v>
      </c>
      <c r="AP570" s="565"/>
      <c r="AQ570" s="566"/>
      <c r="AR570" s="566"/>
      <c r="AS570" s="566"/>
      <c r="AT570" s="566"/>
      <c r="AU570" s="566"/>
      <c r="AV570" s="566"/>
      <c r="AW570" s="566"/>
      <c r="AX570" s="566"/>
      <c r="AY570" s="566"/>
      <c r="AZ570" s="566"/>
      <c r="BA570" s="566"/>
      <c r="BB570" s="566"/>
      <c r="BC570" s="566"/>
      <c r="BD570" s="566"/>
      <c r="BE570" s="566"/>
      <c r="BF570" s="566"/>
      <c r="BG570" s="566"/>
    </row>
    <row r="571" spans="1:59">
      <c r="A571" s="591"/>
      <c r="B571" s="592"/>
      <c r="C571" s="593"/>
      <c r="D571" s="594">
        <v>1</v>
      </c>
      <c r="E571" s="595" t="s">
        <v>374</v>
      </c>
      <c r="F571" s="593" t="s">
        <v>339</v>
      </c>
      <c r="G571" s="596" t="s">
        <v>709</v>
      </c>
      <c r="H571" s="596" t="s">
        <v>709</v>
      </c>
      <c r="I571" s="596"/>
      <c r="J571" s="596"/>
      <c r="K571" s="596"/>
      <c r="L571" s="591" t="s">
        <v>876</v>
      </c>
      <c r="M571" s="597" t="str">
        <f t="shared" si="381"/>
        <v>Niet van toepassing</v>
      </c>
      <c r="N571" s="591" t="s">
        <v>323</v>
      </c>
      <c r="O571" s="598"/>
      <c r="P571" s="599"/>
      <c r="Q571" s="600">
        <f t="shared" si="384"/>
        <v>0</v>
      </c>
      <c r="R571" s="601">
        <f t="shared" si="388"/>
        <v>4</v>
      </c>
      <c r="S571" s="603" t="s">
        <v>28</v>
      </c>
      <c r="T571" s="602"/>
      <c r="U571" s="603"/>
      <c r="V571" s="593">
        <f t="shared" si="360"/>
        <v>0</v>
      </c>
      <c r="W571" s="604">
        <f t="shared" si="389"/>
        <v>0</v>
      </c>
      <c r="X571" s="604">
        <f t="shared" si="390"/>
        <v>0</v>
      </c>
      <c r="Y571" s="604">
        <f t="shared" si="391"/>
        <v>0</v>
      </c>
      <c r="Z571" s="605">
        <f t="shared" si="392"/>
        <v>0</v>
      </c>
      <c r="AA571" s="751">
        <f t="shared" si="393"/>
        <v>0</v>
      </c>
      <c r="AB571" s="605">
        <f t="shared" si="394"/>
        <v>0</v>
      </c>
      <c r="AC571" s="607"/>
      <c r="AD571" s="591" t="str">
        <f t="shared" si="395"/>
        <v>Friesland College</v>
      </c>
      <c r="AE571" s="608"/>
      <c r="AF571" s="639">
        <v>4</v>
      </c>
      <c r="AG571" s="639">
        <f t="shared" si="359"/>
        <v>4</v>
      </c>
      <c r="AH571" s="639">
        <f t="shared" si="382"/>
        <v>0</v>
      </c>
      <c r="AI571" s="640"/>
      <c r="AJ571" s="641">
        <f t="shared" si="383"/>
        <v>0</v>
      </c>
      <c r="AK571" s="642"/>
      <c r="AL571" s="642" t="s">
        <v>364</v>
      </c>
      <c r="AM571" s="643"/>
      <c r="AN571" s="642"/>
      <c r="AO571" s="644">
        <v>1923</v>
      </c>
      <c r="AP571" s="565"/>
      <c r="AQ571" s="566"/>
      <c r="AR571" s="566"/>
      <c r="AS571" s="566"/>
      <c r="AT571" s="566"/>
      <c r="AU571" s="566"/>
      <c r="AV571" s="566"/>
      <c r="AW571" s="566"/>
      <c r="AX571" s="566"/>
      <c r="AY571" s="566"/>
      <c r="AZ571" s="566"/>
      <c r="BA571" s="566"/>
      <c r="BB571" s="566"/>
      <c r="BC571" s="566"/>
      <c r="BD571" s="566"/>
      <c r="BE571" s="566"/>
      <c r="BF571" s="566"/>
      <c r="BG571" s="566"/>
    </row>
    <row r="572" spans="1:59">
      <c r="A572" s="591"/>
      <c r="B572" s="592"/>
      <c r="C572" s="593"/>
      <c r="D572" s="594">
        <v>1</v>
      </c>
      <c r="E572" s="595" t="s">
        <v>374</v>
      </c>
      <c r="F572" s="593" t="s">
        <v>339</v>
      </c>
      <c r="G572" s="596" t="s">
        <v>710</v>
      </c>
      <c r="H572" s="596" t="s">
        <v>710</v>
      </c>
      <c r="I572" s="596"/>
      <c r="J572" s="596"/>
      <c r="K572" s="596"/>
      <c r="L572" s="591" t="s">
        <v>319</v>
      </c>
      <c r="M572" s="597" t="str">
        <f t="shared" si="381"/>
        <v>Gang, hal, pantry, aula, repro, gardarobe</v>
      </c>
      <c r="N572" s="591" t="s">
        <v>322</v>
      </c>
      <c r="O572" s="598"/>
      <c r="P572" s="599"/>
      <c r="Q572" s="600">
        <f t="shared" si="384"/>
        <v>0</v>
      </c>
      <c r="R572" s="601">
        <f t="shared" si="388"/>
        <v>20</v>
      </c>
      <c r="S572" s="647">
        <v>104200</v>
      </c>
      <c r="T572" s="602"/>
      <c r="U572" s="645">
        <v>1</v>
      </c>
      <c r="V572" s="593">
        <f t="shared" si="360"/>
        <v>200</v>
      </c>
      <c r="W572" s="604">
        <f t="shared" si="389"/>
        <v>0</v>
      </c>
      <c r="X572" s="604">
        <f t="shared" si="390"/>
        <v>0</v>
      </c>
      <c r="Y572" s="604">
        <f t="shared" si="391"/>
        <v>0</v>
      </c>
      <c r="Z572" s="605">
        <f t="shared" si="392"/>
        <v>0</v>
      </c>
      <c r="AA572" s="751">
        <f t="shared" si="393"/>
        <v>0</v>
      </c>
      <c r="AB572" s="605">
        <f t="shared" si="394"/>
        <v>0</v>
      </c>
      <c r="AC572" s="607"/>
      <c r="AD572" s="591" t="str">
        <f t="shared" si="395"/>
        <v>Friesland College</v>
      </c>
      <c r="AE572" s="608"/>
      <c r="AF572" s="639">
        <v>20</v>
      </c>
      <c r="AG572" s="639">
        <f t="shared" si="359"/>
        <v>20</v>
      </c>
      <c r="AH572" s="639">
        <f t="shared" si="382"/>
        <v>0</v>
      </c>
      <c r="AI572" s="640"/>
      <c r="AJ572" s="641">
        <f t="shared" si="383"/>
        <v>0</v>
      </c>
      <c r="AK572" s="642"/>
      <c r="AL572" s="642" t="s">
        <v>364</v>
      </c>
      <c r="AM572" s="643"/>
      <c r="AN572" s="642"/>
      <c r="AO572" s="644">
        <v>1924</v>
      </c>
      <c r="AP572" s="565"/>
      <c r="AQ572" s="566"/>
      <c r="AR572" s="566"/>
      <c r="AS572" s="566"/>
      <c r="AT572" s="566"/>
      <c r="AU572" s="566"/>
      <c r="AV572" s="566"/>
      <c r="AW572" s="566"/>
      <c r="AX572" s="566"/>
      <c r="AY572" s="566"/>
      <c r="AZ572" s="566"/>
      <c r="BA572" s="566"/>
      <c r="BB572" s="566"/>
      <c r="BC572" s="566"/>
      <c r="BD572" s="566"/>
      <c r="BE572" s="566"/>
      <c r="BF572" s="566"/>
      <c r="BG572" s="566"/>
    </row>
    <row r="573" spans="1:59">
      <c r="A573" s="591"/>
      <c r="B573" s="592"/>
      <c r="C573" s="593"/>
      <c r="D573" s="594">
        <v>1</v>
      </c>
      <c r="E573" s="595" t="s">
        <v>374</v>
      </c>
      <c r="F573" s="593" t="s">
        <v>339</v>
      </c>
      <c r="G573" s="596" t="s">
        <v>711</v>
      </c>
      <c r="H573" s="596" t="s">
        <v>747</v>
      </c>
      <c r="I573" s="596"/>
      <c r="J573" s="596"/>
      <c r="K573" s="596"/>
      <c r="L573" s="591" t="s">
        <v>340</v>
      </c>
      <c r="M573" s="597" t="str">
        <f t="shared" si="381"/>
        <v>Onderwijsruimte (theorie)</v>
      </c>
      <c r="N573" s="591" t="s">
        <v>322</v>
      </c>
      <c r="O573" s="598"/>
      <c r="P573" s="599"/>
      <c r="Q573" s="600">
        <f t="shared" si="384"/>
        <v>0</v>
      </c>
      <c r="R573" s="601">
        <f t="shared" si="388"/>
        <v>63</v>
      </c>
      <c r="S573" s="647">
        <v>102200</v>
      </c>
      <c r="T573" s="602"/>
      <c r="U573" s="645">
        <v>1</v>
      </c>
      <c r="V573" s="593">
        <f t="shared" si="360"/>
        <v>200</v>
      </c>
      <c r="W573" s="604">
        <f t="shared" si="389"/>
        <v>0</v>
      </c>
      <c r="X573" s="604">
        <f t="shared" si="390"/>
        <v>0</v>
      </c>
      <c r="Y573" s="604">
        <f t="shared" si="391"/>
        <v>0</v>
      </c>
      <c r="Z573" s="605">
        <f t="shared" si="392"/>
        <v>0</v>
      </c>
      <c r="AA573" s="751">
        <f t="shared" si="393"/>
        <v>0</v>
      </c>
      <c r="AB573" s="605">
        <f t="shared" si="394"/>
        <v>0</v>
      </c>
      <c r="AC573" s="607"/>
      <c r="AD573" s="591" t="str">
        <f t="shared" si="395"/>
        <v>Friesland College</v>
      </c>
      <c r="AE573" s="608"/>
      <c r="AF573" s="639">
        <v>63</v>
      </c>
      <c r="AG573" s="639">
        <f t="shared" si="359"/>
        <v>63</v>
      </c>
      <c r="AH573" s="639">
        <f t="shared" si="382"/>
        <v>0</v>
      </c>
      <c r="AI573" s="640"/>
      <c r="AJ573" s="641">
        <f t="shared" si="383"/>
        <v>0</v>
      </c>
      <c r="AK573" s="642"/>
      <c r="AL573" s="642" t="s">
        <v>364</v>
      </c>
      <c r="AM573" s="643"/>
      <c r="AN573" s="642"/>
      <c r="AO573" s="644">
        <v>1925</v>
      </c>
      <c r="AP573" s="565"/>
      <c r="AQ573" s="566"/>
      <c r="AR573" s="566"/>
      <c r="AS573" s="566"/>
      <c r="AT573" s="566"/>
      <c r="AU573" s="566"/>
      <c r="AV573" s="566"/>
      <c r="AW573" s="566"/>
      <c r="AX573" s="566"/>
      <c r="AY573" s="566"/>
      <c r="AZ573" s="566"/>
      <c r="BA573" s="566"/>
      <c r="BB573" s="566"/>
      <c r="BC573" s="566"/>
      <c r="BD573" s="566"/>
      <c r="BE573" s="566"/>
      <c r="BF573" s="566"/>
      <c r="BG573" s="566"/>
    </row>
    <row r="574" spans="1:59">
      <c r="A574" s="591"/>
      <c r="B574" s="618"/>
      <c r="C574" s="609"/>
      <c r="D574" s="594">
        <v>1</v>
      </c>
      <c r="E574" s="595" t="s">
        <v>374</v>
      </c>
      <c r="F574" s="593" t="s">
        <v>339</v>
      </c>
      <c r="G574" s="610" t="s">
        <v>711</v>
      </c>
      <c r="H574" s="610" t="s">
        <v>747</v>
      </c>
      <c r="I574" s="610"/>
      <c r="J574" s="610"/>
      <c r="K574" s="610"/>
      <c r="L574" s="611" t="s">
        <v>340</v>
      </c>
      <c r="M574" s="612">
        <f t="shared" ref="M574:M585" si="396">VLOOKUP(S574,Kengetal,4,FALSE)</f>
        <v>0</v>
      </c>
      <c r="N574" s="613"/>
      <c r="O574" s="614" t="s">
        <v>1039</v>
      </c>
      <c r="P574" s="615">
        <v>100</v>
      </c>
      <c r="Q574" s="616">
        <f t="shared" si="384"/>
        <v>63</v>
      </c>
      <c r="R574" s="613"/>
      <c r="S574" s="603"/>
      <c r="T574" s="606"/>
      <c r="U574" s="606"/>
      <c r="V574" s="593">
        <f t="shared" si="360"/>
        <v>0</v>
      </c>
      <c r="W574" s="606"/>
      <c r="X574" s="606"/>
      <c r="Y574" s="606"/>
      <c r="Z574" s="606"/>
      <c r="AA574" s="606"/>
      <c r="AB574" s="606"/>
      <c r="AC574" s="607"/>
      <c r="AD574" s="606"/>
      <c r="AE574" s="608"/>
      <c r="AF574" s="639">
        <v>63</v>
      </c>
      <c r="AG574" s="639">
        <f t="shared" si="359"/>
        <v>63</v>
      </c>
      <c r="AH574" s="639">
        <f t="shared" si="382"/>
        <v>0</v>
      </c>
      <c r="AI574" s="640"/>
      <c r="AJ574" s="641">
        <f t="shared" si="383"/>
        <v>0</v>
      </c>
      <c r="AK574" s="642"/>
      <c r="AL574" s="642" t="s">
        <v>364</v>
      </c>
      <c r="AM574" s="643"/>
      <c r="AN574" s="642"/>
      <c r="AO574" s="644">
        <v>1926</v>
      </c>
      <c r="AP574" s="565"/>
      <c r="AQ574" s="566"/>
      <c r="AR574" s="566"/>
      <c r="AS574" s="566"/>
      <c r="AT574" s="566"/>
      <c r="AU574" s="566"/>
      <c r="AV574" s="566"/>
      <c r="AW574" s="566"/>
      <c r="AX574" s="566"/>
      <c r="AY574" s="566"/>
      <c r="AZ574" s="566"/>
      <c r="BA574" s="566"/>
      <c r="BB574" s="566"/>
      <c r="BC574" s="566"/>
      <c r="BD574" s="566"/>
      <c r="BE574" s="566"/>
      <c r="BF574" s="566"/>
      <c r="BG574" s="566"/>
    </row>
    <row r="575" spans="1:59">
      <c r="A575" s="591"/>
      <c r="B575" s="592"/>
      <c r="C575" s="593"/>
      <c r="D575" s="594">
        <v>1</v>
      </c>
      <c r="E575" s="595" t="s">
        <v>374</v>
      </c>
      <c r="F575" s="593" t="s">
        <v>339</v>
      </c>
      <c r="G575" s="596" t="s">
        <v>748</v>
      </c>
      <c r="H575" s="596" t="s">
        <v>749</v>
      </c>
      <c r="I575" s="596"/>
      <c r="J575" s="596"/>
      <c r="K575" s="596"/>
      <c r="L575" s="591" t="s">
        <v>340</v>
      </c>
      <c r="M575" s="597" t="str">
        <f t="shared" si="396"/>
        <v>Onderwijsruimte (theorie)</v>
      </c>
      <c r="N575" s="591" t="s">
        <v>322</v>
      </c>
      <c r="O575" s="598"/>
      <c r="P575" s="599"/>
      <c r="Q575" s="600">
        <f t="shared" si="384"/>
        <v>0</v>
      </c>
      <c r="R575" s="601">
        <f t="shared" si="388"/>
        <v>42</v>
      </c>
      <c r="S575" s="647">
        <v>102200</v>
      </c>
      <c r="T575" s="602"/>
      <c r="U575" s="645">
        <v>1</v>
      </c>
      <c r="V575" s="593">
        <f t="shared" si="360"/>
        <v>200</v>
      </c>
      <c r="W575" s="604">
        <f>Z575*R575*U575</f>
        <v>0</v>
      </c>
      <c r="X575" s="604">
        <f>AA575*R575</f>
        <v>0</v>
      </c>
      <c r="Y575" s="604">
        <f>AB575*R575</f>
        <v>0</v>
      </c>
      <c r="Z575" s="605">
        <f>VLOOKUP(S575,Kengetal,6,FALSE)</f>
        <v>0</v>
      </c>
      <c r="AA575" s="751">
        <f>VLOOKUP(S575,Kengetal,7,FALSE)</f>
        <v>0</v>
      </c>
      <c r="AB575" s="605">
        <f>VLOOKUP(T575,Kengetal,6,FALSE)</f>
        <v>0</v>
      </c>
      <c r="AC575" s="607"/>
      <c r="AD575" s="591" t="str">
        <f>AL575</f>
        <v>Friesland College</v>
      </c>
      <c r="AE575" s="608"/>
      <c r="AF575" s="639">
        <v>42</v>
      </c>
      <c r="AG575" s="639">
        <f t="shared" si="359"/>
        <v>42</v>
      </c>
      <c r="AH575" s="639">
        <f t="shared" si="382"/>
        <v>0</v>
      </c>
      <c r="AI575" s="640"/>
      <c r="AJ575" s="641">
        <f t="shared" si="383"/>
        <v>0</v>
      </c>
      <c r="AK575" s="642"/>
      <c r="AL575" s="642" t="s">
        <v>364</v>
      </c>
      <c r="AM575" s="643"/>
      <c r="AN575" s="642"/>
      <c r="AO575" s="644">
        <v>1927</v>
      </c>
      <c r="AP575" s="565"/>
      <c r="AQ575" s="566"/>
      <c r="AR575" s="566"/>
      <c r="AS575" s="566"/>
      <c r="AT575" s="566"/>
      <c r="AU575" s="566"/>
      <c r="AV575" s="566"/>
      <c r="AW575" s="566"/>
      <c r="AX575" s="566"/>
      <c r="AY575" s="566"/>
      <c r="AZ575" s="566"/>
      <c r="BA575" s="566"/>
      <c r="BB575" s="566"/>
      <c r="BC575" s="566"/>
      <c r="BD575" s="566"/>
      <c r="BE575" s="566"/>
      <c r="BF575" s="566"/>
      <c r="BG575" s="566"/>
    </row>
    <row r="576" spans="1:59">
      <c r="A576" s="591"/>
      <c r="B576" s="618"/>
      <c r="C576" s="609"/>
      <c r="D576" s="594">
        <v>1</v>
      </c>
      <c r="E576" s="595" t="s">
        <v>374</v>
      </c>
      <c r="F576" s="593" t="s">
        <v>339</v>
      </c>
      <c r="G576" s="610" t="s">
        <v>748</v>
      </c>
      <c r="H576" s="610" t="s">
        <v>749</v>
      </c>
      <c r="I576" s="610"/>
      <c r="J576" s="610"/>
      <c r="K576" s="610"/>
      <c r="L576" s="611" t="s">
        <v>340</v>
      </c>
      <c r="M576" s="612">
        <f t="shared" si="396"/>
        <v>0</v>
      </c>
      <c r="N576" s="613"/>
      <c r="O576" s="614" t="s">
        <v>1039</v>
      </c>
      <c r="P576" s="615">
        <v>100</v>
      </c>
      <c r="Q576" s="616">
        <f t="shared" si="384"/>
        <v>42</v>
      </c>
      <c r="R576" s="613"/>
      <c r="S576" s="603"/>
      <c r="T576" s="606"/>
      <c r="U576" s="606"/>
      <c r="V576" s="593">
        <f t="shared" si="360"/>
        <v>0</v>
      </c>
      <c r="W576" s="606"/>
      <c r="X576" s="606"/>
      <c r="Y576" s="606"/>
      <c r="Z576" s="606"/>
      <c r="AA576" s="606"/>
      <c r="AB576" s="606"/>
      <c r="AC576" s="607"/>
      <c r="AD576" s="606"/>
      <c r="AE576" s="608"/>
      <c r="AF576" s="639">
        <v>42</v>
      </c>
      <c r="AG576" s="639">
        <f t="shared" si="359"/>
        <v>42</v>
      </c>
      <c r="AH576" s="639">
        <f t="shared" si="382"/>
        <v>0</v>
      </c>
      <c r="AI576" s="640"/>
      <c r="AJ576" s="641">
        <f t="shared" si="383"/>
        <v>0</v>
      </c>
      <c r="AK576" s="642"/>
      <c r="AL576" s="642" t="s">
        <v>364</v>
      </c>
      <c r="AM576" s="643"/>
      <c r="AN576" s="642"/>
      <c r="AO576" s="644">
        <v>1928</v>
      </c>
      <c r="AP576" s="565"/>
      <c r="AQ576" s="566"/>
      <c r="AR576" s="566"/>
      <c r="AS576" s="566"/>
      <c r="AT576" s="566"/>
      <c r="AU576" s="566"/>
      <c r="AV576" s="566"/>
      <c r="AW576" s="566"/>
      <c r="AX576" s="566"/>
      <c r="AY576" s="566"/>
      <c r="AZ576" s="566"/>
      <c r="BA576" s="566"/>
      <c r="BB576" s="566"/>
      <c r="BC576" s="566"/>
      <c r="BD576" s="566"/>
      <c r="BE576" s="566"/>
      <c r="BF576" s="566"/>
      <c r="BG576" s="566"/>
    </row>
    <row r="577" spans="1:59">
      <c r="A577" s="591"/>
      <c r="B577" s="592"/>
      <c r="C577" s="593"/>
      <c r="D577" s="594">
        <v>1</v>
      </c>
      <c r="E577" s="595" t="s">
        <v>374</v>
      </c>
      <c r="F577" s="593" t="s">
        <v>339</v>
      </c>
      <c r="G577" s="596" t="s">
        <v>712</v>
      </c>
      <c r="H577" s="596" t="s">
        <v>750</v>
      </c>
      <c r="I577" s="596"/>
      <c r="J577" s="596"/>
      <c r="K577" s="596"/>
      <c r="L577" s="591" t="s">
        <v>340</v>
      </c>
      <c r="M577" s="597" t="str">
        <f t="shared" si="396"/>
        <v>Onderwijsruimte (theorie)</v>
      </c>
      <c r="N577" s="591" t="s">
        <v>322</v>
      </c>
      <c r="O577" s="598"/>
      <c r="P577" s="599"/>
      <c r="Q577" s="600">
        <f t="shared" si="384"/>
        <v>0</v>
      </c>
      <c r="R577" s="601">
        <f t="shared" si="388"/>
        <v>69</v>
      </c>
      <c r="S577" s="647">
        <v>102200</v>
      </c>
      <c r="T577" s="602"/>
      <c r="U577" s="645">
        <v>1</v>
      </c>
      <c r="V577" s="593">
        <f t="shared" si="360"/>
        <v>200</v>
      </c>
      <c r="W577" s="604">
        <f>Z577*R577*U577</f>
        <v>0</v>
      </c>
      <c r="X577" s="604">
        <f>AA577*R577</f>
        <v>0</v>
      </c>
      <c r="Y577" s="604">
        <f>AB577*R577</f>
        <v>0</v>
      </c>
      <c r="Z577" s="605">
        <f>VLOOKUP(S577,Kengetal,6,FALSE)</f>
        <v>0</v>
      </c>
      <c r="AA577" s="751">
        <f>VLOOKUP(S577,Kengetal,7,FALSE)</f>
        <v>0</v>
      </c>
      <c r="AB577" s="605">
        <f>VLOOKUP(T577,Kengetal,6,FALSE)</f>
        <v>0</v>
      </c>
      <c r="AC577" s="607"/>
      <c r="AD577" s="591" t="str">
        <f>AL577</f>
        <v>Friesland College</v>
      </c>
      <c r="AE577" s="608"/>
      <c r="AF577" s="639">
        <v>69</v>
      </c>
      <c r="AG577" s="639">
        <f t="shared" si="359"/>
        <v>69</v>
      </c>
      <c r="AH577" s="639">
        <f t="shared" si="382"/>
        <v>0</v>
      </c>
      <c r="AI577" s="640"/>
      <c r="AJ577" s="641">
        <f t="shared" si="383"/>
        <v>0</v>
      </c>
      <c r="AK577" s="642"/>
      <c r="AL577" s="642" t="s">
        <v>364</v>
      </c>
      <c r="AM577" s="643"/>
      <c r="AN577" s="642"/>
      <c r="AO577" s="644">
        <v>1929</v>
      </c>
      <c r="AP577" s="565"/>
      <c r="AQ577" s="566"/>
      <c r="AR577" s="566"/>
      <c r="AS577" s="566"/>
      <c r="AT577" s="566"/>
      <c r="AU577" s="566"/>
      <c r="AV577" s="566"/>
      <c r="AW577" s="566"/>
      <c r="AX577" s="566"/>
      <c r="AY577" s="566"/>
      <c r="AZ577" s="566"/>
      <c r="BA577" s="566"/>
      <c r="BB577" s="566"/>
      <c r="BC577" s="566"/>
      <c r="BD577" s="566"/>
      <c r="BE577" s="566"/>
      <c r="BF577" s="566"/>
      <c r="BG577" s="566"/>
    </row>
    <row r="578" spans="1:59">
      <c r="A578" s="591"/>
      <c r="B578" s="618"/>
      <c r="C578" s="609"/>
      <c r="D578" s="594">
        <v>1</v>
      </c>
      <c r="E578" s="595" t="s">
        <v>374</v>
      </c>
      <c r="F578" s="593" t="s">
        <v>339</v>
      </c>
      <c r="G578" s="610" t="s">
        <v>712</v>
      </c>
      <c r="H578" s="610" t="s">
        <v>750</v>
      </c>
      <c r="I578" s="610"/>
      <c r="J578" s="610"/>
      <c r="K578" s="610"/>
      <c r="L578" s="611" t="s">
        <v>340</v>
      </c>
      <c r="M578" s="612">
        <f t="shared" si="396"/>
        <v>0</v>
      </c>
      <c r="N578" s="613"/>
      <c r="O578" s="614" t="s">
        <v>1039</v>
      </c>
      <c r="P578" s="615">
        <v>100</v>
      </c>
      <c r="Q578" s="616">
        <f t="shared" si="384"/>
        <v>69</v>
      </c>
      <c r="R578" s="613"/>
      <c r="S578" s="603"/>
      <c r="T578" s="606"/>
      <c r="U578" s="606"/>
      <c r="V578" s="593">
        <f t="shared" si="360"/>
        <v>0</v>
      </c>
      <c r="W578" s="606"/>
      <c r="X578" s="606"/>
      <c r="Y578" s="606"/>
      <c r="Z578" s="606"/>
      <c r="AA578" s="606"/>
      <c r="AB578" s="606"/>
      <c r="AC578" s="607"/>
      <c r="AD578" s="606"/>
      <c r="AE578" s="608"/>
      <c r="AF578" s="639">
        <v>69</v>
      </c>
      <c r="AG578" s="639">
        <f t="shared" si="359"/>
        <v>69</v>
      </c>
      <c r="AH578" s="639">
        <f t="shared" si="382"/>
        <v>0</v>
      </c>
      <c r="AI578" s="640"/>
      <c r="AJ578" s="641">
        <f t="shared" si="383"/>
        <v>0</v>
      </c>
      <c r="AK578" s="642"/>
      <c r="AL578" s="642" t="s">
        <v>364</v>
      </c>
      <c r="AM578" s="643"/>
      <c r="AN578" s="642"/>
      <c r="AO578" s="644">
        <v>1930</v>
      </c>
      <c r="AP578" s="565"/>
      <c r="AQ578" s="566"/>
      <c r="AR578" s="566"/>
      <c r="AS578" s="566"/>
      <c r="AT578" s="566"/>
      <c r="AU578" s="566"/>
      <c r="AV578" s="566"/>
      <c r="AW578" s="566"/>
      <c r="AX578" s="566"/>
      <c r="AY578" s="566"/>
      <c r="AZ578" s="566"/>
      <c r="BA578" s="566"/>
      <c r="BB578" s="566"/>
      <c r="BC578" s="566"/>
      <c r="BD578" s="566"/>
      <c r="BE578" s="566"/>
      <c r="BF578" s="566"/>
      <c r="BG578" s="566"/>
    </row>
    <row r="579" spans="1:59">
      <c r="A579" s="591"/>
      <c r="B579" s="592"/>
      <c r="C579" s="593"/>
      <c r="D579" s="594">
        <v>1</v>
      </c>
      <c r="E579" s="595" t="s">
        <v>374</v>
      </c>
      <c r="F579" s="593" t="s">
        <v>339</v>
      </c>
      <c r="G579" s="596" t="s">
        <v>751</v>
      </c>
      <c r="H579" s="596" t="s">
        <v>751</v>
      </c>
      <c r="I579" s="596"/>
      <c r="J579" s="596"/>
      <c r="K579" s="596"/>
      <c r="L579" s="591" t="s">
        <v>763</v>
      </c>
      <c r="M579" s="597" t="str">
        <f t="shared" si="396"/>
        <v>Trappenhuis-bordes</v>
      </c>
      <c r="N579" s="591" t="s">
        <v>323</v>
      </c>
      <c r="O579" s="621"/>
      <c r="P579" s="622"/>
      <c r="Q579" s="600">
        <f t="shared" si="384"/>
        <v>0</v>
      </c>
      <c r="R579" s="601">
        <f t="shared" ref="R579:R582" si="397">AF579</f>
        <v>16</v>
      </c>
      <c r="S579" s="647">
        <v>108200</v>
      </c>
      <c r="T579" s="602"/>
      <c r="U579" s="645">
        <v>1</v>
      </c>
      <c r="V579" s="593">
        <f t="shared" si="360"/>
        <v>200</v>
      </c>
      <c r="W579" s="604">
        <f t="shared" ref="W579:W585" si="398">Z579*R579*U579</f>
        <v>0</v>
      </c>
      <c r="X579" s="604">
        <f t="shared" ref="X579:X585" si="399">AA579*R579</f>
        <v>0</v>
      </c>
      <c r="Y579" s="604">
        <f t="shared" ref="Y579:Y585" si="400">AB579*R579</f>
        <v>0</v>
      </c>
      <c r="Z579" s="605">
        <f t="shared" ref="Z579:Z585" si="401">VLOOKUP(S579,Kengetal,6,FALSE)</f>
        <v>0</v>
      </c>
      <c r="AA579" s="751">
        <f t="shared" ref="AA579:AA585" si="402">VLOOKUP(S579,Kengetal,7,FALSE)</f>
        <v>0</v>
      </c>
      <c r="AB579" s="605">
        <f t="shared" ref="AB579:AB585" si="403">VLOOKUP(T579,Kengetal,6,FALSE)</f>
        <v>0</v>
      </c>
      <c r="AC579" s="607"/>
      <c r="AD579" s="591" t="str">
        <f t="shared" ref="AD579:AD582" si="404">AL579</f>
        <v>Friesland College</v>
      </c>
      <c r="AE579" s="608"/>
      <c r="AF579" s="639">
        <v>16</v>
      </c>
      <c r="AG579" s="639">
        <f t="shared" si="359"/>
        <v>16</v>
      </c>
      <c r="AH579" s="639">
        <f t="shared" si="382"/>
        <v>0</v>
      </c>
      <c r="AI579" s="640"/>
      <c r="AJ579" s="641">
        <f t="shared" si="383"/>
        <v>0</v>
      </c>
      <c r="AK579" s="642"/>
      <c r="AL579" s="642" t="s">
        <v>364</v>
      </c>
      <c r="AM579" s="643"/>
      <c r="AN579" s="642"/>
      <c r="AO579" s="644">
        <v>1931</v>
      </c>
      <c r="AP579" s="565"/>
      <c r="AQ579" s="566"/>
      <c r="AR579" s="566"/>
      <c r="AS579" s="566"/>
      <c r="AT579" s="566"/>
      <c r="AU579" s="566"/>
      <c r="AV579" s="566"/>
      <c r="AW579" s="566"/>
      <c r="AX579" s="566"/>
      <c r="AY579" s="566"/>
      <c r="AZ579" s="566"/>
      <c r="BA579" s="566"/>
      <c r="BB579" s="566"/>
      <c r="BC579" s="566"/>
      <c r="BD579" s="566"/>
      <c r="BE579" s="566"/>
      <c r="BF579" s="566"/>
      <c r="BG579" s="566"/>
    </row>
    <row r="580" spans="1:59">
      <c r="A580" s="591"/>
      <c r="B580" s="592"/>
      <c r="C580" s="593"/>
      <c r="D580" s="594">
        <v>1</v>
      </c>
      <c r="E580" s="595" t="s">
        <v>374</v>
      </c>
      <c r="F580" s="593" t="s">
        <v>339</v>
      </c>
      <c r="G580" s="596" t="s">
        <v>752</v>
      </c>
      <c r="H580" s="596" t="s">
        <v>752</v>
      </c>
      <c r="I580" s="596"/>
      <c r="J580" s="596"/>
      <c r="K580" s="596"/>
      <c r="L580" s="591" t="s">
        <v>763</v>
      </c>
      <c r="M580" s="597" t="str">
        <f t="shared" si="396"/>
        <v>Trappenhuis-bordes</v>
      </c>
      <c r="N580" s="591" t="s">
        <v>323</v>
      </c>
      <c r="O580" s="621"/>
      <c r="P580" s="622"/>
      <c r="Q580" s="600">
        <f t="shared" si="384"/>
        <v>0</v>
      </c>
      <c r="R580" s="601">
        <f t="shared" si="397"/>
        <v>12</v>
      </c>
      <c r="S580" s="647">
        <v>108200</v>
      </c>
      <c r="T580" s="602"/>
      <c r="U580" s="645">
        <v>1</v>
      </c>
      <c r="V580" s="593">
        <f t="shared" si="360"/>
        <v>200</v>
      </c>
      <c r="W580" s="604">
        <f t="shared" si="398"/>
        <v>0</v>
      </c>
      <c r="X580" s="604">
        <f t="shared" si="399"/>
        <v>0</v>
      </c>
      <c r="Y580" s="604">
        <f t="shared" si="400"/>
        <v>0</v>
      </c>
      <c r="Z580" s="605">
        <f t="shared" si="401"/>
        <v>0</v>
      </c>
      <c r="AA580" s="751">
        <f t="shared" si="402"/>
        <v>0</v>
      </c>
      <c r="AB580" s="605">
        <f t="shared" si="403"/>
        <v>0</v>
      </c>
      <c r="AC580" s="607"/>
      <c r="AD580" s="591" t="str">
        <f t="shared" si="404"/>
        <v>Friesland College</v>
      </c>
      <c r="AE580" s="608"/>
      <c r="AF580" s="639">
        <v>12</v>
      </c>
      <c r="AG580" s="639">
        <f t="shared" si="359"/>
        <v>12</v>
      </c>
      <c r="AH580" s="639">
        <f t="shared" si="382"/>
        <v>0</v>
      </c>
      <c r="AI580" s="640"/>
      <c r="AJ580" s="641">
        <f t="shared" si="383"/>
        <v>0</v>
      </c>
      <c r="AK580" s="642"/>
      <c r="AL580" s="642" t="s">
        <v>364</v>
      </c>
      <c r="AM580" s="643"/>
      <c r="AN580" s="642"/>
      <c r="AO580" s="644">
        <v>1932</v>
      </c>
      <c r="AP580" s="565"/>
      <c r="AQ580" s="566"/>
      <c r="AR580" s="566"/>
      <c r="AS580" s="566"/>
      <c r="AT580" s="566"/>
      <c r="AU580" s="566"/>
      <c r="AV580" s="566"/>
      <c r="AW580" s="566"/>
      <c r="AX580" s="566"/>
      <c r="AY580" s="566"/>
      <c r="AZ580" s="566"/>
      <c r="BA580" s="566"/>
      <c r="BB580" s="566"/>
      <c r="BC580" s="566"/>
      <c r="BD580" s="566"/>
      <c r="BE580" s="566"/>
      <c r="BF580" s="566"/>
      <c r="BG580" s="566"/>
    </row>
    <row r="581" spans="1:59">
      <c r="A581" s="591"/>
      <c r="B581" s="592"/>
      <c r="C581" s="593"/>
      <c r="D581" s="594">
        <v>1</v>
      </c>
      <c r="E581" s="595" t="s">
        <v>374</v>
      </c>
      <c r="F581" s="593" t="s">
        <v>339</v>
      </c>
      <c r="G581" s="596" t="s">
        <v>753</v>
      </c>
      <c r="H581" s="596" t="s">
        <v>753</v>
      </c>
      <c r="I581" s="596"/>
      <c r="J581" s="596"/>
      <c r="K581" s="596"/>
      <c r="L581" s="591" t="s">
        <v>763</v>
      </c>
      <c r="M581" s="597" t="str">
        <f t="shared" si="396"/>
        <v>Trappenhuis-bordes</v>
      </c>
      <c r="N581" s="591" t="s">
        <v>323</v>
      </c>
      <c r="O581" s="598"/>
      <c r="P581" s="599"/>
      <c r="Q581" s="600">
        <f t="shared" si="384"/>
        <v>0</v>
      </c>
      <c r="R581" s="601">
        <f t="shared" si="397"/>
        <v>12</v>
      </c>
      <c r="S581" s="647">
        <v>108200</v>
      </c>
      <c r="T581" s="602"/>
      <c r="U581" s="645">
        <v>1</v>
      </c>
      <c r="V581" s="593">
        <f t="shared" si="360"/>
        <v>200</v>
      </c>
      <c r="W581" s="604">
        <f t="shared" si="398"/>
        <v>0</v>
      </c>
      <c r="X581" s="604">
        <f t="shared" si="399"/>
        <v>0</v>
      </c>
      <c r="Y581" s="604">
        <f t="shared" si="400"/>
        <v>0</v>
      </c>
      <c r="Z581" s="605">
        <f t="shared" si="401"/>
        <v>0</v>
      </c>
      <c r="AA581" s="751">
        <f t="shared" si="402"/>
        <v>0</v>
      </c>
      <c r="AB581" s="605">
        <f t="shared" si="403"/>
        <v>0</v>
      </c>
      <c r="AC581" s="607"/>
      <c r="AD581" s="591" t="str">
        <f t="shared" si="404"/>
        <v>Friesland College</v>
      </c>
      <c r="AE581" s="608"/>
      <c r="AF581" s="639">
        <v>12</v>
      </c>
      <c r="AG581" s="639">
        <f t="shared" ref="AG581:AG644" si="405">IF(AND(C581="t"),-AF581,IF(AND(C581="v"),-AF581,IF(AND(C581="W"),-AF581,IF(AND(C581=""),AF581))))</f>
        <v>12</v>
      </c>
      <c r="AH581" s="639">
        <f t="shared" si="382"/>
        <v>0</v>
      </c>
      <c r="AI581" s="640"/>
      <c r="AJ581" s="641">
        <f t="shared" si="383"/>
        <v>0</v>
      </c>
      <c r="AK581" s="642"/>
      <c r="AL581" s="642" t="s">
        <v>364</v>
      </c>
      <c r="AM581" s="643"/>
      <c r="AN581" s="642"/>
      <c r="AO581" s="644">
        <v>1933</v>
      </c>
      <c r="AP581" s="565"/>
      <c r="AQ581" s="566"/>
      <c r="AR581" s="566"/>
      <c r="AS581" s="566"/>
      <c r="AT581" s="566"/>
      <c r="AU581" s="566"/>
      <c r="AV581" s="566"/>
      <c r="AW581" s="566"/>
      <c r="AX581" s="566"/>
      <c r="AY581" s="566"/>
      <c r="AZ581" s="566"/>
      <c r="BA581" s="566"/>
      <c r="BB581" s="566"/>
      <c r="BC581" s="566"/>
      <c r="BD581" s="566"/>
      <c r="BE581" s="566"/>
      <c r="BF581" s="566"/>
      <c r="BG581" s="566"/>
    </row>
    <row r="582" spans="1:59">
      <c r="A582" s="591"/>
      <c r="B582" s="592"/>
      <c r="C582" s="593"/>
      <c r="D582" s="594">
        <v>1</v>
      </c>
      <c r="E582" s="595" t="s">
        <v>374</v>
      </c>
      <c r="F582" s="593" t="s">
        <v>339</v>
      </c>
      <c r="G582" s="596" t="s">
        <v>754</v>
      </c>
      <c r="H582" s="596" t="s">
        <v>754</v>
      </c>
      <c r="I582" s="596"/>
      <c r="J582" s="596"/>
      <c r="K582" s="596"/>
      <c r="L582" s="591" t="s">
        <v>763</v>
      </c>
      <c r="M582" s="597" t="str">
        <f t="shared" si="396"/>
        <v>Trappenhuis-bordes</v>
      </c>
      <c r="N582" s="591" t="s">
        <v>323</v>
      </c>
      <c r="O582" s="598"/>
      <c r="P582" s="599"/>
      <c r="Q582" s="600">
        <f t="shared" si="384"/>
        <v>0</v>
      </c>
      <c r="R582" s="601">
        <f t="shared" si="397"/>
        <v>7</v>
      </c>
      <c r="S582" s="647">
        <v>108200</v>
      </c>
      <c r="T582" s="602"/>
      <c r="U582" s="645">
        <v>1</v>
      </c>
      <c r="V582" s="593">
        <f t="shared" si="360"/>
        <v>200</v>
      </c>
      <c r="W582" s="604">
        <f t="shared" si="398"/>
        <v>0</v>
      </c>
      <c r="X582" s="604">
        <f t="shared" si="399"/>
        <v>0</v>
      </c>
      <c r="Y582" s="604">
        <f t="shared" si="400"/>
        <v>0</v>
      </c>
      <c r="Z582" s="605">
        <f t="shared" si="401"/>
        <v>0</v>
      </c>
      <c r="AA582" s="751">
        <f t="shared" si="402"/>
        <v>0</v>
      </c>
      <c r="AB582" s="605">
        <f t="shared" si="403"/>
        <v>0</v>
      </c>
      <c r="AC582" s="607"/>
      <c r="AD582" s="591" t="str">
        <f t="shared" si="404"/>
        <v>Friesland College</v>
      </c>
      <c r="AE582" s="608"/>
      <c r="AF582" s="639">
        <v>7</v>
      </c>
      <c r="AG582" s="639">
        <f t="shared" si="405"/>
        <v>7</v>
      </c>
      <c r="AH582" s="639">
        <f t="shared" si="382"/>
        <v>0</v>
      </c>
      <c r="AI582" s="640"/>
      <c r="AJ582" s="641">
        <f t="shared" si="383"/>
        <v>0</v>
      </c>
      <c r="AK582" s="642"/>
      <c r="AL582" s="642" t="s">
        <v>364</v>
      </c>
      <c r="AM582" s="643"/>
      <c r="AN582" s="642"/>
      <c r="AO582" s="644">
        <v>1934</v>
      </c>
      <c r="AP582" s="565"/>
      <c r="AQ582" s="566"/>
      <c r="AR582" s="566"/>
      <c r="AS582" s="566"/>
      <c r="AT582" s="566"/>
      <c r="AU582" s="566"/>
      <c r="AV582" s="566"/>
      <c r="AW582" s="566"/>
      <c r="AX582" s="566"/>
      <c r="AY582" s="566"/>
      <c r="AZ582" s="566"/>
      <c r="BA582" s="566"/>
      <c r="BB582" s="566"/>
      <c r="BC582" s="566"/>
      <c r="BD582" s="566"/>
      <c r="BE582" s="566"/>
      <c r="BF582" s="566"/>
      <c r="BG582" s="566"/>
    </row>
    <row r="583" spans="1:59">
      <c r="A583" s="606"/>
      <c r="B583" s="606"/>
      <c r="C583" s="606"/>
      <c r="D583" s="594">
        <v>1</v>
      </c>
      <c r="E583" s="595" t="s">
        <v>1052</v>
      </c>
      <c r="F583" s="593" t="s">
        <v>367</v>
      </c>
      <c r="G583" s="596">
        <v>1</v>
      </c>
      <c r="H583" s="596"/>
      <c r="I583" s="596"/>
      <c r="J583" s="596"/>
      <c r="K583" s="596"/>
      <c r="L583" s="591" t="s">
        <v>318</v>
      </c>
      <c r="M583" s="597" t="str">
        <f t="shared" si="396"/>
        <v>Gang, hal, pantry, aula, repro, gardarobe</v>
      </c>
      <c r="N583" s="591" t="s">
        <v>1083</v>
      </c>
      <c r="O583" s="591"/>
      <c r="P583" s="599"/>
      <c r="Q583" s="600">
        <v>0</v>
      </c>
      <c r="R583" s="601">
        <v>9</v>
      </c>
      <c r="S583" s="647">
        <v>104200</v>
      </c>
      <c r="T583" s="602"/>
      <c r="U583" s="645">
        <v>1</v>
      </c>
      <c r="V583" s="593">
        <f t="shared" ref="V583:V585" si="406">VLOOKUP(S583,Kengetal,3,FALSE)+VLOOKUP(T583,Kengetal,3,FALSE)</f>
        <v>200</v>
      </c>
      <c r="W583" s="604">
        <f t="shared" si="398"/>
        <v>0</v>
      </c>
      <c r="X583" s="604">
        <f t="shared" si="399"/>
        <v>0</v>
      </c>
      <c r="Y583" s="604">
        <f t="shared" si="400"/>
        <v>0</v>
      </c>
      <c r="Z583" s="605">
        <f t="shared" si="401"/>
        <v>0</v>
      </c>
      <c r="AA583" s="751">
        <f t="shared" si="402"/>
        <v>0</v>
      </c>
      <c r="AB583" s="605">
        <f t="shared" si="403"/>
        <v>0</v>
      </c>
      <c r="AC583" s="607"/>
      <c r="AD583" s="591" t="s">
        <v>364</v>
      </c>
      <c r="AE583" s="608"/>
      <c r="AF583" s="639">
        <v>9</v>
      </c>
      <c r="AG583" s="639">
        <f t="shared" si="405"/>
        <v>9</v>
      </c>
      <c r="AH583" s="639">
        <v>0</v>
      </c>
      <c r="AI583" s="640"/>
      <c r="AJ583" s="641">
        <f t="shared" si="383"/>
        <v>0</v>
      </c>
      <c r="AK583" s="642"/>
      <c r="AL583" s="642" t="s">
        <v>364</v>
      </c>
      <c r="AM583" s="643"/>
      <c r="AN583" s="642"/>
      <c r="AO583" s="644"/>
      <c r="AP583" s="566"/>
      <c r="AQ583" s="566"/>
      <c r="AR583" s="566"/>
      <c r="AS583" s="566"/>
      <c r="AT583" s="566"/>
      <c r="AU583" s="566"/>
      <c r="AV583" s="566"/>
      <c r="AW583" s="566"/>
      <c r="AX583" s="566"/>
      <c r="AY583" s="566"/>
      <c r="AZ583" s="566"/>
      <c r="BA583" s="566"/>
      <c r="BB583" s="566"/>
      <c r="BC583" s="566"/>
      <c r="BD583" s="566"/>
      <c r="BE583" s="566"/>
      <c r="BF583" s="566"/>
      <c r="BG583" s="566"/>
    </row>
    <row r="584" spans="1:59">
      <c r="A584" s="635"/>
      <c r="B584" s="635"/>
      <c r="C584" s="635"/>
      <c r="D584" s="594">
        <v>1</v>
      </c>
      <c r="E584" s="595" t="s">
        <v>1052</v>
      </c>
      <c r="F584" s="593" t="s">
        <v>367</v>
      </c>
      <c r="G584" s="596">
        <v>2</v>
      </c>
      <c r="H584" s="596"/>
      <c r="I584" s="596"/>
      <c r="J584" s="596"/>
      <c r="K584" s="596"/>
      <c r="L584" s="591" t="s">
        <v>839</v>
      </c>
      <c r="M584" s="597" t="str">
        <f t="shared" si="396"/>
        <v>Gang, hal, pantry, aula, repro, gardarobe</v>
      </c>
      <c r="N584" s="591" t="s">
        <v>322</v>
      </c>
      <c r="O584" s="591"/>
      <c r="P584" s="599"/>
      <c r="Q584" s="600">
        <v>0</v>
      </c>
      <c r="R584" s="601">
        <v>150</v>
      </c>
      <c r="S584" s="647">
        <v>104200</v>
      </c>
      <c r="T584" s="602"/>
      <c r="U584" s="645">
        <v>1</v>
      </c>
      <c r="V584" s="593">
        <f t="shared" si="406"/>
        <v>200</v>
      </c>
      <c r="W584" s="604">
        <f t="shared" si="398"/>
        <v>0</v>
      </c>
      <c r="X584" s="604">
        <f t="shared" si="399"/>
        <v>0</v>
      </c>
      <c r="Y584" s="604">
        <f t="shared" si="400"/>
        <v>0</v>
      </c>
      <c r="Z584" s="605">
        <f t="shared" si="401"/>
        <v>0</v>
      </c>
      <c r="AA584" s="751">
        <f t="shared" si="402"/>
        <v>0</v>
      </c>
      <c r="AB584" s="605">
        <f t="shared" si="403"/>
        <v>0</v>
      </c>
      <c r="AC584" s="607"/>
      <c r="AD584" s="591" t="s">
        <v>364</v>
      </c>
      <c r="AE584" s="608"/>
      <c r="AF584" s="639">
        <v>150</v>
      </c>
      <c r="AG584" s="639">
        <f t="shared" si="405"/>
        <v>150</v>
      </c>
      <c r="AH584" s="639">
        <v>0</v>
      </c>
      <c r="AI584" s="640"/>
      <c r="AJ584" s="641">
        <f t="shared" si="383"/>
        <v>0</v>
      </c>
      <c r="AK584" s="642"/>
      <c r="AL584" s="642" t="s">
        <v>364</v>
      </c>
      <c r="AM584" s="643"/>
      <c r="AN584" s="642"/>
      <c r="AO584" s="644"/>
    </row>
    <row r="585" spans="1:59">
      <c r="A585" s="635"/>
      <c r="B585" s="635"/>
      <c r="C585" s="635"/>
      <c r="D585" s="594">
        <v>1</v>
      </c>
      <c r="E585" s="595" t="s">
        <v>1052</v>
      </c>
      <c r="F585" s="593" t="s">
        <v>367</v>
      </c>
      <c r="G585" s="596">
        <v>3</v>
      </c>
      <c r="H585" s="596" t="s">
        <v>1053</v>
      </c>
      <c r="I585" s="596"/>
      <c r="J585" s="596"/>
      <c r="K585" s="596"/>
      <c r="L585" s="591" t="s">
        <v>320</v>
      </c>
      <c r="M585" s="597" t="str">
        <f t="shared" si="396"/>
        <v>Onderwijsruimte (theorie)</v>
      </c>
      <c r="N585" s="591" t="s">
        <v>323</v>
      </c>
      <c r="O585" s="591"/>
      <c r="P585" s="599"/>
      <c r="Q585" s="600">
        <v>0</v>
      </c>
      <c r="R585" s="601">
        <f t="shared" ref="R585" si="407">AF585</f>
        <v>157</v>
      </c>
      <c r="S585" s="647">
        <v>102200</v>
      </c>
      <c r="T585" s="602"/>
      <c r="U585" s="645">
        <v>1</v>
      </c>
      <c r="V585" s="593">
        <f t="shared" si="406"/>
        <v>200</v>
      </c>
      <c r="W585" s="604">
        <f t="shared" si="398"/>
        <v>0</v>
      </c>
      <c r="X585" s="604">
        <f t="shared" si="399"/>
        <v>0</v>
      </c>
      <c r="Y585" s="604">
        <f t="shared" si="400"/>
        <v>0</v>
      </c>
      <c r="Z585" s="605">
        <f t="shared" si="401"/>
        <v>0</v>
      </c>
      <c r="AA585" s="751">
        <f t="shared" si="402"/>
        <v>0</v>
      </c>
      <c r="AB585" s="605">
        <f t="shared" si="403"/>
        <v>0</v>
      </c>
      <c r="AC585" s="607"/>
      <c r="AD585" s="591" t="s">
        <v>364</v>
      </c>
      <c r="AE585" s="608"/>
      <c r="AF585" s="639">
        <v>157</v>
      </c>
      <c r="AG585" s="639">
        <f t="shared" si="405"/>
        <v>157</v>
      </c>
      <c r="AH585" s="639">
        <v>0</v>
      </c>
      <c r="AI585" s="640"/>
      <c r="AJ585" s="641">
        <f t="shared" si="383"/>
        <v>0</v>
      </c>
      <c r="AK585" s="642"/>
      <c r="AL585" s="642" t="s">
        <v>364</v>
      </c>
      <c r="AM585" s="643"/>
      <c r="AN585" s="642"/>
      <c r="AO585" s="644"/>
    </row>
    <row r="586" spans="1:59">
      <c r="A586" s="635"/>
      <c r="B586" s="635"/>
      <c r="C586" s="635"/>
      <c r="D586" s="609">
        <v>1</v>
      </c>
      <c r="E586" s="595" t="s">
        <v>1052</v>
      </c>
      <c r="F586" s="593" t="s">
        <v>367</v>
      </c>
      <c r="G586" s="610">
        <v>3</v>
      </c>
      <c r="H586" s="610" t="s">
        <v>1053</v>
      </c>
      <c r="I586" s="610"/>
      <c r="J586" s="610"/>
      <c r="K586" s="610"/>
      <c r="L586" s="611" t="s">
        <v>1084</v>
      </c>
      <c r="M586" s="612" t="s">
        <v>808</v>
      </c>
      <c r="N586" s="613"/>
      <c r="O586" s="611" t="s">
        <v>1037</v>
      </c>
      <c r="P586" s="615">
        <v>100</v>
      </c>
      <c r="Q586" s="616">
        <v>157</v>
      </c>
      <c r="R586" s="613"/>
      <c r="S586" s="603"/>
      <c r="T586" s="602"/>
      <c r="U586" s="603"/>
      <c r="V586" s="593">
        <f t="shared" ref="V586:V646" si="408">VLOOKUP(S586,Kengetal,3,FALSE)+VLOOKUP(T586,Kengetal,3,FALSE)</f>
        <v>0</v>
      </c>
      <c r="W586" s="604">
        <f t="shared" ref="W586:W646" si="409">Z586*R586</f>
        <v>0</v>
      </c>
      <c r="X586" s="604">
        <f t="shared" ref="X586:X646" si="410">AA586*R586</f>
        <v>0</v>
      </c>
      <c r="Y586" s="604">
        <f t="shared" ref="Y586:Y646" si="411">AB586*R586</f>
        <v>0</v>
      </c>
      <c r="Z586" s="605">
        <f t="shared" ref="Z586:Z615" si="412">VLOOKUP(S586,Kengetal,6,FALSE)</f>
        <v>0</v>
      </c>
      <c r="AA586" s="606">
        <f t="shared" ref="AA586:AA615" si="413">VLOOKUP(S586,Kengetal,7,FALSE)</f>
        <v>0</v>
      </c>
      <c r="AB586" s="605">
        <f t="shared" ref="AB586:AB646" si="414">VLOOKUP(U586,Kengetal,6,FALSE)</f>
        <v>0</v>
      </c>
      <c r="AC586" s="607"/>
      <c r="AD586" s="606"/>
      <c r="AE586" s="608"/>
      <c r="AF586" s="639">
        <v>157</v>
      </c>
      <c r="AG586" s="639">
        <f t="shared" si="405"/>
        <v>157</v>
      </c>
      <c r="AH586" s="639">
        <v>0</v>
      </c>
      <c r="AI586" s="640"/>
      <c r="AJ586" s="641">
        <f t="shared" si="383"/>
        <v>0</v>
      </c>
      <c r="AK586" s="642"/>
      <c r="AL586" s="642" t="s">
        <v>364</v>
      </c>
      <c r="AM586" s="643"/>
      <c r="AN586" s="642"/>
      <c r="AO586" s="644"/>
    </row>
    <row r="587" spans="1:59">
      <c r="A587" s="635"/>
      <c r="B587" s="635"/>
      <c r="C587" s="635"/>
      <c r="D587" s="594">
        <v>1</v>
      </c>
      <c r="E587" s="595" t="s">
        <v>1052</v>
      </c>
      <c r="F587" s="593" t="s">
        <v>367</v>
      </c>
      <c r="G587" s="596">
        <v>4</v>
      </c>
      <c r="H587" s="596" t="s">
        <v>1054</v>
      </c>
      <c r="I587" s="596"/>
      <c r="J587" s="596"/>
      <c r="K587" s="596"/>
      <c r="L587" s="591" t="s">
        <v>1085</v>
      </c>
      <c r="M587" s="597" t="str">
        <f t="shared" ref="M587:M588" si="415">VLOOKUP(S587,Kengetal,4,FALSE)</f>
        <v>Administratieve -, personeels- en vergaderruimte</v>
      </c>
      <c r="N587" s="591" t="s">
        <v>322</v>
      </c>
      <c r="O587" s="591"/>
      <c r="P587" s="599"/>
      <c r="Q587" s="600">
        <v>0</v>
      </c>
      <c r="R587" s="601">
        <v>14</v>
      </c>
      <c r="S587" s="647">
        <v>101100</v>
      </c>
      <c r="T587" s="602"/>
      <c r="U587" s="645">
        <v>1</v>
      </c>
      <c r="V587" s="593">
        <f t="shared" si="408"/>
        <v>100</v>
      </c>
      <c r="W587" s="604">
        <f t="shared" ref="W587:W588" si="416">Z587*R587*U587</f>
        <v>0</v>
      </c>
      <c r="X587" s="604">
        <f t="shared" si="410"/>
        <v>0</v>
      </c>
      <c r="Y587" s="604">
        <f t="shared" si="411"/>
        <v>0</v>
      </c>
      <c r="Z587" s="605">
        <f t="shared" si="412"/>
        <v>0</v>
      </c>
      <c r="AA587" s="751">
        <f t="shared" si="413"/>
        <v>0</v>
      </c>
      <c r="AB587" s="605">
        <f>VLOOKUP(T587,Kengetal,6,FALSE)</f>
        <v>0</v>
      </c>
      <c r="AC587" s="607"/>
      <c r="AD587" s="591" t="s">
        <v>364</v>
      </c>
      <c r="AE587" s="608"/>
      <c r="AF587" s="639">
        <v>14</v>
      </c>
      <c r="AG587" s="639">
        <f t="shared" si="405"/>
        <v>14</v>
      </c>
      <c r="AH587" s="639">
        <v>0</v>
      </c>
      <c r="AI587" s="640"/>
      <c r="AJ587" s="641">
        <f t="shared" si="383"/>
        <v>0</v>
      </c>
      <c r="AK587" s="642"/>
      <c r="AL587" s="642" t="s">
        <v>364</v>
      </c>
      <c r="AM587" s="643"/>
      <c r="AN587" s="642"/>
      <c r="AO587" s="644"/>
    </row>
    <row r="588" spans="1:59">
      <c r="A588" s="635"/>
      <c r="B588" s="635"/>
      <c r="C588" s="635"/>
      <c r="D588" s="594">
        <v>1</v>
      </c>
      <c r="E588" s="595" t="s">
        <v>1052</v>
      </c>
      <c r="F588" s="593" t="s">
        <v>367</v>
      </c>
      <c r="G588" s="596">
        <v>5</v>
      </c>
      <c r="H588" s="596" t="s">
        <v>1055</v>
      </c>
      <c r="I588" s="596"/>
      <c r="J588" s="596"/>
      <c r="K588" s="596"/>
      <c r="L588" s="591" t="s">
        <v>340</v>
      </c>
      <c r="M588" s="597" t="str">
        <f t="shared" si="415"/>
        <v>Onderwijsruimte (theorie)</v>
      </c>
      <c r="N588" s="591" t="s">
        <v>322</v>
      </c>
      <c r="O588" s="591"/>
      <c r="P588" s="599"/>
      <c r="Q588" s="600">
        <v>0</v>
      </c>
      <c r="R588" s="601">
        <f t="shared" ref="R588" si="417">AF588</f>
        <v>77</v>
      </c>
      <c r="S588" s="647">
        <v>102200</v>
      </c>
      <c r="T588" s="602"/>
      <c r="U588" s="645">
        <v>1</v>
      </c>
      <c r="V588" s="593">
        <f t="shared" si="408"/>
        <v>200</v>
      </c>
      <c r="W588" s="604">
        <f t="shared" si="416"/>
        <v>0</v>
      </c>
      <c r="X588" s="604">
        <f t="shared" si="410"/>
        <v>0</v>
      </c>
      <c r="Y588" s="604">
        <f t="shared" si="411"/>
        <v>0</v>
      </c>
      <c r="Z588" s="605">
        <f t="shared" si="412"/>
        <v>0</v>
      </c>
      <c r="AA588" s="751">
        <f t="shared" si="413"/>
        <v>0</v>
      </c>
      <c r="AB588" s="605">
        <f>VLOOKUP(T588,Kengetal,6,FALSE)</f>
        <v>0</v>
      </c>
      <c r="AC588" s="607"/>
      <c r="AD588" s="591" t="s">
        <v>364</v>
      </c>
      <c r="AE588" s="608"/>
      <c r="AF588" s="639">
        <v>77</v>
      </c>
      <c r="AG588" s="639">
        <f t="shared" si="405"/>
        <v>77</v>
      </c>
      <c r="AH588" s="639">
        <v>0</v>
      </c>
      <c r="AI588" s="640"/>
      <c r="AJ588" s="641">
        <f t="shared" si="383"/>
        <v>0</v>
      </c>
      <c r="AK588" s="642"/>
      <c r="AL588" s="642" t="s">
        <v>364</v>
      </c>
      <c r="AM588" s="643"/>
      <c r="AN588" s="642"/>
      <c r="AO588" s="644"/>
    </row>
    <row r="589" spans="1:59">
      <c r="A589" s="635"/>
      <c r="B589" s="635"/>
      <c r="C589" s="635"/>
      <c r="D589" s="609">
        <v>1</v>
      </c>
      <c r="E589" s="595" t="s">
        <v>1052</v>
      </c>
      <c r="F589" s="593" t="s">
        <v>367</v>
      </c>
      <c r="G589" s="610">
        <v>5</v>
      </c>
      <c r="H589" s="610" t="s">
        <v>1055</v>
      </c>
      <c r="I589" s="610"/>
      <c r="J589" s="610"/>
      <c r="K589" s="610"/>
      <c r="L589" s="611" t="s">
        <v>340</v>
      </c>
      <c r="M589" s="612" t="s">
        <v>808</v>
      </c>
      <c r="N589" s="613"/>
      <c r="O589" s="611" t="s">
        <v>1037</v>
      </c>
      <c r="P589" s="615">
        <v>100</v>
      </c>
      <c r="Q589" s="616">
        <v>77</v>
      </c>
      <c r="R589" s="613"/>
      <c r="S589" s="603"/>
      <c r="T589" s="602"/>
      <c r="U589" s="603"/>
      <c r="V589" s="593">
        <f t="shared" si="408"/>
        <v>0</v>
      </c>
      <c r="W589" s="604">
        <f t="shared" si="409"/>
        <v>0</v>
      </c>
      <c r="X589" s="604">
        <f t="shared" si="410"/>
        <v>0</v>
      </c>
      <c r="Y589" s="604">
        <f t="shared" si="411"/>
        <v>0</v>
      </c>
      <c r="Z589" s="605">
        <f t="shared" si="412"/>
        <v>0</v>
      </c>
      <c r="AA589" s="606">
        <f t="shared" si="413"/>
        <v>0</v>
      </c>
      <c r="AB589" s="605">
        <f t="shared" si="414"/>
        <v>0</v>
      </c>
      <c r="AC589" s="607"/>
      <c r="AD589" s="606"/>
      <c r="AE589" s="608"/>
      <c r="AF589" s="639">
        <v>77</v>
      </c>
      <c r="AG589" s="639">
        <f t="shared" si="405"/>
        <v>77</v>
      </c>
      <c r="AH589" s="639">
        <v>0</v>
      </c>
      <c r="AI589" s="640"/>
      <c r="AJ589" s="641">
        <f t="shared" si="383"/>
        <v>0</v>
      </c>
      <c r="AK589" s="642"/>
      <c r="AL589" s="642" t="s">
        <v>364</v>
      </c>
      <c r="AM589" s="643"/>
      <c r="AN589" s="642"/>
      <c r="AO589" s="644"/>
    </row>
    <row r="590" spans="1:59">
      <c r="A590" s="635"/>
      <c r="B590" s="635"/>
      <c r="C590" s="635"/>
      <c r="D590" s="594">
        <v>1</v>
      </c>
      <c r="E590" s="595" t="s">
        <v>1052</v>
      </c>
      <c r="F590" s="593" t="s">
        <v>367</v>
      </c>
      <c r="G590" s="596">
        <v>6</v>
      </c>
      <c r="H590" s="596"/>
      <c r="I590" s="596"/>
      <c r="J590" s="596"/>
      <c r="K590" s="596"/>
      <c r="L590" s="591" t="s">
        <v>849</v>
      </c>
      <c r="M590" s="597" t="str">
        <f t="shared" ref="M590:M591" si="418">VLOOKUP(S590,Kengetal,4,FALSE)</f>
        <v>Administratieve -, personeels- en vergaderruimte</v>
      </c>
      <c r="N590" s="591" t="s">
        <v>322</v>
      </c>
      <c r="O590" s="591"/>
      <c r="P590" s="599"/>
      <c r="Q590" s="600">
        <v>0</v>
      </c>
      <c r="R590" s="601">
        <v>13</v>
      </c>
      <c r="S590" s="647">
        <v>101100</v>
      </c>
      <c r="T590" s="602"/>
      <c r="U590" s="645">
        <v>1</v>
      </c>
      <c r="V590" s="593">
        <f t="shared" si="408"/>
        <v>100</v>
      </c>
      <c r="W590" s="604">
        <f t="shared" ref="W590:W591" si="419">Z590*R590*U590</f>
        <v>0</v>
      </c>
      <c r="X590" s="604">
        <f t="shared" si="410"/>
        <v>0</v>
      </c>
      <c r="Y590" s="604">
        <f t="shared" si="411"/>
        <v>0</v>
      </c>
      <c r="Z590" s="605">
        <f t="shared" si="412"/>
        <v>0</v>
      </c>
      <c r="AA590" s="751">
        <f t="shared" si="413"/>
        <v>0</v>
      </c>
      <c r="AB590" s="605">
        <f>VLOOKUP(T590,Kengetal,6,FALSE)</f>
        <v>0</v>
      </c>
      <c r="AC590" s="607"/>
      <c r="AD590" s="591" t="s">
        <v>364</v>
      </c>
      <c r="AE590" s="608"/>
      <c r="AF590" s="639">
        <v>13</v>
      </c>
      <c r="AG590" s="639">
        <f t="shared" si="405"/>
        <v>13</v>
      </c>
      <c r="AH590" s="639">
        <v>0</v>
      </c>
      <c r="AI590" s="640"/>
      <c r="AJ590" s="641">
        <f t="shared" si="383"/>
        <v>0</v>
      </c>
      <c r="AK590" s="642"/>
      <c r="AL590" s="642" t="s">
        <v>364</v>
      </c>
      <c r="AM590" s="643"/>
      <c r="AN590" s="642"/>
      <c r="AO590" s="644"/>
    </row>
    <row r="591" spans="1:59">
      <c r="A591" s="635"/>
      <c r="B591" s="635"/>
      <c r="C591" s="635"/>
      <c r="D591" s="594">
        <v>1</v>
      </c>
      <c r="E591" s="595" t="s">
        <v>1052</v>
      </c>
      <c r="F591" s="593" t="s">
        <v>367</v>
      </c>
      <c r="G591" s="596">
        <v>7</v>
      </c>
      <c r="H591" s="596" t="s">
        <v>1056</v>
      </c>
      <c r="I591" s="596"/>
      <c r="J591" s="596"/>
      <c r="K591" s="596"/>
      <c r="L591" s="591" t="s">
        <v>340</v>
      </c>
      <c r="M591" s="597" t="str">
        <f t="shared" si="418"/>
        <v>Onderwijsruimte (theorie)</v>
      </c>
      <c r="N591" s="591" t="s">
        <v>323</v>
      </c>
      <c r="O591" s="591"/>
      <c r="P591" s="599"/>
      <c r="Q591" s="600">
        <v>0</v>
      </c>
      <c r="R591" s="601">
        <f t="shared" ref="R591" si="420">AF591</f>
        <v>103</v>
      </c>
      <c r="S591" s="647">
        <v>102200</v>
      </c>
      <c r="T591" s="602"/>
      <c r="U591" s="645">
        <v>1</v>
      </c>
      <c r="V591" s="593">
        <f t="shared" si="408"/>
        <v>200</v>
      </c>
      <c r="W591" s="604">
        <f t="shared" si="419"/>
        <v>0</v>
      </c>
      <c r="X591" s="604">
        <f t="shared" si="410"/>
        <v>0</v>
      </c>
      <c r="Y591" s="604">
        <f t="shared" si="411"/>
        <v>0</v>
      </c>
      <c r="Z591" s="605">
        <f t="shared" si="412"/>
        <v>0</v>
      </c>
      <c r="AA591" s="751">
        <f t="shared" si="413"/>
        <v>0</v>
      </c>
      <c r="AB591" s="605">
        <f>VLOOKUP(T591,Kengetal,6,FALSE)</f>
        <v>0</v>
      </c>
      <c r="AC591" s="607"/>
      <c r="AD591" s="591" t="s">
        <v>364</v>
      </c>
      <c r="AE591" s="608"/>
      <c r="AF591" s="639">
        <v>103</v>
      </c>
      <c r="AG591" s="639">
        <f t="shared" si="405"/>
        <v>103</v>
      </c>
      <c r="AH591" s="639">
        <v>0</v>
      </c>
      <c r="AI591" s="640"/>
      <c r="AJ591" s="641">
        <f t="shared" si="383"/>
        <v>0</v>
      </c>
      <c r="AK591" s="642"/>
      <c r="AL591" s="642" t="s">
        <v>364</v>
      </c>
      <c r="AM591" s="643"/>
      <c r="AN591" s="642"/>
      <c r="AO591" s="644"/>
    </row>
    <row r="592" spans="1:59">
      <c r="A592" s="635"/>
      <c r="B592" s="635"/>
      <c r="C592" s="635"/>
      <c r="D592" s="609">
        <v>1</v>
      </c>
      <c r="E592" s="595" t="s">
        <v>1052</v>
      </c>
      <c r="F592" s="593" t="s">
        <v>367</v>
      </c>
      <c r="G592" s="610">
        <v>7</v>
      </c>
      <c r="H592" s="610" t="s">
        <v>1056</v>
      </c>
      <c r="I592" s="610"/>
      <c r="J592" s="610"/>
      <c r="K592" s="610"/>
      <c r="L592" s="611" t="s">
        <v>340</v>
      </c>
      <c r="M592" s="612" t="s">
        <v>808</v>
      </c>
      <c r="N592" s="613"/>
      <c r="O592" s="611" t="s">
        <v>1037</v>
      </c>
      <c r="P592" s="615">
        <v>100</v>
      </c>
      <c r="Q592" s="616">
        <v>103</v>
      </c>
      <c r="R592" s="613"/>
      <c r="S592" s="603"/>
      <c r="T592" s="602"/>
      <c r="U592" s="603"/>
      <c r="V592" s="593">
        <f t="shared" si="408"/>
        <v>0</v>
      </c>
      <c r="W592" s="604">
        <f t="shared" si="409"/>
        <v>0</v>
      </c>
      <c r="X592" s="604">
        <f t="shared" si="410"/>
        <v>0</v>
      </c>
      <c r="Y592" s="604">
        <f t="shared" si="411"/>
        <v>0</v>
      </c>
      <c r="Z592" s="605">
        <f t="shared" si="412"/>
        <v>0</v>
      </c>
      <c r="AA592" s="606">
        <f t="shared" si="413"/>
        <v>0</v>
      </c>
      <c r="AB592" s="605">
        <f t="shared" si="414"/>
        <v>0</v>
      </c>
      <c r="AC592" s="607"/>
      <c r="AD592" s="606"/>
      <c r="AE592" s="608"/>
      <c r="AF592" s="639">
        <v>103</v>
      </c>
      <c r="AG592" s="639">
        <f t="shared" si="405"/>
        <v>103</v>
      </c>
      <c r="AH592" s="639">
        <v>0</v>
      </c>
      <c r="AI592" s="640"/>
      <c r="AJ592" s="641">
        <f t="shared" si="383"/>
        <v>0</v>
      </c>
      <c r="AK592" s="642"/>
      <c r="AL592" s="642" t="s">
        <v>364</v>
      </c>
      <c r="AM592" s="643"/>
      <c r="AN592" s="642"/>
      <c r="AO592" s="644"/>
    </row>
    <row r="593" spans="1:41">
      <c r="A593" s="635"/>
      <c r="B593" s="635"/>
      <c r="C593" s="635"/>
      <c r="D593" s="594">
        <v>1</v>
      </c>
      <c r="E593" s="595" t="s">
        <v>1052</v>
      </c>
      <c r="F593" s="593" t="s">
        <v>367</v>
      </c>
      <c r="G593" s="596">
        <v>7</v>
      </c>
      <c r="H593" s="596" t="s">
        <v>1057</v>
      </c>
      <c r="I593" s="596"/>
      <c r="J593" s="596"/>
      <c r="K593" s="596"/>
      <c r="L593" s="591" t="s">
        <v>340</v>
      </c>
      <c r="M593" s="597" t="str">
        <f t="shared" ref="M593" si="421">VLOOKUP(S593,Kengetal,4,FALSE)</f>
        <v>Onderwijsruimte (theorie)</v>
      </c>
      <c r="N593" s="591" t="s">
        <v>323</v>
      </c>
      <c r="O593" s="591"/>
      <c r="P593" s="599"/>
      <c r="Q593" s="600">
        <v>0</v>
      </c>
      <c r="R593" s="601">
        <f t="shared" ref="R593" si="422">AF593</f>
        <v>103</v>
      </c>
      <c r="S593" s="647">
        <v>102200</v>
      </c>
      <c r="T593" s="602"/>
      <c r="U593" s="645">
        <v>1</v>
      </c>
      <c r="V593" s="593">
        <f t="shared" si="408"/>
        <v>200</v>
      </c>
      <c r="W593" s="604">
        <f>Z593*R593*U593</f>
        <v>0</v>
      </c>
      <c r="X593" s="604">
        <f>AA593*R593</f>
        <v>0</v>
      </c>
      <c r="Y593" s="604">
        <f>AB593*R593</f>
        <v>0</v>
      </c>
      <c r="Z593" s="605">
        <f>VLOOKUP(S593,Kengetal,6,FALSE)</f>
        <v>0</v>
      </c>
      <c r="AA593" s="751">
        <f>VLOOKUP(S593,Kengetal,7,FALSE)</f>
        <v>0</v>
      </c>
      <c r="AB593" s="605">
        <f>VLOOKUP(T593,Kengetal,6,FALSE)</f>
        <v>0</v>
      </c>
      <c r="AC593" s="607"/>
      <c r="AD593" s="591" t="s">
        <v>364</v>
      </c>
      <c r="AE593" s="608"/>
      <c r="AF593" s="639">
        <v>103</v>
      </c>
      <c r="AG593" s="639">
        <f t="shared" si="405"/>
        <v>103</v>
      </c>
      <c r="AH593" s="639">
        <v>0</v>
      </c>
      <c r="AI593" s="640"/>
      <c r="AJ593" s="641">
        <f t="shared" si="383"/>
        <v>0</v>
      </c>
      <c r="AK593" s="642"/>
      <c r="AL593" s="642" t="s">
        <v>364</v>
      </c>
      <c r="AM593" s="643"/>
      <c r="AN593" s="642"/>
      <c r="AO593" s="644"/>
    </row>
    <row r="594" spans="1:41">
      <c r="A594" s="635"/>
      <c r="B594" s="635"/>
      <c r="C594" s="635"/>
      <c r="D594" s="609">
        <v>1</v>
      </c>
      <c r="E594" s="595" t="s">
        <v>1052</v>
      </c>
      <c r="F594" s="593" t="s">
        <v>367</v>
      </c>
      <c r="G594" s="610">
        <v>7</v>
      </c>
      <c r="H594" s="610" t="s">
        <v>1057</v>
      </c>
      <c r="I594" s="610"/>
      <c r="J594" s="610"/>
      <c r="K594" s="610"/>
      <c r="L594" s="611" t="s">
        <v>340</v>
      </c>
      <c r="M594" s="612" t="s">
        <v>808</v>
      </c>
      <c r="N594" s="613"/>
      <c r="O594" s="611" t="s">
        <v>1086</v>
      </c>
      <c r="P594" s="615">
        <v>100</v>
      </c>
      <c r="Q594" s="616">
        <v>103</v>
      </c>
      <c r="R594" s="613"/>
      <c r="S594" s="603"/>
      <c r="T594" s="602"/>
      <c r="U594" s="603"/>
      <c r="V594" s="593">
        <f t="shared" si="408"/>
        <v>0</v>
      </c>
      <c r="W594" s="604">
        <f t="shared" si="409"/>
        <v>0</v>
      </c>
      <c r="X594" s="604">
        <f t="shared" si="410"/>
        <v>0</v>
      </c>
      <c r="Y594" s="604">
        <f t="shared" si="411"/>
        <v>0</v>
      </c>
      <c r="Z594" s="605">
        <f t="shared" si="412"/>
        <v>0</v>
      </c>
      <c r="AA594" s="606">
        <f t="shared" si="413"/>
        <v>0</v>
      </c>
      <c r="AB594" s="605">
        <f t="shared" si="414"/>
        <v>0</v>
      </c>
      <c r="AC594" s="607"/>
      <c r="AD594" s="606"/>
      <c r="AE594" s="608"/>
      <c r="AF594" s="639">
        <v>103</v>
      </c>
      <c r="AG594" s="639">
        <f t="shared" si="405"/>
        <v>103</v>
      </c>
      <c r="AH594" s="639">
        <v>0</v>
      </c>
      <c r="AI594" s="640"/>
      <c r="AJ594" s="641">
        <f t="shared" si="383"/>
        <v>0</v>
      </c>
      <c r="AK594" s="642"/>
      <c r="AL594" s="642" t="s">
        <v>364</v>
      </c>
      <c r="AM594" s="643"/>
      <c r="AN594" s="642"/>
      <c r="AO594" s="644"/>
    </row>
    <row r="595" spans="1:41">
      <c r="A595" s="635"/>
      <c r="B595" s="635"/>
      <c r="C595" s="635"/>
      <c r="D595" s="594">
        <v>1</v>
      </c>
      <c r="E595" s="595" t="s">
        <v>1052</v>
      </c>
      <c r="F595" s="593" t="s">
        <v>367</v>
      </c>
      <c r="G595" s="596">
        <v>7</v>
      </c>
      <c r="H595" s="596" t="s">
        <v>1058</v>
      </c>
      <c r="I595" s="596"/>
      <c r="J595" s="596"/>
      <c r="K595" s="596"/>
      <c r="L595" s="591" t="s">
        <v>340</v>
      </c>
      <c r="M595" s="597" t="str">
        <f t="shared" ref="M595" si="423">VLOOKUP(S595,Kengetal,4,FALSE)</f>
        <v>Onderwijsruimte (theorie)</v>
      </c>
      <c r="N595" s="591" t="s">
        <v>323</v>
      </c>
      <c r="O595" s="591"/>
      <c r="P595" s="599"/>
      <c r="Q595" s="600">
        <v>0</v>
      </c>
      <c r="R595" s="601">
        <f t="shared" ref="R595" si="424">AF595</f>
        <v>103</v>
      </c>
      <c r="S595" s="647">
        <v>102200</v>
      </c>
      <c r="T595" s="602"/>
      <c r="U595" s="645">
        <v>1</v>
      </c>
      <c r="V595" s="593">
        <f t="shared" si="408"/>
        <v>200</v>
      </c>
      <c r="W595" s="604">
        <f>Z595*R595*U595</f>
        <v>0</v>
      </c>
      <c r="X595" s="604">
        <f>AA595*R595</f>
        <v>0</v>
      </c>
      <c r="Y595" s="604">
        <f>AB595*R595</f>
        <v>0</v>
      </c>
      <c r="Z595" s="605">
        <f>VLOOKUP(S595,Kengetal,6,FALSE)</f>
        <v>0</v>
      </c>
      <c r="AA595" s="751">
        <f>VLOOKUP(S595,Kengetal,7,FALSE)</f>
        <v>0</v>
      </c>
      <c r="AB595" s="605">
        <f>VLOOKUP(T595,Kengetal,6,FALSE)</f>
        <v>0</v>
      </c>
      <c r="AC595" s="607"/>
      <c r="AD595" s="591" t="s">
        <v>364</v>
      </c>
      <c r="AE595" s="608"/>
      <c r="AF595" s="639">
        <v>103</v>
      </c>
      <c r="AG595" s="639">
        <f t="shared" si="405"/>
        <v>103</v>
      </c>
      <c r="AH595" s="639">
        <v>0</v>
      </c>
      <c r="AI595" s="640"/>
      <c r="AJ595" s="641">
        <f t="shared" si="383"/>
        <v>0</v>
      </c>
      <c r="AK595" s="642"/>
      <c r="AL595" s="642" t="s">
        <v>364</v>
      </c>
      <c r="AM595" s="643"/>
      <c r="AN595" s="642"/>
      <c r="AO595" s="644"/>
    </row>
    <row r="596" spans="1:41">
      <c r="A596" s="635"/>
      <c r="B596" s="635"/>
      <c r="C596" s="635"/>
      <c r="D596" s="609">
        <v>1</v>
      </c>
      <c r="E596" s="595" t="s">
        <v>1052</v>
      </c>
      <c r="F596" s="593" t="s">
        <v>367</v>
      </c>
      <c r="G596" s="610">
        <v>7</v>
      </c>
      <c r="H596" s="610" t="s">
        <v>1058</v>
      </c>
      <c r="I596" s="610"/>
      <c r="J596" s="610"/>
      <c r="K596" s="610"/>
      <c r="L596" s="611" t="s">
        <v>1084</v>
      </c>
      <c r="M596" s="612" t="s">
        <v>808</v>
      </c>
      <c r="N596" s="613"/>
      <c r="O596" s="611" t="s">
        <v>1037</v>
      </c>
      <c r="P596" s="615">
        <v>100</v>
      </c>
      <c r="Q596" s="616">
        <v>103</v>
      </c>
      <c r="R596" s="613"/>
      <c r="S596" s="603"/>
      <c r="T596" s="602"/>
      <c r="U596" s="603"/>
      <c r="V596" s="593">
        <f t="shared" si="408"/>
        <v>0</v>
      </c>
      <c r="W596" s="604">
        <f t="shared" si="409"/>
        <v>0</v>
      </c>
      <c r="X596" s="604">
        <f t="shared" si="410"/>
        <v>0</v>
      </c>
      <c r="Y596" s="604">
        <f t="shared" si="411"/>
        <v>0</v>
      </c>
      <c r="Z596" s="605">
        <f t="shared" si="412"/>
        <v>0</v>
      </c>
      <c r="AA596" s="606">
        <f t="shared" si="413"/>
        <v>0</v>
      </c>
      <c r="AB596" s="605">
        <f t="shared" si="414"/>
        <v>0</v>
      </c>
      <c r="AC596" s="607"/>
      <c r="AD596" s="606"/>
      <c r="AE596" s="608"/>
      <c r="AF596" s="639">
        <v>103</v>
      </c>
      <c r="AG596" s="639">
        <f t="shared" si="405"/>
        <v>103</v>
      </c>
      <c r="AH596" s="639">
        <v>0</v>
      </c>
      <c r="AI596" s="640"/>
      <c r="AJ596" s="641">
        <f t="shared" si="383"/>
        <v>0</v>
      </c>
      <c r="AK596" s="642"/>
      <c r="AL596" s="642" t="s">
        <v>364</v>
      </c>
      <c r="AM596" s="643"/>
      <c r="AN596" s="642"/>
      <c r="AO596" s="644"/>
    </row>
    <row r="597" spans="1:41">
      <c r="A597" s="635"/>
      <c r="B597" s="635"/>
      <c r="C597" s="635"/>
      <c r="D597" s="594">
        <v>1</v>
      </c>
      <c r="E597" s="595" t="s">
        <v>1052</v>
      </c>
      <c r="F597" s="593" t="s">
        <v>367</v>
      </c>
      <c r="G597" s="596">
        <v>8</v>
      </c>
      <c r="H597" s="596"/>
      <c r="I597" s="596"/>
      <c r="J597" s="596"/>
      <c r="K597" s="596"/>
      <c r="L597" s="591" t="s">
        <v>1087</v>
      </c>
      <c r="M597" s="597" t="s">
        <v>886</v>
      </c>
      <c r="N597" s="591" t="s">
        <v>323</v>
      </c>
      <c r="O597" s="591"/>
      <c r="P597" s="599"/>
      <c r="Q597" s="600">
        <v>0</v>
      </c>
      <c r="R597" s="601">
        <v>90</v>
      </c>
      <c r="S597" s="603" t="s">
        <v>28</v>
      </c>
      <c r="T597" s="602"/>
      <c r="U597" s="603"/>
      <c r="V597" s="593">
        <f t="shared" si="408"/>
        <v>0</v>
      </c>
      <c r="W597" s="604">
        <f t="shared" ref="W597:W604" si="425">Z597*R597*U597</f>
        <v>0</v>
      </c>
      <c r="X597" s="604">
        <f t="shared" si="410"/>
        <v>0</v>
      </c>
      <c r="Y597" s="604">
        <f t="shared" si="411"/>
        <v>0</v>
      </c>
      <c r="Z597" s="605">
        <f t="shared" si="412"/>
        <v>0</v>
      </c>
      <c r="AA597" s="751">
        <f t="shared" si="413"/>
        <v>0</v>
      </c>
      <c r="AB597" s="605">
        <f t="shared" ref="AB597:AB604" si="426">VLOOKUP(T597,Kengetal,6,FALSE)</f>
        <v>0</v>
      </c>
      <c r="AC597" s="607"/>
      <c r="AD597" s="591" t="s">
        <v>364</v>
      </c>
      <c r="AE597" s="608"/>
      <c r="AF597" s="639">
        <v>90</v>
      </c>
      <c r="AG597" s="639">
        <f t="shared" si="405"/>
        <v>90</v>
      </c>
      <c r="AH597" s="639">
        <v>0</v>
      </c>
      <c r="AI597" s="640"/>
      <c r="AJ597" s="641">
        <f t="shared" si="383"/>
        <v>0</v>
      </c>
      <c r="AK597" s="642"/>
      <c r="AL597" s="642" t="s">
        <v>364</v>
      </c>
      <c r="AM597" s="643"/>
      <c r="AN597" s="642"/>
      <c r="AO597" s="644"/>
    </row>
    <row r="598" spans="1:41">
      <c r="A598" s="635"/>
      <c r="B598" s="635"/>
      <c r="C598" s="635"/>
      <c r="D598" s="594">
        <v>1</v>
      </c>
      <c r="E598" s="595" t="s">
        <v>1052</v>
      </c>
      <c r="F598" s="593" t="s">
        <v>367</v>
      </c>
      <c r="G598" s="596">
        <v>10</v>
      </c>
      <c r="H598" s="596"/>
      <c r="I598" s="596"/>
      <c r="J598" s="596"/>
      <c r="K598" s="596"/>
      <c r="L598" s="591" t="s">
        <v>765</v>
      </c>
      <c r="M598" s="597" t="s">
        <v>1088</v>
      </c>
      <c r="N598" s="591" t="s">
        <v>322</v>
      </c>
      <c r="O598" s="596"/>
      <c r="P598" s="622"/>
      <c r="Q598" s="600">
        <v>0</v>
      </c>
      <c r="R598" s="601">
        <v>2</v>
      </c>
      <c r="S598" s="647">
        <v>109200</v>
      </c>
      <c r="T598" s="602"/>
      <c r="U598" s="645">
        <v>1</v>
      </c>
      <c r="V598" s="593">
        <f t="shared" si="408"/>
        <v>200</v>
      </c>
      <c r="W598" s="604">
        <f t="shared" si="425"/>
        <v>0</v>
      </c>
      <c r="X598" s="604">
        <f t="shared" si="410"/>
        <v>0</v>
      </c>
      <c r="Y598" s="604">
        <f t="shared" si="411"/>
        <v>0</v>
      </c>
      <c r="Z598" s="605">
        <f t="shared" si="412"/>
        <v>0</v>
      </c>
      <c r="AA598" s="751">
        <f t="shared" si="413"/>
        <v>0</v>
      </c>
      <c r="AB598" s="605">
        <f t="shared" si="426"/>
        <v>0</v>
      </c>
      <c r="AC598" s="607"/>
      <c r="AD598" s="591" t="s">
        <v>364</v>
      </c>
      <c r="AE598" s="608"/>
      <c r="AF598" s="639">
        <v>2</v>
      </c>
      <c r="AG598" s="639">
        <f t="shared" si="405"/>
        <v>2</v>
      </c>
      <c r="AH598" s="639">
        <v>0</v>
      </c>
      <c r="AI598" s="640"/>
      <c r="AJ598" s="641">
        <f t="shared" si="383"/>
        <v>0</v>
      </c>
      <c r="AK598" s="642"/>
      <c r="AL598" s="642" t="s">
        <v>364</v>
      </c>
      <c r="AM598" s="643"/>
      <c r="AN598" s="642"/>
      <c r="AO598" s="644"/>
    </row>
    <row r="599" spans="1:41">
      <c r="A599" s="635"/>
      <c r="B599" s="635"/>
      <c r="C599" s="635"/>
      <c r="D599" s="594">
        <v>1</v>
      </c>
      <c r="E599" s="595" t="s">
        <v>1052</v>
      </c>
      <c r="F599" s="593" t="s">
        <v>367</v>
      </c>
      <c r="G599" s="596">
        <v>13</v>
      </c>
      <c r="H599" s="596"/>
      <c r="I599" s="596"/>
      <c r="J599" s="596"/>
      <c r="K599" s="596"/>
      <c r="L599" s="591" t="s">
        <v>1089</v>
      </c>
      <c r="M599" s="597" t="str">
        <f t="shared" ref="M599:M601" si="427">VLOOKUP(S599,Kengetal,4,FALSE)</f>
        <v>Gang, hal, pantry, aula, repro, gardarobe</v>
      </c>
      <c r="N599" s="591" t="s">
        <v>322</v>
      </c>
      <c r="O599" s="596"/>
      <c r="P599" s="622"/>
      <c r="Q599" s="600">
        <v>0</v>
      </c>
      <c r="R599" s="601">
        <v>95</v>
      </c>
      <c r="S599" s="647">
        <v>104200</v>
      </c>
      <c r="T599" s="602"/>
      <c r="U599" s="645">
        <v>1</v>
      </c>
      <c r="V599" s="593">
        <f t="shared" si="408"/>
        <v>200</v>
      </c>
      <c r="W599" s="604">
        <f t="shared" si="425"/>
        <v>0</v>
      </c>
      <c r="X599" s="604">
        <f t="shared" si="410"/>
        <v>0</v>
      </c>
      <c r="Y599" s="604">
        <f t="shared" si="411"/>
        <v>0</v>
      </c>
      <c r="Z599" s="605">
        <f t="shared" si="412"/>
        <v>0</v>
      </c>
      <c r="AA599" s="751">
        <f t="shared" si="413"/>
        <v>0</v>
      </c>
      <c r="AB599" s="605">
        <f t="shared" si="426"/>
        <v>0</v>
      </c>
      <c r="AC599" s="607"/>
      <c r="AD599" s="591" t="s">
        <v>364</v>
      </c>
      <c r="AE599" s="608"/>
      <c r="AF599" s="639">
        <v>95</v>
      </c>
      <c r="AG599" s="639">
        <f t="shared" si="405"/>
        <v>95</v>
      </c>
      <c r="AH599" s="639">
        <v>0</v>
      </c>
      <c r="AI599" s="640"/>
      <c r="AJ599" s="641">
        <f t="shared" si="383"/>
        <v>0</v>
      </c>
      <c r="AK599" s="642"/>
      <c r="AL599" s="642" t="s">
        <v>364</v>
      </c>
      <c r="AM599" s="643"/>
      <c r="AN599" s="642"/>
      <c r="AO599" s="644"/>
    </row>
    <row r="600" spans="1:41">
      <c r="A600" s="635"/>
      <c r="B600" s="635"/>
      <c r="C600" s="635"/>
      <c r="D600" s="594">
        <v>1</v>
      </c>
      <c r="E600" s="595" t="s">
        <v>1052</v>
      </c>
      <c r="F600" s="593" t="s">
        <v>367</v>
      </c>
      <c r="G600" s="596">
        <v>13</v>
      </c>
      <c r="H600" s="596"/>
      <c r="I600" s="596"/>
      <c r="J600" s="596"/>
      <c r="K600" s="596"/>
      <c r="L600" s="591" t="s">
        <v>1089</v>
      </c>
      <c r="M600" s="597" t="str">
        <f t="shared" si="427"/>
        <v>Gang, hal, pantry, aula, repro, gardarobe</v>
      </c>
      <c r="N600" s="591" t="s">
        <v>323</v>
      </c>
      <c r="O600" s="596"/>
      <c r="P600" s="622"/>
      <c r="Q600" s="600">
        <v>0</v>
      </c>
      <c r="R600" s="601">
        <v>2.5</v>
      </c>
      <c r="S600" s="647">
        <v>104200</v>
      </c>
      <c r="T600" s="602"/>
      <c r="U600" s="645">
        <v>1</v>
      </c>
      <c r="V600" s="593">
        <f t="shared" si="408"/>
        <v>200</v>
      </c>
      <c r="W600" s="604">
        <f t="shared" si="425"/>
        <v>0</v>
      </c>
      <c r="X600" s="604">
        <f t="shared" si="410"/>
        <v>0</v>
      </c>
      <c r="Y600" s="604">
        <f t="shared" si="411"/>
        <v>0</v>
      </c>
      <c r="Z600" s="605">
        <f t="shared" si="412"/>
        <v>0</v>
      </c>
      <c r="AA600" s="751">
        <f t="shared" si="413"/>
        <v>0</v>
      </c>
      <c r="AB600" s="605">
        <f t="shared" si="426"/>
        <v>0</v>
      </c>
      <c r="AC600" s="607"/>
      <c r="AD600" s="591" t="s">
        <v>364</v>
      </c>
      <c r="AE600" s="608"/>
      <c r="AF600" s="639">
        <v>2.5</v>
      </c>
      <c r="AG600" s="639">
        <f t="shared" si="405"/>
        <v>2.5</v>
      </c>
      <c r="AH600" s="639">
        <v>0</v>
      </c>
      <c r="AI600" s="640"/>
      <c r="AJ600" s="641">
        <f t="shared" si="383"/>
        <v>0</v>
      </c>
      <c r="AK600" s="642"/>
      <c r="AL600" s="642" t="s">
        <v>364</v>
      </c>
      <c r="AM600" s="643"/>
      <c r="AN600" s="642"/>
      <c r="AO600" s="644"/>
    </row>
    <row r="601" spans="1:41">
      <c r="A601" s="635"/>
      <c r="B601" s="635"/>
      <c r="C601" s="635"/>
      <c r="D601" s="594">
        <v>1</v>
      </c>
      <c r="E601" s="595" t="s">
        <v>1052</v>
      </c>
      <c r="F601" s="593" t="s">
        <v>367</v>
      </c>
      <c r="G601" s="596">
        <v>14</v>
      </c>
      <c r="H601" s="596"/>
      <c r="I601" s="596"/>
      <c r="J601" s="596"/>
      <c r="K601" s="596"/>
      <c r="L601" s="591" t="s">
        <v>319</v>
      </c>
      <c r="M601" s="597" t="str">
        <f t="shared" si="427"/>
        <v>Gang, hal, pantry, aula, repro, gardarobe</v>
      </c>
      <c r="N601" s="591" t="s">
        <v>322</v>
      </c>
      <c r="O601" s="596"/>
      <c r="P601" s="622"/>
      <c r="Q601" s="600">
        <v>0</v>
      </c>
      <c r="R601" s="601">
        <v>3</v>
      </c>
      <c r="S601" s="647">
        <v>104200</v>
      </c>
      <c r="T601" s="602"/>
      <c r="U601" s="645">
        <v>1</v>
      </c>
      <c r="V601" s="593">
        <f t="shared" si="408"/>
        <v>200</v>
      </c>
      <c r="W601" s="604">
        <f t="shared" si="425"/>
        <v>0</v>
      </c>
      <c r="X601" s="604">
        <f t="shared" si="410"/>
        <v>0</v>
      </c>
      <c r="Y601" s="604">
        <f t="shared" si="411"/>
        <v>0</v>
      </c>
      <c r="Z601" s="605">
        <f t="shared" si="412"/>
        <v>0</v>
      </c>
      <c r="AA601" s="751">
        <f t="shared" si="413"/>
        <v>0</v>
      </c>
      <c r="AB601" s="605">
        <f t="shared" si="426"/>
        <v>0</v>
      </c>
      <c r="AC601" s="607"/>
      <c r="AD601" s="591" t="s">
        <v>364</v>
      </c>
      <c r="AE601" s="608"/>
      <c r="AF601" s="639">
        <v>3</v>
      </c>
      <c r="AG601" s="639">
        <f t="shared" si="405"/>
        <v>3</v>
      </c>
      <c r="AH601" s="639">
        <v>0</v>
      </c>
      <c r="AI601" s="640"/>
      <c r="AJ601" s="641">
        <f t="shared" si="383"/>
        <v>0</v>
      </c>
      <c r="AK601" s="642"/>
      <c r="AL601" s="642" t="s">
        <v>364</v>
      </c>
      <c r="AM601" s="643"/>
      <c r="AN601" s="642"/>
      <c r="AO601" s="644"/>
    </row>
    <row r="602" spans="1:41">
      <c r="A602" s="635"/>
      <c r="B602" s="635"/>
      <c r="C602" s="635"/>
      <c r="D602" s="594">
        <v>1</v>
      </c>
      <c r="E602" s="595" t="s">
        <v>1052</v>
      </c>
      <c r="F602" s="593" t="s">
        <v>367</v>
      </c>
      <c r="G602" s="596">
        <v>15</v>
      </c>
      <c r="H602" s="596"/>
      <c r="I602" s="596"/>
      <c r="J602" s="596"/>
      <c r="K602" s="596"/>
      <c r="L602" s="591" t="s">
        <v>1090</v>
      </c>
      <c r="M602" s="597" t="s">
        <v>886</v>
      </c>
      <c r="N602" s="591" t="s">
        <v>323</v>
      </c>
      <c r="O602" s="591"/>
      <c r="P602" s="599"/>
      <c r="Q602" s="600">
        <v>0</v>
      </c>
      <c r="R602" s="601">
        <v>3</v>
      </c>
      <c r="S602" s="603" t="s">
        <v>28</v>
      </c>
      <c r="T602" s="602"/>
      <c r="U602" s="603"/>
      <c r="V602" s="593">
        <f t="shared" si="408"/>
        <v>0</v>
      </c>
      <c r="W602" s="604">
        <f t="shared" si="425"/>
        <v>0</v>
      </c>
      <c r="X602" s="604">
        <f t="shared" si="410"/>
        <v>0</v>
      </c>
      <c r="Y602" s="604">
        <f t="shared" si="411"/>
        <v>0</v>
      </c>
      <c r="Z602" s="605">
        <f t="shared" si="412"/>
        <v>0</v>
      </c>
      <c r="AA602" s="751">
        <f t="shared" si="413"/>
        <v>0</v>
      </c>
      <c r="AB602" s="605">
        <f t="shared" si="426"/>
        <v>0</v>
      </c>
      <c r="AC602" s="607"/>
      <c r="AD602" s="591" t="s">
        <v>364</v>
      </c>
      <c r="AE602" s="608"/>
      <c r="AF602" s="639">
        <v>3</v>
      </c>
      <c r="AG602" s="639">
        <f t="shared" si="405"/>
        <v>3</v>
      </c>
      <c r="AH602" s="639">
        <v>0</v>
      </c>
      <c r="AI602" s="640"/>
      <c r="AJ602" s="641">
        <f t="shared" si="383"/>
        <v>0</v>
      </c>
      <c r="AK602" s="642"/>
      <c r="AL602" s="642" t="s">
        <v>364</v>
      </c>
      <c r="AM602" s="643"/>
      <c r="AN602" s="642"/>
      <c r="AO602" s="644"/>
    </row>
    <row r="603" spans="1:41">
      <c r="A603" s="635"/>
      <c r="B603" s="635"/>
      <c r="C603" s="635"/>
      <c r="D603" s="594">
        <v>1</v>
      </c>
      <c r="E603" s="595" t="s">
        <v>1052</v>
      </c>
      <c r="F603" s="593" t="s">
        <v>367</v>
      </c>
      <c r="G603" s="596">
        <v>16</v>
      </c>
      <c r="H603" s="596"/>
      <c r="I603" s="596"/>
      <c r="J603" s="596"/>
      <c r="K603" s="596"/>
      <c r="L603" s="591" t="s">
        <v>870</v>
      </c>
      <c r="M603" s="597" t="s">
        <v>886</v>
      </c>
      <c r="N603" s="591" t="s">
        <v>323</v>
      </c>
      <c r="O603" s="591"/>
      <c r="P603" s="599"/>
      <c r="Q603" s="600">
        <v>0</v>
      </c>
      <c r="R603" s="601">
        <v>6</v>
      </c>
      <c r="S603" s="603" t="s">
        <v>28</v>
      </c>
      <c r="T603" s="602"/>
      <c r="U603" s="603"/>
      <c r="V603" s="593">
        <f t="shared" si="408"/>
        <v>0</v>
      </c>
      <c r="W603" s="604">
        <f t="shared" si="425"/>
        <v>0</v>
      </c>
      <c r="X603" s="604">
        <f t="shared" si="410"/>
        <v>0</v>
      </c>
      <c r="Y603" s="604">
        <f t="shared" si="411"/>
        <v>0</v>
      </c>
      <c r="Z603" s="605">
        <f t="shared" si="412"/>
        <v>0</v>
      </c>
      <c r="AA603" s="751">
        <f t="shared" si="413"/>
        <v>0</v>
      </c>
      <c r="AB603" s="605">
        <f t="shared" si="426"/>
        <v>0</v>
      </c>
      <c r="AC603" s="607"/>
      <c r="AD603" s="591" t="s">
        <v>364</v>
      </c>
      <c r="AE603" s="608"/>
      <c r="AF603" s="639">
        <v>6</v>
      </c>
      <c r="AG603" s="639">
        <f t="shared" si="405"/>
        <v>6</v>
      </c>
      <c r="AH603" s="639">
        <v>0</v>
      </c>
      <c r="AI603" s="640"/>
      <c r="AJ603" s="641">
        <f t="shared" si="383"/>
        <v>0</v>
      </c>
      <c r="AK603" s="642"/>
      <c r="AL603" s="642" t="s">
        <v>364</v>
      </c>
      <c r="AM603" s="643"/>
      <c r="AN603" s="642"/>
      <c r="AO603" s="644"/>
    </row>
    <row r="604" spans="1:41">
      <c r="A604" s="635"/>
      <c r="B604" s="635"/>
      <c r="C604" s="635"/>
      <c r="D604" s="594">
        <v>1</v>
      </c>
      <c r="E604" s="595" t="s">
        <v>1052</v>
      </c>
      <c r="F604" s="593" t="s">
        <v>367</v>
      </c>
      <c r="G604" s="596">
        <v>17</v>
      </c>
      <c r="H604" s="596" t="s">
        <v>1059</v>
      </c>
      <c r="I604" s="596"/>
      <c r="J604" s="596"/>
      <c r="K604" s="596"/>
      <c r="L604" s="591" t="s">
        <v>1091</v>
      </c>
      <c r="M604" s="597" t="str">
        <f t="shared" ref="M604" si="428">VLOOKUP(S604,Kengetal,4,FALSE)</f>
        <v>Keuken, spoelkeuken</v>
      </c>
      <c r="N604" s="591" t="s">
        <v>323</v>
      </c>
      <c r="O604" s="591"/>
      <c r="P604" s="599"/>
      <c r="Q604" s="600">
        <v>0</v>
      </c>
      <c r="R604" s="601">
        <f t="shared" ref="R604" si="429">AF604</f>
        <v>90</v>
      </c>
      <c r="S604" s="647">
        <v>105200</v>
      </c>
      <c r="T604" s="602"/>
      <c r="U604" s="645">
        <v>1</v>
      </c>
      <c r="V604" s="593">
        <f t="shared" si="408"/>
        <v>200</v>
      </c>
      <c r="W604" s="604">
        <f t="shared" si="425"/>
        <v>0</v>
      </c>
      <c r="X604" s="604">
        <f t="shared" si="410"/>
        <v>0</v>
      </c>
      <c r="Y604" s="604">
        <f t="shared" si="411"/>
        <v>0</v>
      </c>
      <c r="Z604" s="605">
        <f t="shared" si="412"/>
        <v>0</v>
      </c>
      <c r="AA604" s="751">
        <f t="shared" si="413"/>
        <v>0</v>
      </c>
      <c r="AB604" s="605">
        <f t="shared" si="426"/>
        <v>0</v>
      </c>
      <c r="AC604" s="607"/>
      <c r="AD604" s="591" t="s">
        <v>364</v>
      </c>
      <c r="AE604" s="608"/>
      <c r="AF604" s="639">
        <v>90</v>
      </c>
      <c r="AG604" s="639">
        <f t="shared" si="405"/>
        <v>90</v>
      </c>
      <c r="AH604" s="639">
        <v>0</v>
      </c>
      <c r="AI604" s="640"/>
      <c r="AJ604" s="641">
        <f t="shared" si="383"/>
        <v>0</v>
      </c>
      <c r="AK604" s="642"/>
      <c r="AL604" s="642" t="s">
        <v>364</v>
      </c>
      <c r="AM604" s="643"/>
      <c r="AN604" s="642"/>
      <c r="AO604" s="644"/>
    </row>
    <row r="605" spans="1:41">
      <c r="A605" s="635"/>
      <c r="B605" s="635"/>
      <c r="C605" s="635"/>
      <c r="D605" s="609">
        <v>1</v>
      </c>
      <c r="E605" s="595" t="s">
        <v>1052</v>
      </c>
      <c r="F605" s="593" t="s">
        <v>367</v>
      </c>
      <c r="G605" s="610">
        <v>17</v>
      </c>
      <c r="H605" s="610" t="s">
        <v>1059</v>
      </c>
      <c r="I605" s="610"/>
      <c r="J605" s="610"/>
      <c r="K605" s="610"/>
      <c r="L605" s="611" t="s">
        <v>1091</v>
      </c>
      <c r="M605" s="612" t="s">
        <v>1092</v>
      </c>
      <c r="N605" s="613"/>
      <c r="O605" s="611" t="s">
        <v>1037</v>
      </c>
      <c r="P605" s="615">
        <v>10</v>
      </c>
      <c r="Q605" s="616">
        <v>9</v>
      </c>
      <c r="R605" s="613"/>
      <c r="S605" s="603"/>
      <c r="T605" s="606"/>
      <c r="U605" s="606"/>
      <c r="V605" s="593">
        <f t="shared" si="408"/>
        <v>0</v>
      </c>
      <c r="W605" s="604">
        <f t="shared" si="409"/>
        <v>0</v>
      </c>
      <c r="X605" s="604">
        <f t="shared" si="410"/>
        <v>0</v>
      </c>
      <c r="Y605" s="604">
        <f t="shared" si="411"/>
        <v>0</v>
      </c>
      <c r="Z605" s="605">
        <f t="shared" si="412"/>
        <v>0</v>
      </c>
      <c r="AA605" s="606">
        <f t="shared" si="413"/>
        <v>0</v>
      </c>
      <c r="AB605" s="605">
        <f t="shared" si="414"/>
        <v>0</v>
      </c>
      <c r="AC605" s="607"/>
      <c r="AD605" s="606"/>
      <c r="AE605" s="608"/>
      <c r="AF605" s="639">
        <v>90</v>
      </c>
      <c r="AG605" s="639">
        <f t="shared" si="405"/>
        <v>90</v>
      </c>
      <c r="AH605" s="639">
        <v>0</v>
      </c>
      <c r="AI605" s="640"/>
      <c r="AJ605" s="641">
        <f t="shared" si="383"/>
        <v>0</v>
      </c>
      <c r="AK605" s="642"/>
      <c r="AL605" s="642" t="s">
        <v>364</v>
      </c>
      <c r="AM605" s="643"/>
      <c r="AN605" s="642"/>
      <c r="AO605" s="644"/>
    </row>
    <row r="606" spans="1:41">
      <c r="A606" s="635"/>
      <c r="B606" s="635"/>
      <c r="C606" s="635"/>
      <c r="D606" s="609">
        <v>1</v>
      </c>
      <c r="E606" s="595" t="s">
        <v>1052</v>
      </c>
      <c r="F606" s="593" t="s">
        <v>367</v>
      </c>
      <c r="G606" s="610">
        <v>17</v>
      </c>
      <c r="H606" s="610" t="s">
        <v>1059</v>
      </c>
      <c r="I606" s="610"/>
      <c r="J606" s="610"/>
      <c r="K606" s="610"/>
      <c r="L606" s="611" t="s">
        <v>1091</v>
      </c>
      <c r="M606" s="612" t="s">
        <v>1092</v>
      </c>
      <c r="N606" s="613"/>
      <c r="O606" s="611"/>
      <c r="P606" s="615"/>
      <c r="Q606" s="616">
        <v>0</v>
      </c>
      <c r="R606" s="613"/>
      <c r="S606" s="603"/>
      <c r="T606" s="606"/>
      <c r="U606" s="606"/>
      <c r="V606" s="593">
        <f t="shared" si="408"/>
        <v>0</v>
      </c>
      <c r="W606" s="604">
        <f t="shared" si="409"/>
        <v>0</v>
      </c>
      <c r="X606" s="604">
        <f t="shared" si="410"/>
        <v>0</v>
      </c>
      <c r="Y606" s="604">
        <f t="shared" si="411"/>
        <v>0</v>
      </c>
      <c r="Z606" s="605">
        <f t="shared" si="412"/>
        <v>0</v>
      </c>
      <c r="AA606" s="606">
        <f t="shared" si="413"/>
        <v>0</v>
      </c>
      <c r="AB606" s="605">
        <f t="shared" si="414"/>
        <v>0</v>
      </c>
      <c r="AC606" s="607"/>
      <c r="AD606" s="606"/>
      <c r="AE606" s="608"/>
      <c r="AF606" s="639">
        <v>90</v>
      </c>
      <c r="AG606" s="639">
        <f t="shared" si="405"/>
        <v>90</v>
      </c>
      <c r="AH606" s="639">
        <v>0</v>
      </c>
      <c r="AI606" s="640"/>
      <c r="AJ606" s="641">
        <f t="shared" si="383"/>
        <v>0</v>
      </c>
      <c r="AK606" s="642"/>
      <c r="AL606" s="642" t="s">
        <v>364</v>
      </c>
      <c r="AM606" s="643"/>
      <c r="AN606" s="642"/>
      <c r="AO606" s="644"/>
    </row>
    <row r="607" spans="1:41">
      <c r="A607" s="635"/>
      <c r="B607" s="635"/>
      <c r="C607" s="635"/>
      <c r="D607" s="609">
        <v>1</v>
      </c>
      <c r="E607" s="595" t="s">
        <v>1052</v>
      </c>
      <c r="F607" s="593" t="s">
        <v>367</v>
      </c>
      <c r="G607" s="610">
        <v>17</v>
      </c>
      <c r="H607" s="610" t="s">
        <v>1059</v>
      </c>
      <c r="I607" s="610"/>
      <c r="J607" s="610"/>
      <c r="K607" s="610"/>
      <c r="L607" s="611" t="s">
        <v>1091</v>
      </c>
      <c r="M607" s="612" t="s">
        <v>1092</v>
      </c>
      <c r="N607" s="613"/>
      <c r="O607" s="611"/>
      <c r="P607" s="615"/>
      <c r="Q607" s="616">
        <v>0</v>
      </c>
      <c r="R607" s="613"/>
      <c r="S607" s="603"/>
      <c r="T607" s="606"/>
      <c r="U607" s="606"/>
      <c r="V607" s="593">
        <f t="shared" si="408"/>
        <v>0</v>
      </c>
      <c r="W607" s="604">
        <f t="shared" si="409"/>
        <v>0</v>
      </c>
      <c r="X607" s="604">
        <f t="shared" si="410"/>
        <v>0</v>
      </c>
      <c r="Y607" s="604">
        <f t="shared" si="411"/>
        <v>0</v>
      </c>
      <c r="Z607" s="605">
        <f t="shared" si="412"/>
        <v>0</v>
      </c>
      <c r="AA607" s="606">
        <f t="shared" si="413"/>
        <v>0</v>
      </c>
      <c r="AB607" s="605">
        <f t="shared" si="414"/>
        <v>0</v>
      </c>
      <c r="AC607" s="607"/>
      <c r="AD607" s="606"/>
      <c r="AE607" s="608"/>
      <c r="AF607" s="639">
        <v>90</v>
      </c>
      <c r="AG607" s="639">
        <f t="shared" si="405"/>
        <v>90</v>
      </c>
      <c r="AH607" s="639">
        <v>0</v>
      </c>
      <c r="AI607" s="640"/>
      <c r="AJ607" s="641">
        <f t="shared" si="383"/>
        <v>0</v>
      </c>
      <c r="AK607" s="642"/>
      <c r="AL607" s="642" t="s">
        <v>364</v>
      </c>
      <c r="AM607" s="643"/>
      <c r="AN607" s="642"/>
      <c r="AO607" s="644"/>
    </row>
    <row r="608" spans="1:41">
      <c r="A608" s="635"/>
      <c r="B608" s="635"/>
      <c r="C608" s="635"/>
      <c r="D608" s="594">
        <v>1</v>
      </c>
      <c r="E608" s="595" t="s">
        <v>1052</v>
      </c>
      <c r="F608" s="593" t="s">
        <v>367</v>
      </c>
      <c r="G608" s="596">
        <v>18</v>
      </c>
      <c r="H608" s="596"/>
      <c r="I608" s="596"/>
      <c r="J608" s="596"/>
      <c r="K608" s="596"/>
      <c r="L608" s="591" t="s">
        <v>771</v>
      </c>
      <c r="M608" s="597" t="s">
        <v>886</v>
      </c>
      <c r="N608" s="591" t="s">
        <v>323</v>
      </c>
      <c r="O608" s="591"/>
      <c r="P608" s="599"/>
      <c r="Q608" s="600">
        <v>0</v>
      </c>
      <c r="R608" s="601">
        <v>4</v>
      </c>
      <c r="S608" s="603" t="s">
        <v>28</v>
      </c>
      <c r="T608" s="602"/>
      <c r="U608" s="603"/>
      <c r="V608" s="593">
        <f t="shared" si="408"/>
        <v>0</v>
      </c>
      <c r="W608" s="604">
        <f t="shared" ref="W608:W615" si="430">Z608*R608*U608</f>
        <v>0</v>
      </c>
      <c r="X608" s="604">
        <f t="shared" si="410"/>
        <v>0</v>
      </c>
      <c r="Y608" s="604">
        <f t="shared" si="411"/>
        <v>0</v>
      </c>
      <c r="Z608" s="605">
        <f t="shared" si="412"/>
        <v>0</v>
      </c>
      <c r="AA608" s="751">
        <f t="shared" si="413"/>
        <v>0</v>
      </c>
      <c r="AB608" s="605">
        <f t="shared" ref="AB608:AB615" si="431">VLOOKUP(T608,Kengetal,6,FALSE)</f>
        <v>0</v>
      </c>
      <c r="AC608" s="607"/>
      <c r="AD608" s="591" t="s">
        <v>364</v>
      </c>
      <c r="AE608" s="608"/>
      <c r="AF608" s="639">
        <v>4</v>
      </c>
      <c r="AG608" s="639">
        <f t="shared" si="405"/>
        <v>4</v>
      </c>
      <c r="AH608" s="639">
        <v>0</v>
      </c>
      <c r="AI608" s="640"/>
      <c r="AJ608" s="641">
        <f t="shared" si="383"/>
        <v>0</v>
      </c>
      <c r="AK608" s="642"/>
      <c r="AL608" s="642" t="s">
        <v>364</v>
      </c>
      <c r="AM608" s="643"/>
      <c r="AN608" s="642"/>
      <c r="AO608" s="644"/>
    </row>
    <row r="609" spans="1:41">
      <c r="A609" s="635"/>
      <c r="B609" s="635"/>
      <c r="C609" s="635"/>
      <c r="D609" s="594">
        <v>1</v>
      </c>
      <c r="E609" s="595" t="s">
        <v>1052</v>
      </c>
      <c r="F609" s="593" t="s">
        <v>367</v>
      </c>
      <c r="G609" s="596">
        <v>19</v>
      </c>
      <c r="H609" s="596" t="s">
        <v>1060</v>
      </c>
      <c r="I609" s="596"/>
      <c r="J609" s="596"/>
      <c r="K609" s="596"/>
      <c r="L609" s="591" t="s">
        <v>846</v>
      </c>
      <c r="M609" s="597" t="str">
        <f t="shared" ref="M609:M610" si="432">VLOOKUP(S609,Kengetal,4,FALSE)</f>
        <v>Restaurant, kantine, atrium</v>
      </c>
      <c r="N609" s="591" t="s">
        <v>322</v>
      </c>
      <c r="O609" s="591"/>
      <c r="P609" s="599"/>
      <c r="Q609" s="600">
        <v>0</v>
      </c>
      <c r="R609" s="601">
        <v>101</v>
      </c>
      <c r="S609" s="647">
        <v>106200</v>
      </c>
      <c r="T609" s="602"/>
      <c r="U609" s="645">
        <v>1</v>
      </c>
      <c r="V609" s="593">
        <f t="shared" si="408"/>
        <v>200</v>
      </c>
      <c r="W609" s="604">
        <f t="shared" si="430"/>
        <v>0</v>
      </c>
      <c r="X609" s="604">
        <f t="shared" si="410"/>
        <v>0</v>
      </c>
      <c r="Y609" s="604">
        <f t="shared" si="411"/>
        <v>0</v>
      </c>
      <c r="Z609" s="605">
        <f t="shared" si="412"/>
        <v>0</v>
      </c>
      <c r="AA609" s="751">
        <f t="shared" si="413"/>
        <v>0</v>
      </c>
      <c r="AB609" s="605">
        <f t="shared" si="431"/>
        <v>0</v>
      </c>
      <c r="AC609" s="607"/>
      <c r="AD609" s="591" t="s">
        <v>364</v>
      </c>
      <c r="AE609" s="608"/>
      <c r="AF609" s="639">
        <v>101</v>
      </c>
      <c r="AG609" s="639">
        <f t="shared" si="405"/>
        <v>101</v>
      </c>
      <c r="AH609" s="639">
        <v>0</v>
      </c>
      <c r="AI609" s="640"/>
      <c r="AJ609" s="641">
        <f t="shared" ref="AJ609:AJ672" si="433">W609+X609</f>
        <v>0</v>
      </c>
      <c r="AK609" s="642"/>
      <c r="AL609" s="642" t="s">
        <v>364</v>
      </c>
      <c r="AM609" s="643"/>
      <c r="AN609" s="642"/>
      <c r="AO609" s="644"/>
    </row>
    <row r="610" spans="1:41">
      <c r="A610" s="635"/>
      <c r="B610" s="635"/>
      <c r="C610" s="635"/>
      <c r="D610" s="594">
        <v>1</v>
      </c>
      <c r="E610" s="595" t="s">
        <v>1052</v>
      </c>
      <c r="F610" s="593" t="s">
        <v>367</v>
      </c>
      <c r="G610" s="596">
        <v>20</v>
      </c>
      <c r="H610" s="596" t="s">
        <v>1060</v>
      </c>
      <c r="I610" s="596"/>
      <c r="J610" s="596"/>
      <c r="K610" s="596"/>
      <c r="L610" s="591" t="s">
        <v>334</v>
      </c>
      <c r="M610" s="597" t="str">
        <f t="shared" si="432"/>
        <v>Keuken, spoelkeuken</v>
      </c>
      <c r="N610" s="591" t="s">
        <v>322</v>
      </c>
      <c r="O610" s="591"/>
      <c r="P610" s="599"/>
      <c r="Q610" s="600">
        <v>0</v>
      </c>
      <c r="R610" s="601">
        <v>15</v>
      </c>
      <c r="S610" s="647">
        <v>105200</v>
      </c>
      <c r="T610" s="602"/>
      <c r="U610" s="645">
        <v>1</v>
      </c>
      <c r="V610" s="593">
        <f t="shared" si="408"/>
        <v>200</v>
      </c>
      <c r="W610" s="604">
        <f t="shared" si="430"/>
        <v>0</v>
      </c>
      <c r="X610" s="604">
        <f t="shared" si="410"/>
        <v>0</v>
      </c>
      <c r="Y610" s="604">
        <f t="shared" si="411"/>
        <v>0</v>
      </c>
      <c r="Z610" s="605">
        <f t="shared" si="412"/>
        <v>0</v>
      </c>
      <c r="AA610" s="751">
        <f t="shared" si="413"/>
        <v>0</v>
      </c>
      <c r="AB610" s="605">
        <f t="shared" si="431"/>
        <v>0</v>
      </c>
      <c r="AC610" s="607"/>
      <c r="AD610" s="591" t="s">
        <v>364</v>
      </c>
      <c r="AE610" s="608"/>
      <c r="AF610" s="639">
        <v>15</v>
      </c>
      <c r="AG610" s="639">
        <f t="shared" si="405"/>
        <v>15</v>
      </c>
      <c r="AH610" s="639">
        <v>0</v>
      </c>
      <c r="AI610" s="640"/>
      <c r="AJ610" s="641">
        <f t="shared" si="433"/>
        <v>0</v>
      </c>
      <c r="AK610" s="642"/>
      <c r="AL610" s="642" t="s">
        <v>364</v>
      </c>
      <c r="AM610" s="643"/>
      <c r="AN610" s="642"/>
      <c r="AO610" s="644"/>
    </row>
    <row r="611" spans="1:41">
      <c r="A611" s="635"/>
      <c r="B611" s="635"/>
      <c r="C611" s="635"/>
      <c r="D611" s="594">
        <v>1</v>
      </c>
      <c r="E611" s="595" t="s">
        <v>1052</v>
      </c>
      <c r="F611" s="593" t="s">
        <v>367</v>
      </c>
      <c r="G611" s="596">
        <v>21</v>
      </c>
      <c r="H611" s="596"/>
      <c r="I611" s="596"/>
      <c r="J611" s="596"/>
      <c r="K611" s="596"/>
      <c r="L611" s="591" t="s">
        <v>871</v>
      </c>
      <c r="M611" s="597" t="s">
        <v>1022</v>
      </c>
      <c r="N611" s="591" t="s">
        <v>322</v>
      </c>
      <c r="O611" s="591"/>
      <c r="P611" s="599"/>
      <c r="Q611" s="600">
        <v>0</v>
      </c>
      <c r="R611" s="601">
        <v>11</v>
      </c>
      <c r="S611" s="603" t="s">
        <v>959</v>
      </c>
      <c r="T611" s="602"/>
      <c r="U611" s="603"/>
      <c r="V611" s="593">
        <f t="shared" si="408"/>
        <v>0</v>
      </c>
      <c r="W611" s="604">
        <f t="shared" si="430"/>
        <v>0</v>
      </c>
      <c r="X611" s="604">
        <f t="shared" si="410"/>
        <v>0</v>
      </c>
      <c r="Y611" s="604">
        <f t="shared" si="411"/>
        <v>0</v>
      </c>
      <c r="Z611" s="605">
        <f t="shared" si="412"/>
        <v>0</v>
      </c>
      <c r="AA611" s="751">
        <f t="shared" si="413"/>
        <v>0</v>
      </c>
      <c r="AB611" s="605">
        <f t="shared" si="431"/>
        <v>0</v>
      </c>
      <c r="AC611" s="607"/>
      <c r="AD611" s="591" t="s">
        <v>364</v>
      </c>
      <c r="AE611" s="608"/>
      <c r="AF611" s="639">
        <v>11</v>
      </c>
      <c r="AG611" s="639">
        <f t="shared" si="405"/>
        <v>11</v>
      </c>
      <c r="AH611" s="639">
        <v>0</v>
      </c>
      <c r="AI611" s="640"/>
      <c r="AJ611" s="641">
        <f t="shared" si="433"/>
        <v>0</v>
      </c>
      <c r="AK611" s="642"/>
      <c r="AL611" s="642" t="s">
        <v>364</v>
      </c>
      <c r="AM611" s="643"/>
      <c r="AN611" s="642"/>
      <c r="AO611" s="644"/>
    </row>
    <row r="612" spans="1:41">
      <c r="A612" s="635"/>
      <c r="B612" s="635"/>
      <c r="C612" s="635"/>
      <c r="D612" s="594">
        <v>1</v>
      </c>
      <c r="E612" s="595" t="s">
        <v>1052</v>
      </c>
      <c r="F612" s="593" t="s">
        <v>367</v>
      </c>
      <c r="G612" s="596">
        <v>22</v>
      </c>
      <c r="H612" s="596"/>
      <c r="I612" s="596"/>
      <c r="J612" s="596"/>
      <c r="K612" s="596"/>
      <c r="L612" s="591" t="s">
        <v>872</v>
      </c>
      <c r="M612" s="597" t="str">
        <f t="shared" ref="M612:M615" si="434">VLOOKUP(S612,Kengetal,4,FALSE)</f>
        <v>Sanitaire ruimte (toilet-/doucheruimte)</v>
      </c>
      <c r="N612" s="591" t="s">
        <v>323</v>
      </c>
      <c r="O612" s="591"/>
      <c r="P612" s="599"/>
      <c r="Q612" s="600">
        <v>0</v>
      </c>
      <c r="R612" s="601">
        <v>9</v>
      </c>
      <c r="S612" s="647">
        <v>103200</v>
      </c>
      <c r="T612" s="647"/>
      <c r="U612" s="645">
        <v>1</v>
      </c>
      <c r="V612" s="593">
        <f t="shared" si="408"/>
        <v>200</v>
      </c>
      <c r="W612" s="604">
        <f t="shared" si="430"/>
        <v>0</v>
      </c>
      <c r="X612" s="604">
        <f t="shared" si="410"/>
        <v>0</v>
      </c>
      <c r="Y612" s="604">
        <f t="shared" si="411"/>
        <v>0</v>
      </c>
      <c r="Z612" s="605">
        <f t="shared" si="412"/>
        <v>0</v>
      </c>
      <c r="AA612" s="751">
        <f t="shared" si="413"/>
        <v>0</v>
      </c>
      <c r="AB612" s="605">
        <f t="shared" si="431"/>
        <v>0</v>
      </c>
      <c r="AC612" s="607"/>
      <c r="AD612" s="591" t="s">
        <v>364</v>
      </c>
      <c r="AE612" s="608"/>
      <c r="AF612" s="639">
        <v>9</v>
      </c>
      <c r="AG612" s="639">
        <f t="shared" si="405"/>
        <v>9</v>
      </c>
      <c r="AH612" s="639">
        <v>0</v>
      </c>
      <c r="AI612" s="640"/>
      <c r="AJ612" s="641">
        <f t="shared" si="433"/>
        <v>0</v>
      </c>
      <c r="AK612" s="642"/>
      <c r="AL612" s="642" t="s">
        <v>364</v>
      </c>
      <c r="AM612" s="643"/>
      <c r="AN612" s="642"/>
      <c r="AO612" s="644"/>
    </row>
    <row r="613" spans="1:41">
      <c r="A613" s="635"/>
      <c r="B613" s="635"/>
      <c r="C613" s="635"/>
      <c r="D613" s="594">
        <v>1</v>
      </c>
      <c r="E613" s="595" t="s">
        <v>1052</v>
      </c>
      <c r="F613" s="593" t="s">
        <v>367</v>
      </c>
      <c r="G613" s="596">
        <v>23</v>
      </c>
      <c r="H613" s="596"/>
      <c r="I613" s="596"/>
      <c r="J613" s="596"/>
      <c r="K613" s="596"/>
      <c r="L613" s="591" t="s">
        <v>319</v>
      </c>
      <c r="M613" s="597" t="str">
        <f t="shared" si="434"/>
        <v>Gang, hal, pantry, aula, repro, gardarobe</v>
      </c>
      <c r="N613" s="591" t="s">
        <v>322</v>
      </c>
      <c r="O613" s="591"/>
      <c r="P613" s="599"/>
      <c r="Q613" s="600">
        <v>0</v>
      </c>
      <c r="R613" s="601">
        <v>48</v>
      </c>
      <c r="S613" s="647">
        <v>104200</v>
      </c>
      <c r="T613" s="602"/>
      <c r="U613" s="645">
        <v>1</v>
      </c>
      <c r="V613" s="593">
        <f t="shared" si="408"/>
        <v>200</v>
      </c>
      <c r="W613" s="604">
        <f t="shared" si="430"/>
        <v>0</v>
      </c>
      <c r="X613" s="604">
        <f t="shared" si="410"/>
        <v>0</v>
      </c>
      <c r="Y613" s="604">
        <f t="shared" si="411"/>
        <v>0</v>
      </c>
      <c r="Z613" s="605">
        <f t="shared" si="412"/>
        <v>0</v>
      </c>
      <c r="AA613" s="751">
        <f t="shared" si="413"/>
        <v>0</v>
      </c>
      <c r="AB613" s="605">
        <f t="shared" si="431"/>
        <v>0</v>
      </c>
      <c r="AC613" s="607"/>
      <c r="AD613" s="591" t="s">
        <v>364</v>
      </c>
      <c r="AE613" s="608"/>
      <c r="AF613" s="639">
        <v>48</v>
      </c>
      <c r="AG613" s="639">
        <f t="shared" si="405"/>
        <v>48</v>
      </c>
      <c r="AH613" s="639">
        <v>0</v>
      </c>
      <c r="AI613" s="640"/>
      <c r="AJ613" s="641">
        <f t="shared" si="433"/>
        <v>0</v>
      </c>
      <c r="AK613" s="642"/>
      <c r="AL613" s="642" t="s">
        <v>364</v>
      </c>
      <c r="AM613" s="643"/>
      <c r="AN613" s="642"/>
      <c r="AO613" s="644"/>
    </row>
    <row r="614" spans="1:41">
      <c r="A614" s="635"/>
      <c r="B614" s="635"/>
      <c r="C614" s="635"/>
      <c r="D614" s="594">
        <v>1</v>
      </c>
      <c r="E614" s="595" t="s">
        <v>1052</v>
      </c>
      <c r="F614" s="593" t="s">
        <v>367</v>
      </c>
      <c r="G614" s="596">
        <v>24</v>
      </c>
      <c r="H614" s="596"/>
      <c r="I614" s="596"/>
      <c r="J614" s="596"/>
      <c r="K614" s="596"/>
      <c r="L614" s="591" t="s">
        <v>872</v>
      </c>
      <c r="M614" s="597" t="str">
        <f t="shared" si="434"/>
        <v>Sanitaire ruimte (toilet-/doucheruimte)</v>
      </c>
      <c r="N614" s="591" t="s">
        <v>323</v>
      </c>
      <c r="O614" s="591"/>
      <c r="P614" s="599"/>
      <c r="Q614" s="600">
        <v>0</v>
      </c>
      <c r="R614" s="601">
        <v>9</v>
      </c>
      <c r="S614" s="647">
        <v>103200</v>
      </c>
      <c r="T614" s="647"/>
      <c r="U614" s="645">
        <v>1</v>
      </c>
      <c r="V614" s="593">
        <f t="shared" si="408"/>
        <v>200</v>
      </c>
      <c r="W614" s="604">
        <f t="shared" si="430"/>
        <v>0</v>
      </c>
      <c r="X614" s="604">
        <f t="shared" si="410"/>
        <v>0</v>
      </c>
      <c r="Y614" s="604">
        <f t="shared" si="411"/>
        <v>0</v>
      </c>
      <c r="Z614" s="605">
        <f t="shared" si="412"/>
        <v>0</v>
      </c>
      <c r="AA614" s="751">
        <f t="shared" si="413"/>
        <v>0</v>
      </c>
      <c r="AB614" s="605">
        <f t="shared" si="431"/>
        <v>0</v>
      </c>
      <c r="AC614" s="607"/>
      <c r="AD614" s="591" t="s">
        <v>364</v>
      </c>
      <c r="AE614" s="608"/>
      <c r="AF614" s="639">
        <v>9</v>
      </c>
      <c r="AG614" s="639">
        <f t="shared" si="405"/>
        <v>9</v>
      </c>
      <c r="AH614" s="639">
        <v>0</v>
      </c>
      <c r="AI614" s="640"/>
      <c r="AJ614" s="641">
        <f t="shared" si="433"/>
        <v>0</v>
      </c>
      <c r="AK614" s="642"/>
      <c r="AL614" s="642" t="s">
        <v>364</v>
      </c>
      <c r="AM614" s="643"/>
      <c r="AN614" s="642"/>
      <c r="AO614" s="644"/>
    </row>
    <row r="615" spans="1:41">
      <c r="A615" s="635"/>
      <c r="B615" s="635"/>
      <c r="C615" s="635"/>
      <c r="D615" s="594">
        <v>1</v>
      </c>
      <c r="E615" s="595" t="s">
        <v>1052</v>
      </c>
      <c r="F615" s="593" t="s">
        <v>367</v>
      </c>
      <c r="G615" s="596">
        <v>25</v>
      </c>
      <c r="H615" s="596" t="s">
        <v>1061</v>
      </c>
      <c r="I615" s="596"/>
      <c r="J615" s="596"/>
      <c r="K615" s="596"/>
      <c r="L615" s="591" t="s">
        <v>340</v>
      </c>
      <c r="M615" s="597" t="str">
        <f t="shared" si="434"/>
        <v>Onderwijsruimte (theorie)</v>
      </c>
      <c r="N615" s="591" t="s">
        <v>78</v>
      </c>
      <c r="O615" s="620"/>
      <c r="P615" s="599"/>
      <c r="Q615" s="600">
        <v>0</v>
      </c>
      <c r="R615" s="601">
        <v>59</v>
      </c>
      <c r="S615" s="647">
        <v>102200</v>
      </c>
      <c r="T615" s="602"/>
      <c r="U615" s="645">
        <v>1</v>
      </c>
      <c r="V615" s="593">
        <f t="shared" si="408"/>
        <v>200</v>
      </c>
      <c r="W615" s="604">
        <f t="shared" si="430"/>
        <v>0</v>
      </c>
      <c r="X615" s="604">
        <f t="shared" si="410"/>
        <v>0</v>
      </c>
      <c r="Y615" s="604">
        <f t="shared" si="411"/>
        <v>0</v>
      </c>
      <c r="Z615" s="605">
        <f t="shared" si="412"/>
        <v>0</v>
      </c>
      <c r="AA615" s="751">
        <f t="shared" si="413"/>
        <v>0</v>
      </c>
      <c r="AB615" s="605">
        <f t="shared" si="431"/>
        <v>0</v>
      </c>
      <c r="AC615" s="607"/>
      <c r="AD615" s="591" t="s">
        <v>364</v>
      </c>
      <c r="AE615" s="608"/>
      <c r="AF615" s="639">
        <v>59</v>
      </c>
      <c r="AG615" s="639">
        <f t="shared" si="405"/>
        <v>59</v>
      </c>
      <c r="AH615" s="639">
        <v>0</v>
      </c>
      <c r="AI615" s="640"/>
      <c r="AJ615" s="641">
        <f t="shared" si="433"/>
        <v>0</v>
      </c>
      <c r="AK615" s="642"/>
      <c r="AL615" s="642" t="s">
        <v>364</v>
      </c>
      <c r="AM615" s="643"/>
      <c r="AN615" s="642"/>
      <c r="AO615" s="644"/>
    </row>
    <row r="616" spans="1:41">
      <c r="A616" s="635"/>
      <c r="B616" s="635"/>
      <c r="C616" s="635"/>
      <c r="D616" s="609">
        <v>1</v>
      </c>
      <c r="E616" s="595" t="s">
        <v>1052</v>
      </c>
      <c r="F616" s="593" t="s">
        <v>367</v>
      </c>
      <c r="G616" s="610">
        <v>25</v>
      </c>
      <c r="H616" s="610" t="s">
        <v>1061</v>
      </c>
      <c r="I616" s="610"/>
      <c r="J616" s="610"/>
      <c r="K616" s="610"/>
      <c r="L616" s="611" t="s">
        <v>340</v>
      </c>
      <c r="M616" s="612" t="s">
        <v>808</v>
      </c>
      <c r="N616" s="613"/>
      <c r="O616" s="611" t="s">
        <v>1093</v>
      </c>
      <c r="P616" s="615">
        <v>100</v>
      </c>
      <c r="Q616" s="616">
        <v>59</v>
      </c>
      <c r="R616" s="613"/>
      <c r="S616" s="603"/>
      <c r="T616" s="602"/>
      <c r="U616" s="603"/>
      <c r="V616" s="593">
        <f t="shared" si="408"/>
        <v>0</v>
      </c>
      <c r="W616" s="604">
        <f t="shared" si="409"/>
        <v>0</v>
      </c>
      <c r="X616" s="604">
        <f t="shared" si="410"/>
        <v>0</v>
      </c>
      <c r="Y616" s="604">
        <f t="shared" si="411"/>
        <v>0</v>
      </c>
      <c r="Z616" s="605">
        <f t="shared" ref="Z616:Z642" si="435">VLOOKUP(S616,Kengetal,6,FALSE)</f>
        <v>0</v>
      </c>
      <c r="AA616" s="606">
        <f t="shared" ref="AA616:AA642" si="436">VLOOKUP(S616,Kengetal,7,FALSE)</f>
        <v>0</v>
      </c>
      <c r="AB616" s="605">
        <f t="shared" si="414"/>
        <v>0</v>
      </c>
      <c r="AC616" s="607"/>
      <c r="AD616" s="606"/>
      <c r="AE616" s="608"/>
      <c r="AF616" s="639">
        <v>59</v>
      </c>
      <c r="AG616" s="639">
        <f t="shared" si="405"/>
        <v>59</v>
      </c>
      <c r="AH616" s="639">
        <v>0</v>
      </c>
      <c r="AI616" s="640"/>
      <c r="AJ616" s="641">
        <f t="shared" si="433"/>
        <v>0</v>
      </c>
      <c r="AK616" s="642"/>
      <c r="AL616" s="642" t="s">
        <v>364</v>
      </c>
      <c r="AM616" s="643"/>
      <c r="AN616" s="642"/>
      <c r="AO616" s="644"/>
    </row>
    <row r="617" spans="1:41">
      <c r="A617" s="635"/>
      <c r="B617" s="635"/>
      <c r="C617" s="635"/>
      <c r="D617" s="594">
        <v>1</v>
      </c>
      <c r="E617" s="595" t="s">
        <v>1052</v>
      </c>
      <c r="F617" s="593" t="s">
        <v>367</v>
      </c>
      <c r="G617" s="596">
        <v>26</v>
      </c>
      <c r="H617" s="596" t="s">
        <v>1062</v>
      </c>
      <c r="I617" s="596"/>
      <c r="J617" s="596"/>
      <c r="K617" s="596"/>
      <c r="L617" s="591" t="s">
        <v>849</v>
      </c>
      <c r="M617" s="597" t="str">
        <f t="shared" ref="M617:M621" si="437">VLOOKUP(S617,Kengetal,4,FALSE)</f>
        <v>Administratieve -, personeels- en vergaderruimte</v>
      </c>
      <c r="N617" s="591" t="s">
        <v>78</v>
      </c>
      <c r="O617" s="591"/>
      <c r="P617" s="599"/>
      <c r="Q617" s="600">
        <v>0</v>
      </c>
      <c r="R617" s="601">
        <v>38</v>
      </c>
      <c r="S617" s="647">
        <v>101100</v>
      </c>
      <c r="T617" s="602"/>
      <c r="U617" s="645">
        <v>1</v>
      </c>
      <c r="V617" s="593">
        <f t="shared" si="408"/>
        <v>100</v>
      </c>
      <c r="W617" s="604">
        <f t="shared" ref="W617:W623" si="438">Z617*R617*U617</f>
        <v>0</v>
      </c>
      <c r="X617" s="604">
        <f t="shared" si="410"/>
        <v>0</v>
      </c>
      <c r="Y617" s="604">
        <f t="shared" si="411"/>
        <v>0</v>
      </c>
      <c r="Z617" s="605">
        <f t="shared" si="435"/>
        <v>0</v>
      </c>
      <c r="AA617" s="751">
        <f t="shared" si="436"/>
        <v>0</v>
      </c>
      <c r="AB617" s="605">
        <f t="shared" ref="AB617:AB623" si="439">VLOOKUP(T617,Kengetal,6,FALSE)</f>
        <v>0</v>
      </c>
      <c r="AC617" s="607"/>
      <c r="AD617" s="591" t="s">
        <v>364</v>
      </c>
      <c r="AE617" s="608"/>
      <c r="AF617" s="639">
        <v>38</v>
      </c>
      <c r="AG617" s="639">
        <f t="shared" si="405"/>
        <v>38</v>
      </c>
      <c r="AH617" s="639">
        <v>0</v>
      </c>
      <c r="AI617" s="640"/>
      <c r="AJ617" s="641">
        <f t="shared" si="433"/>
        <v>0</v>
      </c>
      <c r="AK617" s="642"/>
      <c r="AL617" s="642" t="s">
        <v>364</v>
      </c>
      <c r="AM617" s="643"/>
      <c r="AN617" s="642"/>
      <c r="AO617" s="644"/>
    </row>
    <row r="618" spans="1:41">
      <c r="A618" s="635"/>
      <c r="B618" s="635"/>
      <c r="C618" s="635"/>
      <c r="D618" s="594">
        <v>1</v>
      </c>
      <c r="E618" s="595" t="s">
        <v>1052</v>
      </c>
      <c r="F618" s="593" t="s">
        <v>367</v>
      </c>
      <c r="G618" s="596">
        <v>27</v>
      </c>
      <c r="H618" s="596" t="s">
        <v>1063</v>
      </c>
      <c r="I618" s="596"/>
      <c r="J618" s="596"/>
      <c r="K618" s="596"/>
      <c r="L618" s="591" t="s">
        <v>873</v>
      </c>
      <c r="M618" s="597" t="str">
        <f t="shared" si="437"/>
        <v>Administratieve -, personeels- en vergaderruimte</v>
      </c>
      <c r="N618" s="591" t="s">
        <v>78</v>
      </c>
      <c r="O618" s="591"/>
      <c r="P618" s="599"/>
      <c r="Q618" s="600">
        <v>0</v>
      </c>
      <c r="R618" s="601">
        <v>31</v>
      </c>
      <c r="S618" s="647">
        <v>101100</v>
      </c>
      <c r="T618" s="602"/>
      <c r="U618" s="645">
        <v>1</v>
      </c>
      <c r="V618" s="593">
        <f t="shared" si="408"/>
        <v>100</v>
      </c>
      <c r="W618" s="604">
        <f t="shared" si="438"/>
        <v>0</v>
      </c>
      <c r="X618" s="604">
        <f t="shared" si="410"/>
        <v>0</v>
      </c>
      <c r="Y618" s="604">
        <f t="shared" si="411"/>
        <v>0</v>
      </c>
      <c r="Z618" s="605">
        <f t="shared" si="435"/>
        <v>0</v>
      </c>
      <c r="AA618" s="751">
        <f t="shared" si="436"/>
        <v>0</v>
      </c>
      <c r="AB618" s="605">
        <f t="shared" si="439"/>
        <v>0</v>
      </c>
      <c r="AC618" s="607"/>
      <c r="AD618" s="591" t="s">
        <v>364</v>
      </c>
      <c r="AE618" s="608"/>
      <c r="AF618" s="639">
        <v>31</v>
      </c>
      <c r="AG618" s="639">
        <f t="shared" si="405"/>
        <v>31</v>
      </c>
      <c r="AH618" s="639">
        <v>0</v>
      </c>
      <c r="AI618" s="640"/>
      <c r="AJ618" s="641">
        <f t="shared" si="433"/>
        <v>0</v>
      </c>
      <c r="AK618" s="642"/>
      <c r="AL618" s="642" t="s">
        <v>364</v>
      </c>
      <c r="AM618" s="643"/>
      <c r="AN618" s="642"/>
      <c r="AO618" s="644"/>
    </row>
    <row r="619" spans="1:41">
      <c r="A619" s="635"/>
      <c r="B619" s="635"/>
      <c r="C619" s="635"/>
      <c r="D619" s="594">
        <v>1</v>
      </c>
      <c r="E619" s="595" t="s">
        <v>1052</v>
      </c>
      <c r="F619" s="593" t="s">
        <v>367</v>
      </c>
      <c r="G619" s="596">
        <v>28</v>
      </c>
      <c r="H619" s="596" t="s">
        <v>1064</v>
      </c>
      <c r="I619" s="596"/>
      <c r="J619" s="596"/>
      <c r="K619" s="596"/>
      <c r="L619" s="591" t="s">
        <v>791</v>
      </c>
      <c r="M619" s="597" t="str">
        <f t="shared" si="437"/>
        <v>Administratieve -, personeels- en vergaderruimte</v>
      </c>
      <c r="N619" s="591" t="s">
        <v>78</v>
      </c>
      <c r="O619" s="591"/>
      <c r="P619" s="599"/>
      <c r="Q619" s="600">
        <v>0</v>
      </c>
      <c r="R619" s="601">
        <v>8</v>
      </c>
      <c r="S619" s="647">
        <v>101100</v>
      </c>
      <c r="T619" s="602"/>
      <c r="U619" s="645">
        <v>1</v>
      </c>
      <c r="V619" s="593">
        <f t="shared" si="408"/>
        <v>100</v>
      </c>
      <c r="W619" s="604">
        <f t="shared" si="438"/>
        <v>0</v>
      </c>
      <c r="X619" s="604">
        <f t="shared" si="410"/>
        <v>0</v>
      </c>
      <c r="Y619" s="604">
        <f t="shared" si="411"/>
        <v>0</v>
      </c>
      <c r="Z619" s="605">
        <f t="shared" si="435"/>
        <v>0</v>
      </c>
      <c r="AA619" s="751">
        <f t="shared" si="436"/>
        <v>0</v>
      </c>
      <c r="AB619" s="605">
        <f t="shared" si="439"/>
        <v>0</v>
      </c>
      <c r="AC619" s="607"/>
      <c r="AD619" s="591" t="s">
        <v>364</v>
      </c>
      <c r="AE619" s="608"/>
      <c r="AF619" s="639">
        <v>8</v>
      </c>
      <c r="AG619" s="639">
        <f t="shared" si="405"/>
        <v>8</v>
      </c>
      <c r="AH619" s="639">
        <v>0</v>
      </c>
      <c r="AI619" s="640"/>
      <c r="AJ619" s="641">
        <f t="shared" si="433"/>
        <v>0</v>
      </c>
      <c r="AK619" s="642"/>
      <c r="AL619" s="642" t="s">
        <v>364</v>
      </c>
      <c r="AM619" s="643"/>
      <c r="AN619" s="642"/>
      <c r="AO619" s="644"/>
    </row>
    <row r="620" spans="1:41">
      <c r="A620" s="635"/>
      <c r="B620" s="635"/>
      <c r="C620" s="635"/>
      <c r="D620" s="594">
        <v>1</v>
      </c>
      <c r="E620" s="595" t="s">
        <v>1052</v>
      </c>
      <c r="F620" s="593" t="s">
        <v>367</v>
      </c>
      <c r="G620" s="596">
        <v>29</v>
      </c>
      <c r="H620" s="596"/>
      <c r="I620" s="596"/>
      <c r="J620" s="596"/>
      <c r="K620" s="596"/>
      <c r="L620" s="591" t="s">
        <v>341</v>
      </c>
      <c r="M620" s="597" t="str">
        <f t="shared" si="437"/>
        <v>Trappenhuis-bordes</v>
      </c>
      <c r="N620" s="591" t="s">
        <v>344</v>
      </c>
      <c r="O620" s="591"/>
      <c r="P620" s="599"/>
      <c r="Q620" s="600">
        <v>0</v>
      </c>
      <c r="R620" s="601">
        <v>12</v>
      </c>
      <c r="S620" s="647">
        <v>108200</v>
      </c>
      <c r="T620" s="602"/>
      <c r="U620" s="645">
        <v>1</v>
      </c>
      <c r="V620" s="593">
        <f t="shared" si="408"/>
        <v>200</v>
      </c>
      <c r="W620" s="604">
        <f t="shared" si="438"/>
        <v>0</v>
      </c>
      <c r="X620" s="604">
        <f t="shared" si="410"/>
        <v>0</v>
      </c>
      <c r="Y620" s="604">
        <f t="shared" si="411"/>
        <v>0</v>
      </c>
      <c r="Z620" s="605">
        <f t="shared" si="435"/>
        <v>0</v>
      </c>
      <c r="AA620" s="751">
        <f t="shared" si="436"/>
        <v>0</v>
      </c>
      <c r="AB620" s="605">
        <f t="shared" si="439"/>
        <v>0</v>
      </c>
      <c r="AC620" s="607"/>
      <c r="AD620" s="591" t="s">
        <v>364</v>
      </c>
      <c r="AE620" s="608"/>
      <c r="AF620" s="639">
        <v>12</v>
      </c>
      <c r="AG620" s="639">
        <f t="shared" si="405"/>
        <v>12</v>
      </c>
      <c r="AH620" s="639">
        <v>0</v>
      </c>
      <c r="AI620" s="640"/>
      <c r="AJ620" s="641">
        <f t="shared" si="433"/>
        <v>0</v>
      </c>
      <c r="AK620" s="642"/>
      <c r="AL620" s="642" t="s">
        <v>364</v>
      </c>
      <c r="AM620" s="643"/>
      <c r="AN620" s="642"/>
      <c r="AO620" s="644"/>
    </row>
    <row r="621" spans="1:41">
      <c r="A621" s="635"/>
      <c r="B621" s="635"/>
      <c r="C621" s="635"/>
      <c r="D621" s="594">
        <v>1</v>
      </c>
      <c r="E621" s="595" t="s">
        <v>1052</v>
      </c>
      <c r="F621" s="593" t="s">
        <v>367</v>
      </c>
      <c r="G621" s="596" t="s">
        <v>385</v>
      </c>
      <c r="H621" s="596"/>
      <c r="I621" s="596"/>
      <c r="J621" s="596"/>
      <c r="K621" s="596"/>
      <c r="L621" s="591" t="s">
        <v>761</v>
      </c>
      <c r="M621" s="597" t="str">
        <f t="shared" si="437"/>
        <v>Buitenterrein</v>
      </c>
      <c r="N621" s="591" t="s">
        <v>947</v>
      </c>
      <c r="O621" s="591"/>
      <c r="P621" s="599"/>
      <c r="Q621" s="600">
        <v>0</v>
      </c>
      <c r="R621" s="601">
        <v>129</v>
      </c>
      <c r="S621" s="647">
        <v>107200</v>
      </c>
      <c r="T621" s="602"/>
      <c r="U621" s="645">
        <v>1</v>
      </c>
      <c r="V621" s="593">
        <f t="shared" si="408"/>
        <v>200</v>
      </c>
      <c r="W621" s="604">
        <f t="shared" si="438"/>
        <v>0</v>
      </c>
      <c r="X621" s="604">
        <f t="shared" si="410"/>
        <v>0</v>
      </c>
      <c r="Y621" s="604">
        <f t="shared" si="411"/>
        <v>0</v>
      </c>
      <c r="Z621" s="605">
        <f t="shared" si="435"/>
        <v>0</v>
      </c>
      <c r="AA621" s="751">
        <f t="shared" si="436"/>
        <v>0</v>
      </c>
      <c r="AB621" s="605">
        <f t="shared" si="439"/>
        <v>0</v>
      </c>
      <c r="AC621" s="607"/>
      <c r="AD621" s="591" t="s">
        <v>364</v>
      </c>
      <c r="AE621" s="608"/>
      <c r="AF621" s="639">
        <v>129</v>
      </c>
      <c r="AG621" s="639">
        <f t="shared" si="405"/>
        <v>129</v>
      </c>
      <c r="AH621" s="639">
        <v>0</v>
      </c>
      <c r="AI621" s="640"/>
      <c r="AJ621" s="641">
        <f t="shared" si="433"/>
        <v>0</v>
      </c>
      <c r="AK621" s="642"/>
      <c r="AL621" s="642" t="s">
        <v>364</v>
      </c>
      <c r="AM621" s="643"/>
      <c r="AN621" s="642"/>
      <c r="AO621" s="644"/>
    </row>
    <row r="622" spans="1:41">
      <c r="A622" s="635"/>
      <c r="B622" s="635"/>
      <c r="C622" s="635"/>
      <c r="D622" s="594">
        <v>1</v>
      </c>
      <c r="E622" s="595" t="s">
        <v>1052</v>
      </c>
      <c r="F622" s="593" t="s">
        <v>367</v>
      </c>
      <c r="G622" s="596" t="s">
        <v>399</v>
      </c>
      <c r="H622" s="596"/>
      <c r="I622" s="596"/>
      <c r="J622" s="596"/>
      <c r="K622" s="596"/>
      <c r="L622" s="591" t="s">
        <v>1095</v>
      </c>
      <c r="M622" s="597" t="s">
        <v>886</v>
      </c>
      <c r="N622" s="591" t="s">
        <v>323</v>
      </c>
      <c r="O622" s="591"/>
      <c r="P622" s="599"/>
      <c r="Q622" s="600">
        <v>0</v>
      </c>
      <c r="R622" s="601">
        <v>100</v>
      </c>
      <c r="S622" s="603" t="s">
        <v>28</v>
      </c>
      <c r="T622" s="602"/>
      <c r="U622" s="603"/>
      <c r="V622" s="593">
        <f t="shared" si="408"/>
        <v>0</v>
      </c>
      <c r="W622" s="604">
        <f t="shared" si="438"/>
        <v>0</v>
      </c>
      <c r="X622" s="604">
        <f t="shared" si="410"/>
        <v>0</v>
      </c>
      <c r="Y622" s="604">
        <f t="shared" si="411"/>
        <v>0</v>
      </c>
      <c r="Z622" s="605">
        <f t="shared" si="435"/>
        <v>0</v>
      </c>
      <c r="AA622" s="751">
        <f t="shared" si="436"/>
        <v>0</v>
      </c>
      <c r="AB622" s="605">
        <f t="shared" si="439"/>
        <v>0</v>
      </c>
      <c r="AC622" s="607"/>
      <c r="AD622" s="591" t="s">
        <v>364</v>
      </c>
      <c r="AE622" s="608"/>
      <c r="AF622" s="639">
        <v>100</v>
      </c>
      <c r="AG622" s="639">
        <f t="shared" si="405"/>
        <v>100</v>
      </c>
      <c r="AH622" s="639">
        <v>0</v>
      </c>
      <c r="AI622" s="640"/>
      <c r="AJ622" s="641">
        <f t="shared" si="433"/>
        <v>0</v>
      </c>
      <c r="AK622" s="642"/>
      <c r="AL622" s="642" t="s">
        <v>364</v>
      </c>
      <c r="AM622" s="643"/>
      <c r="AN622" s="642"/>
      <c r="AO622" s="644"/>
    </row>
    <row r="623" spans="1:41">
      <c r="A623" s="635"/>
      <c r="B623" s="635"/>
      <c r="C623" s="635"/>
      <c r="D623" s="594">
        <v>1</v>
      </c>
      <c r="E623" s="595" t="s">
        <v>1052</v>
      </c>
      <c r="F623" s="593" t="s">
        <v>367</v>
      </c>
      <c r="G623" s="596" t="s">
        <v>621</v>
      </c>
      <c r="H623" s="596"/>
      <c r="I623" s="596"/>
      <c r="J623" s="596"/>
      <c r="K623" s="596"/>
      <c r="L623" s="591" t="s">
        <v>1096</v>
      </c>
      <c r="M623" s="597" t="s">
        <v>886</v>
      </c>
      <c r="N623" s="591" t="s">
        <v>323</v>
      </c>
      <c r="O623" s="596"/>
      <c r="P623" s="622"/>
      <c r="Q623" s="600">
        <v>0</v>
      </c>
      <c r="R623" s="601">
        <v>25</v>
      </c>
      <c r="S623" s="603" t="s">
        <v>28</v>
      </c>
      <c r="T623" s="602"/>
      <c r="U623" s="603"/>
      <c r="V623" s="593">
        <f t="shared" si="408"/>
        <v>0</v>
      </c>
      <c r="W623" s="604">
        <f t="shared" si="438"/>
        <v>0</v>
      </c>
      <c r="X623" s="604">
        <f t="shared" si="410"/>
        <v>0</v>
      </c>
      <c r="Y623" s="604">
        <f t="shared" si="411"/>
        <v>0</v>
      </c>
      <c r="Z623" s="605">
        <f t="shared" si="435"/>
        <v>0</v>
      </c>
      <c r="AA623" s="751">
        <f t="shared" si="436"/>
        <v>0</v>
      </c>
      <c r="AB623" s="605">
        <f t="shared" si="439"/>
        <v>0</v>
      </c>
      <c r="AC623" s="607"/>
      <c r="AD623" s="591" t="s">
        <v>364</v>
      </c>
      <c r="AE623" s="608"/>
      <c r="AF623" s="639">
        <v>25</v>
      </c>
      <c r="AG623" s="639">
        <f t="shared" si="405"/>
        <v>25</v>
      </c>
      <c r="AH623" s="639">
        <v>0</v>
      </c>
      <c r="AI623" s="640"/>
      <c r="AJ623" s="641">
        <f t="shared" si="433"/>
        <v>0</v>
      </c>
      <c r="AK623" s="642"/>
      <c r="AL623" s="642" t="s">
        <v>364</v>
      </c>
      <c r="AM623" s="643"/>
      <c r="AN623" s="642"/>
      <c r="AO623" s="644"/>
    </row>
    <row r="624" spans="1:41">
      <c r="A624" s="635"/>
      <c r="B624" s="635"/>
      <c r="C624" s="635"/>
      <c r="D624" s="594">
        <v>1</v>
      </c>
      <c r="E624" s="595" t="s">
        <v>1052</v>
      </c>
      <c r="F624" s="593" t="s">
        <v>367</v>
      </c>
      <c r="G624" s="610"/>
      <c r="H624" s="610" t="s">
        <v>1065</v>
      </c>
      <c r="I624" s="610"/>
      <c r="J624" s="610"/>
      <c r="K624" s="610"/>
      <c r="L624" s="611" t="s">
        <v>1085</v>
      </c>
      <c r="M624" s="612">
        <v>0</v>
      </c>
      <c r="N624" s="611"/>
      <c r="O624" s="611" t="s">
        <v>1037</v>
      </c>
      <c r="P624" s="615"/>
      <c r="Q624" s="616">
        <v>0</v>
      </c>
      <c r="R624" s="636"/>
      <c r="S624" s="603"/>
      <c r="T624" s="602"/>
      <c r="U624" s="603"/>
      <c r="V624" s="593">
        <f t="shared" si="408"/>
        <v>0</v>
      </c>
      <c r="W624" s="604">
        <f t="shared" si="409"/>
        <v>0</v>
      </c>
      <c r="X624" s="604">
        <f t="shared" si="410"/>
        <v>0</v>
      </c>
      <c r="Y624" s="604">
        <f t="shared" si="411"/>
        <v>0</v>
      </c>
      <c r="Z624" s="605">
        <f t="shared" si="435"/>
        <v>0</v>
      </c>
      <c r="AA624" s="606">
        <f t="shared" si="436"/>
        <v>0</v>
      </c>
      <c r="AB624" s="605">
        <f t="shared" si="414"/>
        <v>0</v>
      </c>
      <c r="AC624" s="607"/>
      <c r="AD624" s="606"/>
      <c r="AE624" s="608"/>
      <c r="AF624" s="639">
        <v>14</v>
      </c>
      <c r="AG624" s="639">
        <f t="shared" si="405"/>
        <v>14</v>
      </c>
      <c r="AH624" s="639">
        <v>0</v>
      </c>
      <c r="AI624" s="640"/>
      <c r="AJ624" s="641">
        <f t="shared" si="433"/>
        <v>0</v>
      </c>
      <c r="AK624" s="642"/>
      <c r="AL624" s="642" t="s">
        <v>364</v>
      </c>
      <c r="AM624" s="643"/>
      <c r="AN624" s="642"/>
      <c r="AO624" s="644"/>
    </row>
    <row r="625" spans="1:41">
      <c r="A625" s="635"/>
      <c r="B625" s="635"/>
      <c r="C625" s="635"/>
      <c r="D625" s="594">
        <v>1</v>
      </c>
      <c r="E625" s="595" t="s">
        <v>1052</v>
      </c>
      <c r="F625" s="593" t="s">
        <v>339</v>
      </c>
      <c r="G625" s="596">
        <v>101</v>
      </c>
      <c r="H625" s="596"/>
      <c r="I625" s="596"/>
      <c r="J625" s="596"/>
      <c r="K625" s="596"/>
      <c r="L625" s="591" t="s">
        <v>839</v>
      </c>
      <c r="M625" s="597" t="str">
        <f t="shared" ref="M625:M626" si="440">VLOOKUP(S625,Kengetal,4,FALSE)</f>
        <v>Gang, hal, pantry, aula, repro, gardarobe</v>
      </c>
      <c r="N625" s="591" t="s">
        <v>322</v>
      </c>
      <c r="O625" s="591"/>
      <c r="P625" s="599"/>
      <c r="Q625" s="600">
        <v>0</v>
      </c>
      <c r="R625" s="601">
        <v>125</v>
      </c>
      <c r="S625" s="647">
        <v>104200</v>
      </c>
      <c r="T625" s="602"/>
      <c r="U625" s="645">
        <v>1</v>
      </c>
      <c r="V625" s="593">
        <f t="shared" si="408"/>
        <v>200</v>
      </c>
      <c r="W625" s="604">
        <f t="shared" ref="W625:W626" si="441">Z625*R625*U625</f>
        <v>0</v>
      </c>
      <c r="X625" s="604">
        <f t="shared" si="410"/>
        <v>0</v>
      </c>
      <c r="Y625" s="604">
        <f t="shared" si="411"/>
        <v>0</v>
      </c>
      <c r="Z625" s="605">
        <f t="shared" si="435"/>
        <v>0</v>
      </c>
      <c r="AA625" s="751">
        <f t="shared" si="436"/>
        <v>0</v>
      </c>
      <c r="AB625" s="605">
        <f>VLOOKUP(T625,Kengetal,6,FALSE)</f>
        <v>0</v>
      </c>
      <c r="AC625" s="607"/>
      <c r="AD625" s="591" t="s">
        <v>364</v>
      </c>
      <c r="AE625" s="608"/>
      <c r="AF625" s="639">
        <v>125</v>
      </c>
      <c r="AG625" s="639">
        <f t="shared" si="405"/>
        <v>125</v>
      </c>
      <c r="AH625" s="639">
        <v>0</v>
      </c>
      <c r="AI625" s="640"/>
      <c r="AJ625" s="641">
        <f t="shared" si="433"/>
        <v>0</v>
      </c>
      <c r="AK625" s="642"/>
      <c r="AL625" s="642" t="s">
        <v>364</v>
      </c>
      <c r="AM625" s="643"/>
      <c r="AN625" s="642"/>
      <c r="AO625" s="644"/>
    </row>
    <row r="626" spans="1:41">
      <c r="A626" s="635"/>
      <c r="B626" s="635"/>
      <c r="C626" s="635"/>
      <c r="D626" s="594">
        <v>1</v>
      </c>
      <c r="E626" s="595" t="s">
        <v>1052</v>
      </c>
      <c r="F626" s="593" t="s">
        <v>339</v>
      </c>
      <c r="G626" s="596">
        <v>102</v>
      </c>
      <c r="H626" s="596" t="s">
        <v>1066</v>
      </c>
      <c r="I626" s="596"/>
      <c r="J626" s="596"/>
      <c r="K626" s="596"/>
      <c r="L626" s="591" t="s">
        <v>320</v>
      </c>
      <c r="M626" s="597" t="str">
        <f t="shared" si="440"/>
        <v>Onderwijsruimte (theorie)</v>
      </c>
      <c r="N626" s="591" t="s">
        <v>322</v>
      </c>
      <c r="O626" s="591"/>
      <c r="P626" s="599"/>
      <c r="Q626" s="600">
        <v>0</v>
      </c>
      <c r="R626" s="601">
        <v>157</v>
      </c>
      <c r="S626" s="647">
        <v>102200</v>
      </c>
      <c r="T626" s="602"/>
      <c r="U626" s="645">
        <v>1</v>
      </c>
      <c r="V626" s="593">
        <f t="shared" si="408"/>
        <v>200</v>
      </c>
      <c r="W626" s="604">
        <f t="shared" si="441"/>
        <v>0</v>
      </c>
      <c r="X626" s="604">
        <f t="shared" si="410"/>
        <v>0</v>
      </c>
      <c r="Y626" s="604">
        <f t="shared" si="411"/>
        <v>0</v>
      </c>
      <c r="Z626" s="605">
        <f t="shared" si="435"/>
        <v>0</v>
      </c>
      <c r="AA626" s="751">
        <f t="shared" si="436"/>
        <v>0</v>
      </c>
      <c r="AB626" s="605">
        <f>VLOOKUP(T626,Kengetal,6,FALSE)</f>
        <v>0</v>
      </c>
      <c r="AC626" s="607"/>
      <c r="AD626" s="591" t="s">
        <v>364</v>
      </c>
      <c r="AE626" s="608"/>
      <c r="AF626" s="639">
        <v>157</v>
      </c>
      <c r="AG626" s="639">
        <f t="shared" si="405"/>
        <v>157</v>
      </c>
      <c r="AH626" s="639">
        <v>0</v>
      </c>
      <c r="AI626" s="640"/>
      <c r="AJ626" s="641">
        <f t="shared" si="433"/>
        <v>0</v>
      </c>
      <c r="AK626" s="642"/>
      <c r="AL626" s="642" t="s">
        <v>364</v>
      </c>
      <c r="AM626" s="643"/>
      <c r="AN626" s="642"/>
      <c r="AO626" s="644"/>
    </row>
    <row r="627" spans="1:41">
      <c r="A627" s="635"/>
      <c r="B627" s="635"/>
      <c r="C627" s="635"/>
      <c r="D627" s="609">
        <v>1</v>
      </c>
      <c r="E627" s="595" t="s">
        <v>1052</v>
      </c>
      <c r="F627" s="593" t="s">
        <v>339</v>
      </c>
      <c r="G627" s="610">
        <v>102</v>
      </c>
      <c r="H627" s="610" t="s">
        <v>1066</v>
      </c>
      <c r="I627" s="610"/>
      <c r="J627" s="610"/>
      <c r="K627" s="610"/>
      <c r="L627" s="611" t="s">
        <v>320</v>
      </c>
      <c r="M627" s="612" t="s">
        <v>808</v>
      </c>
      <c r="N627" s="613"/>
      <c r="O627" s="611" t="s">
        <v>1097</v>
      </c>
      <c r="P627" s="615">
        <v>100</v>
      </c>
      <c r="Q627" s="616">
        <v>157</v>
      </c>
      <c r="R627" s="613"/>
      <c r="S627" s="603"/>
      <c r="T627" s="602"/>
      <c r="U627" s="603"/>
      <c r="V627" s="593">
        <f t="shared" si="408"/>
        <v>0</v>
      </c>
      <c r="W627" s="604">
        <f t="shared" si="409"/>
        <v>0</v>
      </c>
      <c r="X627" s="604">
        <f t="shared" si="410"/>
        <v>0</v>
      </c>
      <c r="Y627" s="604">
        <f t="shared" si="411"/>
        <v>0</v>
      </c>
      <c r="Z627" s="605">
        <f t="shared" si="435"/>
        <v>0</v>
      </c>
      <c r="AA627" s="606">
        <f t="shared" si="436"/>
        <v>0</v>
      </c>
      <c r="AB627" s="605">
        <f t="shared" si="414"/>
        <v>0</v>
      </c>
      <c r="AC627" s="607"/>
      <c r="AD627" s="606"/>
      <c r="AE627" s="608"/>
      <c r="AF627" s="639">
        <v>157</v>
      </c>
      <c r="AG627" s="639">
        <f t="shared" si="405"/>
        <v>157</v>
      </c>
      <c r="AH627" s="639">
        <v>0</v>
      </c>
      <c r="AI627" s="640"/>
      <c r="AJ627" s="641">
        <f t="shared" si="433"/>
        <v>0</v>
      </c>
      <c r="AK627" s="642"/>
      <c r="AL627" s="642" t="s">
        <v>364</v>
      </c>
      <c r="AM627" s="643"/>
      <c r="AN627" s="642"/>
      <c r="AO627" s="644"/>
    </row>
    <row r="628" spans="1:41">
      <c r="A628" s="635"/>
      <c r="B628" s="635"/>
      <c r="C628" s="635"/>
      <c r="D628" s="594">
        <v>1</v>
      </c>
      <c r="E628" s="595" t="s">
        <v>1052</v>
      </c>
      <c r="F628" s="593" t="s">
        <v>339</v>
      </c>
      <c r="G628" s="596">
        <v>104</v>
      </c>
      <c r="H628" s="596" t="s">
        <v>1067</v>
      </c>
      <c r="I628" s="596"/>
      <c r="J628" s="596"/>
      <c r="K628" s="596"/>
      <c r="L628" s="591" t="s">
        <v>849</v>
      </c>
      <c r="M628" s="597" t="str">
        <f t="shared" ref="M628" si="442">VLOOKUP(S628,Kengetal,4,FALSE)</f>
        <v>Administratieve -, personeels- en vergaderruimte</v>
      </c>
      <c r="N628" s="591" t="s">
        <v>78</v>
      </c>
      <c r="O628" s="591"/>
      <c r="P628" s="599"/>
      <c r="Q628" s="600">
        <v>0</v>
      </c>
      <c r="R628" s="601">
        <v>15</v>
      </c>
      <c r="S628" s="647">
        <v>101100</v>
      </c>
      <c r="T628" s="602"/>
      <c r="U628" s="645">
        <v>1</v>
      </c>
      <c r="V628" s="593">
        <f t="shared" si="408"/>
        <v>100</v>
      </c>
      <c r="W628" s="604">
        <f t="shared" ref="W628:W631" si="443">Z628*R628*U628</f>
        <v>0</v>
      </c>
      <c r="X628" s="604">
        <f t="shared" si="410"/>
        <v>0</v>
      </c>
      <c r="Y628" s="604">
        <f t="shared" si="411"/>
        <v>0</v>
      </c>
      <c r="Z628" s="605">
        <f t="shared" si="435"/>
        <v>0</v>
      </c>
      <c r="AA628" s="751">
        <f t="shared" si="436"/>
        <v>0</v>
      </c>
      <c r="AB628" s="605">
        <f>VLOOKUP(T628,Kengetal,6,FALSE)</f>
        <v>0</v>
      </c>
      <c r="AC628" s="607"/>
      <c r="AD628" s="591" t="s">
        <v>364</v>
      </c>
      <c r="AE628" s="608"/>
      <c r="AF628" s="639">
        <v>15</v>
      </c>
      <c r="AG628" s="639">
        <f t="shared" si="405"/>
        <v>15</v>
      </c>
      <c r="AH628" s="639">
        <v>0</v>
      </c>
      <c r="AI628" s="640"/>
      <c r="AJ628" s="641">
        <f t="shared" si="433"/>
        <v>0</v>
      </c>
      <c r="AK628" s="642"/>
      <c r="AL628" s="642" t="s">
        <v>364</v>
      </c>
      <c r="AM628" s="643"/>
      <c r="AN628" s="642"/>
      <c r="AO628" s="644"/>
    </row>
    <row r="629" spans="1:41">
      <c r="A629" s="635"/>
      <c r="B629" s="635"/>
      <c r="C629" s="635"/>
      <c r="D629" s="594">
        <v>1</v>
      </c>
      <c r="E629" s="595" t="s">
        <v>1052</v>
      </c>
      <c r="F629" s="593" t="s">
        <v>339</v>
      </c>
      <c r="G629" s="596">
        <v>107</v>
      </c>
      <c r="H629" s="596"/>
      <c r="I629" s="596"/>
      <c r="J629" s="596"/>
      <c r="K629" s="596"/>
      <c r="L629" s="591" t="s">
        <v>871</v>
      </c>
      <c r="M629" s="597" t="s">
        <v>1022</v>
      </c>
      <c r="N629" s="591" t="s">
        <v>322</v>
      </c>
      <c r="O629" s="591"/>
      <c r="P629" s="599"/>
      <c r="Q629" s="600">
        <v>0</v>
      </c>
      <c r="R629" s="601">
        <v>10</v>
      </c>
      <c r="S629" s="603" t="s">
        <v>959</v>
      </c>
      <c r="T629" s="602"/>
      <c r="U629" s="603"/>
      <c r="V629" s="593">
        <f t="shared" si="408"/>
        <v>0</v>
      </c>
      <c r="W629" s="604">
        <f t="shared" si="443"/>
        <v>0</v>
      </c>
      <c r="X629" s="604">
        <f t="shared" si="410"/>
        <v>0</v>
      </c>
      <c r="Y629" s="604">
        <f t="shared" si="411"/>
        <v>0</v>
      </c>
      <c r="Z629" s="605">
        <f t="shared" si="435"/>
        <v>0</v>
      </c>
      <c r="AA629" s="751">
        <f t="shared" si="436"/>
        <v>0</v>
      </c>
      <c r="AB629" s="605">
        <f>VLOOKUP(T629,Kengetal,6,FALSE)</f>
        <v>0</v>
      </c>
      <c r="AC629" s="607"/>
      <c r="AD629" s="591" t="s">
        <v>364</v>
      </c>
      <c r="AE629" s="608"/>
      <c r="AF629" s="639">
        <v>10</v>
      </c>
      <c r="AG629" s="639">
        <f t="shared" si="405"/>
        <v>10</v>
      </c>
      <c r="AH629" s="639">
        <v>0</v>
      </c>
      <c r="AI629" s="640"/>
      <c r="AJ629" s="641">
        <f t="shared" si="433"/>
        <v>0</v>
      </c>
      <c r="AK629" s="642"/>
      <c r="AL629" s="642" t="s">
        <v>364</v>
      </c>
      <c r="AM629" s="643"/>
      <c r="AN629" s="642"/>
      <c r="AO629" s="644"/>
    </row>
    <row r="630" spans="1:41">
      <c r="A630" s="635"/>
      <c r="B630" s="635"/>
      <c r="C630" s="635"/>
      <c r="D630" s="594">
        <v>1</v>
      </c>
      <c r="E630" s="595" t="s">
        <v>1052</v>
      </c>
      <c r="F630" s="593" t="s">
        <v>339</v>
      </c>
      <c r="G630" s="596">
        <v>109</v>
      </c>
      <c r="H630" s="596"/>
      <c r="I630" s="596"/>
      <c r="J630" s="596"/>
      <c r="K630" s="596"/>
      <c r="L630" s="591" t="s">
        <v>871</v>
      </c>
      <c r="M630" s="597" t="s">
        <v>1022</v>
      </c>
      <c r="N630" s="591" t="s">
        <v>322</v>
      </c>
      <c r="O630" s="591"/>
      <c r="P630" s="599"/>
      <c r="Q630" s="600">
        <v>0</v>
      </c>
      <c r="R630" s="601">
        <v>5</v>
      </c>
      <c r="S630" s="603" t="s">
        <v>959</v>
      </c>
      <c r="T630" s="602"/>
      <c r="U630" s="603"/>
      <c r="V630" s="593">
        <f t="shared" si="408"/>
        <v>0</v>
      </c>
      <c r="W630" s="604">
        <f t="shared" si="443"/>
        <v>0</v>
      </c>
      <c r="X630" s="604">
        <f t="shared" si="410"/>
        <v>0</v>
      </c>
      <c r="Y630" s="604">
        <f t="shared" si="411"/>
        <v>0</v>
      </c>
      <c r="Z630" s="605">
        <f t="shared" si="435"/>
        <v>0</v>
      </c>
      <c r="AA630" s="751">
        <f t="shared" si="436"/>
        <v>0</v>
      </c>
      <c r="AB630" s="605">
        <f>VLOOKUP(T630,Kengetal,6,FALSE)</f>
        <v>0</v>
      </c>
      <c r="AC630" s="607"/>
      <c r="AD630" s="591" t="s">
        <v>364</v>
      </c>
      <c r="AE630" s="608"/>
      <c r="AF630" s="639">
        <v>5</v>
      </c>
      <c r="AG630" s="639">
        <f t="shared" si="405"/>
        <v>5</v>
      </c>
      <c r="AH630" s="639">
        <v>0</v>
      </c>
      <c r="AI630" s="640"/>
      <c r="AJ630" s="641">
        <f t="shared" si="433"/>
        <v>0</v>
      </c>
      <c r="AK630" s="642"/>
      <c r="AL630" s="642" t="s">
        <v>364</v>
      </c>
      <c r="AM630" s="643"/>
      <c r="AN630" s="642"/>
      <c r="AO630" s="644"/>
    </row>
    <row r="631" spans="1:41">
      <c r="A631" s="635"/>
      <c r="B631" s="635"/>
      <c r="C631" s="635"/>
      <c r="D631" s="594">
        <v>1</v>
      </c>
      <c r="E631" s="595" t="s">
        <v>1052</v>
      </c>
      <c r="F631" s="593" t="s">
        <v>339</v>
      </c>
      <c r="G631" s="596">
        <v>110</v>
      </c>
      <c r="H631" s="596" t="s">
        <v>1068</v>
      </c>
      <c r="I631" s="596"/>
      <c r="J631" s="596"/>
      <c r="K631" s="596"/>
      <c r="L631" s="591" t="s">
        <v>320</v>
      </c>
      <c r="M631" s="597" t="str">
        <f t="shared" ref="M631" si="444">VLOOKUP(S631,Kengetal,4,FALSE)</f>
        <v>Onderwijsruimte (theorie)</v>
      </c>
      <c r="N631" s="591" t="s">
        <v>322</v>
      </c>
      <c r="O631" s="591"/>
      <c r="P631" s="599"/>
      <c r="Q631" s="600">
        <v>0</v>
      </c>
      <c r="R631" s="601">
        <v>90</v>
      </c>
      <c r="S631" s="647">
        <v>102200</v>
      </c>
      <c r="T631" s="602"/>
      <c r="U631" s="645">
        <v>1</v>
      </c>
      <c r="V631" s="593">
        <f t="shared" si="408"/>
        <v>200</v>
      </c>
      <c r="W631" s="604">
        <f t="shared" si="443"/>
        <v>0</v>
      </c>
      <c r="X631" s="604">
        <f t="shared" si="410"/>
        <v>0</v>
      </c>
      <c r="Y631" s="604">
        <f t="shared" si="411"/>
        <v>0</v>
      </c>
      <c r="Z631" s="605">
        <f t="shared" si="435"/>
        <v>0</v>
      </c>
      <c r="AA631" s="751">
        <f t="shared" si="436"/>
        <v>0</v>
      </c>
      <c r="AB631" s="605">
        <f>VLOOKUP(T631,Kengetal,6,FALSE)</f>
        <v>0</v>
      </c>
      <c r="AC631" s="607"/>
      <c r="AD631" s="591" t="s">
        <v>364</v>
      </c>
      <c r="AE631" s="608"/>
      <c r="AF631" s="639">
        <v>90</v>
      </c>
      <c r="AG631" s="639">
        <f t="shared" si="405"/>
        <v>90</v>
      </c>
      <c r="AH631" s="639">
        <v>0</v>
      </c>
      <c r="AI631" s="640"/>
      <c r="AJ631" s="641">
        <f t="shared" si="433"/>
        <v>0</v>
      </c>
      <c r="AK631" s="642"/>
      <c r="AL631" s="642" t="s">
        <v>364</v>
      </c>
      <c r="AM631" s="643"/>
      <c r="AN631" s="642"/>
      <c r="AO631" s="644"/>
    </row>
    <row r="632" spans="1:41">
      <c r="A632" s="635"/>
      <c r="B632" s="635"/>
      <c r="C632" s="635"/>
      <c r="D632" s="609">
        <v>1</v>
      </c>
      <c r="E632" s="595" t="s">
        <v>1052</v>
      </c>
      <c r="F632" s="593" t="s">
        <v>339</v>
      </c>
      <c r="G632" s="610">
        <v>110</v>
      </c>
      <c r="H632" s="610" t="s">
        <v>1068</v>
      </c>
      <c r="I632" s="610"/>
      <c r="J632" s="610"/>
      <c r="K632" s="610"/>
      <c r="L632" s="611" t="s">
        <v>320</v>
      </c>
      <c r="M632" s="612" t="s">
        <v>808</v>
      </c>
      <c r="N632" s="613"/>
      <c r="O632" s="611" t="s">
        <v>1097</v>
      </c>
      <c r="P632" s="615">
        <v>100</v>
      </c>
      <c r="Q632" s="616">
        <v>90</v>
      </c>
      <c r="R632" s="613"/>
      <c r="S632" s="603"/>
      <c r="T632" s="602"/>
      <c r="U632" s="603"/>
      <c r="V632" s="593">
        <f t="shared" si="408"/>
        <v>0</v>
      </c>
      <c r="W632" s="604">
        <f t="shared" si="409"/>
        <v>0</v>
      </c>
      <c r="X632" s="604">
        <f t="shared" si="410"/>
        <v>0</v>
      </c>
      <c r="Y632" s="604">
        <f t="shared" si="411"/>
        <v>0</v>
      </c>
      <c r="Z632" s="605">
        <f t="shared" si="435"/>
        <v>0</v>
      </c>
      <c r="AA632" s="606">
        <f t="shared" si="436"/>
        <v>0</v>
      </c>
      <c r="AB632" s="605">
        <f t="shared" si="414"/>
        <v>0</v>
      </c>
      <c r="AC632" s="607"/>
      <c r="AD632" s="606"/>
      <c r="AE632" s="608"/>
      <c r="AF632" s="639">
        <v>90</v>
      </c>
      <c r="AG632" s="639">
        <f t="shared" si="405"/>
        <v>90</v>
      </c>
      <c r="AH632" s="639">
        <v>0</v>
      </c>
      <c r="AI632" s="640"/>
      <c r="AJ632" s="641">
        <f t="shared" si="433"/>
        <v>0</v>
      </c>
      <c r="AK632" s="642"/>
      <c r="AL632" s="642" t="s">
        <v>364</v>
      </c>
      <c r="AM632" s="643"/>
      <c r="AN632" s="642"/>
      <c r="AO632" s="644"/>
    </row>
    <row r="633" spans="1:41">
      <c r="A633" s="635"/>
      <c r="B633" s="635"/>
      <c r="C633" s="635"/>
      <c r="D633" s="594">
        <v>1</v>
      </c>
      <c r="E633" s="595" t="s">
        <v>1052</v>
      </c>
      <c r="F633" s="593" t="s">
        <v>339</v>
      </c>
      <c r="G633" s="596">
        <v>110</v>
      </c>
      <c r="H633" s="596" t="s">
        <v>1069</v>
      </c>
      <c r="I633" s="596"/>
      <c r="J633" s="596"/>
      <c r="K633" s="596"/>
      <c r="L633" s="591" t="s">
        <v>320</v>
      </c>
      <c r="M633" s="597" t="str">
        <f t="shared" ref="M633" si="445">VLOOKUP(S633,Kengetal,4,FALSE)</f>
        <v>Onderwijsruimte (theorie)</v>
      </c>
      <c r="N633" s="591" t="s">
        <v>322</v>
      </c>
      <c r="O633" s="591"/>
      <c r="P633" s="599"/>
      <c r="Q633" s="600">
        <v>0</v>
      </c>
      <c r="R633" s="601">
        <v>90</v>
      </c>
      <c r="S633" s="647">
        <v>102200</v>
      </c>
      <c r="T633" s="602"/>
      <c r="U633" s="645">
        <v>1</v>
      </c>
      <c r="V633" s="593">
        <f t="shared" si="408"/>
        <v>200</v>
      </c>
      <c r="W633" s="604">
        <f>Z633*R633*U633</f>
        <v>0</v>
      </c>
      <c r="X633" s="604">
        <f>AA633*R633</f>
        <v>0</v>
      </c>
      <c r="Y633" s="604">
        <f>AB633*R633</f>
        <v>0</v>
      </c>
      <c r="Z633" s="605">
        <f>VLOOKUP(S633,Kengetal,6,FALSE)</f>
        <v>0</v>
      </c>
      <c r="AA633" s="751">
        <f>VLOOKUP(S633,Kengetal,7,FALSE)</f>
        <v>0</v>
      </c>
      <c r="AB633" s="605">
        <f>VLOOKUP(T633,Kengetal,6,FALSE)</f>
        <v>0</v>
      </c>
      <c r="AC633" s="607"/>
      <c r="AD633" s="591" t="s">
        <v>364</v>
      </c>
      <c r="AE633" s="608"/>
      <c r="AF633" s="639">
        <v>90</v>
      </c>
      <c r="AG633" s="639">
        <f t="shared" si="405"/>
        <v>90</v>
      </c>
      <c r="AH633" s="639">
        <v>0</v>
      </c>
      <c r="AI633" s="640"/>
      <c r="AJ633" s="641">
        <f t="shared" si="433"/>
        <v>0</v>
      </c>
      <c r="AK633" s="642"/>
      <c r="AL633" s="642" t="s">
        <v>364</v>
      </c>
      <c r="AM633" s="643"/>
      <c r="AN633" s="642"/>
      <c r="AO633" s="644"/>
    </row>
    <row r="634" spans="1:41">
      <c r="A634" s="635"/>
      <c r="B634" s="635"/>
      <c r="C634" s="635"/>
      <c r="D634" s="609">
        <v>1</v>
      </c>
      <c r="E634" s="595" t="s">
        <v>1052</v>
      </c>
      <c r="F634" s="593" t="s">
        <v>339</v>
      </c>
      <c r="G634" s="610"/>
      <c r="H634" s="610" t="s">
        <v>1069</v>
      </c>
      <c r="I634" s="610"/>
      <c r="J634" s="610"/>
      <c r="K634" s="610"/>
      <c r="L634" s="611" t="s">
        <v>320</v>
      </c>
      <c r="M634" s="612">
        <v>0</v>
      </c>
      <c r="N634" s="613"/>
      <c r="O634" s="611" t="s">
        <v>1097</v>
      </c>
      <c r="P634" s="615">
        <v>100</v>
      </c>
      <c r="Q634" s="616">
        <v>90</v>
      </c>
      <c r="R634" s="613"/>
      <c r="S634" s="603"/>
      <c r="T634" s="606"/>
      <c r="U634" s="606"/>
      <c r="V634" s="593">
        <f t="shared" si="408"/>
        <v>0</v>
      </c>
      <c r="W634" s="604">
        <f t="shared" si="409"/>
        <v>0</v>
      </c>
      <c r="X634" s="604">
        <f t="shared" si="410"/>
        <v>0</v>
      </c>
      <c r="Y634" s="604">
        <f t="shared" si="411"/>
        <v>0</v>
      </c>
      <c r="Z634" s="605">
        <f t="shared" si="435"/>
        <v>0</v>
      </c>
      <c r="AA634" s="606">
        <f t="shared" si="436"/>
        <v>0</v>
      </c>
      <c r="AB634" s="605">
        <f t="shared" si="414"/>
        <v>0</v>
      </c>
      <c r="AC634" s="607"/>
      <c r="AD634" s="606"/>
      <c r="AE634" s="608"/>
      <c r="AF634" s="639">
        <v>90</v>
      </c>
      <c r="AG634" s="639">
        <f t="shared" si="405"/>
        <v>90</v>
      </c>
      <c r="AH634" s="639">
        <v>0</v>
      </c>
      <c r="AI634" s="640"/>
      <c r="AJ634" s="641">
        <f t="shared" si="433"/>
        <v>0</v>
      </c>
      <c r="AK634" s="642"/>
      <c r="AL634" s="642" t="s">
        <v>364</v>
      </c>
      <c r="AM634" s="643"/>
      <c r="AN634" s="642"/>
      <c r="AO634" s="644"/>
    </row>
    <row r="635" spans="1:41">
      <c r="A635" s="635"/>
      <c r="B635" s="635"/>
      <c r="C635" s="635"/>
      <c r="D635" s="594">
        <v>1</v>
      </c>
      <c r="E635" s="595" t="s">
        <v>1052</v>
      </c>
      <c r="F635" s="593" t="s">
        <v>339</v>
      </c>
      <c r="G635" s="596">
        <v>111</v>
      </c>
      <c r="H635" s="596"/>
      <c r="I635" s="596"/>
      <c r="J635" s="596"/>
      <c r="K635" s="596"/>
      <c r="L635" s="591" t="s">
        <v>871</v>
      </c>
      <c r="M635" s="597" t="s">
        <v>1022</v>
      </c>
      <c r="N635" s="591" t="s">
        <v>322</v>
      </c>
      <c r="O635" s="591"/>
      <c r="P635" s="599"/>
      <c r="Q635" s="600">
        <v>0</v>
      </c>
      <c r="R635" s="601">
        <v>5</v>
      </c>
      <c r="S635" s="603" t="s">
        <v>959</v>
      </c>
      <c r="T635" s="602"/>
      <c r="U635" s="603"/>
      <c r="V635" s="593">
        <f t="shared" si="408"/>
        <v>0</v>
      </c>
      <c r="W635" s="604">
        <f t="shared" ref="W635:W638" si="446">Z635*R635*U635</f>
        <v>0</v>
      </c>
      <c r="X635" s="604">
        <f t="shared" si="410"/>
        <v>0</v>
      </c>
      <c r="Y635" s="604">
        <f t="shared" si="411"/>
        <v>0</v>
      </c>
      <c r="Z635" s="605">
        <f t="shared" si="435"/>
        <v>0</v>
      </c>
      <c r="AA635" s="751">
        <f t="shared" si="436"/>
        <v>0</v>
      </c>
      <c r="AB635" s="605">
        <f>VLOOKUP(T635,Kengetal,6,FALSE)</f>
        <v>0</v>
      </c>
      <c r="AC635" s="607"/>
      <c r="AD635" s="591" t="s">
        <v>364</v>
      </c>
      <c r="AE635" s="608"/>
      <c r="AF635" s="639">
        <v>5</v>
      </c>
      <c r="AG635" s="639">
        <f t="shared" si="405"/>
        <v>5</v>
      </c>
      <c r="AH635" s="639">
        <v>0</v>
      </c>
      <c r="AI635" s="640"/>
      <c r="AJ635" s="641">
        <f t="shared" si="433"/>
        <v>0</v>
      </c>
      <c r="AK635" s="642"/>
      <c r="AL635" s="642" t="s">
        <v>364</v>
      </c>
      <c r="AM635" s="643"/>
      <c r="AN635" s="642"/>
      <c r="AO635" s="644"/>
    </row>
    <row r="636" spans="1:41">
      <c r="A636" s="635"/>
      <c r="B636" s="635"/>
      <c r="C636" s="635"/>
      <c r="D636" s="594">
        <v>1</v>
      </c>
      <c r="E636" s="595" t="s">
        <v>1052</v>
      </c>
      <c r="F636" s="593" t="s">
        <v>339</v>
      </c>
      <c r="G636" s="596">
        <v>113</v>
      </c>
      <c r="H636" s="596"/>
      <c r="I636" s="596"/>
      <c r="J636" s="596"/>
      <c r="K636" s="596"/>
      <c r="L636" s="591" t="s">
        <v>771</v>
      </c>
      <c r="M636" s="597" t="s">
        <v>886</v>
      </c>
      <c r="N636" s="591" t="s">
        <v>323</v>
      </c>
      <c r="O636" s="591"/>
      <c r="P636" s="599"/>
      <c r="Q636" s="600">
        <v>0</v>
      </c>
      <c r="R636" s="601">
        <v>6</v>
      </c>
      <c r="S636" s="603" t="s">
        <v>28</v>
      </c>
      <c r="T636" s="602"/>
      <c r="U636" s="603"/>
      <c r="V636" s="593">
        <f t="shared" si="408"/>
        <v>0</v>
      </c>
      <c r="W636" s="604">
        <f t="shared" si="446"/>
        <v>0</v>
      </c>
      <c r="X636" s="604">
        <f t="shared" si="410"/>
        <v>0</v>
      </c>
      <c r="Y636" s="604">
        <f t="shared" si="411"/>
        <v>0</v>
      </c>
      <c r="Z636" s="605">
        <f t="shared" si="435"/>
        <v>0</v>
      </c>
      <c r="AA636" s="751">
        <f t="shared" si="436"/>
        <v>0</v>
      </c>
      <c r="AB636" s="605">
        <f>VLOOKUP(T636,Kengetal,6,FALSE)</f>
        <v>0</v>
      </c>
      <c r="AC636" s="607"/>
      <c r="AD636" s="591" t="s">
        <v>364</v>
      </c>
      <c r="AE636" s="608"/>
      <c r="AF636" s="639">
        <v>6</v>
      </c>
      <c r="AG636" s="639">
        <f t="shared" si="405"/>
        <v>6</v>
      </c>
      <c r="AH636" s="639">
        <v>0</v>
      </c>
      <c r="AI636" s="640"/>
      <c r="AJ636" s="641">
        <f t="shared" si="433"/>
        <v>0</v>
      </c>
      <c r="AK636" s="642"/>
      <c r="AL636" s="642" t="s">
        <v>364</v>
      </c>
      <c r="AM636" s="643"/>
      <c r="AN636" s="642"/>
      <c r="AO636" s="644"/>
    </row>
    <row r="637" spans="1:41">
      <c r="A637" s="635"/>
      <c r="B637" s="635"/>
      <c r="C637" s="635"/>
      <c r="D637" s="594">
        <v>1</v>
      </c>
      <c r="E637" s="595" t="s">
        <v>1052</v>
      </c>
      <c r="F637" s="593" t="s">
        <v>339</v>
      </c>
      <c r="G637" s="596">
        <v>114</v>
      </c>
      <c r="H637" s="596"/>
      <c r="I637" s="596"/>
      <c r="J637" s="596"/>
      <c r="K637" s="596"/>
      <c r="L637" s="591" t="s">
        <v>871</v>
      </c>
      <c r="M637" s="597" t="s">
        <v>1022</v>
      </c>
      <c r="N637" s="591" t="s">
        <v>323</v>
      </c>
      <c r="O637" s="591"/>
      <c r="P637" s="599"/>
      <c r="Q637" s="600">
        <v>0</v>
      </c>
      <c r="R637" s="601">
        <v>8</v>
      </c>
      <c r="S637" s="603" t="s">
        <v>959</v>
      </c>
      <c r="T637" s="602"/>
      <c r="U637" s="603"/>
      <c r="V637" s="593">
        <f t="shared" si="408"/>
        <v>0</v>
      </c>
      <c r="W637" s="604">
        <f t="shared" si="446"/>
        <v>0</v>
      </c>
      <c r="X637" s="604">
        <f t="shared" si="410"/>
        <v>0</v>
      </c>
      <c r="Y637" s="604">
        <f t="shared" si="411"/>
        <v>0</v>
      </c>
      <c r="Z637" s="605">
        <f t="shared" si="435"/>
        <v>0</v>
      </c>
      <c r="AA637" s="751">
        <f t="shared" si="436"/>
        <v>0</v>
      </c>
      <c r="AB637" s="605">
        <f>VLOOKUP(T637,Kengetal,6,FALSE)</f>
        <v>0</v>
      </c>
      <c r="AC637" s="607"/>
      <c r="AD637" s="591" t="s">
        <v>364</v>
      </c>
      <c r="AE637" s="608"/>
      <c r="AF637" s="639">
        <v>8</v>
      </c>
      <c r="AG637" s="639">
        <f t="shared" si="405"/>
        <v>8</v>
      </c>
      <c r="AH637" s="639">
        <v>0</v>
      </c>
      <c r="AI637" s="640"/>
      <c r="AJ637" s="641">
        <f t="shared" si="433"/>
        <v>0</v>
      </c>
      <c r="AK637" s="642"/>
      <c r="AL637" s="642" t="s">
        <v>364</v>
      </c>
      <c r="AM637" s="643"/>
      <c r="AN637" s="642"/>
      <c r="AO637" s="644"/>
    </row>
    <row r="638" spans="1:41">
      <c r="A638" s="635"/>
      <c r="B638" s="635"/>
      <c r="C638" s="635"/>
      <c r="D638" s="594">
        <v>1</v>
      </c>
      <c r="E638" s="595" t="s">
        <v>1052</v>
      </c>
      <c r="F638" s="593" t="s">
        <v>339</v>
      </c>
      <c r="G638" s="596">
        <v>115</v>
      </c>
      <c r="H638" s="596" t="s">
        <v>1070</v>
      </c>
      <c r="I638" s="596"/>
      <c r="J638" s="596"/>
      <c r="K638" s="596"/>
      <c r="L638" s="591" t="s">
        <v>320</v>
      </c>
      <c r="M638" s="597" t="str">
        <f t="shared" ref="M638" si="447">VLOOKUP(S638,Kengetal,4,FALSE)</f>
        <v>Onderwijsruimte (theorie)</v>
      </c>
      <c r="N638" s="591" t="s">
        <v>322</v>
      </c>
      <c r="O638" s="591"/>
      <c r="P638" s="599"/>
      <c r="Q638" s="600">
        <v>0</v>
      </c>
      <c r="R638" s="601">
        <v>57</v>
      </c>
      <c r="S638" s="647">
        <v>102200</v>
      </c>
      <c r="T638" s="602"/>
      <c r="U638" s="645">
        <v>1</v>
      </c>
      <c r="V638" s="593">
        <f t="shared" si="408"/>
        <v>200</v>
      </c>
      <c r="W638" s="604">
        <f t="shared" si="446"/>
        <v>0</v>
      </c>
      <c r="X638" s="604">
        <f t="shared" si="410"/>
        <v>0</v>
      </c>
      <c r="Y638" s="604">
        <f t="shared" si="411"/>
        <v>0</v>
      </c>
      <c r="Z638" s="605">
        <f t="shared" si="435"/>
        <v>0</v>
      </c>
      <c r="AA638" s="751">
        <f t="shared" si="436"/>
        <v>0</v>
      </c>
      <c r="AB638" s="605">
        <f>VLOOKUP(T638,Kengetal,6,FALSE)</f>
        <v>0</v>
      </c>
      <c r="AC638" s="607"/>
      <c r="AD638" s="591" t="s">
        <v>364</v>
      </c>
      <c r="AE638" s="608"/>
      <c r="AF638" s="639">
        <v>57</v>
      </c>
      <c r="AG638" s="639">
        <f t="shared" si="405"/>
        <v>57</v>
      </c>
      <c r="AH638" s="639">
        <v>0</v>
      </c>
      <c r="AI638" s="640"/>
      <c r="AJ638" s="641">
        <f t="shared" si="433"/>
        <v>0</v>
      </c>
      <c r="AK638" s="642"/>
      <c r="AL638" s="642" t="s">
        <v>364</v>
      </c>
      <c r="AM638" s="643"/>
      <c r="AN638" s="642"/>
      <c r="AO638" s="644"/>
    </row>
    <row r="639" spans="1:41">
      <c r="A639" s="635"/>
      <c r="B639" s="635"/>
      <c r="C639" s="635"/>
      <c r="D639" s="594">
        <v>1</v>
      </c>
      <c r="E639" s="595" t="s">
        <v>1052</v>
      </c>
      <c r="F639" s="593" t="s">
        <v>339</v>
      </c>
      <c r="G639" s="610">
        <v>115</v>
      </c>
      <c r="H639" s="610" t="s">
        <v>1070</v>
      </c>
      <c r="I639" s="610"/>
      <c r="J639" s="610"/>
      <c r="K639" s="610"/>
      <c r="L639" s="611" t="s">
        <v>320</v>
      </c>
      <c r="M639" s="612" t="s">
        <v>808</v>
      </c>
      <c r="N639" s="613"/>
      <c r="O639" s="611" t="s">
        <v>1097</v>
      </c>
      <c r="P639" s="615">
        <v>25</v>
      </c>
      <c r="Q639" s="616">
        <v>14.25</v>
      </c>
      <c r="R639" s="613"/>
      <c r="S639" s="603"/>
      <c r="T639" s="602"/>
      <c r="U639" s="603"/>
      <c r="V639" s="593">
        <f t="shared" si="408"/>
        <v>0</v>
      </c>
      <c r="W639" s="604">
        <f t="shared" si="409"/>
        <v>0</v>
      </c>
      <c r="X639" s="604">
        <f t="shared" si="410"/>
        <v>0</v>
      </c>
      <c r="Y639" s="604">
        <f t="shared" si="411"/>
        <v>0</v>
      </c>
      <c r="Z639" s="605">
        <f t="shared" si="435"/>
        <v>0</v>
      </c>
      <c r="AA639" s="606">
        <f t="shared" si="436"/>
        <v>0</v>
      </c>
      <c r="AB639" s="605">
        <f t="shared" si="414"/>
        <v>0</v>
      </c>
      <c r="AC639" s="607"/>
      <c r="AD639" s="606"/>
      <c r="AE639" s="608"/>
      <c r="AF639" s="639">
        <v>57</v>
      </c>
      <c r="AG639" s="639">
        <f t="shared" si="405"/>
        <v>57</v>
      </c>
      <c r="AH639" s="639">
        <v>0</v>
      </c>
      <c r="AI639" s="640"/>
      <c r="AJ639" s="641">
        <f t="shared" si="433"/>
        <v>0</v>
      </c>
      <c r="AK639" s="642"/>
      <c r="AL639" s="642" t="s">
        <v>364</v>
      </c>
      <c r="AM639" s="643"/>
      <c r="AN639" s="642"/>
      <c r="AO639" s="644"/>
    </row>
    <row r="640" spans="1:41">
      <c r="A640" s="635"/>
      <c r="B640" s="635"/>
      <c r="C640" s="635"/>
      <c r="D640" s="609">
        <v>1</v>
      </c>
      <c r="E640" s="595" t="s">
        <v>1052</v>
      </c>
      <c r="F640" s="593" t="s">
        <v>339</v>
      </c>
      <c r="G640" s="610">
        <v>115</v>
      </c>
      <c r="H640" s="610" t="s">
        <v>1070</v>
      </c>
      <c r="I640" s="610"/>
      <c r="J640" s="610"/>
      <c r="K640" s="610"/>
      <c r="L640" s="611" t="s">
        <v>320</v>
      </c>
      <c r="M640" s="612" t="s">
        <v>808</v>
      </c>
      <c r="N640" s="613"/>
      <c r="O640" s="611" t="s">
        <v>1097</v>
      </c>
      <c r="P640" s="615">
        <v>75</v>
      </c>
      <c r="Q640" s="616">
        <v>42.75</v>
      </c>
      <c r="R640" s="613"/>
      <c r="S640" s="603"/>
      <c r="T640" s="602"/>
      <c r="U640" s="603"/>
      <c r="V640" s="593">
        <f t="shared" si="408"/>
        <v>0</v>
      </c>
      <c r="W640" s="604">
        <f t="shared" si="409"/>
        <v>0</v>
      </c>
      <c r="X640" s="604">
        <f t="shared" si="410"/>
        <v>0</v>
      </c>
      <c r="Y640" s="604">
        <f t="shared" si="411"/>
        <v>0</v>
      </c>
      <c r="Z640" s="605">
        <f t="shared" si="435"/>
        <v>0</v>
      </c>
      <c r="AA640" s="606">
        <f t="shared" si="436"/>
        <v>0</v>
      </c>
      <c r="AB640" s="605">
        <f t="shared" si="414"/>
        <v>0</v>
      </c>
      <c r="AC640" s="607"/>
      <c r="AD640" s="606"/>
      <c r="AE640" s="608"/>
      <c r="AF640" s="639">
        <v>57</v>
      </c>
      <c r="AG640" s="639">
        <f t="shared" si="405"/>
        <v>57</v>
      </c>
      <c r="AH640" s="639">
        <v>0</v>
      </c>
      <c r="AI640" s="640"/>
      <c r="AJ640" s="641">
        <f t="shared" si="433"/>
        <v>0</v>
      </c>
      <c r="AK640" s="642"/>
      <c r="AL640" s="642" t="s">
        <v>364</v>
      </c>
      <c r="AM640" s="643"/>
      <c r="AN640" s="642"/>
      <c r="AO640" s="644"/>
    </row>
    <row r="641" spans="1:41">
      <c r="A641" s="635"/>
      <c r="B641" s="635"/>
      <c r="C641" s="635"/>
      <c r="D641" s="594">
        <v>1</v>
      </c>
      <c r="E641" s="595" t="s">
        <v>1052</v>
      </c>
      <c r="F641" s="593" t="s">
        <v>339</v>
      </c>
      <c r="G641" s="596">
        <v>116</v>
      </c>
      <c r="H641" s="596" t="s">
        <v>1071</v>
      </c>
      <c r="I641" s="596"/>
      <c r="J641" s="596"/>
      <c r="K641" s="596"/>
      <c r="L641" s="591" t="s">
        <v>320</v>
      </c>
      <c r="M641" s="597" t="str">
        <f t="shared" ref="M641" si="448">VLOOKUP(S641,Kengetal,4,FALSE)</f>
        <v>Onderwijsruimte (theorie)</v>
      </c>
      <c r="N641" s="591" t="s">
        <v>322</v>
      </c>
      <c r="O641" s="591"/>
      <c r="P641" s="599"/>
      <c r="Q641" s="600">
        <v>0</v>
      </c>
      <c r="R641" s="601">
        <v>57</v>
      </c>
      <c r="S641" s="647">
        <v>102200</v>
      </c>
      <c r="T641" s="602"/>
      <c r="U641" s="645">
        <v>1</v>
      </c>
      <c r="V641" s="593">
        <f t="shared" si="408"/>
        <v>200</v>
      </c>
      <c r="W641" s="604">
        <f>Z641*R641*U641</f>
        <v>0</v>
      </c>
      <c r="X641" s="604">
        <f>AA641*R641</f>
        <v>0</v>
      </c>
      <c r="Y641" s="604">
        <f>AB641*R641</f>
        <v>0</v>
      </c>
      <c r="Z641" s="605">
        <f>VLOOKUP(S641,Kengetal,6,FALSE)</f>
        <v>0</v>
      </c>
      <c r="AA641" s="751">
        <f>VLOOKUP(S641,Kengetal,7,FALSE)</f>
        <v>0</v>
      </c>
      <c r="AB641" s="605">
        <f>VLOOKUP(T641,Kengetal,6,FALSE)</f>
        <v>0</v>
      </c>
      <c r="AC641" s="607"/>
      <c r="AD641" s="591" t="s">
        <v>364</v>
      </c>
      <c r="AE641" s="608"/>
      <c r="AF641" s="639">
        <v>57</v>
      </c>
      <c r="AG641" s="639">
        <f t="shared" si="405"/>
        <v>57</v>
      </c>
      <c r="AH641" s="639">
        <v>0</v>
      </c>
      <c r="AI641" s="640"/>
      <c r="AJ641" s="641">
        <f t="shared" si="433"/>
        <v>0</v>
      </c>
      <c r="AK641" s="642"/>
      <c r="AL641" s="642" t="s">
        <v>364</v>
      </c>
      <c r="AM641" s="643"/>
      <c r="AN641" s="642"/>
      <c r="AO641" s="644"/>
    </row>
    <row r="642" spans="1:41">
      <c r="A642" s="635"/>
      <c r="B642" s="635"/>
      <c r="C642" s="635"/>
      <c r="D642" s="609">
        <v>1</v>
      </c>
      <c r="E642" s="595" t="s">
        <v>1052</v>
      </c>
      <c r="F642" s="593" t="s">
        <v>339</v>
      </c>
      <c r="G642" s="610">
        <v>116</v>
      </c>
      <c r="H642" s="610" t="s">
        <v>1071</v>
      </c>
      <c r="I642" s="610"/>
      <c r="J642" s="610"/>
      <c r="K642" s="610"/>
      <c r="L642" s="611" t="s">
        <v>320</v>
      </c>
      <c r="M642" s="612" t="s">
        <v>808</v>
      </c>
      <c r="N642" s="613"/>
      <c r="O642" s="611" t="s">
        <v>1097</v>
      </c>
      <c r="P642" s="615">
        <v>100</v>
      </c>
      <c r="Q642" s="616">
        <v>57</v>
      </c>
      <c r="R642" s="613"/>
      <c r="S642" s="603"/>
      <c r="T642" s="602"/>
      <c r="U642" s="603"/>
      <c r="V642" s="593">
        <f t="shared" si="408"/>
        <v>0</v>
      </c>
      <c r="W642" s="604">
        <f t="shared" si="409"/>
        <v>0</v>
      </c>
      <c r="X642" s="604">
        <f t="shared" si="410"/>
        <v>0</v>
      </c>
      <c r="Y642" s="604">
        <f t="shared" si="411"/>
        <v>0</v>
      </c>
      <c r="Z642" s="605">
        <f t="shared" si="435"/>
        <v>0</v>
      </c>
      <c r="AA642" s="606">
        <f t="shared" si="436"/>
        <v>0</v>
      </c>
      <c r="AB642" s="605">
        <f t="shared" si="414"/>
        <v>0</v>
      </c>
      <c r="AC642" s="607"/>
      <c r="AD642" s="606"/>
      <c r="AE642" s="608"/>
      <c r="AF642" s="639">
        <v>57</v>
      </c>
      <c r="AG642" s="639">
        <f t="shared" si="405"/>
        <v>57</v>
      </c>
      <c r="AH642" s="639">
        <v>0</v>
      </c>
      <c r="AI642" s="640"/>
      <c r="AJ642" s="641">
        <f t="shared" si="433"/>
        <v>0</v>
      </c>
      <c r="AK642" s="642"/>
      <c r="AL642" s="642" t="s">
        <v>364</v>
      </c>
      <c r="AM642" s="643"/>
      <c r="AN642" s="642"/>
      <c r="AO642" s="644"/>
    </row>
    <row r="643" spans="1:41">
      <c r="A643" s="635"/>
      <c r="B643" s="635"/>
      <c r="C643" s="635"/>
      <c r="D643" s="594">
        <v>1</v>
      </c>
      <c r="E643" s="595" t="s">
        <v>1052</v>
      </c>
      <c r="F643" s="593" t="s">
        <v>339</v>
      </c>
      <c r="G643" s="596">
        <v>117</v>
      </c>
      <c r="H643" s="596" t="s">
        <v>1072</v>
      </c>
      <c r="I643" s="596"/>
      <c r="J643" s="596"/>
      <c r="K643" s="596"/>
      <c r="L643" s="591" t="s">
        <v>320</v>
      </c>
      <c r="M643" s="597" t="str">
        <f t="shared" ref="M643" si="449">VLOOKUP(S643,Kengetal,4,FALSE)</f>
        <v>Onderwijsruimte (theorie)</v>
      </c>
      <c r="N643" s="591" t="s">
        <v>322</v>
      </c>
      <c r="O643" s="591"/>
      <c r="P643" s="599"/>
      <c r="Q643" s="600">
        <v>0</v>
      </c>
      <c r="R643" s="601">
        <v>55</v>
      </c>
      <c r="S643" s="647">
        <v>102200</v>
      </c>
      <c r="T643" s="602"/>
      <c r="U643" s="645">
        <v>1</v>
      </c>
      <c r="V643" s="593">
        <f t="shared" si="408"/>
        <v>200</v>
      </c>
      <c r="W643" s="604">
        <f>Z643*R643*U643</f>
        <v>0</v>
      </c>
      <c r="X643" s="604">
        <f>AA643*R643</f>
        <v>0</v>
      </c>
      <c r="Y643" s="604">
        <f>AB643*R643</f>
        <v>0</v>
      </c>
      <c r="Z643" s="605">
        <f>VLOOKUP(S643,Kengetal,6,FALSE)</f>
        <v>0</v>
      </c>
      <c r="AA643" s="751">
        <f>VLOOKUP(S643,Kengetal,7,FALSE)</f>
        <v>0</v>
      </c>
      <c r="AB643" s="605">
        <f>VLOOKUP(T643,Kengetal,6,FALSE)</f>
        <v>0</v>
      </c>
      <c r="AC643" s="607"/>
      <c r="AD643" s="591" t="s">
        <v>364</v>
      </c>
      <c r="AE643" s="608"/>
      <c r="AF643" s="639">
        <v>55</v>
      </c>
      <c r="AG643" s="639">
        <f t="shared" si="405"/>
        <v>55</v>
      </c>
      <c r="AH643" s="639">
        <v>0</v>
      </c>
      <c r="AI643" s="640"/>
      <c r="AJ643" s="641">
        <f t="shared" si="433"/>
        <v>0</v>
      </c>
      <c r="AK643" s="642"/>
      <c r="AL643" s="642" t="s">
        <v>364</v>
      </c>
      <c r="AM643" s="643"/>
      <c r="AN643" s="642"/>
      <c r="AO643" s="644"/>
    </row>
    <row r="644" spans="1:41">
      <c r="A644" s="635"/>
      <c r="B644" s="635"/>
      <c r="C644" s="635"/>
      <c r="D644" s="609">
        <v>1</v>
      </c>
      <c r="E644" s="595" t="s">
        <v>1052</v>
      </c>
      <c r="F644" s="593" t="s">
        <v>339</v>
      </c>
      <c r="G644" s="610">
        <v>117</v>
      </c>
      <c r="H644" s="610" t="s">
        <v>1072</v>
      </c>
      <c r="I644" s="610"/>
      <c r="J644" s="610"/>
      <c r="K644" s="610"/>
      <c r="L644" s="611" t="s">
        <v>320</v>
      </c>
      <c r="M644" s="612" t="s">
        <v>808</v>
      </c>
      <c r="N644" s="613"/>
      <c r="O644" s="611" t="s">
        <v>1097</v>
      </c>
      <c r="P644" s="615">
        <v>100</v>
      </c>
      <c r="Q644" s="616">
        <v>55</v>
      </c>
      <c r="R644" s="613"/>
      <c r="S644" s="603"/>
      <c r="T644" s="602"/>
      <c r="U644" s="603"/>
      <c r="V644" s="593">
        <f t="shared" si="408"/>
        <v>0</v>
      </c>
      <c r="W644" s="604">
        <f t="shared" si="409"/>
        <v>0</v>
      </c>
      <c r="X644" s="604">
        <f t="shared" si="410"/>
        <v>0</v>
      </c>
      <c r="Y644" s="604">
        <f t="shared" si="411"/>
        <v>0</v>
      </c>
      <c r="Z644" s="605">
        <f t="shared" ref="Z644:Z673" si="450">VLOOKUP(S644,Kengetal,6,FALSE)</f>
        <v>0</v>
      </c>
      <c r="AA644" s="606">
        <f t="shared" ref="AA644:AA673" si="451">VLOOKUP(S644,Kengetal,7,FALSE)</f>
        <v>0</v>
      </c>
      <c r="AB644" s="605">
        <f t="shared" si="414"/>
        <v>0</v>
      </c>
      <c r="AC644" s="607"/>
      <c r="AD644" s="606"/>
      <c r="AE644" s="608"/>
      <c r="AF644" s="639">
        <v>55</v>
      </c>
      <c r="AG644" s="639">
        <f t="shared" si="405"/>
        <v>55</v>
      </c>
      <c r="AH644" s="639">
        <v>0</v>
      </c>
      <c r="AI644" s="640"/>
      <c r="AJ644" s="641">
        <f t="shared" si="433"/>
        <v>0</v>
      </c>
      <c r="AK644" s="642"/>
      <c r="AL644" s="642" t="s">
        <v>364</v>
      </c>
      <c r="AM644" s="643"/>
      <c r="AN644" s="642"/>
      <c r="AO644" s="644"/>
    </row>
    <row r="645" spans="1:41">
      <c r="A645" s="635"/>
      <c r="B645" s="635"/>
      <c r="C645" s="635"/>
      <c r="D645" s="594">
        <v>1</v>
      </c>
      <c r="E645" s="595" t="s">
        <v>1052</v>
      </c>
      <c r="F645" s="593" t="s">
        <v>339</v>
      </c>
      <c r="G645" s="596">
        <v>118</v>
      </c>
      <c r="H645" s="596" t="s">
        <v>1073</v>
      </c>
      <c r="I645" s="596"/>
      <c r="J645" s="596"/>
      <c r="K645" s="596"/>
      <c r="L645" s="591" t="s">
        <v>320</v>
      </c>
      <c r="M645" s="597" t="str">
        <f t="shared" ref="M645" si="452">VLOOKUP(S645,Kengetal,4,FALSE)</f>
        <v>Onderwijsruimte (theorie)</v>
      </c>
      <c r="N645" s="591" t="s">
        <v>322</v>
      </c>
      <c r="O645" s="591"/>
      <c r="P645" s="599"/>
      <c r="Q645" s="600">
        <v>0</v>
      </c>
      <c r="R645" s="601">
        <v>56</v>
      </c>
      <c r="S645" s="647">
        <v>102200</v>
      </c>
      <c r="T645" s="602"/>
      <c r="U645" s="645">
        <v>1</v>
      </c>
      <c r="V645" s="593">
        <f t="shared" si="408"/>
        <v>200</v>
      </c>
      <c r="W645" s="604">
        <f>Z645*R645*U645</f>
        <v>0</v>
      </c>
      <c r="X645" s="604">
        <f>AA645*R645</f>
        <v>0</v>
      </c>
      <c r="Y645" s="604">
        <f>AB645*R645</f>
        <v>0</v>
      </c>
      <c r="Z645" s="605">
        <f>VLOOKUP(S645,Kengetal,6,FALSE)</f>
        <v>0</v>
      </c>
      <c r="AA645" s="751">
        <f>VLOOKUP(S645,Kengetal,7,FALSE)</f>
        <v>0</v>
      </c>
      <c r="AB645" s="605">
        <f>VLOOKUP(T645,Kengetal,6,FALSE)</f>
        <v>0</v>
      </c>
      <c r="AC645" s="607"/>
      <c r="AD645" s="591" t="s">
        <v>364</v>
      </c>
      <c r="AE645" s="608"/>
      <c r="AF645" s="639">
        <v>56</v>
      </c>
      <c r="AG645" s="639">
        <f t="shared" ref="AG645:AG699" si="453">IF(AND(C645="t"),-AF645,IF(AND(C645="v"),-AF645,IF(AND(C645="W"),-AF645,IF(AND(C645=""),AF645))))</f>
        <v>56</v>
      </c>
      <c r="AH645" s="639">
        <v>0</v>
      </c>
      <c r="AI645" s="640"/>
      <c r="AJ645" s="641">
        <f t="shared" si="433"/>
        <v>0</v>
      </c>
      <c r="AK645" s="642"/>
      <c r="AL645" s="642" t="s">
        <v>364</v>
      </c>
      <c r="AM645" s="643"/>
      <c r="AN645" s="642"/>
      <c r="AO645" s="644"/>
    </row>
    <row r="646" spans="1:41">
      <c r="A646" s="635"/>
      <c r="B646" s="635"/>
      <c r="C646" s="635"/>
      <c r="D646" s="609">
        <v>1</v>
      </c>
      <c r="E646" s="595" t="s">
        <v>1052</v>
      </c>
      <c r="F646" s="593" t="s">
        <v>339</v>
      </c>
      <c r="G646" s="610">
        <v>118</v>
      </c>
      <c r="H646" s="610" t="s">
        <v>1073</v>
      </c>
      <c r="I646" s="610"/>
      <c r="J646" s="610"/>
      <c r="K646" s="610"/>
      <c r="L646" s="611" t="s">
        <v>320</v>
      </c>
      <c r="M646" s="612" t="s">
        <v>808</v>
      </c>
      <c r="N646" s="613"/>
      <c r="O646" s="611" t="s">
        <v>1097</v>
      </c>
      <c r="P646" s="615">
        <v>100</v>
      </c>
      <c r="Q646" s="616">
        <v>56</v>
      </c>
      <c r="R646" s="613"/>
      <c r="S646" s="603"/>
      <c r="T646" s="602"/>
      <c r="U646" s="603"/>
      <c r="V646" s="593">
        <f t="shared" si="408"/>
        <v>0</v>
      </c>
      <c r="W646" s="604">
        <f t="shared" si="409"/>
        <v>0</v>
      </c>
      <c r="X646" s="604">
        <f t="shared" si="410"/>
        <v>0</v>
      </c>
      <c r="Y646" s="604">
        <f t="shared" si="411"/>
        <v>0</v>
      </c>
      <c r="Z646" s="605">
        <f t="shared" si="450"/>
        <v>0</v>
      </c>
      <c r="AA646" s="606">
        <f t="shared" si="451"/>
        <v>0</v>
      </c>
      <c r="AB646" s="605">
        <f t="shared" si="414"/>
        <v>0</v>
      </c>
      <c r="AC646" s="607"/>
      <c r="AD646" s="606"/>
      <c r="AE646" s="608"/>
      <c r="AF646" s="639">
        <v>56</v>
      </c>
      <c r="AG646" s="639">
        <f t="shared" si="453"/>
        <v>56</v>
      </c>
      <c r="AH646" s="639">
        <v>0</v>
      </c>
      <c r="AI646" s="640"/>
      <c r="AJ646" s="641">
        <f t="shared" si="433"/>
        <v>0</v>
      </c>
      <c r="AK646" s="642"/>
      <c r="AL646" s="642" t="s">
        <v>364</v>
      </c>
      <c r="AM646" s="643"/>
      <c r="AN646" s="642"/>
      <c r="AO646" s="644"/>
    </row>
    <row r="647" spans="1:41">
      <c r="A647" s="635"/>
      <c r="B647" s="635"/>
      <c r="C647" s="635"/>
      <c r="D647" s="594">
        <v>1</v>
      </c>
      <c r="E647" s="595" t="s">
        <v>1052</v>
      </c>
      <c r="F647" s="593" t="s">
        <v>339</v>
      </c>
      <c r="G647" s="596">
        <v>120</v>
      </c>
      <c r="H647" s="596" t="s">
        <v>1074</v>
      </c>
      <c r="I647" s="596"/>
      <c r="J647" s="596"/>
      <c r="K647" s="596"/>
      <c r="L647" s="591" t="s">
        <v>320</v>
      </c>
      <c r="M647" s="597" t="str">
        <f t="shared" ref="M647" si="454">VLOOKUP(S647,Kengetal,4,FALSE)</f>
        <v>Onderwijsruimte (theorie)</v>
      </c>
      <c r="N647" s="591" t="s">
        <v>322</v>
      </c>
      <c r="O647" s="591"/>
      <c r="P647" s="599"/>
      <c r="Q647" s="600">
        <v>0</v>
      </c>
      <c r="R647" s="601">
        <v>28</v>
      </c>
      <c r="S647" s="647">
        <v>102200</v>
      </c>
      <c r="T647" s="602"/>
      <c r="U647" s="645">
        <v>1</v>
      </c>
      <c r="V647" s="593">
        <f t="shared" ref="V647" si="455">VLOOKUP(S647,Kengetal,3,FALSE)+VLOOKUP(T647,Kengetal,3,FALSE)</f>
        <v>200</v>
      </c>
      <c r="W647" s="604">
        <f>Z647*R647*U647</f>
        <v>0</v>
      </c>
      <c r="X647" s="604">
        <f>AA647*R647</f>
        <v>0</v>
      </c>
      <c r="Y647" s="604">
        <f>AB647*R647</f>
        <v>0</v>
      </c>
      <c r="Z647" s="605">
        <f>VLOOKUP(S647,Kengetal,6,FALSE)</f>
        <v>0</v>
      </c>
      <c r="AA647" s="751">
        <f>VLOOKUP(S647,Kengetal,7,FALSE)</f>
        <v>0</v>
      </c>
      <c r="AB647" s="605">
        <f>VLOOKUP(T647,Kengetal,6,FALSE)</f>
        <v>0</v>
      </c>
      <c r="AC647" s="607"/>
      <c r="AD647" s="591" t="s">
        <v>364</v>
      </c>
      <c r="AE647" s="608"/>
      <c r="AF647" s="639">
        <v>28</v>
      </c>
      <c r="AG647" s="639">
        <f t="shared" si="453"/>
        <v>28</v>
      </c>
      <c r="AH647" s="639">
        <v>0</v>
      </c>
      <c r="AI647" s="640"/>
      <c r="AJ647" s="641">
        <f t="shared" si="433"/>
        <v>0</v>
      </c>
      <c r="AK647" s="642"/>
      <c r="AL647" s="642" t="s">
        <v>364</v>
      </c>
      <c r="AM647" s="643"/>
      <c r="AN647" s="642"/>
      <c r="AO647" s="644"/>
    </row>
    <row r="648" spans="1:41">
      <c r="A648" s="635"/>
      <c r="B648" s="635"/>
      <c r="C648" s="635"/>
      <c r="D648" s="594">
        <v>1</v>
      </c>
      <c r="E648" s="595" t="s">
        <v>1052</v>
      </c>
      <c r="F648" s="593" t="s">
        <v>339</v>
      </c>
      <c r="G648" s="610">
        <v>120</v>
      </c>
      <c r="H648" s="610" t="s">
        <v>1074</v>
      </c>
      <c r="I648" s="610"/>
      <c r="J648" s="610"/>
      <c r="K648" s="610"/>
      <c r="L648" s="611" t="s">
        <v>320</v>
      </c>
      <c r="M648" s="612" t="s">
        <v>808</v>
      </c>
      <c r="N648" s="613"/>
      <c r="O648" s="611" t="s">
        <v>1097</v>
      </c>
      <c r="P648" s="615">
        <v>25</v>
      </c>
      <c r="Q648" s="616">
        <v>7</v>
      </c>
      <c r="R648" s="613"/>
      <c r="S648" s="603"/>
      <c r="T648" s="602"/>
      <c r="U648" s="603"/>
      <c r="V648" s="593">
        <f t="shared" ref="V648:V697" si="456">VLOOKUP(S648,Kengetal,3,FALSE)+VLOOKUP(T648,Kengetal,3,FALSE)</f>
        <v>0</v>
      </c>
      <c r="W648" s="604">
        <f t="shared" ref="W648:W697" si="457">Z648*R648</f>
        <v>0</v>
      </c>
      <c r="X648" s="604">
        <f t="shared" ref="X648:X697" si="458">AA648*R648</f>
        <v>0</v>
      </c>
      <c r="Y648" s="604">
        <f t="shared" ref="Y648:Y697" si="459">AB648*R648</f>
        <v>0</v>
      </c>
      <c r="Z648" s="605">
        <f t="shared" si="450"/>
        <v>0</v>
      </c>
      <c r="AA648" s="606">
        <f t="shared" si="451"/>
        <v>0</v>
      </c>
      <c r="AB648" s="605">
        <f t="shared" ref="AB648:AB697" si="460">VLOOKUP(U648,Kengetal,6,FALSE)</f>
        <v>0</v>
      </c>
      <c r="AC648" s="607"/>
      <c r="AD648" s="606"/>
      <c r="AE648" s="608"/>
      <c r="AF648" s="639">
        <v>28</v>
      </c>
      <c r="AG648" s="639">
        <f t="shared" si="453"/>
        <v>28</v>
      </c>
      <c r="AH648" s="639">
        <v>0</v>
      </c>
      <c r="AI648" s="640"/>
      <c r="AJ648" s="641">
        <f t="shared" si="433"/>
        <v>0</v>
      </c>
      <c r="AK648" s="642"/>
      <c r="AL648" s="642" t="s">
        <v>364</v>
      </c>
      <c r="AM648" s="643"/>
      <c r="AN648" s="642"/>
      <c r="AO648" s="644"/>
    </row>
    <row r="649" spans="1:41">
      <c r="A649" s="635"/>
      <c r="B649" s="635"/>
      <c r="C649" s="635"/>
      <c r="D649" s="609">
        <v>1</v>
      </c>
      <c r="E649" s="595" t="s">
        <v>1052</v>
      </c>
      <c r="F649" s="593" t="s">
        <v>339</v>
      </c>
      <c r="G649" s="610">
        <v>120</v>
      </c>
      <c r="H649" s="610" t="s">
        <v>1074</v>
      </c>
      <c r="I649" s="610"/>
      <c r="J649" s="610"/>
      <c r="K649" s="610"/>
      <c r="L649" s="611" t="s">
        <v>320</v>
      </c>
      <c r="M649" s="612" t="s">
        <v>808</v>
      </c>
      <c r="N649" s="613"/>
      <c r="O649" s="611" t="s">
        <v>1097</v>
      </c>
      <c r="P649" s="615">
        <v>75</v>
      </c>
      <c r="Q649" s="616">
        <v>21</v>
      </c>
      <c r="R649" s="613"/>
      <c r="S649" s="603"/>
      <c r="T649" s="602"/>
      <c r="U649" s="603"/>
      <c r="V649" s="593">
        <f t="shared" si="456"/>
        <v>0</v>
      </c>
      <c r="W649" s="604">
        <f t="shared" si="457"/>
        <v>0</v>
      </c>
      <c r="X649" s="604">
        <f t="shared" si="458"/>
        <v>0</v>
      </c>
      <c r="Y649" s="604">
        <f t="shared" si="459"/>
        <v>0</v>
      </c>
      <c r="Z649" s="605">
        <f t="shared" si="450"/>
        <v>0</v>
      </c>
      <c r="AA649" s="606">
        <f t="shared" si="451"/>
        <v>0</v>
      </c>
      <c r="AB649" s="605">
        <f t="shared" si="460"/>
        <v>0</v>
      </c>
      <c r="AC649" s="607"/>
      <c r="AD649" s="606"/>
      <c r="AE649" s="608"/>
      <c r="AF649" s="639">
        <v>28</v>
      </c>
      <c r="AG649" s="639">
        <f t="shared" si="453"/>
        <v>28</v>
      </c>
      <c r="AH649" s="639">
        <v>0</v>
      </c>
      <c r="AI649" s="640"/>
      <c r="AJ649" s="641">
        <f t="shared" si="433"/>
        <v>0</v>
      </c>
      <c r="AK649" s="642"/>
      <c r="AL649" s="642" t="s">
        <v>364</v>
      </c>
      <c r="AM649" s="643"/>
      <c r="AN649" s="642"/>
      <c r="AO649" s="644"/>
    </row>
    <row r="650" spans="1:41">
      <c r="A650" s="635"/>
      <c r="B650" s="635"/>
      <c r="C650" s="635"/>
      <c r="D650" s="594">
        <v>1</v>
      </c>
      <c r="E650" s="595" t="s">
        <v>1052</v>
      </c>
      <c r="F650" s="593" t="s">
        <v>339</v>
      </c>
      <c r="G650" s="596">
        <v>120</v>
      </c>
      <c r="H650" s="596" t="s">
        <v>1075</v>
      </c>
      <c r="I650" s="596"/>
      <c r="J650" s="596"/>
      <c r="K650" s="596"/>
      <c r="L650" s="591" t="s">
        <v>320</v>
      </c>
      <c r="M650" s="597" t="str">
        <f t="shared" ref="M650" si="461">VLOOKUP(S650,Kengetal,4,FALSE)</f>
        <v>Onderwijsruimte (theorie)</v>
      </c>
      <c r="N650" s="591" t="s">
        <v>322</v>
      </c>
      <c r="O650" s="591"/>
      <c r="P650" s="599"/>
      <c r="Q650" s="600">
        <v>0</v>
      </c>
      <c r="R650" s="601">
        <v>28</v>
      </c>
      <c r="S650" s="647">
        <v>102200</v>
      </c>
      <c r="T650" s="602"/>
      <c r="U650" s="645">
        <v>1</v>
      </c>
      <c r="V650" s="593">
        <f t="shared" si="456"/>
        <v>200</v>
      </c>
      <c r="W650" s="604">
        <f>Z650*R650*U650</f>
        <v>0</v>
      </c>
      <c r="X650" s="604">
        <f>AA650*R650</f>
        <v>0</v>
      </c>
      <c r="Y650" s="604">
        <f>AB650*R650</f>
        <v>0</v>
      </c>
      <c r="Z650" s="605">
        <f>VLOOKUP(S650,Kengetal,6,FALSE)</f>
        <v>0</v>
      </c>
      <c r="AA650" s="751">
        <f>VLOOKUP(S650,Kengetal,7,FALSE)</f>
        <v>0</v>
      </c>
      <c r="AB650" s="605">
        <f>VLOOKUP(T650,Kengetal,6,FALSE)</f>
        <v>0</v>
      </c>
      <c r="AC650" s="607"/>
      <c r="AD650" s="591" t="s">
        <v>364</v>
      </c>
      <c r="AE650" s="608"/>
      <c r="AF650" s="639">
        <v>28</v>
      </c>
      <c r="AG650" s="639">
        <f t="shared" si="453"/>
        <v>28</v>
      </c>
      <c r="AH650" s="639">
        <v>0</v>
      </c>
      <c r="AI650" s="640"/>
      <c r="AJ650" s="641">
        <f t="shared" si="433"/>
        <v>0</v>
      </c>
      <c r="AK650" s="642"/>
      <c r="AL650" s="642" t="s">
        <v>364</v>
      </c>
      <c r="AM650" s="643"/>
      <c r="AN650" s="642"/>
      <c r="AO650" s="644"/>
    </row>
    <row r="651" spans="1:41">
      <c r="A651" s="635"/>
      <c r="B651" s="635"/>
      <c r="C651" s="635"/>
      <c r="D651" s="609">
        <v>1</v>
      </c>
      <c r="E651" s="595" t="s">
        <v>1052</v>
      </c>
      <c r="F651" s="593" t="s">
        <v>339</v>
      </c>
      <c r="G651" s="610">
        <v>120</v>
      </c>
      <c r="H651" s="610" t="s">
        <v>1075</v>
      </c>
      <c r="I651" s="610"/>
      <c r="J651" s="610"/>
      <c r="K651" s="610"/>
      <c r="L651" s="611" t="s">
        <v>320</v>
      </c>
      <c r="M651" s="612" t="s">
        <v>808</v>
      </c>
      <c r="N651" s="613"/>
      <c r="O651" s="611" t="s">
        <v>989</v>
      </c>
      <c r="P651" s="615">
        <v>100</v>
      </c>
      <c r="Q651" s="616">
        <v>28</v>
      </c>
      <c r="R651" s="613"/>
      <c r="S651" s="603"/>
      <c r="T651" s="602"/>
      <c r="U651" s="603"/>
      <c r="V651" s="593">
        <f t="shared" si="456"/>
        <v>0</v>
      </c>
      <c r="W651" s="604">
        <f t="shared" si="457"/>
        <v>0</v>
      </c>
      <c r="X651" s="604">
        <f t="shared" si="458"/>
        <v>0</v>
      </c>
      <c r="Y651" s="604">
        <f t="shared" si="459"/>
        <v>0</v>
      </c>
      <c r="Z651" s="605">
        <f t="shared" si="450"/>
        <v>0</v>
      </c>
      <c r="AA651" s="606">
        <f t="shared" si="451"/>
        <v>0</v>
      </c>
      <c r="AB651" s="605">
        <f t="shared" si="460"/>
        <v>0</v>
      </c>
      <c r="AC651" s="607"/>
      <c r="AD651" s="606"/>
      <c r="AE651" s="608"/>
      <c r="AF651" s="639">
        <v>28</v>
      </c>
      <c r="AG651" s="639">
        <f t="shared" si="453"/>
        <v>28</v>
      </c>
      <c r="AH651" s="639">
        <v>0</v>
      </c>
      <c r="AI651" s="640"/>
      <c r="AJ651" s="641">
        <f t="shared" si="433"/>
        <v>0</v>
      </c>
      <c r="AK651" s="642"/>
      <c r="AL651" s="642" t="s">
        <v>364</v>
      </c>
      <c r="AM651" s="643"/>
      <c r="AN651" s="642"/>
      <c r="AO651" s="644"/>
    </row>
    <row r="652" spans="1:41">
      <c r="A652" s="635"/>
      <c r="B652" s="635"/>
      <c r="C652" s="635"/>
      <c r="D652" s="594">
        <v>1</v>
      </c>
      <c r="E652" s="595" t="s">
        <v>1052</v>
      </c>
      <c r="F652" s="593" t="s">
        <v>339</v>
      </c>
      <c r="G652" s="596">
        <v>121</v>
      </c>
      <c r="H652" s="596"/>
      <c r="I652" s="596"/>
      <c r="J652" s="596"/>
      <c r="K652" s="596"/>
      <c r="L652" s="591" t="s">
        <v>773</v>
      </c>
      <c r="M652" s="597" t="str">
        <f t="shared" ref="M652:M653" si="462">VLOOKUP(S652,Kengetal,4,FALSE)</f>
        <v>Sanitaire ruimte (toilet-/doucheruimte)</v>
      </c>
      <c r="N652" s="591" t="s">
        <v>323</v>
      </c>
      <c r="O652" s="591"/>
      <c r="P652" s="599"/>
      <c r="Q652" s="600">
        <v>0</v>
      </c>
      <c r="R652" s="601">
        <v>9</v>
      </c>
      <c r="S652" s="647">
        <v>103200</v>
      </c>
      <c r="T652" s="647"/>
      <c r="U652" s="645">
        <v>1</v>
      </c>
      <c r="V652" s="593">
        <f t="shared" si="456"/>
        <v>200</v>
      </c>
      <c r="W652" s="604">
        <f t="shared" ref="W652:W653" si="463">Z652*R652*U652</f>
        <v>0</v>
      </c>
      <c r="X652" s="604">
        <f t="shared" si="458"/>
        <v>0</v>
      </c>
      <c r="Y652" s="604">
        <f t="shared" si="459"/>
        <v>0</v>
      </c>
      <c r="Z652" s="605">
        <f t="shared" si="450"/>
        <v>0</v>
      </c>
      <c r="AA652" s="751">
        <f t="shared" si="451"/>
        <v>0</v>
      </c>
      <c r="AB652" s="605">
        <f>VLOOKUP(T652,Kengetal,6,FALSE)</f>
        <v>0</v>
      </c>
      <c r="AC652" s="607"/>
      <c r="AD652" s="591" t="s">
        <v>364</v>
      </c>
      <c r="AE652" s="608"/>
      <c r="AF652" s="639">
        <v>9</v>
      </c>
      <c r="AG652" s="639">
        <f t="shared" si="453"/>
        <v>9</v>
      </c>
      <c r="AH652" s="639">
        <v>0</v>
      </c>
      <c r="AI652" s="640"/>
      <c r="AJ652" s="641">
        <f t="shared" si="433"/>
        <v>0</v>
      </c>
      <c r="AK652" s="642"/>
      <c r="AL652" s="642" t="s">
        <v>364</v>
      </c>
      <c r="AM652" s="643"/>
      <c r="AN652" s="642"/>
      <c r="AO652" s="644"/>
    </row>
    <row r="653" spans="1:41">
      <c r="A653" s="635"/>
      <c r="B653" s="635"/>
      <c r="C653" s="635"/>
      <c r="D653" s="594">
        <v>1</v>
      </c>
      <c r="E653" s="595" t="s">
        <v>1052</v>
      </c>
      <c r="F653" s="593" t="s">
        <v>339</v>
      </c>
      <c r="G653" s="596">
        <v>122</v>
      </c>
      <c r="H653" s="596" t="s">
        <v>1076</v>
      </c>
      <c r="I653" s="596"/>
      <c r="J653" s="596"/>
      <c r="K653" s="596"/>
      <c r="L653" s="591" t="s">
        <v>1098</v>
      </c>
      <c r="M653" s="597" t="str">
        <f t="shared" si="462"/>
        <v>Administratieve -, personeels- en vergaderruimte</v>
      </c>
      <c r="N653" s="591" t="s">
        <v>78</v>
      </c>
      <c r="O653" s="591"/>
      <c r="P653" s="599"/>
      <c r="Q653" s="600">
        <v>0</v>
      </c>
      <c r="R653" s="601">
        <v>9</v>
      </c>
      <c r="S653" s="647">
        <v>101100</v>
      </c>
      <c r="T653" s="602"/>
      <c r="U653" s="645">
        <v>1</v>
      </c>
      <c r="V653" s="593">
        <f t="shared" si="456"/>
        <v>100</v>
      </c>
      <c r="W653" s="604">
        <f t="shared" si="463"/>
        <v>0</v>
      </c>
      <c r="X653" s="604">
        <f t="shared" si="458"/>
        <v>0</v>
      </c>
      <c r="Y653" s="604">
        <f t="shared" si="459"/>
        <v>0</v>
      </c>
      <c r="Z653" s="605">
        <f t="shared" si="450"/>
        <v>0</v>
      </c>
      <c r="AA653" s="751">
        <f t="shared" si="451"/>
        <v>0</v>
      </c>
      <c r="AB653" s="605">
        <f>VLOOKUP(T653,Kengetal,6,FALSE)</f>
        <v>0</v>
      </c>
      <c r="AC653" s="607"/>
      <c r="AD653" s="591" t="s">
        <v>364</v>
      </c>
      <c r="AE653" s="608"/>
      <c r="AF653" s="639">
        <v>9</v>
      </c>
      <c r="AG653" s="639">
        <f t="shared" si="453"/>
        <v>9</v>
      </c>
      <c r="AH653" s="639">
        <v>0</v>
      </c>
      <c r="AI653" s="640"/>
      <c r="AJ653" s="641">
        <f t="shared" si="433"/>
        <v>0</v>
      </c>
      <c r="AK653" s="642"/>
      <c r="AL653" s="642" t="s">
        <v>364</v>
      </c>
      <c r="AM653" s="643"/>
      <c r="AN653" s="642"/>
      <c r="AO653" s="644"/>
    </row>
    <row r="654" spans="1:41">
      <c r="A654" s="635"/>
      <c r="B654" s="635"/>
      <c r="C654" s="635"/>
      <c r="D654" s="594">
        <v>1</v>
      </c>
      <c r="E654" s="595" t="s">
        <v>1052</v>
      </c>
      <c r="F654" s="593" t="s">
        <v>339</v>
      </c>
      <c r="G654" s="610">
        <v>122</v>
      </c>
      <c r="H654" s="610" t="s">
        <v>1076</v>
      </c>
      <c r="I654" s="610"/>
      <c r="J654" s="610"/>
      <c r="K654" s="610"/>
      <c r="L654" s="611" t="s">
        <v>1098</v>
      </c>
      <c r="M654" s="612" t="s">
        <v>1007</v>
      </c>
      <c r="N654" s="613"/>
      <c r="O654" s="611" t="s">
        <v>1097</v>
      </c>
      <c r="P654" s="615">
        <v>100</v>
      </c>
      <c r="Q654" s="616">
        <v>9</v>
      </c>
      <c r="R654" s="613"/>
      <c r="S654" s="603"/>
      <c r="T654" s="602"/>
      <c r="U654" s="603"/>
      <c r="V654" s="593">
        <f t="shared" si="456"/>
        <v>0</v>
      </c>
      <c r="W654" s="604">
        <f t="shared" si="457"/>
        <v>0</v>
      </c>
      <c r="X654" s="604">
        <f t="shared" si="458"/>
        <v>0</v>
      </c>
      <c r="Y654" s="604">
        <f t="shared" si="459"/>
        <v>0</v>
      </c>
      <c r="Z654" s="605">
        <f t="shared" si="450"/>
        <v>0</v>
      </c>
      <c r="AA654" s="606">
        <f t="shared" si="451"/>
        <v>0</v>
      </c>
      <c r="AB654" s="605">
        <f t="shared" si="460"/>
        <v>0</v>
      </c>
      <c r="AC654" s="607"/>
      <c r="AD654" s="606"/>
      <c r="AE654" s="608"/>
      <c r="AF654" s="639">
        <v>9</v>
      </c>
      <c r="AG654" s="639">
        <f t="shared" si="453"/>
        <v>9</v>
      </c>
      <c r="AH654" s="639">
        <v>0</v>
      </c>
      <c r="AI654" s="640"/>
      <c r="AJ654" s="641">
        <f t="shared" si="433"/>
        <v>0</v>
      </c>
      <c r="AK654" s="642"/>
      <c r="AL654" s="642" t="s">
        <v>364</v>
      </c>
      <c r="AM654" s="643"/>
      <c r="AN654" s="642"/>
      <c r="AO654" s="644"/>
    </row>
    <row r="655" spans="1:41">
      <c r="A655" s="635"/>
      <c r="B655" s="635"/>
      <c r="C655" s="635"/>
      <c r="D655" s="594">
        <v>1</v>
      </c>
      <c r="E655" s="595" t="s">
        <v>1052</v>
      </c>
      <c r="F655" s="593" t="s">
        <v>339</v>
      </c>
      <c r="G655" s="596">
        <v>123</v>
      </c>
      <c r="H655" s="596"/>
      <c r="I655" s="596"/>
      <c r="J655" s="596"/>
      <c r="K655" s="596"/>
      <c r="L655" s="591" t="s">
        <v>773</v>
      </c>
      <c r="M655" s="597" t="str">
        <f t="shared" ref="M655:M656" si="464">VLOOKUP(S655,Kengetal,4,FALSE)</f>
        <v>Sanitaire ruimte (toilet-/doucheruimte)</v>
      </c>
      <c r="N655" s="591" t="s">
        <v>323</v>
      </c>
      <c r="O655" s="591"/>
      <c r="P655" s="599"/>
      <c r="Q655" s="600">
        <v>0</v>
      </c>
      <c r="R655" s="601">
        <v>10</v>
      </c>
      <c r="S655" s="647">
        <v>103200</v>
      </c>
      <c r="T655" s="647"/>
      <c r="U655" s="645">
        <v>1</v>
      </c>
      <c r="V655" s="593">
        <f t="shared" si="456"/>
        <v>200</v>
      </c>
      <c r="W655" s="604">
        <f t="shared" ref="W655:W656" si="465">Z655*R655*U655</f>
        <v>0</v>
      </c>
      <c r="X655" s="604">
        <f t="shared" si="458"/>
        <v>0</v>
      </c>
      <c r="Y655" s="604">
        <f t="shared" si="459"/>
        <v>0</v>
      </c>
      <c r="Z655" s="605">
        <f t="shared" si="450"/>
        <v>0</v>
      </c>
      <c r="AA655" s="751">
        <f t="shared" si="451"/>
        <v>0</v>
      </c>
      <c r="AB655" s="605">
        <f>VLOOKUP(T655,Kengetal,6,FALSE)</f>
        <v>0</v>
      </c>
      <c r="AC655" s="607"/>
      <c r="AD655" s="591" t="s">
        <v>364</v>
      </c>
      <c r="AE655" s="608"/>
      <c r="AF655" s="639">
        <v>10</v>
      </c>
      <c r="AG655" s="639">
        <f t="shared" si="453"/>
        <v>10</v>
      </c>
      <c r="AH655" s="639">
        <v>0</v>
      </c>
      <c r="AI655" s="640"/>
      <c r="AJ655" s="641">
        <f t="shared" si="433"/>
        <v>0</v>
      </c>
      <c r="AK655" s="642"/>
      <c r="AL655" s="642" t="s">
        <v>364</v>
      </c>
      <c r="AM655" s="643"/>
      <c r="AN655" s="642"/>
      <c r="AO655" s="644"/>
    </row>
    <row r="656" spans="1:41">
      <c r="A656" s="635"/>
      <c r="B656" s="635"/>
      <c r="C656" s="635"/>
      <c r="D656" s="594">
        <v>1</v>
      </c>
      <c r="E656" s="595" t="s">
        <v>1052</v>
      </c>
      <c r="F656" s="593" t="s">
        <v>339</v>
      </c>
      <c r="G656" s="596" t="s">
        <v>450</v>
      </c>
      <c r="H656" s="596" t="s">
        <v>1077</v>
      </c>
      <c r="I656" s="596"/>
      <c r="J656" s="596"/>
      <c r="K656" s="596"/>
      <c r="L656" s="591" t="s">
        <v>1038</v>
      </c>
      <c r="M656" s="597" t="str">
        <f t="shared" si="464"/>
        <v>Onderwijsruimte (theorie)</v>
      </c>
      <c r="N656" s="591" t="s">
        <v>78</v>
      </c>
      <c r="O656" s="591"/>
      <c r="P656" s="599"/>
      <c r="Q656" s="600">
        <v>0</v>
      </c>
      <c r="R656" s="601">
        <v>136</v>
      </c>
      <c r="S656" s="647">
        <v>102200</v>
      </c>
      <c r="T656" s="602"/>
      <c r="U656" s="645">
        <v>1</v>
      </c>
      <c r="V656" s="593">
        <f t="shared" si="456"/>
        <v>200</v>
      </c>
      <c r="W656" s="604">
        <f t="shared" si="465"/>
        <v>0</v>
      </c>
      <c r="X656" s="604">
        <f t="shared" si="458"/>
        <v>0</v>
      </c>
      <c r="Y656" s="604">
        <f t="shared" si="459"/>
        <v>0</v>
      </c>
      <c r="Z656" s="605">
        <f t="shared" si="450"/>
        <v>0</v>
      </c>
      <c r="AA656" s="751">
        <f t="shared" si="451"/>
        <v>0</v>
      </c>
      <c r="AB656" s="605">
        <f>VLOOKUP(T656,Kengetal,6,FALSE)</f>
        <v>0</v>
      </c>
      <c r="AC656" s="607"/>
      <c r="AD656" s="591" t="s">
        <v>364</v>
      </c>
      <c r="AE656" s="608"/>
      <c r="AF656" s="639">
        <v>136</v>
      </c>
      <c r="AG656" s="639">
        <f t="shared" si="453"/>
        <v>136</v>
      </c>
      <c r="AH656" s="639">
        <v>0</v>
      </c>
      <c r="AI656" s="640"/>
      <c r="AJ656" s="641">
        <f t="shared" si="433"/>
        <v>0</v>
      </c>
      <c r="AK656" s="642"/>
      <c r="AL656" s="642" t="s">
        <v>364</v>
      </c>
      <c r="AM656" s="643"/>
      <c r="AN656" s="642"/>
      <c r="AO656" s="644"/>
    </row>
    <row r="657" spans="1:41">
      <c r="A657" s="635"/>
      <c r="B657" s="635"/>
      <c r="C657" s="635"/>
      <c r="D657" s="609">
        <v>1</v>
      </c>
      <c r="E657" s="595" t="s">
        <v>1052</v>
      </c>
      <c r="F657" s="593" t="s">
        <v>339</v>
      </c>
      <c r="G657" s="610" t="s">
        <v>450</v>
      </c>
      <c r="H657" s="610" t="s">
        <v>1077</v>
      </c>
      <c r="I657" s="610"/>
      <c r="J657" s="610"/>
      <c r="K657" s="610"/>
      <c r="L657" s="611" t="s">
        <v>1038</v>
      </c>
      <c r="M657" s="612" t="s">
        <v>808</v>
      </c>
      <c r="N657" s="613"/>
      <c r="O657" s="611" t="s">
        <v>1010</v>
      </c>
      <c r="P657" s="615">
        <v>100</v>
      </c>
      <c r="Q657" s="616">
        <v>136</v>
      </c>
      <c r="R657" s="613"/>
      <c r="S657" s="603"/>
      <c r="T657" s="602"/>
      <c r="U657" s="603"/>
      <c r="V657" s="593">
        <f t="shared" si="456"/>
        <v>0</v>
      </c>
      <c r="W657" s="604">
        <f t="shared" si="457"/>
        <v>0</v>
      </c>
      <c r="X657" s="604">
        <f t="shared" si="458"/>
        <v>0</v>
      </c>
      <c r="Y657" s="604">
        <f t="shared" si="459"/>
        <v>0</v>
      </c>
      <c r="Z657" s="605">
        <f t="shared" si="450"/>
        <v>0</v>
      </c>
      <c r="AA657" s="606">
        <f t="shared" si="451"/>
        <v>0</v>
      </c>
      <c r="AB657" s="605">
        <f t="shared" si="460"/>
        <v>0</v>
      </c>
      <c r="AC657" s="607"/>
      <c r="AD657" s="606"/>
      <c r="AE657" s="608"/>
      <c r="AF657" s="639">
        <v>136</v>
      </c>
      <c r="AG657" s="639">
        <f t="shared" si="453"/>
        <v>136</v>
      </c>
      <c r="AH657" s="639">
        <v>0</v>
      </c>
      <c r="AI657" s="640"/>
      <c r="AJ657" s="641">
        <f t="shared" si="433"/>
        <v>0</v>
      </c>
      <c r="AK657" s="642"/>
      <c r="AL657" s="642" t="s">
        <v>364</v>
      </c>
      <c r="AM657" s="643"/>
      <c r="AN657" s="642"/>
      <c r="AO657" s="644"/>
    </row>
    <row r="658" spans="1:41">
      <c r="A658" s="635"/>
      <c r="B658" s="635"/>
      <c r="C658" s="635"/>
      <c r="D658" s="594">
        <v>1</v>
      </c>
      <c r="E658" s="595" t="s">
        <v>1052</v>
      </c>
      <c r="F658" s="593" t="s">
        <v>339</v>
      </c>
      <c r="G658" s="596" t="s">
        <v>454</v>
      </c>
      <c r="H658" s="596" t="s">
        <v>1078</v>
      </c>
      <c r="I658" s="596"/>
      <c r="J658" s="596"/>
      <c r="K658" s="596"/>
      <c r="L658" s="591" t="s">
        <v>874</v>
      </c>
      <c r="M658" s="597" t="str">
        <f t="shared" ref="M658:M660" si="466">VLOOKUP(S658,Kengetal,4,FALSE)</f>
        <v>Administratieve -, personeels- en vergaderruimte</v>
      </c>
      <c r="N658" s="591" t="s">
        <v>78</v>
      </c>
      <c r="O658" s="591"/>
      <c r="P658" s="599"/>
      <c r="Q658" s="600">
        <v>0</v>
      </c>
      <c r="R658" s="601">
        <v>27</v>
      </c>
      <c r="S658" s="647">
        <v>101100</v>
      </c>
      <c r="T658" s="602"/>
      <c r="U658" s="645">
        <v>1</v>
      </c>
      <c r="V658" s="593">
        <f t="shared" si="456"/>
        <v>100</v>
      </c>
      <c r="W658" s="604">
        <f t="shared" ref="W658:W660" si="467">Z658*R658*U658</f>
        <v>0</v>
      </c>
      <c r="X658" s="604">
        <f t="shared" si="458"/>
        <v>0</v>
      </c>
      <c r="Y658" s="604">
        <f t="shared" si="459"/>
        <v>0</v>
      </c>
      <c r="Z658" s="605">
        <f t="shared" si="450"/>
        <v>0</v>
      </c>
      <c r="AA658" s="751">
        <f t="shared" si="451"/>
        <v>0</v>
      </c>
      <c r="AB658" s="605">
        <f>VLOOKUP(T658,Kengetal,6,FALSE)</f>
        <v>0</v>
      </c>
      <c r="AC658" s="607"/>
      <c r="AD658" s="591" t="s">
        <v>364</v>
      </c>
      <c r="AE658" s="608"/>
      <c r="AF658" s="639">
        <v>27</v>
      </c>
      <c r="AG658" s="639">
        <f t="shared" si="453"/>
        <v>27</v>
      </c>
      <c r="AH658" s="639">
        <v>0</v>
      </c>
      <c r="AI658" s="640"/>
      <c r="AJ658" s="641">
        <f t="shared" si="433"/>
        <v>0</v>
      </c>
      <c r="AK658" s="642"/>
      <c r="AL658" s="642" t="s">
        <v>364</v>
      </c>
      <c r="AM658" s="643"/>
      <c r="AN658" s="642"/>
      <c r="AO658" s="644"/>
    </row>
    <row r="659" spans="1:41">
      <c r="A659" s="635"/>
      <c r="B659" s="635"/>
      <c r="C659" s="635"/>
      <c r="D659" s="594">
        <v>1</v>
      </c>
      <c r="E659" s="595" t="s">
        <v>1052</v>
      </c>
      <c r="F659" s="593" t="s">
        <v>339</v>
      </c>
      <c r="G659" s="596" t="s">
        <v>461</v>
      </c>
      <c r="H659" s="596"/>
      <c r="I659" s="596"/>
      <c r="J659" s="596"/>
      <c r="K659" s="596"/>
      <c r="L659" s="591" t="s">
        <v>319</v>
      </c>
      <c r="M659" s="597" t="str">
        <f t="shared" si="466"/>
        <v>Gang, hal, pantry, aula, repro, gardarobe</v>
      </c>
      <c r="N659" s="591" t="s">
        <v>322</v>
      </c>
      <c r="O659" s="591"/>
      <c r="P659" s="599"/>
      <c r="Q659" s="600">
        <v>0</v>
      </c>
      <c r="R659" s="601">
        <v>78</v>
      </c>
      <c r="S659" s="647">
        <v>104200</v>
      </c>
      <c r="T659" s="602"/>
      <c r="U659" s="645">
        <v>1</v>
      </c>
      <c r="V659" s="593">
        <f t="shared" si="456"/>
        <v>200</v>
      </c>
      <c r="W659" s="604">
        <f t="shared" si="467"/>
        <v>0</v>
      </c>
      <c r="X659" s="604">
        <f t="shared" si="458"/>
        <v>0</v>
      </c>
      <c r="Y659" s="604">
        <f t="shared" si="459"/>
        <v>0</v>
      </c>
      <c r="Z659" s="605">
        <f t="shared" si="450"/>
        <v>0</v>
      </c>
      <c r="AA659" s="751">
        <f t="shared" si="451"/>
        <v>0</v>
      </c>
      <c r="AB659" s="605">
        <f>VLOOKUP(T659,Kengetal,6,FALSE)</f>
        <v>0</v>
      </c>
      <c r="AC659" s="607"/>
      <c r="AD659" s="591" t="s">
        <v>364</v>
      </c>
      <c r="AE659" s="608"/>
      <c r="AF659" s="639">
        <v>78</v>
      </c>
      <c r="AG659" s="639">
        <f t="shared" si="453"/>
        <v>78</v>
      </c>
      <c r="AH659" s="639">
        <v>0</v>
      </c>
      <c r="AI659" s="640"/>
      <c r="AJ659" s="641">
        <f t="shared" si="433"/>
        <v>0</v>
      </c>
      <c r="AK659" s="642"/>
      <c r="AL659" s="642" t="s">
        <v>364</v>
      </c>
      <c r="AM659" s="643"/>
      <c r="AN659" s="642"/>
      <c r="AO659" s="644"/>
    </row>
    <row r="660" spans="1:41">
      <c r="A660" s="635"/>
      <c r="B660" s="635"/>
      <c r="C660" s="635"/>
      <c r="D660" s="594">
        <v>1</v>
      </c>
      <c r="E660" s="595" t="s">
        <v>1052</v>
      </c>
      <c r="F660" s="593" t="s">
        <v>339</v>
      </c>
      <c r="G660" s="596" t="s">
        <v>469</v>
      </c>
      <c r="H660" s="596" t="s">
        <v>1079</v>
      </c>
      <c r="I660" s="596"/>
      <c r="J660" s="596"/>
      <c r="K660" s="596"/>
      <c r="L660" s="591" t="s">
        <v>320</v>
      </c>
      <c r="M660" s="597" t="str">
        <f t="shared" si="466"/>
        <v>Administratieve -, personeels- en vergaderruimte</v>
      </c>
      <c r="N660" s="591" t="s">
        <v>322</v>
      </c>
      <c r="O660" s="591"/>
      <c r="P660" s="599"/>
      <c r="Q660" s="600">
        <v>0</v>
      </c>
      <c r="R660" s="601">
        <v>36</v>
      </c>
      <c r="S660" s="647">
        <v>101100</v>
      </c>
      <c r="T660" s="602"/>
      <c r="U660" s="645">
        <v>1</v>
      </c>
      <c r="V660" s="593">
        <f t="shared" si="456"/>
        <v>100</v>
      </c>
      <c r="W660" s="604">
        <f t="shared" si="467"/>
        <v>0</v>
      </c>
      <c r="X660" s="604">
        <f t="shared" si="458"/>
        <v>0</v>
      </c>
      <c r="Y660" s="604">
        <f t="shared" si="459"/>
        <v>0</v>
      </c>
      <c r="Z660" s="605">
        <f t="shared" si="450"/>
        <v>0</v>
      </c>
      <c r="AA660" s="751">
        <f t="shared" si="451"/>
        <v>0</v>
      </c>
      <c r="AB660" s="605">
        <f>VLOOKUP(T660,Kengetal,6,FALSE)</f>
        <v>0</v>
      </c>
      <c r="AC660" s="607"/>
      <c r="AD660" s="591" t="s">
        <v>364</v>
      </c>
      <c r="AE660" s="608"/>
      <c r="AF660" s="639">
        <v>36</v>
      </c>
      <c r="AG660" s="639">
        <f t="shared" si="453"/>
        <v>36</v>
      </c>
      <c r="AH660" s="639">
        <v>0</v>
      </c>
      <c r="AI660" s="640"/>
      <c r="AJ660" s="641">
        <f t="shared" si="433"/>
        <v>0</v>
      </c>
      <c r="AK660" s="642"/>
      <c r="AL660" s="642" t="s">
        <v>364</v>
      </c>
      <c r="AM660" s="643"/>
      <c r="AN660" s="642"/>
      <c r="AO660" s="644"/>
    </row>
    <row r="661" spans="1:41">
      <c r="A661" s="635"/>
      <c r="B661" s="635"/>
      <c r="C661" s="635"/>
      <c r="D661" s="594">
        <v>1</v>
      </c>
      <c r="E661" s="595" t="s">
        <v>1052</v>
      </c>
      <c r="F661" s="593" t="s">
        <v>339</v>
      </c>
      <c r="G661" s="610" t="s">
        <v>469</v>
      </c>
      <c r="H661" s="610" t="s">
        <v>1079</v>
      </c>
      <c r="I661" s="610"/>
      <c r="J661" s="610"/>
      <c r="K661" s="610"/>
      <c r="L661" s="611" t="s">
        <v>320</v>
      </c>
      <c r="M661" s="612" t="s">
        <v>1007</v>
      </c>
      <c r="N661" s="613"/>
      <c r="O661" s="611" t="s">
        <v>989</v>
      </c>
      <c r="P661" s="615">
        <v>100</v>
      </c>
      <c r="Q661" s="616">
        <v>36</v>
      </c>
      <c r="R661" s="613"/>
      <c r="S661" s="603"/>
      <c r="T661" s="602"/>
      <c r="U661" s="603"/>
      <c r="V661" s="593">
        <f t="shared" si="456"/>
        <v>0</v>
      </c>
      <c r="W661" s="604">
        <f t="shared" si="457"/>
        <v>0</v>
      </c>
      <c r="X661" s="604">
        <f t="shared" si="458"/>
        <v>0</v>
      </c>
      <c r="Y661" s="604">
        <f t="shared" si="459"/>
        <v>0</v>
      </c>
      <c r="Z661" s="605">
        <f t="shared" si="450"/>
        <v>0</v>
      </c>
      <c r="AA661" s="606">
        <f t="shared" si="451"/>
        <v>0</v>
      </c>
      <c r="AB661" s="605">
        <f t="shared" si="460"/>
        <v>0</v>
      </c>
      <c r="AC661" s="607"/>
      <c r="AD661" s="606"/>
      <c r="AE661" s="608"/>
      <c r="AF661" s="639">
        <v>36</v>
      </c>
      <c r="AG661" s="639">
        <f t="shared" si="453"/>
        <v>36</v>
      </c>
      <c r="AH661" s="639">
        <v>0</v>
      </c>
      <c r="AI661" s="640"/>
      <c r="AJ661" s="641">
        <f t="shared" si="433"/>
        <v>0</v>
      </c>
      <c r="AK661" s="642"/>
      <c r="AL661" s="642" t="s">
        <v>364</v>
      </c>
      <c r="AM661" s="643"/>
      <c r="AN661" s="642"/>
      <c r="AO661" s="644"/>
    </row>
    <row r="662" spans="1:41">
      <c r="A662" s="635"/>
      <c r="B662" s="635"/>
      <c r="C662" s="635"/>
      <c r="D662" s="594">
        <v>1</v>
      </c>
      <c r="E662" s="595" t="s">
        <v>1052</v>
      </c>
      <c r="F662" s="593" t="s">
        <v>339</v>
      </c>
      <c r="G662" s="596" t="s">
        <v>1080</v>
      </c>
      <c r="H662" s="596" t="s">
        <v>1081</v>
      </c>
      <c r="I662" s="596"/>
      <c r="J662" s="596"/>
      <c r="K662" s="596"/>
      <c r="L662" s="591" t="s">
        <v>340</v>
      </c>
      <c r="M662" s="597" t="str">
        <f t="shared" ref="M662" si="468">VLOOKUP(S662,Kengetal,4,FALSE)</f>
        <v>Onderwijsruimte (theorie)</v>
      </c>
      <c r="N662" s="591" t="s">
        <v>322</v>
      </c>
      <c r="O662" s="591"/>
      <c r="P662" s="599"/>
      <c r="Q662" s="600">
        <v>0</v>
      </c>
      <c r="R662" s="601">
        <v>43</v>
      </c>
      <c r="S662" s="647">
        <v>102200</v>
      </c>
      <c r="T662" s="602"/>
      <c r="U662" s="645">
        <v>1</v>
      </c>
      <c r="V662" s="593">
        <f t="shared" si="456"/>
        <v>200</v>
      </c>
      <c r="W662" s="604">
        <f>Z662*R662*U662</f>
        <v>0</v>
      </c>
      <c r="X662" s="604">
        <f>AA662*R662</f>
        <v>0</v>
      </c>
      <c r="Y662" s="604">
        <f>AB662*R662</f>
        <v>0</v>
      </c>
      <c r="Z662" s="605">
        <f>VLOOKUP(S662,Kengetal,6,FALSE)</f>
        <v>0</v>
      </c>
      <c r="AA662" s="751">
        <f>VLOOKUP(S662,Kengetal,7,FALSE)</f>
        <v>0</v>
      </c>
      <c r="AB662" s="605">
        <f>VLOOKUP(T662,Kengetal,6,FALSE)</f>
        <v>0</v>
      </c>
      <c r="AC662" s="607"/>
      <c r="AD662" s="591" t="s">
        <v>364</v>
      </c>
      <c r="AE662" s="608"/>
      <c r="AF662" s="639">
        <v>43</v>
      </c>
      <c r="AG662" s="639">
        <f t="shared" si="453"/>
        <v>43</v>
      </c>
      <c r="AH662" s="639">
        <v>0</v>
      </c>
      <c r="AI662" s="640"/>
      <c r="AJ662" s="641">
        <f t="shared" si="433"/>
        <v>0</v>
      </c>
      <c r="AK662" s="642"/>
      <c r="AL662" s="642" t="s">
        <v>364</v>
      </c>
      <c r="AM662" s="643"/>
      <c r="AN662" s="642"/>
      <c r="AO662" s="644"/>
    </row>
    <row r="663" spans="1:41">
      <c r="A663" s="635"/>
      <c r="B663" s="635"/>
      <c r="C663" s="635"/>
      <c r="D663" s="609">
        <v>1</v>
      </c>
      <c r="E663" s="595" t="s">
        <v>1052</v>
      </c>
      <c r="F663" s="593" t="s">
        <v>339</v>
      </c>
      <c r="G663" s="610" t="s">
        <v>1080</v>
      </c>
      <c r="H663" s="610" t="s">
        <v>1081</v>
      </c>
      <c r="I663" s="610"/>
      <c r="J663" s="610"/>
      <c r="K663" s="610"/>
      <c r="L663" s="611" t="s">
        <v>340</v>
      </c>
      <c r="M663" s="612" t="s">
        <v>808</v>
      </c>
      <c r="N663" s="613"/>
      <c r="O663" s="611" t="s">
        <v>989</v>
      </c>
      <c r="P663" s="615">
        <v>100</v>
      </c>
      <c r="Q663" s="616">
        <v>43</v>
      </c>
      <c r="R663" s="613"/>
      <c r="S663" s="603"/>
      <c r="T663" s="602"/>
      <c r="U663" s="603"/>
      <c r="V663" s="593">
        <f t="shared" si="456"/>
        <v>0</v>
      </c>
      <c r="W663" s="604">
        <f t="shared" si="457"/>
        <v>0</v>
      </c>
      <c r="X663" s="604">
        <f t="shared" si="458"/>
        <v>0</v>
      </c>
      <c r="Y663" s="604">
        <f t="shared" si="459"/>
        <v>0</v>
      </c>
      <c r="Z663" s="605">
        <f t="shared" si="450"/>
        <v>0</v>
      </c>
      <c r="AA663" s="606">
        <f t="shared" si="451"/>
        <v>0</v>
      </c>
      <c r="AB663" s="605">
        <f t="shared" si="460"/>
        <v>0</v>
      </c>
      <c r="AC663" s="607"/>
      <c r="AD663" s="606"/>
      <c r="AE663" s="608"/>
      <c r="AF663" s="639">
        <v>43</v>
      </c>
      <c r="AG663" s="639">
        <f t="shared" si="453"/>
        <v>43</v>
      </c>
      <c r="AH663" s="639">
        <v>0</v>
      </c>
      <c r="AI663" s="640"/>
      <c r="AJ663" s="641">
        <f t="shared" si="433"/>
        <v>0</v>
      </c>
      <c r="AK663" s="642"/>
      <c r="AL663" s="642" t="s">
        <v>364</v>
      </c>
      <c r="AM663" s="643"/>
      <c r="AN663" s="642"/>
      <c r="AO663" s="644"/>
    </row>
    <row r="664" spans="1:41">
      <c r="A664" s="635"/>
      <c r="B664" s="635"/>
      <c r="C664" s="635"/>
      <c r="D664" s="594">
        <v>1</v>
      </c>
      <c r="E664" s="595" t="s">
        <v>1052</v>
      </c>
      <c r="F664" s="593" t="s">
        <v>339</v>
      </c>
      <c r="G664" s="596"/>
      <c r="H664" s="596" t="s">
        <v>1082</v>
      </c>
      <c r="I664" s="596"/>
      <c r="J664" s="596"/>
      <c r="K664" s="596"/>
      <c r="L664" s="591" t="s">
        <v>340</v>
      </c>
      <c r="M664" s="597" t="str">
        <f t="shared" ref="M664" si="469">VLOOKUP(S664,Kengetal,4,FALSE)</f>
        <v>Onderwijsruimte (theorie)</v>
      </c>
      <c r="N664" s="606"/>
      <c r="O664" s="591"/>
      <c r="P664" s="599"/>
      <c r="Q664" s="600">
        <v>0</v>
      </c>
      <c r="R664" s="601">
        <v>56</v>
      </c>
      <c r="S664" s="647">
        <v>102200</v>
      </c>
      <c r="T664" s="602"/>
      <c r="U664" s="645">
        <v>1</v>
      </c>
      <c r="V664" s="593">
        <f t="shared" si="456"/>
        <v>200</v>
      </c>
      <c r="W664" s="604">
        <f>Z664*R664*U664</f>
        <v>0</v>
      </c>
      <c r="X664" s="604">
        <f>AA664*R664</f>
        <v>0</v>
      </c>
      <c r="Y664" s="604">
        <f>AB664*R664</f>
        <v>0</v>
      </c>
      <c r="Z664" s="605">
        <f>VLOOKUP(S664,Kengetal,6,FALSE)</f>
        <v>0</v>
      </c>
      <c r="AA664" s="751">
        <f>VLOOKUP(S664,Kengetal,7,FALSE)</f>
        <v>0</v>
      </c>
      <c r="AB664" s="605">
        <f>VLOOKUP(T664,Kengetal,6,FALSE)</f>
        <v>0</v>
      </c>
      <c r="AC664" s="607"/>
      <c r="AD664" s="591" t="s">
        <v>364</v>
      </c>
      <c r="AE664" s="608"/>
      <c r="AF664" s="639">
        <v>56</v>
      </c>
      <c r="AG664" s="639">
        <f t="shared" si="453"/>
        <v>56</v>
      </c>
      <c r="AH664" s="639"/>
      <c r="AI664" s="640"/>
      <c r="AJ664" s="641">
        <f t="shared" si="433"/>
        <v>0</v>
      </c>
      <c r="AK664" s="642"/>
      <c r="AL664" s="642" t="s">
        <v>364</v>
      </c>
      <c r="AM664" s="643"/>
      <c r="AN664" s="642"/>
      <c r="AO664" s="644"/>
    </row>
    <row r="665" spans="1:41">
      <c r="A665" s="635"/>
      <c r="B665" s="635"/>
      <c r="C665" s="635"/>
      <c r="D665" s="594">
        <v>1</v>
      </c>
      <c r="E665" s="595" t="s">
        <v>1052</v>
      </c>
      <c r="F665" s="593" t="s">
        <v>339</v>
      </c>
      <c r="G665" s="610"/>
      <c r="H665" s="610" t="s">
        <v>1082</v>
      </c>
      <c r="I665" s="610"/>
      <c r="J665" s="610"/>
      <c r="K665" s="610"/>
      <c r="L665" s="611" t="s">
        <v>340</v>
      </c>
      <c r="M665" s="612" t="s">
        <v>808</v>
      </c>
      <c r="N665" s="613"/>
      <c r="O665" s="611" t="s">
        <v>1097</v>
      </c>
      <c r="P665" s="615">
        <v>100</v>
      </c>
      <c r="Q665" s="616">
        <v>56</v>
      </c>
      <c r="R665" s="613"/>
      <c r="S665" s="603"/>
      <c r="T665" s="602"/>
      <c r="U665" s="603"/>
      <c r="V665" s="593">
        <f t="shared" si="456"/>
        <v>0</v>
      </c>
      <c r="W665" s="604">
        <f t="shared" si="457"/>
        <v>0</v>
      </c>
      <c r="X665" s="604">
        <f t="shared" si="458"/>
        <v>0</v>
      </c>
      <c r="Y665" s="604">
        <f t="shared" si="459"/>
        <v>0</v>
      </c>
      <c r="Z665" s="605">
        <f t="shared" si="450"/>
        <v>0</v>
      </c>
      <c r="AA665" s="606">
        <f t="shared" si="451"/>
        <v>0</v>
      </c>
      <c r="AB665" s="605">
        <f t="shared" si="460"/>
        <v>0</v>
      </c>
      <c r="AC665" s="607"/>
      <c r="AD665" s="606"/>
      <c r="AE665" s="608"/>
      <c r="AF665" s="639">
        <v>56</v>
      </c>
      <c r="AG665" s="639">
        <f t="shared" si="453"/>
        <v>56</v>
      </c>
      <c r="AH665" s="639"/>
      <c r="AI665" s="640"/>
      <c r="AJ665" s="641">
        <f t="shared" si="433"/>
        <v>0</v>
      </c>
      <c r="AK665" s="642"/>
      <c r="AL665" s="642" t="s">
        <v>364</v>
      </c>
      <c r="AM665" s="643"/>
      <c r="AN665" s="642"/>
      <c r="AO665" s="644"/>
    </row>
    <row r="666" spans="1:41">
      <c r="A666" s="635"/>
      <c r="B666" s="635"/>
      <c r="C666" s="635"/>
      <c r="D666" s="594">
        <v>1</v>
      </c>
      <c r="E666" s="595" t="s">
        <v>1099</v>
      </c>
      <c r="F666" s="593" t="s">
        <v>367</v>
      </c>
      <c r="G666" s="596">
        <v>1</v>
      </c>
      <c r="H666" s="596"/>
      <c r="I666" s="596"/>
      <c r="J666" s="596"/>
      <c r="K666" s="596"/>
      <c r="L666" s="591" t="s">
        <v>763</v>
      </c>
      <c r="M666" s="597" t="str">
        <f t="shared" ref="M666:M672" si="470">VLOOKUP(S666,Kengetal,4,FALSE)</f>
        <v>Trappenhuis-bordes</v>
      </c>
      <c r="N666" s="591" t="s">
        <v>343</v>
      </c>
      <c r="O666" s="596"/>
      <c r="P666" s="622"/>
      <c r="Q666" s="600">
        <v>0</v>
      </c>
      <c r="R666" s="601">
        <v>13</v>
      </c>
      <c r="S666" s="647">
        <v>108200</v>
      </c>
      <c r="T666" s="602"/>
      <c r="U666" s="645">
        <v>1</v>
      </c>
      <c r="V666" s="593">
        <f t="shared" ref="V666:V668" si="471">VLOOKUP(S666,Kengetal,3,FALSE)+VLOOKUP(T666,Kengetal,3,FALSE)</f>
        <v>200</v>
      </c>
      <c r="W666" s="604">
        <f t="shared" ref="W666:W672" si="472">Z666*R666*U666</f>
        <v>0</v>
      </c>
      <c r="X666" s="604">
        <f t="shared" si="458"/>
        <v>0</v>
      </c>
      <c r="Y666" s="604">
        <f t="shared" si="459"/>
        <v>0</v>
      </c>
      <c r="Z666" s="605">
        <f t="shared" si="450"/>
        <v>0</v>
      </c>
      <c r="AA666" s="751">
        <f t="shared" si="451"/>
        <v>0</v>
      </c>
      <c r="AB666" s="605">
        <f t="shared" ref="AB666:AB672" si="473">VLOOKUP(T666,Kengetal,6,FALSE)</f>
        <v>0</v>
      </c>
      <c r="AC666" s="607"/>
      <c r="AD666" s="591" t="s">
        <v>364</v>
      </c>
      <c r="AE666" s="608"/>
      <c r="AF666" s="639">
        <v>13</v>
      </c>
      <c r="AG666" s="639">
        <f t="shared" si="453"/>
        <v>13</v>
      </c>
      <c r="AH666" s="639">
        <v>0</v>
      </c>
      <c r="AI666" s="640"/>
      <c r="AJ666" s="641">
        <f t="shared" si="433"/>
        <v>0</v>
      </c>
      <c r="AK666" s="642"/>
      <c r="AL666" s="642" t="s">
        <v>364</v>
      </c>
      <c r="AM666" s="643"/>
      <c r="AN666" s="642"/>
      <c r="AO666" s="644">
        <v>1968</v>
      </c>
    </row>
    <row r="667" spans="1:41">
      <c r="A667" s="635"/>
      <c r="B667" s="635"/>
      <c r="C667" s="635"/>
      <c r="D667" s="594">
        <v>1</v>
      </c>
      <c r="E667" s="595" t="s">
        <v>1099</v>
      </c>
      <c r="F667" s="593" t="s">
        <v>367</v>
      </c>
      <c r="G667" s="596">
        <v>2</v>
      </c>
      <c r="H667" s="596"/>
      <c r="I667" s="596"/>
      <c r="J667" s="596"/>
      <c r="K667" s="596"/>
      <c r="L667" s="591" t="s">
        <v>1114</v>
      </c>
      <c r="M667" s="597" t="str">
        <f t="shared" si="470"/>
        <v>Trappenhuis-bordes</v>
      </c>
      <c r="N667" s="591" t="s">
        <v>343</v>
      </c>
      <c r="O667" s="596"/>
      <c r="P667" s="622"/>
      <c r="Q667" s="600">
        <v>0</v>
      </c>
      <c r="R667" s="601">
        <v>17</v>
      </c>
      <c r="S667" s="647">
        <v>108200</v>
      </c>
      <c r="T667" s="602"/>
      <c r="U667" s="645">
        <v>1</v>
      </c>
      <c r="V667" s="593">
        <f t="shared" si="471"/>
        <v>200</v>
      </c>
      <c r="W667" s="604">
        <f t="shared" si="472"/>
        <v>0</v>
      </c>
      <c r="X667" s="604">
        <f t="shared" si="458"/>
        <v>0</v>
      </c>
      <c r="Y667" s="604">
        <f t="shared" si="459"/>
        <v>0</v>
      </c>
      <c r="Z667" s="605">
        <f t="shared" si="450"/>
        <v>0</v>
      </c>
      <c r="AA667" s="751">
        <f t="shared" si="451"/>
        <v>0</v>
      </c>
      <c r="AB667" s="605">
        <f t="shared" si="473"/>
        <v>0</v>
      </c>
      <c r="AC667" s="607"/>
      <c r="AD667" s="591" t="s">
        <v>364</v>
      </c>
      <c r="AE667" s="608"/>
      <c r="AF667" s="639">
        <v>17</v>
      </c>
      <c r="AG667" s="639">
        <f t="shared" si="453"/>
        <v>17</v>
      </c>
      <c r="AH667" s="639">
        <v>0</v>
      </c>
      <c r="AI667" s="640"/>
      <c r="AJ667" s="641">
        <f t="shared" si="433"/>
        <v>0</v>
      </c>
      <c r="AK667" s="642"/>
      <c r="AL667" s="642" t="s">
        <v>364</v>
      </c>
      <c r="AM667" s="643"/>
      <c r="AN667" s="642"/>
      <c r="AO667" s="644">
        <v>1969</v>
      </c>
    </row>
    <row r="668" spans="1:41">
      <c r="A668" s="635"/>
      <c r="B668" s="635"/>
      <c r="C668" s="635"/>
      <c r="D668" s="594">
        <v>1</v>
      </c>
      <c r="E668" s="595" t="s">
        <v>1099</v>
      </c>
      <c r="F668" s="593" t="s">
        <v>367</v>
      </c>
      <c r="G668" s="596">
        <v>3</v>
      </c>
      <c r="H668" s="596"/>
      <c r="I668" s="596"/>
      <c r="J668" s="596"/>
      <c r="K668" s="596"/>
      <c r="L668" s="591" t="s">
        <v>318</v>
      </c>
      <c r="M668" s="597" t="str">
        <f t="shared" si="470"/>
        <v>Gang, hal, pantry, aula, repro, gardarobe</v>
      </c>
      <c r="N668" s="591" t="s">
        <v>323</v>
      </c>
      <c r="O668" s="591"/>
      <c r="P668" s="622"/>
      <c r="Q668" s="600">
        <v>0</v>
      </c>
      <c r="R668" s="601">
        <v>8</v>
      </c>
      <c r="S668" s="647">
        <v>104200</v>
      </c>
      <c r="T668" s="602"/>
      <c r="U668" s="645">
        <v>1</v>
      </c>
      <c r="V668" s="593">
        <f t="shared" si="471"/>
        <v>200</v>
      </c>
      <c r="W668" s="604">
        <f t="shared" si="472"/>
        <v>0</v>
      </c>
      <c r="X668" s="604">
        <f t="shared" si="458"/>
        <v>0</v>
      </c>
      <c r="Y668" s="604">
        <f t="shared" si="459"/>
        <v>0</v>
      </c>
      <c r="Z668" s="605">
        <f t="shared" si="450"/>
        <v>0</v>
      </c>
      <c r="AA668" s="751">
        <f t="shared" si="451"/>
        <v>0</v>
      </c>
      <c r="AB668" s="605">
        <f t="shared" si="473"/>
        <v>0</v>
      </c>
      <c r="AC668" s="607"/>
      <c r="AD668" s="591" t="s">
        <v>364</v>
      </c>
      <c r="AE668" s="608"/>
      <c r="AF668" s="639">
        <v>8</v>
      </c>
      <c r="AG668" s="639">
        <f t="shared" si="453"/>
        <v>8</v>
      </c>
      <c r="AH668" s="639">
        <v>0</v>
      </c>
      <c r="AI668" s="640"/>
      <c r="AJ668" s="641">
        <f t="shared" si="433"/>
        <v>0</v>
      </c>
      <c r="AK668" s="642"/>
      <c r="AL668" s="642" t="s">
        <v>364</v>
      </c>
      <c r="AM668" s="643"/>
      <c r="AN668" s="642"/>
      <c r="AO668" s="644">
        <v>1970</v>
      </c>
    </row>
    <row r="669" spans="1:41">
      <c r="A669" s="635"/>
      <c r="B669" s="635"/>
      <c r="C669" s="635"/>
      <c r="D669" s="594">
        <v>1</v>
      </c>
      <c r="E669" s="595" t="s">
        <v>1099</v>
      </c>
      <c r="F669" s="593" t="s">
        <v>367</v>
      </c>
      <c r="G669" s="596">
        <v>4</v>
      </c>
      <c r="H669" s="596"/>
      <c r="I669" s="596"/>
      <c r="J669" s="596"/>
      <c r="K669" s="596"/>
      <c r="L669" s="591" t="s">
        <v>1115</v>
      </c>
      <c r="M669" s="597" t="str">
        <f t="shared" si="470"/>
        <v>Sanitaire ruimte (toilet-/doucheruimte)</v>
      </c>
      <c r="N669" s="591" t="s">
        <v>323</v>
      </c>
      <c r="O669" s="596"/>
      <c r="P669" s="622"/>
      <c r="Q669" s="600">
        <v>0</v>
      </c>
      <c r="R669" s="601">
        <v>6</v>
      </c>
      <c r="S669" s="647">
        <v>103200</v>
      </c>
      <c r="T669" s="647"/>
      <c r="U669" s="645">
        <v>1</v>
      </c>
      <c r="V669" s="593">
        <f t="shared" si="456"/>
        <v>200</v>
      </c>
      <c r="W669" s="604">
        <f t="shared" si="472"/>
        <v>0</v>
      </c>
      <c r="X669" s="604">
        <f t="shared" si="458"/>
        <v>0</v>
      </c>
      <c r="Y669" s="604">
        <f t="shared" si="459"/>
        <v>0</v>
      </c>
      <c r="Z669" s="605">
        <f t="shared" si="450"/>
        <v>0</v>
      </c>
      <c r="AA669" s="751">
        <f t="shared" si="451"/>
        <v>0</v>
      </c>
      <c r="AB669" s="605">
        <f t="shared" si="473"/>
        <v>0</v>
      </c>
      <c r="AC669" s="607"/>
      <c r="AD669" s="591" t="s">
        <v>364</v>
      </c>
      <c r="AE669" s="608"/>
      <c r="AF669" s="639">
        <v>6</v>
      </c>
      <c r="AG669" s="639">
        <f t="shared" si="453"/>
        <v>6</v>
      </c>
      <c r="AH669" s="639">
        <v>0</v>
      </c>
      <c r="AI669" s="640"/>
      <c r="AJ669" s="641">
        <f t="shared" si="433"/>
        <v>0</v>
      </c>
      <c r="AK669" s="642"/>
      <c r="AL669" s="642" t="s">
        <v>364</v>
      </c>
      <c r="AM669" s="643"/>
      <c r="AN669" s="642"/>
      <c r="AO669" s="644">
        <v>1971</v>
      </c>
    </row>
    <row r="670" spans="1:41">
      <c r="A670" s="635"/>
      <c r="B670" s="635"/>
      <c r="C670" s="635"/>
      <c r="D670" s="594">
        <v>1</v>
      </c>
      <c r="E670" s="595" t="s">
        <v>1099</v>
      </c>
      <c r="F670" s="593" t="s">
        <v>367</v>
      </c>
      <c r="G670" s="596">
        <v>5</v>
      </c>
      <c r="H670" s="596"/>
      <c r="I670" s="596"/>
      <c r="J670" s="596"/>
      <c r="K670" s="596"/>
      <c r="L670" s="591" t="s">
        <v>1116</v>
      </c>
      <c r="M670" s="597" t="str">
        <f t="shared" si="470"/>
        <v>Sanitaire ruimte (toilet-/doucheruimte)</v>
      </c>
      <c r="N670" s="591" t="s">
        <v>323</v>
      </c>
      <c r="O670" s="596"/>
      <c r="P670" s="622"/>
      <c r="Q670" s="600">
        <v>0</v>
      </c>
      <c r="R670" s="601">
        <v>6</v>
      </c>
      <c r="S670" s="647">
        <v>103200</v>
      </c>
      <c r="T670" s="647"/>
      <c r="U670" s="645">
        <v>1</v>
      </c>
      <c r="V670" s="593">
        <f t="shared" si="456"/>
        <v>200</v>
      </c>
      <c r="W670" s="604">
        <f t="shared" si="472"/>
        <v>0</v>
      </c>
      <c r="X670" s="604">
        <f t="shared" si="458"/>
        <v>0</v>
      </c>
      <c r="Y670" s="604">
        <f t="shared" si="459"/>
        <v>0</v>
      </c>
      <c r="Z670" s="605">
        <f t="shared" si="450"/>
        <v>0</v>
      </c>
      <c r="AA670" s="751">
        <f t="shared" si="451"/>
        <v>0</v>
      </c>
      <c r="AB670" s="605">
        <f t="shared" si="473"/>
        <v>0</v>
      </c>
      <c r="AC670" s="607"/>
      <c r="AD670" s="591" t="s">
        <v>364</v>
      </c>
      <c r="AE670" s="608"/>
      <c r="AF670" s="639">
        <v>6</v>
      </c>
      <c r="AG670" s="639">
        <f t="shared" si="453"/>
        <v>6</v>
      </c>
      <c r="AH670" s="639">
        <v>0</v>
      </c>
      <c r="AI670" s="640"/>
      <c r="AJ670" s="641">
        <f t="shared" si="433"/>
        <v>0</v>
      </c>
      <c r="AK670" s="642"/>
      <c r="AL670" s="642" t="s">
        <v>364</v>
      </c>
      <c r="AM670" s="643"/>
      <c r="AN670" s="642"/>
      <c r="AO670" s="644">
        <v>1972</v>
      </c>
    </row>
    <row r="671" spans="1:41">
      <c r="A671" s="635"/>
      <c r="B671" s="635"/>
      <c r="C671" s="635"/>
      <c r="D671" s="594">
        <v>1</v>
      </c>
      <c r="E671" s="595" t="s">
        <v>1099</v>
      </c>
      <c r="F671" s="593" t="s">
        <v>367</v>
      </c>
      <c r="G671" s="596" t="s">
        <v>385</v>
      </c>
      <c r="H671" s="596"/>
      <c r="I671" s="596"/>
      <c r="J671" s="596"/>
      <c r="K671" s="596"/>
      <c r="L671" s="591" t="s">
        <v>1094</v>
      </c>
      <c r="M671" s="597" t="str">
        <f t="shared" si="470"/>
        <v>Buitenterrein</v>
      </c>
      <c r="N671" s="591" t="s">
        <v>1117</v>
      </c>
      <c r="O671" s="596"/>
      <c r="P671" s="622"/>
      <c r="Q671" s="600">
        <v>0</v>
      </c>
      <c r="R671" s="601">
        <v>36</v>
      </c>
      <c r="S671" s="647">
        <v>107200</v>
      </c>
      <c r="T671" s="602"/>
      <c r="U671" s="645">
        <v>1</v>
      </c>
      <c r="V671" s="593">
        <f t="shared" si="456"/>
        <v>200</v>
      </c>
      <c r="W671" s="604">
        <f t="shared" si="472"/>
        <v>0</v>
      </c>
      <c r="X671" s="604">
        <f t="shared" si="458"/>
        <v>0</v>
      </c>
      <c r="Y671" s="604">
        <f t="shared" si="459"/>
        <v>0</v>
      </c>
      <c r="Z671" s="605">
        <f t="shared" si="450"/>
        <v>0</v>
      </c>
      <c r="AA671" s="751">
        <f t="shared" si="451"/>
        <v>0</v>
      </c>
      <c r="AB671" s="605">
        <f t="shared" si="473"/>
        <v>0</v>
      </c>
      <c r="AC671" s="607"/>
      <c r="AD671" s="591" t="s">
        <v>364</v>
      </c>
      <c r="AE671" s="608"/>
      <c r="AF671" s="639">
        <v>36</v>
      </c>
      <c r="AG671" s="639">
        <f t="shared" si="453"/>
        <v>36</v>
      </c>
      <c r="AH671" s="639">
        <v>0</v>
      </c>
      <c r="AI671" s="640"/>
      <c r="AJ671" s="641">
        <f t="shared" si="433"/>
        <v>0</v>
      </c>
      <c r="AK671" s="642"/>
      <c r="AL671" s="642" t="s">
        <v>364</v>
      </c>
      <c r="AM671" s="643"/>
      <c r="AN671" s="642"/>
      <c r="AO671" s="644">
        <v>1973</v>
      </c>
    </row>
    <row r="672" spans="1:41">
      <c r="A672" s="635"/>
      <c r="B672" s="635"/>
      <c r="C672" s="635"/>
      <c r="D672" s="594">
        <v>1</v>
      </c>
      <c r="E672" s="595" t="s">
        <v>1099</v>
      </c>
      <c r="F672" s="593" t="s">
        <v>368</v>
      </c>
      <c r="G672" s="596">
        <v>6</v>
      </c>
      <c r="H672" s="596" t="s">
        <v>1100</v>
      </c>
      <c r="I672" s="596"/>
      <c r="J672" s="596"/>
      <c r="K672" s="596"/>
      <c r="L672" s="591" t="s">
        <v>791</v>
      </c>
      <c r="M672" s="597" t="str">
        <f t="shared" si="470"/>
        <v>Restaurant, kantine, atrium</v>
      </c>
      <c r="N672" s="591" t="s">
        <v>108</v>
      </c>
      <c r="O672" s="596"/>
      <c r="P672" s="622"/>
      <c r="Q672" s="600">
        <v>0</v>
      </c>
      <c r="R672" s="601">
        <v>20</v>
      </c>
      <c r="S672" s="647">
        <v>106200</v>
      </c>
      <c r="T672" s="602"/>
      <c r="U672" s="645">
        <v>1</v>
      </c>
      <c r="V672" s="593">
        <f t="shared" si="456"/>
        <v>200</v>
      </c>
      <c r="W672" s="604">
        <f t="shared" si="472"/>
        <v>0</v>
      </c>
      <c r="X672" s="604">
        <f t="shared" si="458"/>
        <v>0</v>
      </c>
      <c r="Y672" s="604">
        <f t="shared" si="459"/>
        <v>0</v>
      </c>
      <c r="Z672" s="605">
        <f t="shared" si="450"/>
        <v>0</v>
      </c>
      <c r="AA672" s="751">
        <f t="shared" si="451"/>
        <v>0</v>
      </c>
      <c r="AB672" s="605">
        <f t="shared" si="473"/>
        <v>0</v>
      </c>
      <c r="AC672" s="607"/>
      <c r="AD672" s="591" t="s">
        <v>364</v>
      </c>
      <c r="AE672" s="608"/>
      <c r="AF672" s="639">
        <v>20</v>
      </c>
      <c r="AG672" s="639">
        <f t="shared" si="453"/>
        <v>20</v>
      </c>
      <c r="AH672" s="639">
        <v>0</v>
      </c>
      <c r="AI672" s="640"/>
      <c r="AJ672" s="641">
        <f t="shared" si="433"/>
        <v>0</v>
      </c>
      <c r="AK672" s="642"/>
      <c r="AL672" s="642" t="s">
        <v>364</v>
      </c>
      <c r="AM672" s="643"/>
      <c r="AN672" s="642"/>
      <c r="AO672" s="644">
        <v>1974</v>
      </c>
    </row>
    <row r="673" spans="1:41">
      <c r="A673" s="635"/>
      <c r="B673" s="635"/>
      <c r="C673" s="635"/>
      <c r="D673" s="594">
        <v>1</v>
      </c>
      <c r="E673" s="595" t="s">
        <v>1099</v>
      </c>
      <c r="F673" s="593" t="s">
        <v>368</v>
      </c>
      <c r="G673" s="610">
        <v>6</v>
      </c>
      <c r="H673" s="610" t="s">
        <v>1100</v>
      </c>
      <c r="I673" s="610"/>
      <c r="J673" s="610"/>
      <c r="K673" s="610"/>
      <c r="L673" s="611" t="s">
        <v>791</v>
      </c>
      <c r="M673" s="612" t="s">
        <v>1021</v>
      </c>
      <c r="N673" s="613"/>
      <c r="O673" s="619" t="s">
        <v>1118</v>
      </c>
      <c r="P673" s="623">
        <v>100</v>
      </c>
      <c r="Q673" s="616">
        <v>20</v>
      </c>
      <c r="R673" s="613"/>
      <c r="S673" s="603"/>
      <c r="T673" s="602"/>
      <c r="U673" s="603"/>
      <c r="V673" s="593">
        <f t="shared" si="456"/>
        <v>0</v>
      </c>
      <c r="W673" s="604">
        <f t="shared" si="457"/>
        <v>0</v>
      </c>
      <c r="X673" s="604">
        <f t="shared" si="458"/>
        <v>0</v>
      </c>
      <c r="Y673" s="604">
        <f t="shared" si="459"/>
        <v>0</v>
      </c>
      <c r="Z673" s="605">
        <f t="shared" si="450"/>
        <v>0</v>
      </c>
      <c r="AA673" s="606">
        <f t="shared" si="451"/>
        <v>0</v>
      </c>
      <c r="AB673" s="605">
        <f t="shared" si="460"/>
        <v>0</v>
      </c>
      <c r="AC673" s="607"/>
      <c r="AD673" s="606"/>
      <c r="AE673" s="608"/>
      <c r="AF673" s="639">
        <v>20</v>
      </c>
      <c r="AG673" s="639">
        <f t="shared" si="453"/>
        <v>20</v>
      </c>
      <c r="AH673" s="639">
        <v>0</v>
      </c>
      <c r="AI673" s="640"/>
      <c r="AJ673" s="641">
        <f t="shared" ref="AJ673:AJ699" si="474">W673+X673</f>
        <v>0</v>
      </c>
      <c r="AK673" s="642"/>
      <c r="AL673" s="642" t="s">
        <v>364</v>
      </c>
      <c r="AM673" s="643"/>
      <c r="AN673" s="642"/>
      <c r="AO673" s="644">
        <v>1975</v>
      </c>
    </row>
    <row r="674" spans="1:41">
      <c r="A674" s="635"/>
      <c r="B674" s="635"/>
      <c r="C674" s="635"/>
      <c r="D674" s="594">
        <v>1</v>
      </c>
      <c r="E674" s="595" t="s">
        <v>1099</v>
      </c>
      <c r="F674" s="593" t="s">
        <v>368</v>
      </c>
      <c r="G674" s="596">
        <v>7</v>
      </c>
      <c r="H674" s="596" t="s">
        <v>1101</v>
      </c>
      <c r="I674" s="596"/>
      <c r="J674" s="596"/>
      <c r="K674" s="596"/>
      <c r="L674" s="591" t="s">
        <v>1119</v>
      </c>
      <c r="M674" s="597" t="str">
        <f t="shared" ref="M674" si="475">VLOOKUP(S674,Kengetal,4,FALSE)</f>
        <v>Onderwijsruimte (theorie)</v>
      </c>
      <c r="N674" s="591" t="s">
        <v>78</v>
      </c>
      <c r="O674" s="591"/>
      <c r="P674" s="622"/>
      <c r="Q674" s="600">
        <v>0</v>
      </c>
      <c r="R674" s="601">
        <v>20</v>
      </c>
      <c r="S674" s="647">
        <v>102200</v>
      </c>
      <c r="T674" s="602"/>
      <c r="U674" s="645">
        <v>1</v>
      </c>
      <c r="V674" s="593">
        <f t="shared" ref="V674" si="476">VLOOKUP(S674,Kengetal,3,FALSE)+VLOOKUP(T674,Kengetal,3,FALSE)</f>
        <v>200</v>
      </c>
      <c r="W674" s="604">
        <f>Z674*R674*U674</f>
        <v>0</v>
      </c>
      <c r="X674" s="604">
        <f>AA674*R674</f>
        <v>0</v>
      </c>
      <c r="Y674" s="604">
        <f>AB674*R674</f>
        <v>0</v>
      </c>
      <c r="Z674" s="605">
        <f>VLOOKUP(S674,Kengetal,6,FALSE)</f>
        <v>0</v>
      </c>
      <c r="AA674" s="751">
        <f>VLOOKUP(S674,Kengetal,7,FALSE)</f>
        <v>0</v>
      </c>
      <c r="AB674" s="605">
        <f>VLOOKUP(T674,Kengetal,6,FALSE)</f>
        <v>0</v>
      </c>
      <c r="AC674" s="607"/>
      <c r="AD674" s="591" t="s">
        <v>364</v>
      </c>
      <c r="AE674" s="608"/>
      <c r="AF674" s="639">
        <v>143</v>
      </c>
      <c r="AG674" s="639">
        <f t="shared" si="453"/>
        <v>143</v>
      </c>
      <c r="AH674" s="639">
        <v>0</v>
      </c>
      <c r="AI674" s="640"/>
      <c r="AJ674" s="641">
        <f t="shared" si="474"/>
        <v>0</v>
      </c>
      <c r="AK674" s="642"/>
      <c r="AL674" s="642" t="s">
        <v>364</v>
      </c>
      <c r="AM674" s="643"/>
      <c r="AN674" s="642"/>
      <c r="AO674" s="644">
        <v>1976</v>
      </c>
    </row>
    <row r="675" spans="1:41">
      <c r="A675" s="635"/>
      <c r="B675" s="635"/>
      <c r="C675" s="635"/>
      <c r="D675" s="594">
        <v>1</v>
      </c>
      <c r="E675" s="595" t="s">
        <v>1099</v>
      </c>
      <c r="F675" s="593" t="s">
        <v>368</v>
      </c>
      <c r="G675" s="610">
        <v>7</v>
      </c>
      <c r="H675" s="610" t="s">
        <v>1101</v>
      </c>
      <c r="I675" s="610"/>
      <c r="J675" s="610"/>
      <c r="K675" s="610"/>
      <c r="L675" s="611" t="s">
        <v>1119</v>
      </c>
      <c r="M675" s="612" t="s">
        <v>808</v>
      </c>
      <c r="N675" s="613"/>
      <c r="O675" s="611" t="s">
        <v>1097</v>
      </c>
      <c r="P675" s="623">
        <v>100</v>
      </c>
      <c r="Q675" s="616">
        <v>143</v>
      </c>
      <c r="R675" s="613"/>
      <c r="S675" s="603"/>
      <c r="T675" s="602"/>
      <c r="U675" s="603"/>
      <c r="V675" s="593">
        <f t="shared" si="456"/>
        <v>0</v>
      </c>
      <c r="W675" s="604">
        <f t="shared" si="457"/>
        <v>0</v>
      </c>
      <c r="X675" s="604">
        <f t="shared" si="458"/>
        <v>0</v>
      </c>
      <c r="Y675" s="604">
        <f t="shared" si="459"/>
        <v>0</v>
      </c>
      <c r="Z675" s="605">
        <f t="shared" ref="Z675:Z697" si="477">VLOOKUP(S675,Kengetal,6,FALSE)</f>
        <v>0</v>
      </c>
      <c r="AA675" s="606">
        <f t="shared" ref="AA675:AA697" si="478">VLOOKUP(S675,Kengetal,7,FALSE)</f>
        <v>0</v>
      </c>
      <c r="AB675" s="605">
        <f t="shared" si="460"/>
        <v>0</v>
      </c>
      <c r="AC675" s="607"/>
      <c r="AD675" s="606"/>
      <c r="AE675" s="608"/>
      <c r="AF675" s="639">
        <v>143</v>
      </c>
      <c r="AG675" s="639">
        <f t="shared" si="453"/>
        <v>143</v>
      </c>
      <c r="AH675" s="639">
        <v>0</v>
      </c>
      <c r="AI675" s="640"/>
      <c r="AJ675" s="641">
        <f t="shared" si="474"/>
        <v>0</v>
      </c>
      <c r="AK675" s="642"/>
      <c r="AL675" s="642" t="s">
        <v>364</v>
      </c>
      <c r="AM675" s="643"/>
      <c r="AN675" s="642"/>
      <c r="AO675" s="644">
        <v>1977</v>
      </c>
    </row>
    <row r="676" spans="1:41">
      <c r="A676" s="635"/>
      <c r="B676" s="635"/>
      <c r="C676" s="635"/>
      <c r="D676" s="594">
        <v>1</v>
      </c>
      <c r="E676" s="595" t="s">
        <v>1099</v>
      </c>
      <c r="F676" s="593" t="s">
        <v>368</v>
      </c>
      <c r="G676" s="596">
        <v>8</v>
      </c>
      <c r="H676" s="596" t="s">
        <v>1102</v>
      </c>
      <c r="I676" s="596"/>
      <c r="J676" s="596"/>
      <c r="K676" s="596"/>
      <c r="L676" s="591" t="s">
        <v>800</v>
      </c>
      <c r="M676" s="597" t="str">
        <f t="shared" ref="M676" si="479">VLOOKUP(S676,Kengetal,4,FALSE)</f>
        <v>Administratieve -, personeels- en vergaderruimte</v>
      </c>
      <c r="N676" s="591" t="s">
        <v>78</v>
      </c>
      <c r="O676" s="596"/>
      <c r="P676" s="622"/>
      <c r="Q676" s="600">
        <v>0</v>
      </c>
      <c r="R676" s="601">
        <v>143</v>
      </c>
      <c r="S676" s="647">
        <v>101100</v>
      </c>
      <c r="T676" s="602"/>
      <c r="U676" s="645">
        <v>1</v>
      </c>
      <c r="V676" s="593">
        <f t="shared" si="456"/>
        <v>100</v>
      </c>
      <c r="W676" s="604">
        <f>Z676*R676*U676</f>
        <v>0</v>
      </c>
      <c r="X676" s="604">
        <f>AA676*R676</f>
        <v>0</v>
      </c>
      <c r="Y676" s="604">
        <f>AB676*R676</f>
        <v>0</v>
      </c>
      <c r="Z676" s="605">
        <f>VLOOKUP(S676,Kengetal,6,FALSE)</f>
        <v>0</v>
      </c>
      <c r="AA676" s="751">
        <f>VLOOKUP(S676,Kengetal,7,FALSE)</f>
        <v>0</v>
      </c>
      <c r="AB676" s="605">
        <f>VLOOKUP(T676,Kengetal,6,FALSE)</f>
        <v>0</v>
      </c>
      <c r="AC676" s="607"/>
      <c r="AD676" s="591" t="s">
        <v>364</v>
      </c>
      <c r="AE676" s="608"/>
      <c r="AF676" s="639">
        <v>8</v>
      </c>
      <c r="AG676" s="639">
        <f t="shared" si="453"/>
        <v>8</v>
      </c>
      <c r="AH676" s="639">
        <v>0</v>
      </c>
      <c r="AI676" s="640"/>
      <c r="AJ676" s="641">
        <f t="shared" si="474"/>
        <v>0</v>
      </c>
      <c r="AK676" s="642"/>
      <c r="AL676" s="642" t="s">
        <v>364</v>
      </c>
      <c r="AM676" s="643"/>
      <c r="AN676" s="642"/>
      <c r="AO676" s="644">
        <v>1978</v>
      </c>
    </row>
    <row r="677" spans="1:41">
      <c r="A677" s="635"/>
      <c r="B677" s="635"/>
      <c r="C677" s="635"/>
      <c r="D677" s="594">
        <v>1</v>
      </c>
      <c r="E677" s="595" t="s">
        <v>1099</v>
      </c>
      <c r="F677" s="593" t="s">
        <v>368</v>
      </c>
      <c r="G677" s="610">
        <v>8</v>
      </c>
      <c r="H677" s="610" t="s">
        <v>1102</v>
      </c>
      <c r="I677" s="610"/>
      <c r="J677" s="610"/>
      <c r="K677" s="610"/>
      <c r="L677" s="611" t="s">
        <v>800</v>
      </c>
      <c r="M677" s="612" t="s">
        <v>1007</v>
      </c>
      <c r="N677" s="613"/>
      <c r="O677" s="611" t="s">
        <v>1097</v>
      </c>
      <c r="P677" s="623">
        <v>100</v>
      </c>
      <c r="Q677" s="616">
        <v>8</v>
      </c>
      <c r="R677" s="613"/>
      <c r="S677" s="603"/>
      <c r="T677" s="602"/>
      <c r="U677" s="603"/>
      <c r="V677" s="593">
        <f t="shared" si="456"/>
        <v>0</v>
      </c>
      <c r="W677" s="604">
        <f t="shared" si="457"/>
        <v>0</v>
      </c>
      <c r="X677" s="604">
        <f t="shared" si="458"/>
        <v>0</v>
      </c>
      <c r="Y677" s="604">
        <f t="shared" si="459"/>
        <v>0</v>
      </c>
      <c r="Z677" s="605">
        <f t="shared" si="477"/>
        <v>0</v>
      </c>
      <c r="AA677" s="606">
        <f t="shared" si="478"/>
        <v>0</v>
      </c>
      <c r="AB677" s="605">
        <f t="shared" si="460"/>
        <v>0</v>
      </c>
      <c r="AC677" s="607"/>
      <c r="AD677" s="606"/>
      <c r="AE677" s="608"/>
      <c r="AF677" s="639">
        <v>8</v>
      </c>
      <c r="AG677" s="639">
        <f t="shared" si="453"/>
        <v>8</v>
      </c>
      <c r="AH677" s="639">
        <v>0</v>
      </c>
      <c r="AI677" s="640"/>
      <c r="AJ677" s="641">
        <f t="shared" si="474"/>
        <v>0</v>
      </c>
      <c r="AK677" s="642"/>
      <c r="AL677" s="642" t="s">
        <v>364</v>
      </c>
      <c r="AM677" s="643"/>
      <c r="AN677" s="642"/>
      <c r="AO677" s="644">
        <v>1979</v>
      </c>
    </row>
    <row r="678" spans="1:41">
      <c r="A678" s="635"/>
      <c r="B678" s="635"/>
      <c r="C678" s="635"/>
      <c r="D678" s="594">
        <v>1</v>
      </c>
      <c r="E678" s="595" t="s">
        <v>1099</v>
      </c>
      <c r="F678" s="593" t="s">
        <v>368</v>
      </c>
      <c r="G678" s="596">
        <v>9</v>
      </c>
      <c r="H678" s="596" t="s">
        <v>1103</v>
      </c>
      <c r="I678" s="596"/>
      <c r="J678" s="596"/>
      <c r="K678" s="596"/>
      <c r="L678" s="591" t="s">
        <v>800</v>
      </c>
      <c r="M678" s="597" t="str">
        <f t="shared" ref="M678" si="480">VLOOKUP(S678,Kengetal,4,FALSE)</f>
        <v>Administratieve -, personeels- en vergaderruimte</v>
      </c>
      <c r="N678" s="591" t="s">
        <v>78</v>
      </c>
      <c r="O678" s="596"/>
      <c r="P678" s="622"/>
      <c r="Q678" s="600">
        <v>0</v>
      </c>
      <c r="R678" s="601">
        <v>8</v>
      </c>
      <c r="S678" s="647">
        <v>101100</v>
      </c>
      <c r="T678" s="602"/>
      <c r="U678" s="645">
        <v>1</v>
      </c>
      <c r="V678" s="593">
        <f t="shared" ref="V678" si="481">VLOOKUP(S678,Kengetal,3,FALSE)+VLOOKUP(T678,Kengetal,3,FALSE)</f>
        <v>100</v>
      </c>
      <c r="W678" s="604">
        <f>Z678*R678*U678</f>
        <v>0</v>
      </c>
      <c r="X678" s="604">
        <f>AA678*R678</f>
        <v>0</v>
      </c>
      <c r="Y678" s="604">
        <f>AB678*R678</f>
        <v>0</v>
      </c>
      <c r="Z678" s="605">
        <f>VLOOKUP(S678,Kengetal,6,FALSE)</f>
        <v>0</v>
      </c>
      <c r="AA678" s="751">
        <f>VLOOKUP(S678,Kengetal,7,FALSE)</f>
        <v>0</v>
      </c>
      <c r="AB678" s="605">
        <f>VLOOKUP(T678,Kengetal,6,FALSE)</f>
        <v>0</v>
      </c>
      <c r="AC678" s="607"/>
      <c r="AD678" s="591" t="s">
        <v>364</v>
      </c>
      <c r="AE678" s="608"/>
      <c r="AF678" s="639">
        <v>8</v>
      </c>
      <c r="AG678" s="639">
        <f t="shared" si="453"/>
        <v>8</v>
      </c>
      <c r="AH678" s="639">
        <v>0</v>
      </c>
      <c r="AI678" s="640"/>
      <c r="AJ678" s="641">
        <f t="shared" si="474"/>
        <v>0</v>
      </c>
      <c r="AK678" s="642"/>
      <c r="AL678" s="642" t="s">
        <v>364</v>
      </c>
      <c r="AM678" s="643"/>
      <c r="AN678" s="642"/>
      <c r="AO678" s="644">
        <v>1980</v>
      </c>
    </row>
    <row r="679" spans="1:41">
      <c r="A679" s="635"/>
      <c r="B679" s="635"/>
      <c r="C679" s="635"/>
      <c r="D679" s="594">
        <v>1</v>
      </c>
      <c r="E679" s="595" t="s">
        <v>1099</v>
      </c>
      <c r="F679" s="593" t="s">
        <v>368</v>
      </c>
      <c r="G679" s="610">
        <v>9</v>
      </c>
      <c r="H679" s="610" t="s">
        <v>1103</v>
      </c>
      <c r="I679" s="610"/>
      <c r="J679" s="610"/>
      <c r="K679" s="610"/>
      <c r="L679" s="611" t="s">
        <v>800</v>
      </c>
      <c r="M679" s="612" t="s">
        <v>1007</v>
      </c>
      <c r="N679" s="613"/>
      <c r="O679" s="611" t="s">
        <v>1097</v>
      </c>
      <c r="P679" s="623">
        <v>100</v>
      </c>
      <c r="Q679" s="616">
        <v>8</v>
      </c>
      <c r="R679" s="613"/>
      <c r="S679" s="603"/>
      <c r="T679" s="602"/>
      <c r="U679" s="603"/>
      <c r="V679" s="593">
        <f t="shared" si="456"/>
        <v>0</v>
      </c>
      <c r="W679" s="604">
        <f t="shared" si="457"/>
        <v>0</v>
      </c>
      <c r="X679" s="604">
        <f t="shared" si="458"/>
        <v>0</v>
      </c>
      <c r="Y679" s="604">
        <f t="shared" si="459"/>
        <v>0</v>
      </c>
      <c r="Z679" s="605">
        <f t="shared" si="477"/>
        <v>0</v>
      </c>
      <c r="AA679" s="606">
        <f t="shared" si="478"/>
        <v>0</v>
      </c>
      <c r="AB679" s="605">
        <f t="shared" si="460"/>
        <v>0</v>
      </c>
      <c r="AC679" s="607"/>
      <c r="AD679" s="606"/>
      <c r="AE679" s="608"/>
      <c r="AF679" s="639">
        <v>8</v>
      </c>
      <c r="AG679" s="639">
        <f t="shared" si="453"/>
        <v>8</v>
      </c>
      <c r="AH679" s="639">
        <v>0</v>
      </c>
      <c r="AI679" s="640"/>
      <c r="AJ679" s="641">
        <f t="shared" si="474"/>
        <v>0</v>
      </c>
      <c r="AK679" s="642"/>
      <c r="AL679" s="642" t="s">
        <v>364</v>
      </c>
      <c r="AM679" s="643"/>
      <c r="AN679" s="642"/>
      <c r="AO679" s="644">
        <v>1981</v>
      </c>
    </row>
    <row r="680" spans="1:41">
      <c r="A680" s="635"/>
      <c r="B680" s="635"/>
      <c r="C680" s="635"/>
      <c r="D680" s="594">
        <v>1</v>
      </c>
      <c r="E680" s="595" t="s">
        <v>1099</v>
      </c>
      <c r="F680" s="593" t="s">
        <v>368</v>
      </c>
      <c r="G680" s="596">
        <v>10</v>
      </c>
      <c r="H680" s="596" t="s">
        <v>1104</v>
      </c>
      <c r="I680" s="596"/>
      <c r="J680" s="596"/>
      <c r="K680" s="596"/>
      <c r="L680" s="591" t="s">
        <v>1120</v>
      </c>
      <c r="M680" s="597" t="str">
        <f t="shared" ref="M680" si="482">VLOOKUP(S680,Kengetal,4,FALSE)</f>
        <v>Administratieve -, personeels- en vergaderruimte</v>
      </c>
      <c r="N680" s="591" t="s">
        <v>78</v>
      </c>
      <c r="O680" s="591"/>
      <c r="P680" s="622"/>
      <c r="Q680" s="600">
        <v>0</v>
      </c>
      <c r="R680" s="601">
        <v>8</v>
      </c>
      <c r="S680" s="647">
        <v>101100</v>
      </c>
      <c r="T680" s="637"/>
      <c r="U680" s="645">
        <v>1</v>
      </c>
      <c r="V680" s="593">
        <f t="shared" ref="V680" si="483">VLOOKUP(S680,Kengetal,3,FALSE)+VLOOKUP(T680,Kengetal,3,FALSE)</f>
        <v>100</v>
      </c>
      <c r="W680" s="604">
        <f>Z680*R680*U680</f>
        <v>0</v>
      </c>
      <c r="X680" s="604">
        <f>AA680*R680</f>
        <v>0</v>
      </c>
      <c r="Y680" s="604">
        <f>AB680*R680</f>
        <v>0</v>
      </c>
      <c r="Z680" s="605">
        <f>VLOOKUP(S680,Kengetal,6,FALSE)</f>
        <v>0</v>
      </c>
      <c r="AA680" s="751">
        <f>VLOOKUP(S680,Kengetal,7,FALSE)</f>
        <v>0</v>
      </c>
      <c r="AB680" s="605">
        <f>VLOOKUP(T680,Kengetal,6,FALSE)</f>
        <v>0</v>
      </c>
      <c r="AC680" s="607"/>
      <c r="AD680" s="591" t="s">
        <v>364</v>
      </c>
      <c r="AE680" s="608"/>
      <c r="AF680" s="639">
        <v>44</v>
      </c>
      <c r="AG680" s="639">
        <f t="shared" si="453"/>
        <v>44</v>
      </c>
      <c r="AH680" s="639">
        <v>0</v>
      </c>
      <c r="AI680" s="640"/>
      <c r="AJ680" s="641">
        <f t="shared" si="474"/>
        <v>0</v>
      </c>
      <c r="AK680" s="642"/>
      <c r="AL680" s="642" t="s">
        <v>364</v>
      </c>
      <c r="AM680" s="643"/>
      <c r="AN680" s="642"/>
      <c r="AO680" s="644">
        <v>1982</v>
      </c>
    </row>
    <row r="681" spans="1:41">
      <c r="A681" s="635"/>
      <c r="B681" s="635"/>
      <c r="C681" s="635"/>
      <c r="D681" s="594">
        <v>1</v>
      </c>
      <c r="E681" s="595" t="s">
        <v>1099</v>
      </c>
      <c r="F681" s="593" t="s">
        <v>368</v>
      </c>
      <c r="G681" s="610">
        <v>10</v>
      </c>
      <c r="H681" s="610" t="s">
        <v>1104</v>
      </c>
      <c r="I681" s="610"/>
      <c r="J681" s="610"/>
      <c r="K681" s="610"/>
      <c r="L681" s="611" t="s">
        <v>1120</v>
      </c>
      <c r="M681" s="612" t="s">
        <v>1007</v>
      </c>
      <c r="N681" s="613"/>
      <c r="O681" s="611" t="s">
        <v>1097</v>
      </c>
      <c r="P681" s="623">
        <v>100</v>
      </c>
      <c r="Q681" s="616">
        <v>44</v>
      </c>
      <c r="R681" s="613"/>
      <c r="S681" s="603"/>
      <c r="T681" s="606"/>
      <c r="U681" s="606"/>
      <c r="V681" s="593">
        <f t="shared" si="456"/>
        <v>0</v>
      </c>
      <c r="W681" s="604">
        <f t="shared" si="457"/>
        <v>0</v>
      </c>
      <c r="X681" s="604">
        <f t="shared" si="458"/>
        <v>0</v>
      </c>
      <c r="Y681" s="604">
        <f t="shared" si="459"/>
        <v>0</v>
      </c>
      <c r="Z681" s="605">
        <f t="shared" si="477"/>
        <v>0</v>
      </c>
      <c r="AA681" s="606">
        <f t="shared" si="478"/>
        <v>0</v>
      </c>
      <c r="AB681" s="605">
        <f t="shared" si="460"/>
        <v>0</v>
      </c>
      <c r="AC681" s="607"/>
      <c r="AD681" s="606"/>
      <c r="AE681" s="608"/>
      <c r="AF681" s="639">
        <v>44</v>
      </c>
      <c r="AG681" s="639">
        <f t="shared" si="453"/>
        <v>44</v>
      </c>
      <c r="AH681" s="639">
        <v>0</v>
      </c>
      <c r="AI681" s="640"/>
      <c r="AJ681" s="641">
        <f t="shared" si="474"/>
        <v>0</v>
      </c>
      <c r="AK681" s="642"/>
      <c r="AL681" s="642" t="s">
        <v>364</v>
      </c>
      <c r="AM681" s="643"/>
      <c r="AN681" s="642"/>
      <c r="AO681" s="644">
        <v>1983</v>
      </c>
    </row>
    <row r="682" spans="1:41">
      <c r="A682" s="635"/>
      <c r="B682" s="635"/>
      <c r="C682" s="635"/>
      <c r="D682" s="594">
        <v>1</v>
      </c>
      <c r="E682" s="595" t="s">
        <v>1099</v>
      </c>
      <c r="F682" s="593" t="s">
        <v>368</v>
      </c>
      <c r="G682" s="596">
        <v>11</v>
      </c>
      <c r="H682" s="596" t="s">
        <v>1105</v>
      </c>
      <c r="I682" s="596"/>
      <c r="J682" s="596"/>
      <c r="K682" s="596"/>
      <c r="L682" s="591" t="s">
        <v>849</v>
      </c>
      <c r="M682" s="597" t="str">
        <f t="shared" ref="M682" si="484">VLOOKUP(S682,Kengetal,4,FALSE)</f>
        <v>Administratieve -, personeels- en vergaderruimte</v>
      </c>
      <c r="N682" s="591" t="s">
        <v>78</v>
      </c>
      <c r="O682" s="596"/>
      <c r="P682" s="622"/>
      <c r="Q682" s="600">
        <v>0</v>
      </c>
      <c r="R682" s="601">
        <v>44</v>
      </c>
      <c r="S682" s="647">
        <v>101100</v>
      </c>
      <c r="T682" s="637"/>
      <c r="U682" s="645">
        <v>1</v>
      </c>
      <c r="V682" s="593">
        <f t="shared" ref="V682" si="485">VLOOKUP(S682,Kengetal,3,FALSE)+VLOOKUP(T682,Kengetal,3,FALSE)</f>
        <v>100</v>
      </c>
      <c r="W682" s="604">
        <f>Z682*R682*U682</f>
        <v>0</v>
      </c>
      <c r="X682" s="604">
        <f>AA682*R682</f>
        <v>0</v>
      </c>
      <c r="Y682" s="604">
        <f>AB682*R682</f>
        <v>0</v>
      </c>
      <c r="Z682" s="605">
        <f>VLOOKUP(S682,Kengetal,6,FALSE)</f>
        <v>0</v>
      </c>
      <c r="AA682" s="751">
        <f>VLOOKUP(S682,Kengetal,7,FALSE)</f>
        <v>0</v>
      </c>
      <c r="AB682" s="605">
        <f>VLOOKUP(T682,Kengetal,6,FALSE)</f>
        <v>0</v>
      </c>
      <c r="AC682" s="607"/>
      <c r="AD682" s="591" t="s">
        <v>364</v>
      </c>
      <c r="AE682" s="608"/>
      <c r="AF682" s="639">
        <v>12</v>
      </c>
      <c r="AG682" s="639">
        <f t="shared" si="453"/>
        <v>12</v>
      </c>
      <c r="AH682" s="639">
        <v>0</v>
      </c>
      <c r="AI682" s="640"/>
      <c r="AJ682" s="641">
        <f t="shared" si="474"/>
        <v>0</v>
      </c>
      <c r="AK682" s="642"/>
      <c r="AL682" s="642" t="s">
        <v>364</v>
      </c>
      <c r="AM682" s="643"/>
      <c r="AN682" s="642"/>
      <c r="AO682" s="644">
        <v>1984</v>
      </c>
    </row>
    <row r="683" spans="1:41">
      <c r="A683" s="635"/>
      <c r="B683" s="635"/>
      <c r="C683" s="635"/>
      <c r="D683" s="594">
        <v>1</v>
      </c>
      <c r="E683" s="595" t="s">
        <v>1099</v>
      </c>
      <c r="F683" s="593" t="s">
        <v>368</v>
      </c>
      <c r="G683" s="610">
        <v>11</v>
      </c>
      <c r="H683" s="610" t="s">
        <v>1105</v>
      </c>
      <c r="I683" s="610"/>
      <c r="J683" s="610"/>
      <c r="K683" s="610"/>
      <c r="L683" s="611" t="s">
        <v>849</v>
      </c>
      <c r="M683" s="612" t="s">
        <v>1007</v>
      </c>
      <c r="N683" s="613"/>
      <c r="O683" s="611" t="s">
        <v>1097</v>
      </c>
      <c r="P683" s="623">
        <v>100</v>
      </c>
      <c r="Q683" s="616">
        <v>12</v>
      </c>
      <c r="R683" s="613"/>
      <c r="S683" s="603"/>
      <c r="T683" s="606"/>
      <c r="U683" s="606"/>
      <c r="V683" s="593">
        <f t="shared" si="456"/>
        <v>0</v>
      </c>
      <c r="W683" s="604">
        <f t="shared" si="457"/>
        <v>0</v>
      </c>
      <c r="X683" s="604">
        <f t="shared" si="458"/>
        <v>0</v>
      </c>
      <c r="Y683" s="604">
        <f t="shared" si="459"/>
        <v>0</v>
      </c>
      <c r="Z683" s="605">
        <f t="shared" si="477"/>
        <v>0</v>
      </c>
      <c r="AA683" s="606">
        <f t="shared" si="478"/>
        <v>0</v>
      </c>
      <c r="AB683" s="605">
        <f t="shared" si="460"/>
        <v>0</v>
      </c>
      <c r="AC683" s="607"/>
      <c r="AD683" s="606"/>
      <c r="AE683" s="608"/>
      <c r="AF683" s="639">
        <v>12</v>
      </c>
      <c r="AG683" s="639">
        <f t="shared" si="453"/>
        <v>12</v>
      </c>
      <c r="AH683" s="639">
        <v>0</v>
      </c>
      <c r="AI683" s="640"/>
      <c r="AJ683" s="641">
        <f t="shared" si="474"/>
        <v>0</v>
      </c>
      <c r="AK683" s="642"/>
      <c r="AL683" s="642" t="s">
        <v>364</v>
      </c>
      <c r="AM683" s="643"/>
      <c r="AN683" s="642"/>
      <c r="AO683" s="644">
        <v>1985</v>
      </c>
    </row>
    <row r="684" spans="1:41">
      <c r="A684" s="635"/>
      <c r="B684" s="635"/>
      <c r="C684" s="635"/>
      <c r="D684" s="594">
        <v>1</v>
      </c>
      <c r="E684" s="595" t="s">
        <v>1099</v>
      </c>
      <c r="F684" s="593" t="s">
        <v>368</v>
      </c>
      <c r="G684" s="596">
        <v>12</v>
      </c>
      <c r="H684" s="596" t="s">
        <v>1106</v>
      </c>
      <c r="I684" s="596"/>
      <c r="J684" s="596"/>
      <c r="K684" s="596"/>
      <c r="L684" s="591" t="s">
        <v>1121</v>
      </c>
      <c r="M684" s="597" t="str">
        <f t="shared" ref="M684" si="486">VLOOKUP(S684,Kengetal,4,FALSE)</f>
        <v>Onderwijsruimte (theorie)</v>
      </c>
      <c r="N684" s="591" t="s">
        <v>78</v>
      </c>
      <c r="O684" s="596"/>
      <c r="P684" s="622"/>
      <c r="Q684" s="600">
        <v>0</v>
      </c>
      <c r="R684" s="601">
        <v>12</v>
      </c>
      <c r="S684" s="647">
        <v>102200</v>
      </c>
      <c r="T684" s="602"/>
      <c r="U684" s="645">
        <v>1</v>
      </c>
      <c r="V684" s="593">
        <f t="shared" ref="V684" si="487">VLOOKUP(S684,Kengetal,3,FALSE)+VLOOKUP(T684,Kengetal,3,FALSE)</f>
        <v>200</v>
      </c>
      <c r="W684" s="604">
        <f>Z684*R684*U684</f>
        <v>0</v>
      </c>
      <c r="X684" s="604">
        <f>AA684*R684</f>
        <v>0</v>
      </c>
      <c r="Y684" s="604">
        <f>AB684*R684</f>
        <v>0</v>
      </c>
      <c r="Z684" s="605">
        <f>VLOOKUP(S684,Kengetal,6,FALSE)</f>
        <v>0</v>
      </c>
      <c r="AA684" s="751">
        <f>VLOOKUP(S684,Kengetal,7,FALSE)</f>
        <v>0</v>
      </c>
      <c r="AB684" s="605">
        <f>VLOOKUP(T684,Kengetal,6,FALSE)</f>
        <v>0</v>
      </c>
      <c r="AC684" s="607"/>
      <c r="AD684" s="591" t="s">
        <v>364</v>
      </c>
      <c r="AE684" s="608"/>
      <c r="AF684" s="639">
        <v>42</v>
      </c>
      <c r="AG684" s="639">
        <f t="shared" si="453"/>
        <v>42</v>
      </c>
      <c r="AH684" s="639">
        <v>0</v>
      </c>
      <c r="AI684" s="640"/>
      <c r="AJ684" s="641">
        <f t="shared" si="474"/>
        <v>0</v>
      </c>
      <c r="AK684" s="642"/>
      <c r="AL684" s="642" t="s">
        <v>364</v>
      </c>
      <c r="AM684" s="643"/>
      <c r="AN684" s="642"/>
      <c r="AO684" s="644">
        <v>1986</v>
      </c>
    </row>
    <row r="685" spans="1:41">
      <c r="A685" s="635"/>
      <c r="B685" s="635"/>
      <c r="C685" s="635"/>
      <c r="D685" s="594">
        <v>1</v>
      </c>
      <c r="E685" s="595" t="s">
        <v>1099</v>
      </c>
      <c r="F685" s="593" t="s">
        <v>368</v>
      </c>
      <c r="G685" s="610">
        <v>12</v>
      </c>
      <c r="H685" s="610" t="s">
        <v>1106</v>
      </c>
      <c r="I685" s="610"/>
      <c r="J685" s="610"/>
      <c r="K685" s="610"/>
      <c r="L685" s="611" t="s">
        <v>1121</v>
      </c>
      <c r="M685" s="612" t="s">
        <v>808</v>
      </c>
      <c r="N685" s="613"/>
      <c r="O685" s="611" t="s">
        <v>1097</v>
      </c>
      <c r="P685" s="623">
        <v>100</v>
      </c>
      <c r="Q685" s="616">
        <v>42</v>
      </c>
      <c r="R685" s="613"/>
      <c r="S685" s="603"/>
      <c r="T685" s="606"/>
      <c r="U685" s="606"/>
      <c r="V685" s="593">
        <f t="shared" si="456"/>
        <v>0</v>
      </c>
      <c r="W685" s="604">
        <f t="shared" si="457"/>
        <v>0</v>
      </c>
      <c r="X685" s="604">
        <f t="shared" si="458"/>
        <v>0</v>
      </c>
      <c r="Y685" s="604">
        <f t="shared" si="459"/>
        <v>0</v>
      </c>
      <c r="Z685" s="605">
        <f t="shared" si="477"/>
        <v>0</v>
      </c>
      <c r="AA685" s="606">
        <f t="shared" si="478"/>
        <v>0</v>
      </c>
      <c r="AB685" s="605">
        <f t="shared" si="460"/>
        <v>0</v>
      </c>
      <c r="AC685" s="607"/>
      <c r="AD685" s="606"/>
      <c r="AE685" s="608"/>
      <c r="AF685" s="639">
        <v>42</v>
      </c>
      <c r="AG685" s="639">
        <f t="shared" si="453"/>
        <v>42</v>
      </c>
      <c r="AH685" s="639">
        <v>0</v>
      </c>
      <c r="AI685" s="640"/>
      <c r="AJ685" s="641">
        <f t="shared" si="474"/>
        <v>0</v>
      </c>
      <c r="AK685" s="642"/>
      <c r="AL685" s="642" t="s">
        <v>364</v>
      </c>
      <c r="AM685" s="643"/>
      <c r="AN685" s="642"/>
      <c r="AO685" s="644">
        <v>1987</v>
      </c>
    </row>
    <row r="686" spans="1:41">
      <c r="A686" s="635"/>
      <c r="B686" s="635"/>
      <c r="C686" s="635"/>
      <c r="D686" s="594">
        <v>1</v>
      </c>
      <c r="E686" s="595" t="s">
        <v>1099</v>
      </c>
      <c r="F686" s="593" t="s">
        <v>368</v>
      </c>
      <c r="G686" s="596">
        <v>13</v>
      </c>
      <c r="H686" s="596" t="s">
        <v>1107</v>
      </c>
      <c r="I686" s="596"/>
      <c r="J686" s="596"/>
      <c r="K686" s="596"/>
      <c r="L686" s="591" t="s">
        <v>1121</v>
      </c>
      <c r="M686" s="597" t="str">
        <f t="shared" ref="M686" si="488">VLOOKUP(S686,Kengetal,4,FALSE)</f>
        <v>Onderwijsruimte (theorie)</v>
      </c>
      <c r="N686" s="591" t="s">
        <v>78</v>
      </c>
      <c r="O686" s="596"/>
      <c r="P686" s="622"/>
      <c r="Q686" s="600">
        <v>0</v>
      </c>
      <c r="R686" s="601">
        <v>42</v>
      </c>
      <c r="S686" s="647">
        <v>102200</v>
      </c>
      <c r="T686" s="602"/>
      <c r="U686" s="645">
        <v>1</v>
      </c>
      <c r="V686" s="593">
        <f t="shared" ref="V686" si="489">VLOOKUP(S686,Kengetal,3,FALSE)+VLOOKUP(T686,Kengetal,3,FALSE)</f>
        <v>200</v>
      </c>
      <c r="W686" s="604">
        <f>Z686*R686*U686</f>
        <v>0</v>
      </c>
      <c r="X686" s="604">
        <f>AA686*R686</f>
        <v>0</v>
      </c>
      <c r="Y686" s="604">
        <f>AB686*R686</f>
        <v>0</v>
      </c>
      <c r="Z686" s="605">
        <f>VLOOKUP(S686,Kengetal,6,FALSE)</f>
        <v>0</v>
      </c>
      <c r="AA686" s="751">
        <f>VLOOKUP(S686,Kengetal,7,FALSE)</f>
        <v>0</v>
      </c>
      <c r="AB686" s="605">
        <f>VLOOKUP(T686,Kengetal,6,FALSE)</f>
        <v>0</v>
      </c>
      <c r="AC686" s="607"/>
      <c r="AD686" s="591" t="s">
        <v>364</v>
      </c>
      <c r="AE686" s="608"/>
      <c r="AF686" s="639">
        <v>44</v>
      </c>
      <c r="AG686" s="639">
        <f t="shared" si="453"/>
        <v>44</v>
      </c>
      <c r="AH686" s="639">
        <v>0</v>
      </c>
      <c r="AI686" s="640"/>
      <c r="AJ686" s="641">
        <f t="shared" si="474"/>
        <v>0</v>
      </c>
      <c r="AK686" s="642"/>
      <c r="AL686" s="642" t="s">
        <v>364</v>
      </c>
      <c r="AM686" s="643"/>
      <c r="AN686" s="642"/>
      <c r="AO686" s="644">
        <v>1988</v>
      </c>
    </row>
    <row r="687" spans="1:41">
      <c r="A687" s="635"/>
      <c r="B687" s="635"/>
      <c r="C687" s="635"/>
      <c r="D687" s="594">
        <v>1</v>
      </c>
      <c r="E687" s="595" t="s">
        <v>1099</v>
      </c>
      <c r="F687" s="593" t="s">
        <v>368</v>
      </c>
      <c r="G687" s="610">
        <v>13</v>
      </c>
      <c r="H687" s="610" t="s">
        <v>1107</v>
      </c>
      <c r="I687" s="610"/>
      <c r="J687" s="610"/>
      <c r="K687" s="610"/>
      <c r="L687" s="611" t="s">
        <v>1121</v>
      </c>
      <c r="M687" s="612" t="s">
        <v>808</v>
      </c>
      <c r="N687" s="613"/>
      <c r="O687" s="611" t="s">
        <v>1097</v>
      </c>
      <c r="P687" s="623">
        <v>100</v>
      </c>
      <c r="Q687" s="616">
        <v>44</v>
      </c>
      <c r="R687" s="613"/>
      <c r="S687" s="603"/>
      <c r="T687" s="606"/>
      <c r="U687" s="606"/>
      <c r="V687" s="593">
        <f t="shared" si="456"/>
        <v>0</v>
      </c>
      <c r="W687" s="604">
        <f t="shared" si="457"/>
        <v>0</v>
      </c>
      <c r="X687" s="604">
        <f t="shared" si="458"/>
        <v>0</v>
      </c>
      <c r="Y687" s="604">
        <f t="shared" si="459"/>
        <v>0</v>
      </c>
      <c r="Z687" s="605">
        <f t="shared" si="477"/>
        <v>0</v>
      </c>
      <c r="AA687" s="606">
        <f t="shared" si="478"/>
        <v>0</v>
      </c>
      <c r="AB687" s="605">
        <f t="shared" si="460"/>
        <v>0</v>
      </c>
      <c r="AC687" s="607"/>
      <c r="AD687" s="606"/>
      <c r="AE687" s="608"/>
      <c r="AF687" s="639">
        <v>44</v>
      </c>
      <c r="AG687" s="639">
        <f t="shared" si="453"/>
        <v>44</v>
      </c>
      <c r="AH687" s="639">
        <v>0</v>
      </c>
      <c r="AI687" s="640"/>
      <c r="AJ687" s="641">
        <f t="shared" si="474"/>
        <v>0</v>
      </c>
      <c r="AK687" s="642"/>
      <c r="AL687" s="642" t="s">
        <v>364</v>
      </c>
      <c r="AM687" s="643"/>
      <c r="AN687" s="642"/>
      <c r="AO687" s="644">
        <v>1989</v>
      </c>
    </row>
    <row r="688" spans="1:41">
      <c r="A688" s="635"/>
      <c r="B688" s="635"/>
      <c r="C688" s="635"/>
      <c r="D688" s="594">
        <v>1</v>
      </c>
      <c r="E688" s="595" t="s">
        <v>1099</v>
      </c>
      <c r="F688" s="593" t="s">
        <v>368</v>
      </c>
      <c r="G688" s="596">
        <v>14</v>
      </c>
      <c r="H688" s="596" t="s">
        <v>1108</v>
      </c>
      <c r="I688" s="596"/>
      <c r="J688" s="596"/>
      <c r="K688" s="596"/>
      <c r="L688" s="591" t="s">
        <v>1121</v>
      </c>
      <c r="M688" s="597" t="str">
        <f t="shared" ref="M688" si="490">VLOOKUP(S688,Kengetal,4,FALSE)</f>
        <v>Onderwijsruimte (theorie)</v>
      </c>
      <c r="N688" s="591" t="s">
        <v>78</v>
      </c>
      <c r="O688" s="591"/>
      <c r="P688" s="622"/>
      <c r="Q688" s="600">
        <v>0</v>
      </c>
      <c r="R688" s="601">
        <v>44</v>
      </c>
      <c r="S688" s="647">
        <v>102200</v>
      </c>
      <c r="T688" s="602"/>
      <c r="U688" s="645">
        <v>1</v>
      </c>
      <c r="V688" s="593">
        <f t="shared" ref="V688" si="491">VLOOKUP(S688,Kengetal,3,FALSE)+VLOOKUP(T688,Kengetal,3,FALSE)</f>
        <v>200</v>
      </c>
      <c r="W688" s="604">
        <f>Z688*R688*U688</f>
        <v>0</v>
      </c>
      <c r="X688" s="604">
        <f>AA688*R688</f>
        <v>0</v>
      </c>
      <c r="Y688" s="604">
        <f>AB688*R688</f>
        <v>0</v>
      </c>
      <c r="Z688" s="605">
        <f>VLOOKUP(S688,Kengetal,6,FALSE)</f>
        <v>0</v>
      </c>
      <c r="AA688" s="751">
        <f>VLOOKUP(S688,Kengetal,7,FALSE)</f>
        <v>0</v>
      </c>
      <c r="AB688" s="605">
        <f>VLOOKUP(T688,Kengetal,6,FALSE)</f>
        <v>0</v>
      </c>
      <c r="AC688" s="607"/>
      <c r="AD688" s="591" t="s">
        <v>364</v>
      </c>
      <c r="AE688" s="608"/>
      <c r="AF688" s="639">
        <v>22</v>
      </c>
      <c r="AG688" s="639">
        <f t="shared" si="453"/>
        <v>22</v>
      </c>
      <c r="AH688" s="639">
        <v>0</v>
      </c>
      <c r="AI688" s="640"/>
      <c r="AJ688" s="641">
        <f t="shared" si="474"/>
        <v>0</v>
      </c>
      <c r="AK688" s="642"/>
      <c r="AL688" s="642" t="s">
        <v>364</v>
      </c>
      <c r="AM688" s="643"/>
      <c r="AN688" s="642"/>
      <c r="AO688" s="644">
        <v>1990</v>
      </c>
    </row>
    <row r="689" spans="1:41">
      <c r="A689" s="635"/>
      <c r="B689" s="635"/>
      <c r="C689" s="635"/>
      <c r="D689" s="594">
        <v>1</v>
      </c>
      <c r="E689" s="595" t="s">
        <v>1099</v>
      </c>
      <c r="F689" s="593" t="s">
        <v>368</v>
      </c>
      <c r="G689" s="610">
        <v>14</v>
      </c>
      <c r="H689" s="610" t="s">
        <v>1108</v>
      </c>
      <c r="I689" s="610"/>
      <c r="J689" s="610"/>
      <c r="K689" s="610"/>
      <c r="L689" s="611" t="s">
        <v>1121</v>
      </c>
      <c r="M689" s="612" t="s">
        <v>808</v>
      </c>
      <c r="N689" s="613"/>
      <c r="O689" s="611" t="s">
        <v>1097</v>
      </c>
      <c r="P689" s="623">
        <v>100</v>
      </c>
      <c r="Q689" s="616">
        <v>22</v>
      </c>
      <c r="R689" s="613"/>
      <c r="S689" s="603"/>
      <c r="T689" s="606"/>
      <c r="U689" s="606"/>
      <c r="V689" s="593">
        <f t="shared" si="456"/>
        <v>0</v>
      </c>
      <c r="W689" s="604">
        <f t="shared" si="457"/>
        <v>0</v>
      </c>
      <c r="X689" s="604">
        <f t="shared" si="458"/>
        <v>0</v>
      </c>
      <c r="Y689" s="604">
        <f t="shared" si="459"/>
        <v>0</v>
      </c>
      <c r="Z689" s="605">
        <f t="shared" si="477"/>
        <v>0</v>
      </c>
      <c r="AA689" s="606">
        <f t="shared" si="478"/>
        <v>0</v>
      </c>
      <c r="AB689" s="605">
        <f t="shared" si="460"/>
        <v>0</v>
      </c>
      <c r="AC689" s="607"/>
      <c r="AD689" s="606"/>
      <c r="AE689" s="608"/>
      <c r="AF689" s="639">
        <v>22</v>
      </c>
      <c r="AG689" s="639">
        <f t="shared" si="453"/>
        <v>22</v>
      </c>
      <c r="AH689" s="639">
        <v>0</v>
      </c>
      <c r="AI689" s="640"/>
      <c r="AJ689" s="641">
        <f t="shared" si="474"/>
        <v>0</v>
      </c>
      <c r="AK689" s="642"/>
      <c r="AL689" s="642" t="s">
        <v>364</v>
      </c>
      <c r="AM689" s="643"/>
      <c r="AN689" s="642"/>
      <c r="AO689" s="644">
        <v>1991</v>
      </c>
    </row>
    <row r="690" spans="1:41">
      <c r="A690" s="635"/>
      <c r="B690" s="635"/>
      <c r="C690" s="635"/>
      <c r="D690" s="594">
        <v>1</v>
      </c>
      <c r="E690" s="595" t="s">
        <v>1099</v>
      </c>
      <c r="F690" s="593" t="s">
        <v>368</v>
      </c>
      <c r="G690" s="596">
        <v>15</v>
      </c>
      <c r="H690" s="596" t="s">
        <v>1109</v>
      </c>
      <c r="I690" s="596"/>
      <c r="J690" s="596"/>
      <c r="K690" s="596"/>
      <c r="L690" s="591" t="s">
        <v>846</v>
      </c>
      <c r="M690" s="597" t="str">
        <f t="shared" ref="M690:M692" si="492">VLOOKUP(S690,Kengetal,4,FALSE)</f>
        <v>Restaurant, kantine, atrium</v>
      </c>
      <c r="N690" s="591" t="s">
        <v>78</v>
      </c>
      <c r="O690" s="596"/>
      <c r="P690" s="622"/>
      <c r="Q690" s="600">
        <v>0</v>
      </c>
      <c r="R690" s="601">
        <v>22</v>
      </c>
      <c r="S690" s="647">
        <v>106200</v>
      </c>
      <c r="T690" s="602"/>
      <c r="U690" s="645">
        <v>1</v>
      </c>
      <c r="V690" s="593">
        <f t="shared" si="456"/>
        <v>200</v>
      </c>
      <c r="W690" s="604">
        <f t="shared" ref="W690:W692" si="493">Z690*R690*U690</f>
        <v>0</v>
      </c>
      <c r="X690" s="604">
        <f t="shared" si="458"/>
        <v>0</v>
      </c>
      <c r="Y690" s="604">
        <f t="shared" si="459"/>
        <v>0</v>
      </c>
      <c r="Z690" s="605">
        <f t="shared" si="477"/>
        <v>0</v>
      </c>
      <c r="AA690" s="751">
        <f t="shared" si="478"/>
        <v>0</v>
      </c>
      <c r="AB690" s="605">
        <f>VLOOKUP(T690,Kengetal,6,FALSE)</f>
        <v>0</v>
      </c>
      <c r="AC690" s="607"/>
      <c r="AD690" s="591" t="s">
        <v>364</v>
      </c>
      <c r="AE690" s="608"/>
      <c r="AF690" s="639">
        <v>75</v>
      </c>
      <c r="AG690" s="639">
        <f t="shared" si="453"/>
        <v>75</v>
      </c>
      <c r="AH690" s="639">
        <v>0</v>
      </c>
      <c r="AI690" s="640"/>
      <c r="AJ690" s="641">
        <f t="shared" si="474"/>
        <v>0</v>
      </c>
      <c r="AK690" s="642"/>
      <c r="AL690" s="642" t="s">
        <v>364</v>
      </c>
      <c r="AM690" s="643"/>
      <c r="AN690" s="642"/>
      <c r="AO690" s="644">
        <v>1992</v>
      </c>
    </row>
    <row r="691" spans="1:41">
      <c r="A691" s="635"/>
      <c r="B691" s="635"/>
      <c r="C691" s="635"/>
      <c r="D691" s="594">
        <v>1</v>
      </c>
      <c r="E691" s="595" t="s">
        <v>1099</v>
      </c>
      <c r="F691" s="593" t="s">
        <v>368</v>
      </c>
      <c r="G691" s="596">
        <v>16</v>
      </c>
      <c r="H691" s="606"/>
      <c r="I691" s="596"/>
      <c r="J691" s="596"/>
      <c r="K691" s="596"/>
      <c r="L691" s="591" t="s">
        <v>319</v>
      </c>
      <c r="M691" s="597" t="str">
        <f t="shared" si="492"/>
        <v>Gang, hal, pantry, aula, repro, gardarobe</v>
      </c>
      <c r="N691" s="591" t="s">
        <v>78</v>
      </c>
      <c r="O691" s="596"/>
      <c r="P691" s="622"/>
      <c r="Q691" s="600">
        <v>0</v>
      </c>
      <c r="R691" s="601">
        <v>75</v>
      </c>
      <c r="S691" s="647">
        <v>104200</v>
      </c>
      <c r="T691" s="602"/>
      <c r="U691" s="645">
        <v>1</v>
      </c>
      <c r="V691" s="593">
        <f t="shared" ref="V691" si="494">VLOOKUP(S691,Kengetal,3,FALSE)+VLOOKUP(T691,Kengetal,3,FALSE)</f>
        <v>200</v>
      </c>
      <c r="W691" s="604">
        <f t="shared" si="493"/>
        <v>0</v>
      </c>
      <c r="X691" s="604">
        <f t="shared" si="458"/>
        <v>0</v>
      </c>
      <c r="Y691" s="604">
        <f t="shared" si="459"/>
        <v>0</v>
      </c>
      <c r="Z691" s="605">
        <f t="shared" si="477"/>
        <v>0</v>
      </c>
      <c r="AA691" s="751">
        <f t="shared" si="478"/>
        <v>0</v>
      </c>
      <c r="AB691" s="605">
        <f>VLOOKUP(T691,Kengetal,6,FALSE)</f>
        <v>0</v>
      </c>
      <c r="AC691" s="607"/>
      <c r="AD691" s="591" t="s">
        <v>364</v>
      </c>
      <c r="AE691" s="608"/>
      <c r="AF691" s="639">
        <v>50</v>
      </c>
      <c r="AG691" s="639">
        <f t="shared" si="453"/>
        <v>50</v>
      </c>
      <c r="AH691" s="639">
        <v>0</v>
      </c>
      <c r="AI691" s="640"/>
      <c r="AJ691" s="641">
        <f t="shared" si="474"/>
        <v>0</v>
      </c>
      <c r="AK691" s="642"/>
      <c r="AL691" s="642" t="s">
        <v>364</v>
      </c>
      <c r="AM691" s="643"/>
      <c r="AN691" s="642"/>
      <c r="AO691" s="644">
        <v>1993</v>
      </c>
    </row>
    <row r="692" spans="1:41">
      <c r="A692" s="635"/>
      <c r="B692" s="635"/>
      <c r="C692" s="635"/>
      <c r="D692" s="594">
        <v>1</v>
      </c>
      <c r="E692" s="595" t="s">
        <v>1099</v>
      </c>
      <c r="F692" s="593" t="s">
        <v>368</v>
      </c>
      <c r="G692" s="596">
        <v>17</v>
      </c>
      <c r="H692" s="596" t="s">
        <v>1110</v>
      </c>
      <c r="I692" s="596"/>
      <c r="J692" s="596"/>
      <c r="K692" s="596"/>
      <c r="L692" s="591" t="s">
        <v>849</v>
      </c>
      <c r="M692" s="597" t="str">
        <f t="shared" si="492"/>
        <v>Administratieve -, personeels- en vergaderruimte</v>
      </c>
      <c r="N692" s="591" t="s">
        <v>78</v>
      </c>
      <c r="O692" s="596"/>
      <c r="P692" s="622"/>
      <c r="Q692" s="600">
        <v>0</v>
      </c>
      <c r="R692" s="601">
        <v>50</v>
      </c>
      <c r="S692" s="647">
        <v>101100</v>
      </c>
      <c r="T692" s="637"/>
      <c r="U692" s="645">
        <v>1</v>
      </c>
      <c r="V692" s="593">
        <f t="shared" ref="V692" si="495">VLOOKUP(S692,Kengetal,3,FALSE)+VLOOKUP(T692,Kengetal,3,FALSE)</f>
        <v>100</v>
      </c>
      <c r="W692" s="604">
        <f t="shared" si="493"/>
        <v>0</v>
      </c>
      <c r="X692" s="604">
        <f t="shared" si="458"/>
        <v>0</v>
      </c>
      <c r="Y692" s="604">
        <f t="shared" si="459"/>
        <v>0</v>
      </c>
      <c r="Z692" s="605">
        <f t="shared" si="477"/>
        <v>0</v>
      </c>
      <c r="AA692" s="751">
        <f t="shared" si="478"/>
        <v>0</v>
      </c>
      <c r="AB692" s="605">
        <f>VLOOKUP(T692,Kengetal,6,FALSE)</f>
        <v>0</v>
      </c>
      <c r="AC692" s="607"/>
      <c r="AD692" s="591" t="s">
        <v>364</v>
      </c>
      <c r="AE692" s="608"/>
      <c r="AF692" s="639">
        <v>18</v>
      </c>
      <c r="AG692" s="639">
        <f t="shared" si="453"/>
        <v>18</v>
      </c>
      <c r="AH692" s="639">
        <v>0</v>
      </c>
      <c r="AI692" s="640"/>
      <c r="AJ692" s="641">
        <f t="shared" si="474"/>
        <v>0</v>
      </c>
      <c r="AK692" s="642"/>
      <c r="AL692" s="642" t="s">
        <v>364</v>
      </c>
      <c r="AM692" s="643"/>
      <c r="AN692" s="642"/>
      <c r="AO692" s="644">
        <v>1994</v>
      </c>
    </row>
    <row r="693" spans="1:41">
      <c r="A693" s="635"/>
      <c r="B693" s="635"/>
      <c r="C693" s="635"/>
      <c r="D693" s="594">
        <v>1</v>
      </c>
      <c r="E693" s="595" t="s">
        <v>1099</v>
      </c>
      <c r="F693" s="593" t="s">
        <v>368</v>
      </c>
      <c r="G693" s="610">
        <v>17</v>
      </c>
      <c r="H693" s="610" t="s">
        <v>1110</v>
      </c>
      <c r="I693" s="610"/>
      <c r="J693" s="610"/>
      <c r="K693" s="610"/>
      <c r="L693" s="611" t="s">
        <v>849</v>
      </c>
      <c r="M693" s="612" t="s">
        <v>1007</v>
      </c>
      <c r="N693" s="613"/>
      <c r="O693" s="611" t="s">
        <v>1097</v>
      </c>
      <c r="P693" s="623">
        <v>100</v>
      </c>
      <c r="Q693" s="616">
        <v>18</v>
      </c>
      <c r="R693" s="613"/>
      <c r="S693" s="603"/>
      <c r="T693" s="606"/>
      <c r="U693" s="606"/>
      <c r="V693" s="593">
        <f t="shared" si="456"/>
        <v>0</v>
      </c>
      <c r="W693" s="604">
        <f t="shared" si="457"/>
        <v>0</v>
      </c>
      <c r="X693" s="604">
        <f t="shared" si="458"/>
        <v>0</v>
      </c>
      <c r="Y693" s="604">
        <f t="shared" si="459"/>
        <v>0</v>
      </c>
      <c r="Z693" s="605">
        <f t="shared" si="477"/>
        <v>0</v>
      </c>
      <c r="AA693" s="606">
        <f t="shared" si="478"/>
        <v>0</v>
      </c>
      <c r="AB693" s="605">
        <f t="shared" si="460"/>
        <v>0</v>
      </c>
      <c r="AC693" s="607"/>
      <c r="AD693" s="606"/>
      <c r="AE693" s="608"/>
      <c r="AF693" s="639">
        <v>18</v>
      </c>
      <c r="AG693" s="639">
        <f t="shared" si="453"/>
        <v>18</v>
      </c>
      <c r="AH693" s="639">
        <v>0</v>
      </c>
      <c r="AI693" s="640"/>
      <c r="AJ693" s="641">
        <f t="shared" si="474"/>
        <v>0</v>
      </c>
      <c r="AK693" s="642"/>
      <c r="AL693" s="642" t="s">
        <v>364</v>
      </c>
      <c r="AM693" s="643"/>
      <c r="AN693" s="642"/>
      <c r="AO693" s="644">
        <v>1995</v>
      </c>
    </row>
    <row r="694" spans="1:41">
      <c r="A694" s="635"/>
      <c r="B694" s="635"/>
      <c r="C694" s="635"/>
      <c r="D694" s="594">
        <v>1</v>
      </c>
      <c r="E694" s="595" t="s">
        <v>1099</v>
      </c>
      <c r="F694" s="593" t="s">
        <v>368</v>
      </c>
      <c r="G694" s="596">
        <v>18</v>
      </c>
      <c r="H694" s="596" t="s">
        <v>1111</v>
      </c>
      <c r="I694" s="596"/>
      <c r="J694" s="596"/>
      <c r="K694" s="596"/>
      <c r="L694" s="591" t="s">
        <v>849</v>
      </c>
      <c r="M694" s="597" t="str">
        <f t="shared" ref="M694" si="496">VLOOKUP(S694,Kengetal,4,FALSE)</f>
        <v>Administratieve -, personeels- en vergaderruimte</v>
      </c>
      <c r="N694" s="591" t="s">
        <v>78</v>
      </c>
      <c r="O694" s="591"/>
      <c r="P694" s="622"/>
      <c r="Q694" s="600">
        <v>0</v>
      </c>
      <c r="R694" s="601">
        <v>18</v>
      </c>
      <c r="S694" s="647">
        <v>101100</v>
      </c>
      <c r="T694" s="637"/>
      <c r="U694" s="645">
        <v>1</v>
      </c>
      <c r="V694" s="593">
        <f t="shared" ref="V694" si="497">VLOOKUP(S694,Kengetal,3,FALSE)+VLOOKUP(T694,Kengetal,3,FALSE)</f>
        <v>100</v>
      </c>
      <c r="W694" s="604">
        <f>Z694*R694*U694</f>
        <v>0</v>
      </c>
      <c r="X694" s="604">
        <f>AA694*R694</f>
        <v>0</v>
      </c>
      <c r="Y694" s="604">
        <f>AB694*R694</f>
        <v>0</v>
      </c>
      <c r="Z694" s="605">
        <f>VLOOKUP(S694,Kengetal,6,FALSE)</f>
        <v>0</v>
      </c>
      <c r="AA694" s="751">
        <f>VLOOKUP(S694,Kengetal,7,FALSE)</f>
        <v>0</v>
      </c>
      <c r="AB694" s="605">
        <f>VLOOKUP(T694,Kengetal,6,FALSE)</f>
        <v>0</v>
      </c>
      <c r="AC694" s="607"/>
      <c r="AD694" s="591" t="s">
        <v>364</v>
      </c>
      <c r="AE694" s="608"/>
      <c r="AF694" s="639">
        <v>18</v>
      </c>
      <c r="AG694" s="639">
        <f t="shared" si="453"/>
        <v>18</v>
      </c>
      <c r="AH694" s="639">
        <v>0</v>
      </c>
      <c r="AI694" s="640"/>
      <c r="AJ694" s="641">
        <f t="shared" si="474"/>
        <v>0</v>
      </c>
      <c r="AK694" s="642"/>
      <c r="AL694" s="642" t="s">
        <v>364</v>
      </c>
      <c r="AM694" s="643"/>
      <c r="AN694" s="642"/>
      <c r="AO694" s="644">
        <v>1996</v>
      </c>
    </row>
    <row r="695" spans="1:41">
      <c r="A695" s="635"/>
      <c r="B695" s="635"/>
      <c r="C695" s="635"/>
      <c r="D695" s="594">
        <v>1</v>
      </c>
      <c r="E695" s="595" t="s">
        <v>1099</v>
      </c>
      <c r="F695" s="593" t="s">
        <v>368</v>
      </c>
      <c r="G695" s="610">
        <v>18</v>
      </c>
      <c r="H695" s="610" t="s">
        <v>1111</v>
      </c>
      <c r="I695" s="610"/>
      <c r="J695" s="610"/>
      <c r="K695" s="610"/>
      <c r="L695" s="611" t="s">
        <v>849</v>
      </c>
      <c r="M695" s="612" t="s">
        <v>1007</v>
      </c>
      <c r="N695" s="613"/>
      <c r="O695" s="611" t="s">
        <v>1097</v>
      </c>
      <c r="P695" s="623">
        <v>100</v>
      </c>
      <c r="Q695" s="616">
        <v>0</v>
      </c>
      <c r="R695" s="613"/>
      <c r="S695" s="603"/>
      <c r="T695" s="606"/>
      <c r="U695" s="606"/>
      <c r="V695" s="593">
        <f t="shared" si="456"/>
        <v>0</v>
      </c>
      <c r="W695" s="604">
        <f t="shared" si="457"/>
        <v>0</v>
      </c>
      <c r="X695" s="604">
        <f t="shared" si="458"/>
        <v>0</v>
      </c>
      <c r="Y695" s="604">
        <f t="shared" si="459"/>
        <v>0</v>
      </c>
      <c r="Z695" s="605">
        <f t="shared" si="477"/>
        <v>0</v>
      </c>
      <c r="AA695" s="606">
        <f t="shared" si="478"/>
        <v>0</v>
      </c>
      <c r="AB695" s="605">
        <f t="shared" si="460"/>
        <v>0</v>
      </c>
      <c r="AC695" s="607"/>
      <c r="AD695" s="606"/>
      <c r="AE695" s="608"/>
      <c r="AF695" s="639">
        <v>18</v>
      </c>
      <c r="AG695" s="639">
        <f t="shared" si="453"/>
        <v>18</v>
      </c>
      <c r="AH695" s="639">
        <v>0</v>
      </c>
      <c r="AI695" s="640"/>
      <c r="AJ695" s="641">
        <f t="shared" si="474"/>
        <v>0</v>
      </c>
      <c r="AK695" s="642"/>
      <c r="AL695" s="642" t="s">
        <v>364</v>
      </c>
      <c r="AM695" s="643"/>
      <c r="AN695" s="642"/>
      <c r="AO695" s="644">
        <v>1997</v>
      </c>
    </row>
    <row r="696" spans="1:41">
      <c r="A696" s="635"/>
      <c r="B696" s="635"/>
      <c r="C696" s="635"/>
      <c r="D696" s="594">
        <v>1</v>
      </c>
      <c r="E696" s="595" t="s">
        <v>1099</v>
      </c>
      <c r="F696" s="593" t="s">
        <v>368</v>
      </c>
      <c r="G696" s="596">
        <v>19</v>
      </c>
      <c r="H696" s="596" t="s">
        <v>1112</v>
      </c>
      <c r="I696" s="596"/>
      <c r="J696" s="596"/>
      <c r="K696" s="596"/>
      <c r="L696" s="591" t="s">
        <v>849</v>
      </c>
      <c r="M696" s="597" t="str">
        <f t="shared" ref="M696" si="498">VLOOKUP(S696,Kengetal,4,FALSE)</f>
        <v>Administratieve -, personeels- en vergaderruimte</v>
      </c>
      <c r="N696" s="591" t="s">
        <v>78</v>
      </c>
      <c r="O696" s="596"/>
      <c r="P696" s="622"/>
      <c r="Q696" s="600">
        <v>18</v>
      </c>
      <c r="R696" s="601">
        <v>18</v>
      </c>
      <c r="S696" s="647">
        <v>101100</v>
      </c>
      <c r="T696" s="637"/>
      <c r="U696" s="645">
        <v>1</v>
      </c>
      <c r="V696" s="593">
        <f t="shared" ref="V696" si="499">VLOOKUP(S696,Kengetal,3,FALSE)+VLOOKUP(T696,Kengetal,3,FALSE)</f>
        <v>100</v>
      </c>
      <c r="W696" s="604">
        <f>Z696*R696*U696</f>
        <v>0</v>
      </c>
      <c r="X696" s="604">
        <f>AA696*R696</f>
        <v>0</v>
      </c>
      <c r="Y696" s="604">
        <f>AB696*R696</f>
        <v>0</v>
      </c>
      <c r="Z696" s="605">
        <f>VLOOKUP(S696,Kengetal,6,FALSE)</f>
        <v>0</v>
      </c>
      <c r="AA696" s="751">
        <f>VLOOKUP(S696,Kengetal,7,FALSE)</f>
        <v>0</v>
      </c>
      <c r="AB696" s="605">
        <f>VLOOKUP(T696,Kengetal,6,FALSE)</f>
        <v>0</v>
      </c>
      <c r="AC696" s="607"/>
      <c r="AD696" s="591" t="s">
        <v>364</v>
      </c>
      <c r="AE696" s="608"/>
      <c r="AF696" s="639">
        <v>18</v>
      </c>
      <c r="AG696" s="639">
        <f t="shared" si="453"/>
        <v>18</v>
      </c>
      <c r="AH696" s="639">
        <v>0</v>
      </c>
      <c r="AI696" s="640"/>
      <c r="AJ696" s="641">
        <f t="shared" si="474"/>
        <v>0</v>
      </c>
      <c r="AK696" s="642"/>
      <c r="AL696" s="642" t="s">
        <v>364</v>
      </c>
      <c r="AM696" s="643"/>
      <c r="AN696" s="642"/>
      <c r="AO696" s="644">
        <v>1998</v>
      </c>
    </row>
    <row r="697" spans="1:41">
      <c r="A697" s="635"/>
      <c r="B697" s="635"/>
      <c r="C697" s="635"/>
      <c r="D697" s="594">
        <v>1</v>
      </c>
      <c r="E697" s="595" t="s">
        <v>1099</v>
      </c>
      <c r="F697" s="593" t="s">
        <v>368</v>
      </c>
      <c r="G697" s="610">
        <v>19</v>
      </c>
      <c r="H697" s="610" t="s">
        <v>1112</v>
      </c>
      <c r="I697" s="610"/>
      <c r="J697" s="610"/>
      <c r="K697" s="610"/>
      <c r="L697" s="611" t="s">
        <v>849</v>
      </c>
      <c r="M697" s="612" t="s">
        <v>1007</v>
      </c>
      <c r="N697" s="613"/>
      <c r="O697" s="611" t="s">
        <v>1097</v>
      </c>
      <c r="P697" s="623">
        <v>100</v>
      </c>
      <c r="Q697" s="616">
        <v>0</v>
      </c>
      <c r="R697" s="613"/>
      <c r="S697" s="603"/>
      <c r="T697" s="637"/>
      <c r="U697" s="638"/>
      <c r="V697" s="593">
        <f t="shared" si="456"/>
        <v>0</v>
      </c>
      <c r="W697" s="604">
        <f t="shared" si="457"/>
        <v>0</v>
      </c>
      <c r="X697" s="604">
        <f t="shared" si="458"/>
        <v>0</v>
      </c>
      <c r="Y697" s="604">
        <f t="shared" si="459"/>
        <v>0</v>
      </c>
      <c r="Z697" s="605">
        <f t="shared" si="477"/>
        <v>0</v>
      </c>
      <c r="AA697" s="606">
        <f t="shared" si="478"/>
        <v>0</v>
      </c>
      <c r="AB697" s="605">
        <f t="shared" si="460"/>
        <v>0</v>
      </c>
      <c r="AC697" s="607"/>
      <c r="AD697" s="606"/>
      <c r="AE697" s="608"/>
      <c r="AF697" s="639">
        <v>18</v>
      </c>
      <c r="AG697" s="639">
        <f t="shared" si="453"/>
        <v>18</v>
      </c>
      <c r="AH697" s="639">
        <v>0</v>
      </c>
      <c r="AI697" s="640"/>
      <c r="AJ697" s="641">
        <f t="shared" si="474"/>
        <v>0</v>
      </c>
      <c r="AK697" s="642"/>
      <c r="AL697" s="642" t="s">
        <v>364</v>
      </c>
      <c r="AM697" s="643"/>
      <c r="AN697" s="642"/>
      <c r="AO697" s="644">
        <v>1999</v>
      </c>
    </row>
    <row r="698" spans="1:41">
      <c r="A698" s="635"/>
      <c r="B698" s="635"/>
      <c r="C698" s="635"/>
      <c r="D698" s="594">
        <v>1</v>
      </c>
      <c r="E698" s="595" t="s">
        <v>1099</v>
      </c>
      <c r="F698" s="593" t="s">
        <v>368</v>
      </c>
      <c r="G698" s="596">
        <v>20</v>
      </c>
      <c r="H698" s="596" t="s">
        <v>1113</v>
      </c>
      <c r="I698" s="596"/>
      <c r="J698" s="596"/>
      <c r="K698" s="596"/>
      <c r="L698" s="591" t="s">
        <v>340</v>
      </c>
      <c r="M698" s="597" t="str">
        <f t="shared" ref="M698" si="500">VLOOKUP(S698,Kengetal,4,FALSE)</f>
        <v>Onderwijsruimte (theorie)</v>
      </c>
      <c r="N698" s="591" t="s">
        <v>78</v>
      </c>
      <c r="O698" s="596"/>
      <c r="P698" s="622"/>
      <c r="Q698" s="600">
        <v>18</v>
      </c>
      <c r="R698" s="601">
        <v>18</v>
      </c>
      <c r="S698" s="647">
        <v>102200</v>
      </c>
      <c r="T698" s="602"/>
      <c r="U698" s="645">
        <v>1</v>
      </c>
      <c r="V698" s="593">
        <f t="shared" ref="V698" si="501">VLOOKUP(S698,Kengetal,3,FALSE)+VLOOKUP(T698,Kengetal,3,FALSE)</f>
        <v>200</v>
      </c>
      <c r="W698" s="604">
        <f>Z698*R698*U698</f>
        <v>0</v>
      </c>
      <c r="X698" s="604">
        <f>AA698*R698</f>
        <v>0</v>
      </c>
      <c r="Y698" s="604">
        <f>AB698*R698</f>
        <v>0</v>
      </c>
      <c r="Z698" s="605">
        <f>VLOOKUP(S698,Kengetal,6,FALSE)</f>
        <v>0</v>
      </c>
      <c r="AA698" s="751">
        <f>VLOOKUP(S698,Kengetal,7,FALSE)</f>
        <v>0</v>
      </c>
      <c r="AB698" s="605">
        <f>VLOOKUP(T698,Kengetal,6,FALSE)</f>
        <v>0</v>
      </c>
      <c r="AC698" s="607"/>
      <c r="AD698" s="591" t="s">
        <v>364</v>
      </c>
      <c r="AE698" s="608"/>
      <c r="AF698" s="639">
        <v>34</v>
      </c>
      <c r="AG698" s="639">
        <f t="shared" si="453"/>
        <v>34</v>
      </c>
      <c r="AH698" s="639">
        <v>0</v>
      </c>
      <c r="AI698" s="640"/>
      <c r="AJ698" s="641">
        <f t="shared" si="474"/>
        <v>0</v>
      </c>
      <c r="AK698" s="642"/>
      <c r="AL698" s="642" t="s">
        <v>364</v>
      </c>
      <c r="AM698" s="643"/>
      <c r="AN698" s="642"/>
      <c r="AO698" s="644">
        <v>2000</v>
      </c>
    </row>
    <row r="699" spans="1:41">
      <c r="A699" s="635"/>
      <c r="B699" s="635"/>
      <c r="C699" s="635"/>
      <c r="D699" s="594">
        <v>1</v>
      </c>
      <c r="E699" s="595" t="s">
        <v>1099</v>
      </c>
      <c r="F699" s="593" t="s">
        <v>368</v>
      </c>
      <c r="G699" s="610">
        <v>20</v>
      </c>
      <c r="H699" s="610" t="s">
        <v>1113</v>
      </c>
      <c r="I699" s="610"/>
      <c r="J699" s="610"/>
      <c r="K699" s="610"/>
      <c r="L699" s="611" t="s">
        <v>340</v>
      </c>
      <c r="M699" s="612" t="s">
        <v>808</v>
      </c>
      <c r="N699" s="613"/>
      <c r="O699" s="611" t="s">
        <v>1097</v>
      </c>
      <c r="P699" s="623"/>
      <c r="Q699" s="616">
        <v>0</v>
      </c>
      <c r="R699" s="613"/>
      <c r="S699" s="603"/>
      <c r="T699" s="606"/>
      <c r="U699" s="606"/>
      <c r="V699" s="606"/>
      <c r="W699" s="606"/>
      <c r="X699" s="606"/>
      <c r="Y699" s="606"/>
      <c r="Z699" s="606"/>
      <c r="AA699" s="606"/>
      <c r="AB699" s="606"/>
      <c r="AC699" s="607"/>
      <c r="AD699" s="606"/>
      <c r="AE699" s="608"/>
      <c r="AF699" s="639">
        <v>34</v>
      </c>
      <c r="AG699" s="639">
        <f t="shared" si="453"/>
        <v>34</v>
      </c>
      <c r="AH699" s="639">
        <v>0</v>
      </c>
      <c r="AI699" s="640"/>
      <c r="AJ699" s="641">
        <f t="shared" si="474"/>
        <v>0</v>
      </c>
      <c r="AK699" s="642"/>
      <c r="AL699" s="642" t="s">
        <v>364</v>
      </c>
      <c r="AM699" s="643"/>
      <c r="AN699" s="642"/>
      <c r="AO699" s="644">
        <v>2001</v>
      </c>
    </row>
    <row r="700" spans="1:41">
      <c r="M700" s="60"/>
    </row>
    <row r="701" spans="1:41">
      <c r="M701" s="60"/>
    </row>
    <row r="702" spans="1:41">
      <c r="M702" s="60"/>
    </row>
    <row r="703" spans="1:41">
      <c r="M703" s="60"/>
    </row>
    <row r="704" spans="1:41">
      <c r="M704" s="60"/>
    </row>
    <row r="705" spans="13:13">
      <c r="M705" s="60"/>
    </row>
    <row r="706" spans="13:13">
      <c r="M706" s="60"/>
    </row>
    <row r="707" spans="13:13">
      <c r="M707" s="60"/>
    </row>
    <row r="708" spans="13:13">
      <c r="M708" s="60"/>
    </row>
    <row r="709" spans="13:13">
      <c r="M709" s="60"/>
    </row>
    <row r="710" spans="13:13">
      <c r="M710" s="60"/>
    </row>
    <row r="711" spans="13:13">
      <c r="M711" s="60"/>
    </row>
    <row r="712" spans="13:13">
      <c r="M712" s="60"/>
    </row>
    <row r="713" spans="13:13">
      <c r="M713" s="60"/>
    </row>
    <row r="714" spans="13:13">
      <c r="M714" s="60"/>
    </row>
    <row r="715" spans="13:13">
      <c r="M715" s="60"/>
    </row>
    <row r="716" spans="13:13">
      <c r="M716" s="60"/>
    </row>
    <row r="717" spans="13:13">
      <c r="M717" s="60"/>
    </row>
    <row r="718" spans="13:13">
      <c r="M718" s="60"/>
    </row>
    <row r="719" spans="13:13">
      <c r="M719" s="60"/>
    </row>
    <row r="720" spans="13:13">
      <c r="M720" s="60"/>
    </row>
    <row r="721" spans="13:13">
      <c r="M721" s="60"/>
    </row>
    <row r="722" spans="13:13">
      <c r="M722" s="60"/>
    </row>
    <row r="723" spans="13:13">
      <c r="M723" s="60"/>
    </row>
    <row r="724" spans="13:13">
      <c r="M724" s="60"/>
    </row>
    <row r="725" spans="13:13">
      <c r="M725" s="60"/>
    </row>
    <row r="726" spans="13:13">
      <c r="M726" s="60"/>
    </row>
    <row r="727" spans="13:13">
      <c r="M727" s="60"/>
    </row>
    <row r="728" spans="13:13">
      <c r="M728" s="60"/>
    </row>
    <row r="729" spans="13:13">
      <c r="M729" s="60"/>
    </row>
    <row r="730" spans="13:13">
      <c r="M730" s="60"/>
    </row>
    <row r="731" spans="13:13">
      <c r="M731" s="60"/>
    </row>
    <row r="732" spans="13:13">
      <c r="M732" s="60"/>
    </row>
    <row r="733" spans="13:13">
      <c r="M733" s="60"/>
    </row>
    <row r="734" spans="13:13">
      <c r="M734" s="60"/>
    </row>
    <row r="735" spans="13:13">
      <c r="M735" s="60"/>
    </row>
    <row r="736" spans="13:13">
      <c r="M736" s="60"/>
    </row>
    <row r="737" spans="13:13">
      <c r="M737" s="60"/>
    </row>
    <row r="738" spans="13:13">
      <c r="M738" s="60"/>
    </row>
    <row r="739" spans="13:13">
      <c r="M739" s="60"/>
    </row>
    <row r="740" spans="13:13">
      <c r="M740" s="60"/>
    </row>
    <row r="741" spans="13:13">
      <c r="M741" s="60"/>
    </row>
    <row r="742" spans="13:13">
      <c r="M742" s="60"/>
    </row>
    <row r="743" spans="13:13">
      <c r="M743" s="60"/>
    </row>
    <row r="744" spans="13:13">
      <c r="M744" s="60"/>
    </row>
    <row r="745" spans="13:13">
      <c r="M745" s="60"/>
    </row>
    <row r="746" spans="13:13">
      <c r="M746" s="60"/>
    </row>
    <row r="747" spans="13:13">
      <c r="M747" s="60"/>
    </row>
    <row r="748" spans="13:13">
      <c r="M748" s="60"/>
    </row>
    <row r="749" spans="13:13">
      <c r="M749" s="60"/>
    </row>
    <row r="750" spans="13:13">
      <c r="M750" s="60"/>
    </row>
    <row r="751" spans="13:13">
      <c r="M751" s="60"/>
    </row>
    <row r="752" spans="13:13">
      <c r="M752" s="60"/>
    </row>
    <row r="753" spans="13:13">
      <c r="M753" s="60"/>
    </row>
    <row r="754" spans="13:13">
      <c r="M754" s="60"/>
    </row>
    <row r="755" spans="13:13">
      <c r="M755" s="60"/>
    </row>
    <row r="756" spans="13:13">
      <c r="M756" s="60"/>
    </row>
    <row r="757" spans="13:13">
      <c r="M757" s="60"/>
    </row>
    <row r="758" spans="13:13">
      <c r="M758" s="60"/>
    </row>
    <row r="759" spans="13:13">
      <c r="M759" s="60"/>
    </row>
    <row r="760" spans="13:13">
      <c r="M760" s="60"/>
    </row>
    <row r="761" spans="13:13">
      <c r="M761" s="60"/>
    </row>
    <row r="762" spans="13:13">
      <c r="M762" s="60"/>
    </row>
    <row r="763" spans="13:13">
      <c r="M763" s="60"/>
    </row>
    <row r="764" spans="13:13">
      <c r="M764" s="60"/>
    </row>
    <row r="765" spans="13:13">
      <c r="M765" s="60"/>
    </row>
    <row r="766" spans="13:13">
      <c r="M766" s="60"/>
    </row>
    <row r="767" spans="13:13">
      <c r="M767" s="60"/>
    </row>
    <row r="768" spans="13:13">
      <c r="M768" s="60"/>
    </row>
    <row r="769" spans="13:13">
      <c r="M769" s="60"/>
    </row>
    <row r="770" spans="13:13">
      <c r="M770" s="60"/>
    </row>
    <row r="771" spans="13:13">
      <c r="M771" s="60"/>
    </row>
    <row r="772" spans="13:13">
      <c r="M772" s="60"/>
    </row>
    <row r="773" spans="13:13">
      <c r="M773" s="60"/>
    </row>
    <row r="774" spans="13:13">
      <c r="M774" s="60"/>
    </row>
    <row r="775" spans="13:13">
      <c r="M775" s="60"/>
    </row>
    <row r="776" spans="13:13">
      <c r="M776" s="60"/>
    </row>
    <row r="777" spans="13:13">
      <c r="M777" s="60"/>
    </row>
    <row r="778" spans="13:13">
      <c r="M778" s="60"/>
    </row>
    <row r="779" spans="13:13">
      <c r="M779" s="60"/>
    </row>
    <row r="780" spans="13:13">
      <c r="M780" s="60"/>
    </row>
    <row r="781" spans="13:13">
      <c r="M781" s="60"/>
    </row>
    <row r="782" spans="13:13">
      <c r="M782" s="60"/>
    </row>
    <row r="783" spans="13:13">
      <c r="M783" s="60"/>
    </row>
    <row r="784" spans="13:13">
      <c r="M784" s="60"/>
    </row>
    <row r="785" spans="13:13">
      <c r="M785" s="60"/>
    </row>
    <row r="786" spans="13:13">
      <c r="M786" s="60"/>
    </row>
    <row r="787" spans="13:13">
      <c r="M787" s="60"/>
    </row>
    <row r="788" spans="13:13">
      <c r="M788" s="60"/>
    </row>
    <row r="789" spans="13:13">
      <c r="M789" s="60"/>
    </row>
    <row r="790" spans="13:13">
      <c r="M790" s="60"/>
    </row>
    <row r="791" spans="13:13">
      <c r="M791" s="60"/>
    </row>
    <row r="792" spans="13:13">
      <c r="M792" s="60"/>
    </row>
    <row r="793" spans="13:13">
      <c r="M793" s="60"/>
    </row>
    <row r="794" spans="13:13">
      <c r="M794" s="60"/>
    </row>
    <row r="795" spans="13:13">
      <c r="M795" s="60"/>
    </row>
    <row r="796" spans="13:13">
      <c r="M796" s="60"/>
    </row>
    <row r="797" spans="13:13">
      <c r="M797" s="60"/>
    </row>
    <row r="798" spans="13:13">
      <c r="M798" s="60"/>
    </row>
    <row r="799" spans="13:13">
      <c r="M799" s="60"/>
    </row>
    <row r="800" spans="13:13">
      <c r="M800" s="60"/>
    </row>
    <row r="801" spans="13:13">
      <c r="M801" s="60"/>
    </row>
    <row r="802" spans="13:13">
      <c r="M802" s="60"/>
    </row>
    <row r="803" spans="13:13">
      <c r="M803" s="60"/>
    </row>
    <row r="804" spans="13:13">
      <c r="M804" s="60"/>
    </row>
    <row r="805" spans="13:13">
      <c r="M805" s="60"/>
    </row>
    <row r="806" spans="13:13">
      <c r="M806" s="60"/>
    </row>
    <row r="807" spans="13:13">
      <c r="M807" s="60"/>
    </row>
    <row r="808" spans="13:13">
      <c r="M808" s="60"/>
    </row>
    <row r="809" spans="13:13">
      <c r="M809" s="60"/>
    </row>
    <row r="810" spans="13:13">
      <c r="M810" s="60"/>
    </row>
    <row r="811" spans="13:13">
      <c r="M811" s="60"/>
    </row>
    <row r="812" spans="13:13">
      <c r="M812" s="60"/>
    </row>
    <row r="813" spans="13:13">
      <c r="M813" s="60"/>
    </row>
    <row r="814" spans="13:13">
      <c r="M814" s="60"/>
    </row>
    <row r="815" spans="13:13">
      <c r="M815" s="60"/>
    </row>
    <row r="816" spans="13:13">
      <c r="M816" s="60"/>
    </row>
    <row r="817" spans="13:13">
      <c r="M817" s="60"/>
    </row>
    <row r="818" spans="13:13">
      <c r="M818" s="60"/>
    </row>
    <row r="819" spans="13:13">
      <c r="M819" s="60"/>
    </row>
    <row r="820" spans="13:13">
      <c r="M820" s="60"/>
    </row>
    <row r="821" spans="13:13">
      <c r="M821" s="60"/>
    </row>
    <row r="822" spans="13:13">
      <c r="M822" s="60"/>
    </row>
    <row r="823" spans="13:13">
      <c r="M823" s="60"/>
    </row>
    <row r="824" spans="13:13">
      <c r="M824" s="60"/>
    </row>
    <row r="825" spans="13:13">
      <c r="M825" s="60"/>
    </row>
    <row r="826" spans="13:13">
      <c r="M826" s="60"/>
    </row>
    <row r="827" spans="13:13">
      <c r="M827" s="60"/>
    </row>
    <row r="828" spans="13:13">
      <c r="M828" s="60"/>
    </row>
    <row r="829" spans="13:13">
      <c r="M829" s="60"/>
    </row>
    <row r="830" spans="13:13">
      <c r="M830" s="60"/>
    </row>
    <row r="831" spans="13:13">
      <c r="M831" s="60"/>
    </row>
    <row r="832" spans="13:13">
      <c r="M832" s="60"/>
    </row>
    <row r="833" spans="13:13">
      <c r="M833" s="60"/>
    </row>
    <row r="834" spans="13:13">
      <c r="M834" s="60"/>
    </row>
    <row r="835" spans="13:13">
      <c r="M835" s="60"/>
    </row>
    <row r="836" spans="13:13">
      <c r="M836" s="60"/>
    </row>
    <row r="837" spans="13:13">
      <c r="M837" s="60"/>
    </row>
    <row r="838" spans="13:13">
      <c r="M838" s="60"/>
    </row>
    <row r="839" spans="13:13">
      <c r="M839" s="60"/>
    </row>
    <row r="840" spans="13:13">
      <c r="M840" s="60"/>
    </row>
    <row r="841" spans="13:13">
      <c r="M841" s="60"/>
    </row>
    <row r="842" spans="13:13">
      <c r="M842" s="60"/>
    </row>
    <row r="843" spans="13:13">
      <c r="M843" s="60"/>
    </row>
    <row r="844" spans="13:13">
      <c r="M844" s="60"/>
    </row>
    <row r="845" spans="13:13">
      <c r="M845" s="60"/>
    </row>
    <row r="846" spans="13:13">
      <c r="M846" s="60"/>
    </row>
    <row r="847" spans="13:13">
      <c r="M847" s="60"/>
    </row>
    <row r="848" spans="13:13">
      <c r="M848" s="60"/>
    </row>
    <row r="849" spans="13:13">
      <c r="M849" s="60"/>
    </row>
    <row r="850" spans="13:13">
      <c r="M850" s="60"/>
    </row>
    <row r="851" spans="13:13">
      <c r="M851" s="60"/>
    </row>
    <row r="852" spans="13:13">
      <c r="M852" s="60"/>
    </row>
    <row r="853" spans="13:13">
      <c r="M853" s="60"/>
    </row>
    <row r="854" spans="13:13">
      <c r="M854" s="60"/>
    </row>
    <row r="855" spans="13:13">
      <c r="M855" s="60"/>
    </row>
    <row r="856" spans="13:13">
      <c r="M856" s="60"/>
    </row>
    <row r="857" spans="13:13">
      <c r="M857" s="60"/>
    </row>
    <row r="858" spans="13:13">
      <c r="M858" s="60"/>
    </row>
    <row r="859" spans="13:13">
      <c r="M859" s="60"/>
    </row>
    <row r="860" spans="13:13">
      <c r="M860" s="60"/>
    </row>
    <row r="861" spans="13:13">
      <c r="M861" s="60"/>
    </row>
    <row r="862" spans="13:13">
      <c r="M862" s="60"/>
    </row>
    <row r="863" spans="13:13">
      <c r="M863" s="60"/>
    </row>
    <row r="864" spans="13:13">
      <c r="M864" s="60"/>
    </row>
    <row r="865" spans="13:13">
      <c r="M865" s="60"/>
    </row>
    <row r="866" spans="13:13">
      <c r="M866" s="60"/>
    </row>
    <row r="867" spans="13:13">
      <c r="M867" s="60"/>
    </row>
    <row r="868" spans="13:13">
      <c r="M868" s="60"/>
    </row>
    <row r="869" spans="13:13">
      <c r="M869" s="60"/>
    </row>
    <row r="870" spans="13:13">
      <c r="M870" s="60"/>
    </row>
    <row r="871" spans="13:13">
      <c r="M871" s="60"/>
    </row>
    <row r="872" spans="13:13">
      <c r="M872" s="60"/>
    </row>
    <row r="873" spans="13:13">
      <c r="M873" s="60"/>
    </row>
    <row r="874" spans="13:13">
      <c r="M874" s="60"/>
    </row>
    <row r="875" spans="13:13">
      <c r="M875" s="60"/>
    </row>
    <row r="876" spans="13:13">
      <c r="M876" s="60"/>
    </row>
    <row r="877" spans="13:13">
      <c r="M877" s="60"/>
    </row>
    <row r="878" spans="13:13">
      <c r="M878" s="60"/>
    </row>
    <row r="879" spans="13:13">
      <c r="M879" s="60"/>
    </row>
    <row r="880" spans="13:13">
      <c r="M880" s="60"/>
    </row>
    <row r="881" spans="13:13">
      <c r="M881" s="60"/>
    </row>
    <row r="882" spans="13:13">
      <c r="M882" s="60"/>
    </row>
    <row r="883" spans="13:13">
      <c r="M883" s="60"/>
    </row>
    <row r="884" spans="13:13">
      <c r="M884" s="60"/>
    </row>
    <row r="885" spans="13:13">
      <c r="M885" s="60"/>
    </row>
    <row r="886" spans="13:13">
      <c r="M886" s="60"/>
    </row>
    <row r="887" spans="13:13">
      <c r="M887" s="60"/>
    </row>
    <row r="888" spans="13:13">
      <c r="M888" s="60"/>
    </row>
    <row r="889" spans="13:13">
      <c r="M889" s="60"/>
    </row>
    <row r="890" spans="13:13">
      <c r="M890" s="60"/>
    </row>
    <row r="891" spans="13:13">
      <c r="M891" s="60"/>
    </row>
    <row r="892" spans="13:13">
      <c r="M892" s="60"/>
    </row>
    <row r="893" spans="13:13">
      <c r="M893" s="60"/>
    </row>
    <row r="894" spans="13:13">
      <c r="M894" s="60"/>
    </row>
    <row r="895" spans="13:13">
      <c r="M895" s="60"/>
    </row>
    <row r="896" spans="13:13">
      <c r="M896" s="60"/>
    </row>
    <row r="897" spans="13:13">
      <c r="M897" s="60"/>
    </row>
    <row r="898" spans="13:13">
      <c r="M898" s="60"/>
    </row>
    <row r="899" spans="13:13">
      <c r="M899" s="60"/>
    </row>
    <row r="900" spans="13:13">
      <c r="M900" s="60"/>
    </row>
    <row r="901" spans="13:13">
      <c r="M901" s="60"/>
    </row>
    <row r="902" spans="13:13">
      <c r="M902" s="60"/>
    </row>
    <row r="903" spans="13:13">
      <c r="M903" s="60"/>
    </row>
    <row r="904" spans="13:13">
      <c r="M904" s="60"/>
    </row>
    <row r="905" spans="13:13">
      <c r="M905" s="60"/>
    </row>
    <row r="906" spans="13:13">
      <c r="M906" s="60"/>
    </row>
    <row r="907" spans="13:13">
      <c r="M907" s="60"/>
    </row>
    <row r="908" spans="13:13">
      <c r="M908" s="60"/>
    </row>
    <row r="909" spans="13:13">
      <c r="M909" s="60"/>
    </row>
    <row r="910" spans="13:13">
      <c r="M910" s="60"/>
    </row>
    <row r="911" spans="13:13">
      <c r="M911" s="60"/>
    </row>
    <row r="912" spans="13:13">
      <c r="M912" s="60"/>
    </row>
    <row r="913" spans="13:13">
      <c r="M913" s="60"/>
    </row>
    <row r="914" spans="13:13">
      <c r="M914" s="60"/>
    </row>
    <row r="915" spans="13:13">
      <c r="M915" s="60"/>
    </row>
    <row r="916" spans="13:13">
      <c r="M916" s="60"/>
    </row>
    <row r="917" spans="13:13">
      <c r="M917" s="60"/>
    </row>
    <row r="918" spans="13:13">
      <c r="M918" s="60"/>
    </row>
    <row r="919" spans="13:13">
      <c r="M919" s="60"/>
    </row>
    <row r="920" spans="13:13">
      <c r="M920" s="60"/>
    </row>
    <row r="921" spans="13:13">
      <c r="M921" s="60"/>
    </row>
    <row r="922" spans="13:13">
      <c r="M922" s="60"/>
    </row>
    <row r="923" spans="13:13">
      <c r="M923" s="60"/>
    </row>
    <row r="924" spans="13:13">
      <c r="M924" s="60"/>
    </row>
    <row r="925" spans="13:13">
      <c r="M925" s="60"/>
    </row>
    <row r="926" spans="13:13">
      <c r="M926" s="60"/>
    </row>
    <row r="927" spans="13:13">
      <c r="M927" s="60"/>
    </row>
    <row r="928" spans="13:13">
      <c r="M928" s="60"/>
    </row>
    <row r="929" spans="13:13">
      <c r="M929" s="60"/>
    </row>
    <row r="930" spans="13:13">
      <c r="M930" s="60"/>
    </row>
    <row r="931" spans="13:13">
      <c r="M931" s="60"/>
    </row>
    <row r="932" spans="13:13">
      <c r="M932" s="60"/>
    </row>
    <row r="933" spans="13:13">
      <c r="M933" s="60"/>
    </row>
    <row r="934" spans="13:13">
      <c r="M934" s="60"/>
    </row>
    <row r="935" spans="13:13">
      <c r="M935" s="60"/>
    </row>
    <row r="936" spans="13:13">
      <c r="M936" s="60"/>
    </row>
    <row r="937" spans="13:13">
      <c r="M937" s="60"/>
    </row>
    <row r="938" spans="13:13">
      <c r="M938" s="60"/>
    </row>
    <row r="939" spans="13:13">
      <c r="M939" s="60"/>
    </row>
    <row r="940" spans="13:13">
      <c r="M940" s="60"/>
    </row>
    <row r="941" spans="13:13">
      <c r="M941" s="60"/>
    </row>
    <row r="942" spans="13:13">
      <c r="M942" s="60"/>
    </row>
    <row r="943" spans="13:13">
      <c r="M943" s="60"/>
    </row>
    <row r="944" spans="13:13">
      <c r="M944" s="60"/>
    </row>
    <row r="945" spans="13:13">
      <c r="M945" s="60"/>
    </row>
    <row r="946" spans="13:13">
      <c r="M946" s="60"/>
    </row>
    <row r="947" spans="13:13">
      <c r="M947" s="60"/>
    </row>
    <row r="948" spans="13:13">
      <c r="M948" s="60"/>
    </row>
    <row r="949" spans="13:13">
      <c r="M949" s="60"/>
    </row>
    <row r="950" spans="13:13">
      <c r="M950" s="60"/>
    </row>
    <row r="951" spans="13:13">
      <c r="M951" s="60"/>
    </row>
    <row r="952" spans="13:13">
      <c r="M952" s="60"/>
    </row>
    <row r="953" spans="13:13">
      <c r="M953" s="60"/>
    </row>
    <row r="954" spans="13:13">
      <c r="M954" s="60"/>
    </row>
    <row r="955" spans="13:13">
      <c r="M955" s="60"/>
    </row>
    <row r="956" spans="13:13">
      <c r="M956" s="60"/>
    </row>
    <row r="957" spans="13:13">
      <c r="M957" s="60"/>
    </row>
    <row r="958" spans="13:13">
      <c r="M958" s="60"/>
    </row>
    <row r="959" spans="13:13">
      <c r="M959" s="60"/>
    </row>
    <row r="960" spans="13:13">
      <c r="M960" s="60"/>
    </row>
    <row r="961" spans="13:13">
      <c r="M961" s="60"/>
    </row>
    <row r="962" spans="13:13">
      <c r="M962" s="60"/>
    </row>
    <row r="963" spans="13:13">
      <c r="M963" s="60"/>
    </row>
    <row r="964" spans="13:13">
      <c r="M964" s="60"/>
    </row>
    <row r="965" spans="13:13">
      <c r="M965" s="60"/>
    </row>
    <row r="966" spans="13:13">
      <c r="M966" s="60"/>
    </row>
    <row r="967" spans="13:13">
      <c r="M967" s="60"/>
    </row>
    <row r="968" spans="13:13">
      <c r="M968" s="60"/>
    </row>
    <row r="969" spans="13:13">
      <c r="M969" s="60"/>
    </row>
    <row r="970" spans="13:13">
      <c r="M970" s="60"/>
    </row>
    <row r="971" spans="13:13">
      <c r="M971" s="60"/>
    </row>
    <row r="972" spans="13:13">
      <c r="M972" s="60"/>
    </row>
    <row r="973" spans="13:13">
      <c r="M973" s="60"/>
    </row>
    <row r="974" spans="13:13">
      <c r="M974" s="60"/>
    </row>
    <row r="975" spans="13:13">
      <c r="M975" s="60"/>
    </row>
    <row r="976" spans="13:13">
      <c r="M976" s="60"/>
    </row>
    <row r="977" spans="13:13">
      <c r="M977" s="60"/>
    </row>
    <row r="978" spans="13:13">
      <c r="M978" s="60"/>
    </row>
    <row r="979" spans="13:13">
      <c r="M979" s="60"/>
    </row>
    <row r="980" spans="13:13">
      <c r="M980" s="60"/>
    </row>
    <row r="981" spans="13:13">
      <c r="M981" s="60"/>
    </row>
    <row r="982" spans="13:13">
      <c r="M982" s="60"/>
    </row>
    <row r="983" spans="13:13">
      <c r="M983" s="60"/>
    </row>
    <row r="984" spans="13:13">
      <c r="M984" s="60"/>
    </row>
    <row r="985" spans="13:13">
      <c r="M985" s="60"/>
    </row>
    <row r="986" spans="13:13">
      <c r="M986" s="60"/>
    </row>
    <row r="987" spans="13:13">
      <c r="M987" s="60"/>
    </row>
    <row r="988" spans="13:13">
      <c r="M988" s="60"/>
    </row>
    <row r="989" spans="13:13">
      <c r="M989" s="60"/>
    </row>
    <row r="990" spans="13:13">
      <c r="M990" s="60"/>
    </row>
    <row r="991" spans="13:13">
      <c r="M991" s="60"/>
    </row>
    <row r="992" spans="13:13">
      <c r="M992" s="60"/>
    </row>
    <row r="993" spans="13:13">
      <c r="M993" s="60"/>
    </row>
    <row r="994" spans="13:13">
      <c r="M994" s="60"/>
    </row>
    <row r="995" spans="13:13">
      <c r="M995" s="60"/>
    </row>
    <row r="996" spans="13:13">
      <c r="M996" s="60"/>
    </row>
    <row r="997" spans="13:13">
      <c r="M997" s="60"/>
    </row>
    <row r="998" spans="13:13">
      <c r="M998" s="60"/>
    </row>
    <row r="999" spans="13:13">
      <c r="M999" s="60"/>
    </row>
    <row r="1000" spans="13:13">
      <c r="M1000" s="60"/>
    </row>
    <row r="1001" spans="13:13">
      <c r="M1001" s="60"/>
    </row>
    <row r="1002" spans="13:13">
      <c r="M1002" s="60"/>
    </row>
    <row r="1003" spans="13:13">
      <c r="M1003" s="60"/>
    </row>
    <row r="1004" spans="13:13">
      <c r="M1004" s="60"/>
    </row>
    <row r="1005" spans="13:13">
      <c r="M1005" s="60"/>
    </row>
    <row r="1006" spans="13:13">
      <c r="M1006" s="60"/>
    </row>
    <row r="1007" spans="13:13">
      <c r="M1007" s="60"/>
    </row>
    <row r="1008" spans="13:13">
      <c r="M1008" s="60"/>
    </row>
    <row r="1009" spans="13:13">
      <c r="M1009" s="60"/>
    </row>
    <row r="1010" spans="13:13">
      <c r="M1010" s="60"/>
    </row>
    <row r="1011" spans="13:13">
      <c r="M1011" s="60"/>
    </row>
    <row r="1012" spans="13:13">
      <c r="M1012" s="60"/>
    </row>
    <row r="1013" spans="13:13">
      <c r="M1013" s="60"/>
    </row>
    <row r="1014" spans="13:13">
      <c r="M1014" s="60"/>
    </row>
    <row r="1015" spans="13:13">
      <c r="M1015" s="60"/>
    </row>
    <row r="1016" spans="13:13">
      <c r="M1016" s="60"/>
    </row>
    <row r="1017" spans="13:13">
      <c r="M1017" s="60"/>
    </row>
    <row r="1018" spans="13:13">
      <c r="M1018" s="60"/>
    </row>
    <row r="1019" spans="13:13">
      <c r="M1019" s="60"/>
    </row>
    <row r="1020" spans="13:13">
      <c r="M1020" s="60"/>
    </row>
    <row r="1021" spans="13:13">
      <c r="M1021" s="60"/>
    </row>
    <row r="1022" spans="13:13">
      <c r="M1022" s="60"/>
    </row>
    <row r="1023" spans="13:13">
      <c r="M1023" s="60"/>
    </row>
    <row r="1024" spans="13:13">
      <c r="M1024" s="60"/>
    </row>
    <row r="1025" spans="13:13">
      <c r="M1025" s="60"/>
    </row>
    <row r="1026" spans="13:13">
      <c r="M1026" s="60"/>
    </row>
    <row r="1027" spans="13:13">
      <c r="M1027" s="60"/>
    </row>
    <row r="1028" spans="13:13">
      <c r="M1028" s="60"/>
    </row>
    <row r="1029" spans="13:13">
      <c r="M1029" s="60"/>
    </row>
    <row r="1030" spans="13:13">
      <c r="M1030" s="60"/>
    </row>
    <row r="1031" spans="13:13">
      <c r="M1031" s="60"/>
    </row>
    <row r="1032" spans="13:13">
      <c r="M1032" s="60"/>
    </row>
    <row r="1033" spans="13:13">
      <c r="M1033" s="60"/>
    </row>
    <row r="1034" spans="13:13">
      <c r="M1034" s="60"/>
    </row>
    <row r="1035" spans="13:13">
      <c r="M1035" s="60"/>
    </row>
    <row r="1036" spans="13:13">
      <c r="M1036" s="60"/>
    </row>
    <row r="1037" spans="13:13">
      <c r="M1037" s="60"/>
    </row>
    <row r="1038" spans="13:13">
      <c r="M1038" s="60"/>
    </row>
    <row r="1039" spans="13:13">
      <c r="M1039" s="60"/>
    </row>
    <row r="1040" spans="13:13">
      <c r="M1040" s="60"/>
    </row>
    <row r="1041" spans="13:13">
      <c r="M1041" s="60"/>
    </row>
    <row r="1042" spans="13:13">
      <c r="M1042" s="60"/>
    </row>
    <row r="1043" spans="13:13">
      <c r="M1043" s="60"/>
    </row>
    <row r="1044" spans="13:13">
      <c r="M1044" s="60"/>
    </row>
    <row r="1045" spans="13:13">
      <c r="M1045" s="60"/>
    </row>
    <row r="1046" spans="13:13">
      <c r="M1046" s="60"/>
    </row>
    <row r="1047" spans="13:13">
      <c r="M1047" s="60"/>
    </row>
    <row r="1048" spans="13:13">
      <c r="M1048" s="60"/>
    </row>
    <row r="1049" spans="13:13">
      <c r="M1049" s="60"/>
    </row>
    <row r="1050" spans="13:13">
      <c r="M1050" s="60"/>
    </row>
    <row r="1051" spans="13:13">
      <c r="M1051" s="60"/>
    </row>
    <row r="1052" spans="13:13">
      <c r="M1052" s="60"/>
    </row>
    <row r="1053" spans="13:13">
      <c r="M1053" s="60"/>
    </row>
    <row r="1054" spans="13:13">
      <c r="M1054" s="60"/>
    </row>
    <row r="1055" spans="13:13">
      <c r="M1055" s="60"/>
    </row>
    <row r="1056" spans="13:13">
      <c r="M1056" s="60"/>
    </row>
    <row r="1057" spans="13:13">
      <c r="M1057" s="60"/>
    </row>
    <row r="1058" spans="13:13">
      <c r="M1058" s="60"/>
    </row>
    <row r="1059" spans="13:13">
      <c r="M1059" s="60"/>
    </row>
    <row r="1060" spans="13:13">
      <c r="M1060" s="60"/>
    </row>
    <row r="1061" spans="13:13">
      <c r="M1061" s="60"/>
    </row>
    <row r="1062" spans="13:13">
      <c r="M1062" s="60"/>
    </row>
    <row r="1063" spans="13:13">
      <c r="M1063" s="60"/>
    </row>
    <row r="1064" spans="13:13">
      <c r="M1064" s="60"/>
    </row>
    <row r="1065" spans="13:13">
      <c r="M1065" s="60"/>
    </row>
    <row r="1066" spans="13:13">
      <c r="M1066" s="60"/>
    </row>
    <row r="1067" spans="13:13">
      <c r="M1067" s="60"/>
    </row>
    <row r="1068" spans="13:13">
      <c r="M1068" s="60"/>
    </row>
    <row r="1069" spans="13:13">
      <c r="M1069" s="60"/>
    </row>
    <row r="1070" spans="13:13">
      <c r="M1070" s="60"/>
    </row>
    <row r="1071" spans="13:13">
      <c r="M1071" s="60"/>
    </row>
    <row r="1072" spans="13:13">
      <c r="M1072" s="60"/>
    </row>
    <row r="1073" spans="13:13">
      <c r="M1073" s="60"/>
    </row>
    <row r="1074" spans="13:13">
      <c r="M1074" s="60"/>
    </row>
    <row r="1075" spans="13:13">
      <c r="M1075" s="60"/>
    </row>
    <row r="1076" spans="13:13">
      <c r="M1076" s="60"/>
    </row>
    <row r="1077" spans="13:13">
      <c r="M1077" s="60"/>
    </row>
    <row r="1078" spans="13:13">
      <c r="M1078" s="60"/>
    </row>
    <row r="1079" spans="13:13">
      <c r="M1079" s="60"/>
    </row>
    <row r="1080" spans="13:13">
      <c r="M1080" s="60"/>
    </row>
    <row r="1081" spans="13:13">
      <c r="M1081" s="60"/>
    </row>
    <row r="1082" spans="13:13">
      <c r="M1082" s="60"/>
    </row>
    <row r="1083" spans="13:13">
      <c r="M1083" s="60"/>
    </row>
    <row r="1084" spans="13:13">
      <c r="M1084" s="60"/>
    </row>
    <row r="1085" spans="13:13">
      <c r="M1085" s="60"/>
    </row>
    <row r="1086" spans="13:13">
      <c r="M1086" s="60"/>
    </row>
    <row r="1087" spans="13:13">
      <c r="M1087" s="60"/>
    </row>
    <row r="1088" spans="13:13">
      <c r="M1088" s="60"/>
    </row>
    <row r="1089" spans="13:13">
      <c r="M1089" s="60"/>
    </row>
    <row r="1090" spans="13:13">
      <c r="M1090" s="60"/>
    </row>
    <row r="1091" spans="13:13">
      <c r="M1091" s="60"/>
    </row>
    <row r="1092" spans="13:13">
      <c r="M1092" s="60"/>
    </row>
    <row r="1093" spans="13:13">
      <c r="M1093" s="60"/>
    </row>
    <row r="1094" spans="13:13">
      <c r="M1094" s="60"/>
    </row>
    <row r="1095" spans="13:13">
      <c r="M1095" s="60"/>
    </row>
    <row r="1096" spans="13:13">
      <c r="M1096" s="60"/>
    </row>
    <row r="1097" spans="13:13">
      <c r="M1097" s="60"/>
    </row>
    <row r="1098" spans="13:13">
      <c r="M1098" s="60"/>
    </row>
    <row r="1099" spans="13:13">
      <c r="M1099" s="60"/>
    </row>
    <row r="1100" spans="13:13">
      <c r="M1100" s="60"/>
    </row>
    <row r="1101" spans="13:13">
      <c r="M1101" s="60"/>
    </row>
    <row r="1102" spans="13:13">
      <c r="M1102" s="60"/>
    </row>
    <row r="1103" spans="13:13">
      <c r="M1103" s="60"/>
    </row>
    <row r="1104" spans="13:13">
      <c r="M1104" s="60"/>
    </row>
    <row r="1105" spans="13:13">
      <c r="M1105" s="60"/>
    </row>
    <row r="1106" spans="13:13">
      <c r="M1106" s="60"/>
    </row>
    <row r="1107" spans="13:13">
      <c r="M1107" s="60"/>
    </row>
    <row r="1108" spans="13:13">
      <c r="M1108" s="60"/>
    </row>
    <row r="1109" spans="13:13">
      <c r="M1109" s="60"/>
    </row>
    <row r="1110" spans="13:13">
      <c r="M1110" s="60"/>
    </row>
    <row r="1111" spans="13:13">
      <c r="M1111" s="60"/>
    </row>
    <row r="1112" spans="13:13">
      <c r="M1112" s="60"/>
    </row>
    <row r="1113" spans="13:13">
      <c r="M1113" s="60"/>
    </row>
    <row r="1114" spans="13:13">
      <c r="M1114" s="60"/>
    </row>
    <row r="1115" spans="13:13">
      <c r="M1115" s="60"/>
    </row>
    <row r="1116" spans="13:13">
      <c r="M1116" s="60"/>
    </row>
    <row r="1117" spans="13:13">
      <c r="M1117" s="60"/>
    </row>
    <row r="1118" spans="13:13">
      <c r="M1118" s="60"/>
    </row>
    <row r="1119" spans="13:13">
      <c r="M1119" s="60"/>
    </row>
    <row r="1120" spans="13:13">
      <c r="M1120" s="60"/>
    </row>
    <row r="1121" spans="13:13">
      <c r="M1121" s="60"/>
    </row>
    <row r="1122" spans="13:13">
      <c r="M1122" s="60"/>
    </row>
    <row r="1123" spans="13:13">
      <c r="M1123" s="60"/>
    </row>
    <row r="1124" spans="13:13">
      <c r="M1124" s="60"/>
    </row>
    <row r="1125" spans="13:13">
      <c r="M1125" s="60"/>
    </row>
    <row r="1126" spans="13:13">
      <c r="M1126" s="60"/>
    </row>
    <row r="1127" spans="13:13">
      <c r="M1127" s="60"/>
    </row>
    <row r="1128" spans="13:13">
      <c r="M1128" s="60"/>
    </row>
    <row r="1129" spans="13:13">
      <c r="M1129" s="60"/>
    </row>
    <row r="1130" spans="13:13">
      <c r="M1130" s="60"/>
    </row>
    <row r="1131" spans="13:13">
      <c r="M1131" s="60"/>
    </row>
    <row r="1132" spans="13:13">
      <c r="M1132" s="60"/>
    </row>
    <row r="1133" spans="13:13">
      <c r="M1133" s="60"/>
    </row>
    <row r="1134" spans="13:13">
      <c r="M1134" s="60"/>
    </row>
    <row r="1135" spans="13:13">
      <c r="M1135" s="60"/>
    </row>
    <row r="1136" spans="13:13">
      <c r="M1136" s="60"/>
    </row>
    <row r="1137" spans="13:13">
      <c r="M1137" s="60"/>
    </row>
    <row r="1138" spans="13:13">
      <c r="M1138" s="60"/>
    </row>
    <row r="1139" spans="13:13">
      <c r="M1139" s="60"/>
    </row>
    <row r="1140" spans="13:13">
      <c r="M1140" s="60"/>
    </row>
    <row r="1141" spans="13:13">
      <c r="M1141" s="60"/>
    </row>
    <row r="1142" spans="13:13">
      <c r="M1142" s="60"/>
    </row>
    <row r="1143" spans="13:13">
      <c r="M1143" s="60"/>
    </row>
    <row r="1144" spans="13:13">
      <c r="M1144" s="60"/>
    </row>
    <row r="1145" spans="13:13">
      <c r="M1145" s="60"/>
    </row>
    <row r="1146" spans="13:13">
      <c r="M1146" s="60"/>
    </row>
    <row r="1147" spans="13:13">
      <c r="M1147" s="60"/>
    </row>
    <row r="1148" spans="13:13">
      <c r="M1148" s="60"/>
    </row>
    <row r="1149" spans="13:13">
      <c r="M1149" s="60"/>
    </row>
    <row r="1150" spans="13:13">
      <c r="M1150" s="60"/>
    </row>
    <row r="1151" spans="13:13">
      <c r="M1151" s="60"/>
    </row>
    <row r="1152" spans="13:13">
      <c r="M1152" s="60"/>
    </row>
    <row r="1153" spans="13:13">
      <c r="M1153" s="60"/>
    </row>
    <row r="1154" spans="13:13">
      <c r="M1154" s="60"/>
    </row>
    <row r="1155" spans="13:13">
      <c r="M1155" s="60"/>
    </row>
    <row r="1156" spans="13:13">
      <c r="M1156" s="60"/>
    </row>
    <row r="1157" spans="13:13">
      <c r="M1157" s="60"/>
    </row>
    <row r="1158" spans="13:13">
      <c r="M1158" s="60"/>
    </row>
    <row r="1159" spans="13:13">
      <c r="M1159" s="60"/>
    </row>
    <row r="1160" spans="13:13">
      <c r="M1160" s="60"/>
    </row>
    <row r="1161" spans="13:13">
      <c r="M1161" s="60"/>
    </row>
    <row r="1162" spans="13:13">
      <c r="M1162" s="60"/>
    </row>
    <row r="1163" spans="13:13">
      <c r="M1163" s="60"/>
    </row>
    <row r="1164" spans="13:13">
      <c r="M1164" s="60"/>
    </row>
    <row r="1165" spans="13:13">
      <c r="M1165" s="60"/>
    </row>
    <row r="1166" spans="13:13">
      <c r="M1166" s="60"/>
    </row>
    <row r="1167" spans="13:13">
      <c r="M1167" s="60"/>
    </row>
    <row r="1168" spans="13:13">
      <c r="M1168" s="60"/>
    </row>
    <row r="1169" spans="13:13">
      <c r="M1169" s="60"/>
    </row>
    <row r="1170" spans="13:13">
      <c r="M1170" s="60"/>
    </row>
    <row r="1171" spans="13:13">
      <c r="M1171" s="60"/>
    </row>
    <row r="1172" spans="13:13">
      <c r="M1172" s="60"/>
    </row>
    <row r="1173" spans="13:13">
      <c r="M1173" s="60"/>
    </row>
    <row r="1174" spans="13:13">
      <c r="M1174" s="60"/>
    </row>
    <row r="1175" spans="13:13">
      <c r="M1175" s="60"/>
    </row>
    <row r="1176" spans="13:13">
      <c r="M1176" s="60"/>
    </row>
    <row r="1177" spans="13:13">
      <c r="M1177" s="60"/>
    </row>
    <row r="1178" spans="13:13">
      <c r="M1178" s="60"/>
    </row>
    <row r="1179" spans="13:13">
      <c r="M1179" s="60"/>
    </row>
    <row r="1180" spans="13:13">
      <c r="M1180" s="60"/>
    </row>
    <row r="1181" spans="13:13">
      <c r="M1181" s="60"/>
    </row>
    <row r="1182" spans="13:13">
      <c r="M1182" s="60"/>
    </row>
    <row r="1183" spans="13:13">
      <c r="M1183" s="60"/>
    </row>
    <row r="1184" spans="13:13">
      <c r="M1184" s="60"/>
    </row>
    <row r="1185" spans="13:13">
      <c r="M1185" s="60"/>
    </row>
    <row r="1186" spans="13:13">
      <c r="M1186" s="60"/>
    </row>
    <row r="1187" spans="13:13">
      <c r="M1187" s="60"/>
    </row>
    <row r="1188" spans="13:13">
      <c r="M1188" s="60"/>
    </row>
    <row r="1189" spans="13:13">
      <c r="M1189" s="60"/>
    </row>
    <row r="1190" spans="13:13">
      <c r="M1190" s="60"/>
    </row>
    <row r="1191" spans="13:13">
      <c r="M1191" s="60"/>
    </row>
    <row r="1192" spans="13:13">
      <c r="M1192" s="60"/>
    </row>
    <row r="1193" spans="13:13">
      <c r="M1193" s="60"/>
    </row>
    <row r="1194" spans="13:13">
      <c r="M1194" s="60"/>
    </row>
    <row r="1195" spans="13:13">
      <c r="M1195" s="60"/>
    </row>
    <row r="1196" spans="13:13">
      <c r="M1196" s="60"/>
    </row>
    <row r="1197" spans="13:13">
      <c r="M1197" s="60"/>
    </row>
    <row r="1198" spans="13:13">
      <c r="M1198" s="60"/>
    </row>
    <row r="1199" spans="13:13">
      <c r="M1199" s="60"/>
    </row>
    <row r="1200" spans="13:13">
      <c r="M1200" s="60"/>
    </row>
    <row r="1201" spans="13:13">
      <c r="M1201" s="60"/>
    </row>
    <row r="1202" spans="13:13">
      <c r="M1202" s="60"/>
    </row>
    <row r="1203" spans="13:13">
      <c r="M1203" s="60"/>
    </row>
    <row r="1204" spans="13:13">
      <c r="M1204" s="60"/>
    </row>
    <row r="1205" spans="13:13">
      <c r="M1205" s="60"/>
    </row>
    <row r="1206" spans="13:13">
      <c r="M1206" s="60"/>
    </row>
    <row r="1207" spans="13:13">
      <c r="M1207" s="60"/>
    </row>
    <row r="1208" spans="13:13">
      <c r="M1208" s="60"/>
    </row>
    <row r="1209" spans="13:13">
      <c r="M1209" s="60"/>
    </row>
    <row r="1210" spans="13:13">
      <c r="M1210" s="60"/>
    </row>
    <row r="1211" spans="13:13">
      <c r="M1211" s="60"/>
    </row>
    <row r="1212" spans="13:13">
      <c r="M1212" s="60"/>
    </row>
    <row r="1213" spans="13:13">
      <c r="M1213" s="60"/>
    </row>
    <row r="1214" spans="13:13">
      <c r="M1214" s="60"/>
    </row>
    <row r="1215" spans="13:13">
      <c r="M1215" s="60"/>
    </row>
    <row r="1216" spans="13:13">
      <c r="M1216" s="60"/>
    </row>
    <row r="1217" spans="13:13">
      <c r="M1217" s="60"/>
    </row>
    <row r="1218" spans="13:13">
      <c r="M1218" s="60"/>
    </row>
    <row r="1219" spans="13:13">
      <c r="M1219" s="60"/>
    </row>
    <row r="1220" spans="13:13">
      <c r="M1220" s="60"/>
    </row>
    <row r="1221" spans="13:13">
      <c r="M1221" s="60"/>
    </row>
    <row r="1222" spans="13:13">
      <c r="M1222" s="60"/>
    </row>
    <row r="1223" spans="13:13">
      <c r="M1223" s="60"/>
    </row>
    <row r="1224" spans="13:13">
      <c r="M1224" s="60"/>
    </row>
    <row r="1225" spans="13:13">
      <c r="M1225" s="60"/>
    </row>
    <row r="1226" spans="13:13">
      <c r="M1226" s="60"/>
    </row>
    <row r="1227" spans="13:13">
      <c r="M1227" s="60"/>
    </row>
    <row r="1228" spans="13:13">
      <c r="M1228" s="60"/>
    </row>
    <row r="1229" spans="13:13">
      <c r="M1229" s="60"/>
    </row>
    <row r="1230" spans="13:13">
      <c r="M1230" s="60"/>
    </row>
    <row r="1231" spans="13:13">
      <c r="M1231" s="60"/>
    </row>
    <row r="1232" spans="13:13">
      <c r="M1232" s="60"/>
    </row>
    <row r="1233" spans="13:13">
      <c r="M1233" s="60"/>
    </row>
    <row r="1234" spans="13:13">
      <c r="M1234" s="60"/>
    </row>
    <row r="1235" spans="13:13">
      <c r="M1235" s="60"/>
    </row>
    <row r="1236" spans="13:13">
      <c r="M1236" s="60"/>
    </row>
    <row r="1237" spans="13:13">
      <c r="M1237" s="60"/>
    </row>
    <row r="1238" spans="13:13">
      <c r="M1238" s="60"/>
    </row>
    <row r="1239" spans="13:13">
      <c r="M1239" s="60"/>
    </row>
    <row r="1240" spans="13:13">
      <c r="M1240" s="60"/>
    </row>
    <row r="1241" spans="13:13">
      <c r="M1241" s="60"/>
    </row>
    <row r="1242" spans="13:13">
      <c r="M1242" s="60"/>
    </row>
    <row r="1243" spans="13:13">
      <c r="M1243" s="60"/>
    </row>
    <row r="1244" spans="13:13">
      <c r="M1244" s="60"/>
    </row>
    <row r="1245" spans="13:13">
      <c r="M1245" s="60"/>
    </row>
    <row r="1246" spans="13:13">
      <c r="M1246" s="60"/>
    </row>
    <row r="1247" spans="13:13">
      <c r="M1247" s="60"/>
    </row>
    <row r="1248" spans="13:13">
      <c r="M1248" s="60"/>
    </row>
    <row r="1249" spans="13:13">
      <c r="M1249" s="60"/>
    </row>
    <row r="1250" spans="13:13">
      <c r="M1250" s="60"/>
    </row>
    <row r="1251" spans="13:13">
      <c r="M1251" s="60"/>
    </row>
    <row r="1252" spans="13:13">
      <c r="M1252" s="60"/>
    </row>
    <row r="1253" spans="13:13">
      <c r="M1253" s="60"/>
    </row>
    <row r="1254" spans="13:13">
      <c r="M1254" s="60"/>
    </row>
    <row r="1255" spans="13:13">
      <c r="M1255" s="60"/>
    </row>
    <row r="1256" spans="13:13">
      <c r="M1256" s="60"/>
    </row>
    <row r="1257" spans="13:13">
      <c r="M1257" s="60"/>
    </row>
    <row r="1258" spans="13:13">
      <c r="M1258" s="60"/>
    </row>
    <row r="1259" spans="13:13">
      <c r="M1259" s="60"/>
    </row>
    <row r="1260" spans="13:13">
      <c r="M1260" s="60"/>
    </row>
    <row r="1261" spans="13:13">
      <c r="M1261" s="60"/>
    </row>
    <row r="1262" spans="13:13">
      <c r="M1262" s="60"/>
    </row>
    <row r="1263" spans="13:13">
      <c r="M1263" s="60"/>
    </row>
    <row r="1264" spans="13:13">
      <c r="M1264" s="60"/>
    </row>
    <row r="1265" spans="13:13">
      <c r="M1265" s="60"/>
    </row>
    <row r="1266" spans="13:13">
      <c r="M1266" s="60"/>
    </row>
    <row r="1267" spans="13:13">
      <c r="M1267" s="60"/>
    </row>
    <row r="1268" spans="13:13">
      <c r="M1268" s="60"/>
    </row>
    <row r="1269" spans="13:13">
      <c r="M1269" s="60"/>
    </row>
    <row r="1270" spans="13:13">
      <c r="M1270" s="60"/>
    </row>
    <row r="1271" spans="13:13">
      <c r="M1271" s="60"/>
    </row>
    <row r="1272" spans="13:13">
      <c r="M1272" s="60"/>
    </row>
    <row r="1273" spans="13:13">
      <c r="M1273" s="60"/>
    </row>
    <row r="1274" spans="13:13">
      <c r="M1274" s="60"/>
    </row>
    <row r="1275" spans="13:13">
      <c r="M1275" s="60"/>
    </row>
    <row r="1276" spans="13:13">
      <c r="M1276" s="60"/>
    </row>
    <row r="1277" spans="13:13">
      <c r="M1277" s="60"/>
    </row>
    <row r="1278" spans="13:13">
      <c r="M1278" s="60"/>
    </row>
    <row r="1279" spans="13:13">
      <c r="M1279" s="60"/>
    </row>
    <row r="1280" spans="13:13">
      <c r="M1280" s="60"/>
    </row>
    <row r="1281" spans="13:13">
      <c r="M1281" s="60"/>
    </row>
    <row r="1282" spans="13:13">
      <c r="M1282" s="60"/>
    </row>
    <row r="1283" spans="13:13">
      <c r="M1283" s="60"/>
    </row>
    <row r="1284" spans="13:13">
      <c r="M1284" s="60"/>
    </row>
    <row r="1285" spans="13:13">
      <c r="M1285" s="60"/>
    </row>
    <row r="1286" spans="13:13">
      <c r="M1286" s="60"/>
    </row>
    <row r="1287" spans="13:13">
      <c r="M1287" s="60"/>
    </row>
    <row r="1288" spans="13:13">
      <c r="M1288" s="60"/>
    </row>
    <row r="1289" spans="13:13">
      <c r="M1289" s="60"/>
    </row>
    <row r="1290" spans="13:13">
      <c r="M1290" s="60"/>
    </row>
    <row r="1291" spans="13:13">
      <c r="M1291" s="60"/>
    </row>
    <row r="1292" spans="13:13">
      <c r="M1292" s="60"/>
    </row>
    <row r="1293" spans="13:13">
      <c r="M1293" s="60"/>
    </row>
    <row r="1294" spans="13:13">
      <c r="M1294" s="60"/>
    </row>
    <row r="1295" spans="13:13">
      <c r="M1295" s="60"/>
    </row>
    <row r="1296" spans="13:13">
      <c r="M1296" s="60"/>
    </row>
    <row r="1297" spans="13:13">
      <c r="M1297" s="60"/>
    </row>
    <row r="1298" spans="13:13">
      <c r="M1298" s="60"/>
    </row>
    <row r="1299" spans="13:13">
      <c r="M1299" s="60"/>
    </row>
    <row r="1300" spans="13:13">
      <c r="M1300" s="60"/>
    </row>
    <row r="1301" spans="13:13">
      <c r="M1301" s="60"/>
    </row>
    <row r="1302" spans="13:13">
      <c r="M1302" s="60"/>
    </row>
    <row r="1303" spans="13:13">
      <c r="M1303" s="60"/>
    </row>
    <row r="1304" spans="13:13">
      <c r="M1304" s="60"/>
    </row>
    <row r="1305" spans="13:13">
      <c r="M1305" s="60"/>
    </row>
    <row r="1306" spans="13:13">
      <c r="M1306" s="60"/>
    </row>
    <row r="1307" spans="13:13">
      <c r="M1307" s="60"/>
    </row>
    <row r="1308" spans="13:13">
      <c r="M1308" s="60"/>
    </row>
    <row r="1309" spans="13:13">
      <c r="M1309" s="60"/>
    </row>
    <row r="1310" spans="13:13">
      <c r="M1310" s="60"/>
    </row>
    <row r="1311" spans="13:13">
      <c r="M1311" s="60"/>
    </row>
    <row r="1312" spans="13:13">
      <c r="M1312" s="60"/>
    </row>
    <row r="1313" spans="13:13">
      <c r="M1313" s="60"/>
    </row>
    <row r="1314" spans="13:13">
      <c r="M1314" s="60"/>
    </row>
    <row r="1315" spans="13:13">
      <c r="M1315" s="60"/>
    </row>
    <row r="1316" spans="13:13">
      <c r="M1316" s="60"/>
    </row>
    <row r="1317" spans="13:13">
      <c r="M1317" s="60"/>
    </row>
    <row r="1318" spans="13:13">
      <c r="M1318" s="60"/>
    </row>
    <row r="1319" spans="13:13">
      <c r="M1319" s="60"/>
    </row>
    <row r="1320" spans="13:13">
      <c r="M1320" s="60"/>
    </row>
    <row r="1321" spans="13:13">
      <c r="M1321" s="60"/>
    </row>
    <row r="1322" spans="13:13">
      <c r="M1322" s="60"/>
    </row>
    <row r="1323" spans="13:13">
      <c r="M1323" s="60"/>
    </row>
    <row r="1324" spans="13:13">
      <c r="M1324" s="60"/>
    </row>
    <row r="1325" spans="13:13">
      <c r="M1325" s="60"/>
    </row>
    <row r="1326" spans="13:13">
      <c r="M1326" s="60"/>
    </row>
    <row r="1327" spans="13:13">
      <c r="M1327" s="60"/>
    </row>
    <row r="1328" spans="13:13">
      <c r="M1328" s="60"/>
    </row>
    <row r="1329" spans="13:13">
      <c r="M1329" s="60"/>
    </row>
    <row r="1330" spans="13:13">
      <c r="M1330" s="60"/>
    </row>
    <row r="1331" spans="13:13">
      <c r="M1331" s="60"/>
    </row>
    <row r="1332" spans="13:13">
      <c r="M1332" s="60"/>
    </row>
    <row r="1333" spans="13:13">
      <c r="M1333" s="60"/>
    </row>
    <row r="1334" spans="13:13">
      <c r="M1334" s="60"/>
    </row>
    <row r="1335" spans="13:13">
      <c r="M1335" s="60"/>
    </row>
    <row r="1336" spans="13:13">
      <c r="M1336" s="60"/>
    </row>
    <row r="1337" spans="13:13">
      <c r="M1337" s="60"/>
    </row>
    <row r="1338" spans="13:13">
      <c r="M1338" s="60"/>
    </row>
    <row r="1339" spans="13:13">
      <c r="M1339" s="60"/>
    </row>
    <row r="1340" spans="13:13">
      <c r="M1340" s="60"/>
    </row>
    <row r="1341" spans="13:13">
      <c r="M1341" s="60"/>
    </row>
    <row r="1342" spans="13:13">
      <c r="M1342" s="60"/>
    </row>
    <row r="1343" spans="13:13">
      <c r="M1343" s="60"/>
    </row>
    <row r="1344" spans="13:13">
      <c r="M1344" s="60"/>
    </row>
    <row r="1345" spans="13:13">
      <c r="M1345" s="60"/>
    </row>
    <row r="1346" spans="13:13">
      <c r="M1346" s="60"/>
    </row>
    <row r="1347" spans="13:13">
      <c r="M1347" s="60"/>
    </row>
    <row r="1348" spans="13:13">
      <c r="M1348" s="60"/>
    </row>
    <row r="1349" spans="13:13">
      <c r="M1349" s="60"/>
    </row>
    <row r="1350" spans="13:13">
      <c r="M1350" s="60"/>
    </row>
    <row r="1351" spans="13:13">
      <c r="M1351" s="60"/>
    </row>
    <row r="1352" spans="13:13">
      <c r="M1352" s="60"/>
    </row>
    <row r="1353" spans="13:13">
      <c r="M1353" s="60"/>
    </row>
    <row r="1354" spans="13:13">
      <c r="M1354" s="60"/>
    </row>
    <row r="1355" spans="13:13">
      <c r="M1355" s="60"/>
    </row>
    <row r="1356" spans="13:13">
      <c r="M1356" s="60"/>
    </row>
    <row r="1357" spans="13:13">
      <c r="M1357" s="60"/>
    </row>
    <row r="1358" spans="13:13">
      <c r="M1358" s="60"/>
    </row>
    <row r="1359" spans="13:13">
      <c r="M1359" s="60"/>
    </row>
    <row r="1360" spans="13:13">
      <c r="M1360" s="60"/>
    </row>
    <row r="1361" spans="13:13">
      <c r="M1361" s="60"/>
    </row>
    <row r="1362" spans="13:13">
      <c r="M1362" s="60"/>
    </row>
    <row r="1363" spans="13:13">
      <c r="M1363" s="60"/>
    </row>
    <row r="1364" spans="13:13">
      <c r="M1364" s="60"/>
    </row>
    <row r="1365" spans="13:13">
      <c r="M1365" s="60"/>
    </row>
    <row r="1366" spans="13:13">
      <c r="M1366" s="60"/>
    </row>
    <row r="1367" spans="13:13">
      <c r="M1367" s="60"/>
    </row>
    <row r="1368" spans="13:13">
      <c r="M1368" s="60"/>
    </row>
    <row r="1369" spans="13:13">
      <c r="M1369" s="60"/>
    </row>
    <row r="1370" spans="13:13">
      <c r="M1370" s="60"/>
    </row>
    <row r="1371" spans="13:13">
      <c r="M1371" s="60"/>
    </row>
    <row r="1372" spans="13:13">
      <c r="M1372" s="60"/>
    </row>
    <row r="1373" spans="13:13">
      <c r="M1373" s="60"/>
    </row>
    <row r="1374" spans="13:13">
      <c r="M1374" s="60"/>
    </row>
    <row r="1375" spans="13:13">
      <c r="M1375" s="60"/>
    </row>
    <row r="1376" spans="13:13">
      <c r="M1376" s="60"/>
    </row>
    <row r="1377" spans="13:13">
      <c r="M1377" s="60"/>
    </row>
    <row r="1378" spans="13:13">
      <c r="M1378" s="60"/>
    </row>
    <row r="1379" spans="13:13">
      <c r="M1379" s="60"/>
    </row>
    <row r="1380" spans="13:13">
      <c r="M1380" s="60"/>
    </row>
    <row r="1381" spans="13:13">
      <c r="M1381" s="60"/>
    </row>
    <row r="1382" spans="13:13">
      <c r="M1382" s="60"/>
    </row>
    <row r="1383" spans="13:13">
      <c r="M1383" s="60"/>
    </row>
    <row r="1384" spans="13:13">
      <c r="M1384" s="60"/>
    </row>
    <row r="1385" spans="13:13">
      <c r="M1385" s="60"/>
    </row>
    <row r="1386" spans="13:13">
      <c r="M1386" s="60"/>
    </row>
    <row r="1387" spans="13:13">
      <c r="M1387" s="60"/>
    </row>
    <row r="1388" spans="13:13">
      <c r="M1388" s="60"/>
    </row>
    <row r="1389" spans="13:13">
      <c r="M1389" s="60"/>
    </row>
    <row r="1390" spans="13:13">
      <c r="M1390" s="60"/>
    </row>
    <row r="1391" spans="13:13">
      <c r="M1391" s="60"/>
    </row>
    <row r="1392" spans="13:13">
      <c r="M1392" s="60"/>
    </row>
    <row r="1393" spans="13:13">
      <c r="M1393" s="60"/>
    </row>
    <row r="1394" spans="13:13">
      <c r="M1394" s="60"/>
    </row>
    <row r="1395" spans="13:13">
      <c r="M1395" s="60"/>
    </row>
    <row r="1396" spans="13:13">
      <c r="M1396" s="60"/>
    </row>
    <row r="1397" spans="13:13">
      <c r="M1397" s="60"/>
    </row>
    <row r="1398" spans="13:13">
      <c r="M1398" s="60"/>
    </row>
    <row r="1399" spans="13:13">
      <c r="M1399" s="60"/>
    </row>
    <row r="1400" spans="13:13">
      <c r="M1400" s="60"/>
    </row>
    <row r="1401" spans="13:13">
      <c r="M1401" s="60"/>
    </row>
    <row r="1402" spans="13:13">
      <c r="M1402" s="60"/>
    </row>
    <row r="1403" spans="13:13">
      <c r="M1403" s="60"/>
    </row>
    <row r="1404" spans="13:13">
      <c r="M1404" s="60"/>
    </row>
    <row r="1405" spans="13:13">
      <c r="M1405" s="60"/>
    </row>
    <row r="1406" spans="13:13">
      <c r="M1406" s="60"/>
    </row>
    <row r="1407" spans="13:13">
      <c r="M1407" s="60"/>
    </row>
    <row r="1408" spans="13:13">
      <c r="M1408" s="60"/>
    </row>
    <row r="1409" spans="13:13">
      <c r="M1409" s="60"/>
    </row>
    <row r="1410" spans="13:13">
      <c r="M1410" s="60"/>
    </row>
    <row r="1411" spans="13:13">
      <c r="M1411" s="60"/>
    </row>
    <row r="1412" spans="13:13">
      <c r="M1412" s="60"/>
    </row>
    <row r="1413" spans="13:13">
      <c r="M1413" s="60"/>
    </row>
    <row r="1414" spans="13:13">
      <c r="M1414" s="60"/>
    </row>
    <row r="1415" spans="13:13">
      <c r="M1415" s="60"/>
    </row>
    <row r="1416" spans="13:13">
      <c r="M1416" s="60"/>
    </row>
    <row r="1417" spans="13:13">
      <c r="M1417" s="60"/>
    </row>
    <row r="1418" spans="13:13">
      <c r="M1418" s="60"/>
    </row>
    <row r="1419" spans="13:13">
      <c r="M1419" s="60"/>
    </row>
    <row r="1420" spans="13:13">
      <c r="M1420" s="60"/>
    </row>
    <row r="1421" spans="13:13">
      <c r="M1421" s="60"/>
    </row>
    <row r="1422" spans="13:13">
      <c r="M1422" s="60"/>
    </row>
    <row r="1423" spans="13:13">
      <c r="M1423" s="60"/>
    </row>
    <row r="1424" spans="13:13">
      <c r="M1424" s="60"/>
    </row>
    <row r="1425" spans="13:13">
      <c r="M1425" s="60"/>
    </row>
    <row r="1426" spans="13:13">
      <c r="M1426" s="60"/>
    </row>
    <row r="1427" spans="13:13">
      <c r="M1427" s="60"/>
    </row>
    <row r="1428" spans="13:13">
      <c r="M1428" s="60"/>
    </row>
    <row r="1429" spans="13:13">
      <c r="M1429" s="60"/>
    </row>
    <row r="1430" spans="13:13">
      <c r="M1430" s="60"/>
    </row>
    <row r="1431" spans="13:13">
      <c r="M1431" s="60"/>
    </row>
    <row r="1432" spans="13:13">
      <c r="M1432" s="60"/>
    </row>
    <row r="1433" spans="13:13">
      <c r="M1433" s="60"/>
    </row>
    <row r="1434" spans="13:13">
      <c r="M1434" s="60"/>
    </row>
    <row r="1435" spans="13:13">
      <c r="M1435" s="60"/>
    </row>
    <row r="1436" spans="13:13">
      <c r="M1436" s="60"/>
    </row>
    <row r="1437" spans="13:13">
      <c r="M1437" s="60"/>
    </row>
    <row r="1438" spans="13:13">
      <c r="M1438" s="60"/>
    </row>
    <row r="1439" spans="13:13">
      <c r="M1439" s="60"/>
    </row>
    <row r="1440" spans="13:13">
      <c r="M1440" s="60"/>
    </row>
    <row r="1441" spans="13:13">
      <c r="M1441" s="60"/>
    </row>
    <row r="1442" spans="13:13">
      <c r="M1442" s="60"/>
    </row>
    <row r="1443" spans="13:13">
      <c r="M1443" s="60"/>
    </row>
    <row r="1444" spans="13:13">
      <c r="M1444" s="60"/>
    </row>
    <row r="1445" spans="13:13">
      <c r="M1445" s="60"/>
    </row>
    <row r="1446" spans="13:13">
      <c r="M1446" s="60"/>
    </row>
    <row r="1447" spans="13:13">
      <c r="M1447" s="60"/>
    </row>
    <row r="1448" spans="13:13">
      <c r="M1448" s="60"/>
    </row>
    <row r="1449" spans="13:13">
      <c r="M1449" s="60"/>
    </row>
    <row r="1450" spans="13:13">
      <c r="M1450" s="60"/>
    </row>
    <row r="1451" spans="13:13">
      <c r="M1451" s="60"/>
    </row>
    <row r="1452" spans="13:13">
      <c r="M1452" s="60"/>
    </row>
    <row r="1453" spans="13:13">
      <c r="M1453" s="60"/>
    </row>
    <row r="1454" spans="13:13">
      <c r="M1454" s="60"/>
    </row>
    <row r="1455" spans="13:13">
      <c r="M1455" s="60"/>
    </row>
    <row r="1456" spans="13:13">
      <c r="M1456" s="60"/>
    </row>
    <row r="1457" spans="13:13">
      <c r="M1457" s="60"/>
    </row>
    <row r="1458" spans="13:13">
      <c r="M1458" s="60"/>
    </row>
    <row r="1459" spans="13:13">
      <c r="M1459" s="60"/>
    </row>
    <row r="1460" spans="13:13">
      <c r="M1460" s="60"/>
    </row>
    <row r="1461" spans="13:13">
      <c r="M1461" s="60"/>
    </row>
    <row r="1462" spans="13:13">
      <c r="M1462" s="60"/>
    </row>
    <row r="1463" spans="13:13">
      <c r="M1463" s="60"/>
    </row>
    <row r="1464" spans="13:13">
      <c r="M1464" s="60"/>
    </row>
    <row r="1465" spans="13:13">
      <c r="M1465" s="60"/>
    </row>
    <row r="1466" spans="13:13">
      <c r="M1466" s="60"/>
    </row>
    <row r="1467" spans="13:13">
      <c r="M1467" s="60"/>
    </row>
    <row r="1468" spans="13:13">
      <c r="M1468" s="60"/>
    </row>
    <row r="1469" spans="13:13">
      <c r="M1469" s="60"/>
    </row>
    <row r="1470" spans="13:13">
      <c r="M1470" s="60"/>
    </row>
    <row r="1471" spans="13:13">
      <c r="M1471" s="60"/>
    </row>
    <row r="1472" spans="13:13">
      <c r="M1472" s="60"/>
    </row>
    <row r="1473" spans="13:13">
      <c r="M1473" s="60"/>
    </row>
    <row r="1474" spans="13:13">
      <c r="M1474" s="60"/>
    </row>
    <row r="1475" spans="13:13">
      <c r="M1475" s="60"/>
    </row>
    <row r="1476" spans="13:13">
      <c r="M1476" s="60"/>
    </row>
    <row r="1477" spans="13:13">
      <c r="M1477" s="60"/>
    </row>
    <row r="1478" spans="13:13">
      <c r="M1478" s="60"/>
    </row>
    <row r="1479" spans="13:13">
      <c r="M1479" s="60"/>
    </row>
    <row r="1480" spans="13:13">
      <c r="M1480" s="60"/>
    </row>
    <row r="1481" spans="13:13">
      <c r="M1481" s="60"/>
    </row>
    <row r="1482" spans="13:13">
      <c r="M1482" s="60"/>
    </row>
    <row r="1483" spans="13:13">
      <c r="M1483" s="60"/>
    </row>
    <row r="1484" spans="13:13">
      <c r="M1484" s="60"/>
    </row>
    <row r="1485" spans="13:13">
      <c r="M1485" s="60"/>
    </row>
    <row r="1486" spans="13:13">
      <c r="M1486" s="60"/>
    </row>
    <row r="1487" spans="13:13">
      <c r="M1487" s="60"/>
    </row>
    <row r="1488" spans="13:13">
      <c r="M1488" s="60"/>
    </row>
    <row r="1489" spans="13:13">
      <c r="M1489" s="60"/>
    </row>
    <row r="1490" spans="13:13">
      <c r="M1490" s="60"/>
    </row>
    <row r="1491" spans="13:13">
      <c r="M1491" s="60"/>
    </row>
    <row r="1492" spans="13:13">
      <c r="M1492" s="60"/>
    </row>
    <row r="1493" spans="13:13">
      <c r="M1493" s="60"/>
    </row>
    <row r="1494" spans="13:13">
      <c r="M1494" s="60"/>
    </row>
    <row r="1495" spans="13:13">
      <c r="M1495" s="60"/>
    </row>
    <row r="1496" spans="13:13">
      <c r="M1496" s="60"/>
    </row>
    <row r="1497" spans="13:13">
      <c r="M1497" s="60"/>
    </row>
    <row r="1498" spans="13:13">
      <c r="M1498" s="60"/>
    </row>
    <row r="1499" spans="13:13">
      <c r="M1499" s="60"/>
    </row>
    <row r="1500" spans="13:13">
      <c r="M1500" s="60"/>
    </row>
    <row r="1501" spans="13:13">
      <c r="M1501" s="60"/>
    </row>
    <row r="1502" spans="13:13">
      <c r="M1502" s="60"/>
    </row>
    <row r="1503" spans="13:13">
      <c r="M1503" s="60"/>
    </row>
    <row r="1504" spans="13:13">
      <c r="M1504" s="60"/>
    </row>
    <row r="1505" spans="13:13">
      <c r="M1505" s="60"/>
    </row>
    <row r="1506" spans="13:13">
      <c r="M1506" s="60"/>
    </row>
    <row r="1507" spans="13:13">
      <c r="M1507" s="60"/>
    </row>
    <row r="1508" spans="13:13">
      <c r="M1508" s="60"/>
    </row>
    <row r="1509" spans="13:13">
      <c r="M1509" s="60"/>
    </row>
    <row r="1510" spans="13:13">
      <c r="M1510" s="60"/>
    </row>
    <row r="1511" spans="13:13">
      <c r="M1511" s="60"/>
    </row>
    <row r="1512" spans="13:13">
      <c r="M1512" s="60"/>
    </row>
    <row r="1513" spans="13:13">
      <c r="M1513" s="60"/>
    </row>
    <row r="1514" spans="13:13">
      <c r="M1514" s="60"/>
    </row>
    <row r="1515" spans="13:13">
      <c r="M1515" s="60"/>
    </row>
    <row r="1516" spans="13:13">
      <c r="M1516" s="60"/>
    </row>
    <row r="1517" spans="13:13">
      <c r="M1517" s="60"/>
    </row>
    <row r="1518" spans="13:13">
      <c r="M1518" s="60"/>
    </row>
    <row r="1519" spans="13:13">
      <c r="M1519" s="60"/>
    </row>
    <row r="1520" spans="13:13">
      <c r="M1520" s="60"/>
    </row>
    <row r="1521" spans="13:13">
      <c r="M1521" s="60"/>
    </row>
    <row r="1522" spans="13:13">
      <c r="M1522" s="60"/>
    </row>
    <row r="1523" spans="13:13">
      <c r="M1523" s="60"/>
    </row>
    <row r="1524" spans="13:13">
      <c r="M1524" s="60"/>
    </row>
    <row r="1525" spans="13:13">
      <c r="M1525" s="60"/>
    </row>
    <row r="1526" spans="13:13">
      <c r="M1526" s="60"/>
    </row>
    <row r="1527" spans="13:13">
      <c r="M1527" s="60"/>
    </row>
    <row r="1528" spans="13:13">
      <c r="M1528" s="60"/>
    </row>
    <row r="1529" spans="13:13">
      <c r="M1529" s="60"/>
    </row>
    <row r="1530" spans="13:13">
      <c r="M1530" s="60"/>
    </row>
    <row r="1531" spans="13:13">
      <c r="M1531" s="60"/>
    </row>
    <row r="1532" spans="13:13">
      <c r="M1532" s="60"/>
    </row>
    <row r="1533" spans="13:13">
      <c r="M1533" s="60"/>
    </row>
    <row r="1534" spans="13:13">
      <c r="M1534" s="60"/>
    </row>
    <row r="1535" spans="13:13">
      <c r="M1535" s="60"/>
    </row>
    <row r="1536" spans="13:13">
      <c r="M1536" s="60"/>
    </row>
    <row r="1537" spans="13:13">
      <c r="M1537" s="60"/>
    </row>
    <row r="1538" spans="13:13">
      <c r="M1538" s="60"/>
    </row>
    <row r="1539" spans="13:13">
      <c r="M1539" s="60"/>
    </row>
    <row r="1540" spans="13:13">
      <c r="M1540" s="60"/>
    </row>
    <row r="1541" spans="13:13">
      <c r="M1541" s="60"/>
    </row>
    <row r="1542" spans="13:13">
      <c r="M1542" s="60"/>
    </row>
    <row r="1543" spans="13:13">
      <c r="M1543" s="60"/>
    </row>
    <row r="1544" spans="13:13">
      <c r="M1544" s="60"/>
    </row>
    <row r="1545" spans="13:13">
      <c r="M1545" s="60"/>
    </row>
    <row r="1546" spans="13:13">
      <c r="M1546" s="60"/>
    </row>
    <row r="1547" spans="13:13">
      <c r="M1547" s="60"/>
    </row>
    <row r="1548" spans="13:13">
      <c r="M1548" s="60"/>
    </row>
    <row r="1549" spans="13:13">
      <c r="M1549" s="60"/>
    </row>
    <row r="1550" spans="13:13">
      <c r="M1550" s="60"/>
    </row>
    <row r="1551" spans="13:13">
      <c r="M1551" s="60"/>
    </row>
    <row r="1552" spans="13:13">
      <c r="M1552" s="60"/>
    </row>
    <row r="1553" spans="13:13">
      <c r="M1553" s="60"/>
    </row>
    <row r="1554" spans="13:13">
      <c r="M1554" s="60"/>
    </row>
    <row r="1555" spans="13:13">
      <c r="M1555" s="60"/>
    </row>
    <row r="1556" spans="13:13">
      <c r="M1556" s="60"/>
    </row>
    <row r="1557" spans="13:13">
      <c r="M1557" s="60"/>
    </row>
    <row r="1558" spans="13:13">
      <c r="M1558" s="60"/>
    </row>
    <row r="1559" spans="13:13">
      <c r="M1559" s="60"/>
    </row>
    <row r="1560" spans="13:13">
      <c r="M1560" s="60"/>
    </row>
    <row r="1561" spans="13:13">
      <c r="M1561" s="60"/>
    </row>
    <row r="1562" spans="13:13">
      <c r="M1562" s="60"/>
    </row>
    <row r="1563" spans="13:13">
      <c r="M1563" s="60"/>
    </row>
    <row r="1564" spans="13:13">
      <c r="M1564" s="60"/>
    </row>
    <row r="1565" spans="13:13">
      <c r="M1565" s="60"/>
    </row>
    <row r="1566" spans="13:13">
      <c r="M1566" s="60"/>
    </row>
    <row r="1567" spans="13:13">
      <c r="M1567" s="60"/>
    </row>
    <row r="1568" spans="13:13">
      <c r="M1568" s="60"/>
    </row>
    <row r="1569" spans="13:13">
      <c r="M1569" s="60"/>
    </row>
    <row r="1570" spans="13:13">
      <c r="M1570" s="60"/>
    </row>
    <row r="1571" spans="13:13">
      <c r="M1571" s="60"/>
    </row>
    <row r="1572" spans="13:13">
      <c r="M1572" s="60"/>
    </row>
    <row r="1573" spans="13:13">
      <c r="M1573" s="60"/>
    </row>
    <row r="1574" spans="13:13">
      <c r="M1574" s="60"/>
    </row>
    <row r="1575" spans="13:13">
      <c r="M1575" s="60"/>
    </row>
    <row r="1576" spans="13:13">
      <c r="M1576" s="60"/>
    </row>
    <row r="1577" spans="13:13">
      <c r="M1577" s="60"/>
    </row>
    <row r="1578" spans="13:13">
      <c r="M1578" s="60"/>
    </row>
    <row r="1579" spans="13:13">
      <c r="M1579" s="60"/>
    </row>
    <row r="1580" spans="13:13">
      <c r="M1580" s="60"/>
    </row>
    <row r="1581" spans="13:13">
      <c r="M1581" s="60"/>
    </row>
    <row r="1582" spans="13:13">
      <c r="M1582" s="60"/>
    </row>
    <row r="1583" spans="13:13">
      <c r="M1583" s="60"/>
    </row>
    <row r="1584" spans="13:13">
      <c r="M1584" s="60"/>
    </row>
    <row r="1585" spans="13:13">
      <c r="M1585" s="60"/>
    </row>
    <row r="1586" spans="13:13">
      <c r="M1586" s="60"/>
    </row>
    <row r="1587" spans="13:13">
      <c r="M1587" s="60"/>
    </row>
    <row r="1588" spans="13:13">
      <c r="M1588" s="60"/>
    </row>
    <row r="1589" spans="13:13">
      <c r="M1589" s="60"/>
    </row>
    <row r="1590" spans="13:13">
      <c r="M1590" s="60"/>
    </row>
    <row r="1591" spans="13:13">
      <c r="M1591" s="60"/>
    </row>
    <row r="1592" spans="13:13">
      <c r="M1592" s="60"/>
    </row>
    <row r="1593" spans="13:13">
      <c r="M1593" s="60"/>
    </row>
    <row r="1594" spans="13:13">
      <c r="M1594" s="60"/>
    </row>
    <row r="1595" spans="13:13">
      <c r="M1595" s="60"/>
    </row>
    <row r="1596" spans="13:13">
      <c r="M1596" s="60"/>
    </row>
    <row r="1597" spans="13:13">
      <c r="M1597" s="60"/>
    </row>
    <row r="1598" spans="13:13">
      <c r="M1598" s="60"/>
    </row>
    <row r="1599" spans="13:13">
      <c r="M1599" s="60"/>
    </row>
    <row r="1600" spans="13:13">
      <c r="M1600" s="60"/>
    </row>
    <row r="1601" spans="13:13">
      <c r="M1601" s="60"/>
    </row>
    <row r="1602" spans="13:13">
      <c r="M1602" s="60"/>
    </row>
    <row r="1603" spans="13:13">
      <c r="M1603" s="60"/>
    </row>
    <row r="1604" spans="13:13">
      <c r="M1604" s="60"/>
    </row>
    <row r="1605" spans="13:13">
      <c r="M1605" s="60"/>
    </row>
    <row r="1606" spans="13:13">
      <c r="M1606" s="60"/>
    </row>
    <row r="1607" spans="13:13">
      <c r="M1607" s="60"/>
    </row>
    <row r="1608" spans="13:13">
      <c r="M1608" s="60"/>
    </row>
    <row r="1609" spans="13:13">
      <c r="M1609" s="60"/>
    </row>
    <row r="1610" spans="13:13">
      <c r="M1610" s="60"/>
    </row>
    <row r="1611" spans="13:13">
      <c r="M1611" s="60"/>
    </row>
    <row r="1612" spans="13:13">
      <c r="M1612" s="60"/>
    </row>
    <row r="1613" spans="13:13">
      <c r="M1613" s="60"/>
    </row>
    <row r="1614" spans="13:13">
      <c r="M1614" s="60"/>
    </row>
    <row r="1615" spans="13:13">
      <c r="M1615" s="60"/>
    </row>
    <row r="1616" spans="13:13">
      <c r="M1616" s="60"/>
    </row>
    <row r="1617" spans="13:13">
      <c r="M1617" s="60"/>
    </row>
    <row r="1618" spans="13:13">
      <c r="M1618" s="60"/>
    </row>
    <row r="1619" spans="13:13">
      <c r="M1619" s="60"/>
    </row>
    <row r="1620" spans="13:13">
      <c r="M1620" s="60"/>
    </row>
    <row r="1621" spans="13:13">
      <c r="M1621" s="60"/>
    </row>
    <row r="1622" spans="13:13">
      <c r="M1622" s="60"/>
    </row>
    <row r="1623" spans="13:13">
      <c r="M1623" s="60"/>
    </row>
    <row r="1624" spans="13:13">
      <c r="M1624" s="60"/>
    </row>
    <row r="1625" spans="13:13">
      <c r="M1625" s="60"/>
    </row>
    <row r="1626" spans="13:13">
      <c r="M1626" s="60"/>
    </row>
    <row r="1627" spans="13:13">
      <c r="M1627" s="60"/>
    </row>
    <row r="1628" spans="13:13">
      <c r="M1628" s="60"/>
    </row>
    <row r="1629" spans="13:13">
      <c r="M1629" s="60"/>
    </row>
    <row r="1630" spans="13:13">
      <c r="M1630" s="60"/>
    </row>
    <row r="1631" spans="13:13">
      <c r="M1631" s="60"/>
    </row>
    <row r="1632" spans="13:13">
      <c r="M1632" s="60"/>
    </row>
    <row r="1633" spans="13:13">
      <c r="M1633" s="60"/>
    </row>
    <row r="1634" spans="13:13">
      <c r="M1634" s="60"/>
    </row>
    <row r="1635" spans="13:13">
      <c r="M1635" s="60"/>
    </row>
    <row r="1636" spans="13:13">
      <c r="M1636" s="60"/>
    </row>
    <row r="1637" spans="13:13">
      <c r="M1637" s="60"/>
    </row>
    <row r="1638" spans="13:13">
      <c r="M1638" s="60"/>
    </row>
    <row r="1639" spans="13:13">
      <c r="M1639" s="60"/>
    </row>
    <row r="1640" spans="13:13">
      <c r="M1640" s="60"/>
    </row>
    <row r="1641" spans="13:13">
      <c r="M1641" s="60"/>
    </row>
    <row r="1642" spans="13:13">
      <c r="M1642" s="60"/>
    </row>
    <row r="1643" spans="13:13">
      <c r="M1643" s="60"/>
    </row>
    <row r="1644" spans="13:13">
      <c r="M1644" s="60"/>
    </row>
    <row r="1645" spans="13:13">
      <c r="M1645" s="60"/>
    </row>
    <row r="1646" spans="13:13">
      <c r="M1646" s="60"/>
    </row>
    <row r="1647" spans="13:13">
      <c r="M1647" s="60"/>
    </row>
    <row r="1648" spans="13:13">
      <c r="M1648" s="60"/>
    </row>
    <row r="1649" spans="13:13">
      <c r="M1649" s="60"/>
    </row>
    <row r="1650" spans="13:13">
      <c r="M1650" s="60"/>
    </row>
    <row r="1651" spans="13:13">
      <c r="M1651" s="60"/>
    </row>
    <row r="1652" spans="13:13">
      <c r="M1652" s="60"/>
    </row>
    <row r="1653" spans="13:13">
      <c r="M1653" s="60"/>
    </row>
    <row r="1654" spans="13:13">
      <c r="M1654" s="60"/>
    </row>
    <row r="1655" spans="13:13">
      <c r="M1655" s="60"/>
    </row>
    <row r="1656" spans="13:13">
      <c r="M1656" s="60"/>
    </row>
    <row r="1657" spans="13:13">
      <c r="M1657" s="60"/>
    </row>
    <row r="1658" spans="13:13">
      <c r="M1658" s="60"/>
    </row>
    <row r="1659" spans="13:13">
      <c r="M1659" s="60"/>
    </row>
    <row r="1660" spans="13:13">
      <c r="M1660" s="60"/>
    </row>
    <row r="1661" spans="13:13">
      <c r="M1661" s="60"/>
    </row>
    <row r="1662" spans="13:13">
      <c r="M1662" s="60"/>
    </row>
    <row r="1663" spans="13:13">
      <c r="M1663" s="60"/>
    </row>
    <row r="1664" spans="13:13">
      <c r="M1664" s="60"/>
    </row>
    <row r="1665" spans="13:13">
      <c r="M1665" s="60"/>
    </row>
    <row r="1666" spans="13:13">
      <c r="M1666" s="60"/>
    </row>
    <row r="1667" spans="13:13">
      <c r="M1667" s="60"/>
    </row>
    <row r="1668" spans="13:13">
      <c r="M1668" s="60"/>
    </row>
    <row r="1669" spans="13:13">
      <c r="M1669" s="60"/>
    </row>
    <row r="1670" spans="13:13">
      <c r="M1670" s="60"/>
    </row>
    <row r="1671" spans="13:13">
      <c r="M1671" s="60"/>
    </row>
    <row r="1672" spans="13:13">
      <c r="M1672" s="60"/>
    </row>
    <row r="1673" spans="13:13">
      <c r="M1673" s="60"/>
    </row>
    <row r="1674" spans="13:13">
      <c r="M1674" s="60"/>
    </row>
    <row r="1675" spans="13:13">
      <c r="M1675" s="60"/>
    </row>
    <row r="1676" spans="13:13">
      <c r="M1676" s="60"/>
    </row>
    <row r="1677" spans="13:13">
      <c r="M1677" s="60"/>
    </row>
    <row r="1678" spans="13:13">
      <c r="M1678" s="60"/>
    </row>
    <row r="1679" spans="13:13">
      <c r="M1679" s="60"/>
    </row>
    <row r="1680" spans="13:13">
      <c r="M1680" s="60"/>
    </row>
    <row r="1681" spans="13:13">
      <c r="M1681" s="60"/>
    </row>
    <row r="1682" spans="13:13">
      <c r="M1682" s="60"/>
    </row>
    <row r="1683" spans="13:13">
      <c r="M1683" s="60"/>
    </row>
    <row r="1684" spans="13:13">
      <c r="M1684" s="60"/>
    </row>
    <row r="1685" spans="13:13">
      <c r="M1685" s="60"/>
    </row>
    <row r="1686" spans="13:13">
      <c r="M1686" s="60"/>
    </row>
    <row r="1687" spans="13:13">
      <c r="M1687" s="60"/>
    </row>
    <row r="1688" spans="13:13">
      <c r="M1688" s="60"/>
    </row>
    <row r="1689" spans="13:13">
      <c r="M1689" s="60"/>
    </row>
    <row r="1690" spans="13:13">
      <c r="M1690" s="60"/>
    </row>
    <row r="1691" spans="13:13">
      <c r="M1691" s="60"/>
    </row>
    <row r="1692" spans="13:13">
      <c r="M1692" s="60"/>
    </row>
    <row r="1693" spans="13:13">
      <c r="M1693" s="60"/>
    </row>
    <row r="1694" spans="13:13">
      <c r="M1694" s="60"/>
    </row>
    <row r="1695" spans="13:13">
      <c r="M1695" s="60"/>
    </row>
    <row r="1696" spans="13:13">
      <c r="M1696" s="60"/>
    </row>
    <row r="1697" spans="13:13">
      <c r="M1697" s="60"/>
    </row>
    <row r="1698" spans="13:13">
      <c r="M1698" s="60"/>
    </row>
    <row r="1699" spans="13:13">
      <c r="M1699" s="60"/>
    </row>
    <row r="1700" spans="13:13">
      <c r="M1700" s="60"/>
    </row>
    <row r="1701" spans="13:13">
      <c r="M1701" s="60"/>
    </row>
    <row r="1702" spans="13:13">
      <c r="M1702" s="60"/>
    </row>
    <row r="1703" spans="13:13">
      <c r="M1703" s="60"/>
    </row>
    <row r="1704" spans="13:13">
      <c r="M1704" s="60"/>
    </row>
    <row r="1705" spans="13:13">
      <c r="M1705" s="60"/>
    </row>
    <row r="1706" spans="13:13">
      <c r="M1706" s="60"/>
    </row>
    <row r="1707" spans="13:13">
      <c r="M1707" s="60"/>
    </row>
    <row r="1708" spans="13:13">
      <c r="M1708" s="60"/>
    </row>
    <row r="1709" spans="13:13">
      <c r="M1709" s="60"/>
    </row>
    <row r="1710" spans="13:13">
      <c r="M1710" s="60"/>
    </row>
    <row r="1711" spans="13:13">
      <c r="M1711" s="60"/>
    </row>
    <row r="1712" spans="13:13">
      <c r="M1712" s="60"/>
    </row>
    <row r="1713" spans="13:13">
      <c r="M1713" s="60"/>
    </row>
    <row r="1714" spans="13:13">
      <c r="M1714" s="60"/>
    </row>
    <row r="1715" spans="13:13">
      <c r="M1715" s="60"/>
    </row>
    <row r="1716" spans="13:13">
      <c r="M1716" s="60"/>
    </row>
    <row r="1717" spans="13:13">
      <c r="M1717" s="60"/>
    </row>
    <row r="1718" spans="13:13">
      <c r="M1718" s="60"/>
    </row>
    <row r="1719" spans="13:13">
      <c r="M1719" s="60"/>
    </row>
    <row r="1720" spans="13:13">
      <c r="M1720" s="60"/>
    </row>
    <row r="1721" spans="13:13">
      <c r="M1721" s="60"/>
    </row>
    <row r="1722" spans="13:13">
      <c r="M1722" s="60"/>
    </row>
    <row r="1723" spans="13:13">
      <c r="M1723" s="60"/>
    </row>
    <row r="1724" spans="13:13">
      <c r="M1724" s="60"/>
    </row>
    <row r="1725" spans="13:13">
      <c r="M1725" s="60"/>
    </row>
    <row r="1726" spans="13:13">
      <c r="M1726" s="60"/>
    </row>
    <row r="1727" spans="13:13">
      <c r="M1727" s="60"/>
    </row>
    <row r="1728" spans="13:13">
      <c r="M1728" s="60"/>
    </row>
    <row r="1729" spans="13:13">
      <c r="M1729" s="60"/>
    </row>
    <row r="1730" spans="13:13">
      <c r="M1730" s="60"/>
    </row>
    <row r="1731" spans="13:13">
      <c r="M1731" s="60"/>
    </row>
    <row r="1732" spans="13:13">
      <c r="M1732" s="60"/>
    </row>
    <row r="1733" spans="13:13">
      <c r="M1733" s="60"/>
    </row>
    <row r="1734" spans="13:13">
      <c r="M1734" s="60"/>
    </row>
    <row r="1735" spans="13:13">
      <c r="M1735" s="60"/>
    </row>
    <row r="1736" spans="13:13">
      <c r="M1736" s="60"/>
    </row>
    <row r="1737" spans="13:13">
      <c r="M1737" s="60"/>
    </row>
    <row r="1738" spans="13:13">
      <c r="M1738" s="60"/>
    </row>
    <row r="1739" spans="13:13">
      <c r="M1739" s="60"/>
    </row>
    <row r="1740" spans="13:13">
      <c r="M1740" s="60"/>
    </row>
    <row r="1741" spans="13:13">
      <c r="M1741" s="60"/>
    </row>
    <row r="1742" spans="13:13">
      <c r="M1742" s="60"/>
    </row>
    <row r="1743" spans="13:13">
      <c r="M1743" s="60"/>
    </row>
    <row r="1744" spans="13:13">
      <c r="M1744" s="60"/>
    </row>
    <row r="1745" spans="13:13">
      <c r="M1745" s="60"/>
    </row>
    <row r="1746" spans="13:13">
      <c r="M1746" s="60"/>
    </row>
    <row r="1747" spans="13:13">
      <c r="M1747" s="60"/>
    </row>
    <row r="1748" spans="13:13">
      <c r="M1748" s="60"/>
    </row>
    <row r="1749" spans="13:13">
      <c r="M1749" s="60"/>
    </row>
    <row r="1750" spans="13:13">
      <c r="M1750" s="60"/>
    </row>
    <row r="1751" spans="13:13">
      <c r="M1751" s="60"/>
    </row>
    <row r="1752" spans="13:13">
      <c r="M1752" s="60"/>
    </row>
    <row r="1753" spans="13:13">
      <c r="M1753" s="60"/>
    </row>
    <row r="1754" spans="13:13">
      <c r="M1754" s="60"/>
    </row>
    <row r="1755" spans="13:13">
      <c r="M1755" s="60"/>
    </row>
    <row r="1756" spans="13:13">
      <c r="M1756" s="60"/>
    </row>
    <row r="1757" spans="13:13">
      <c r="M1757" s="60"/>
    </row>
    <row r="1758" spans="13:13">
      <c r="M1758" s="60"/>
    </row>
    <row r="1759" spans="13:13">
      <c r="M1759" s="60"/>
    </row>
    <row r="1760" spans="13:13">
      <c r="M1760" s="60"/>
    </row>
    <row r="1761" spans="13:13">
      <c r="M1761" s="60"/>
    </row>
    <row r="1762" spans="13:13">
      <c r="M1762" s="60"/>
    </row>
    <row r="1763" spans="13:13">
      <c r="M1763" s="60"/>
    </row>
    <row r="1764" spans="13:13">
      <c r="M1764" s="60"/>
    </row>
    <row r="1765" spans="13:13">
      <c r="M1765" s="60"/>
    </row>
    <row r="1766" spans="13:13">
      <c r="M1766" s="60"/>
    </row>
    <row r="1767" spans="13:13">
      <c r="M1767" s="60"/>
    </row>
    <row r="1768" spans="13:13">
      <c r="M1768" s="60"/>
    </row>
    <row r="1769" spans="13:13">
      <c r="M1769" s="60"/>
    </row>
    <row r="1770" spans="13:13">
      <c r="M1770" s="60"/>
    </row>
    <row r="1771" spans="13:13">
      <c r="M1771" s="60"/>
    </row>
    <row r="1772" spans="13:13">
      <c r="M1772" s="60"/>
    </row>
    <row r="1773" spans="13:13">
      <c r="M1773" s="60"/>
    </row>
    <row r="1774" spans="13:13">
      <c r="M1774" s="60"/>
    </row>
    <row r="1775" spans="13:13">
      <c r="M1775" s="60"/>
    </row>
    <row r="1776" spans="13:13">
      <c r="M1776" s="60"/>
    </row>
    <row r="1777" spans="13:13">
      <c r="M1777" s="60"/>
    </row>
    <row r="1778" spans="13:13">
      <c r="M1778" s="60"/>
    </row>
    <row r="1779" spans="13:13">
      <c r="M1779" s="60"/>
    </row>
    <row r="1780" spans="13:13">
      <c r="M1780" s="60"/>
    </row>
    <row r="1781" spans="13:13">
      <c r="M1781" s="60"/>
    </row>
    <row r="1782" spans="13:13">
      <c r="M1782" s="60"/>
    </row>
    <row r="1783" spans="13:13">
      <c r="M1783" s="60"/>
    </row>
    <row r="1784" spans="13:13">
      <c r="M1784" s="60"/>
    </row>
    <row r="1785" spans="13:13">
      <c r="M1785" s="60"/>
    </row>
    <row r="1786" spans="13:13">
      <c r="M1786" s="60"/>
    </row>
    <row r="1787" spans="13:13">
      <c r="M1787" s="60"/>
    </row>
    <row r="1788" spans="13:13">
      <c r="M1788" s="60"/>
    </row>
    <row r="1789" spans="13:13">
      <c r="M1789" s="60"/>
    </row>
    <row r="1790" spans="13:13">
      <c r="M1790" s="60"/>
    </row>
    <row r="1791" spans="13:13">
      <c r="M1791" s="60"/>
    </row>
    <row r="1792" spans="13:13">
      <c r="M1792" s="60"/>
    </row>
    <row r="1793" spans="13:13">
      <c r="M1793" s="60"/>
    </row>
    <row r="1794" spans="13:13">
      <c r="M1794" s="60"/>
    </row>
    <row r="1795" spans="13:13">
      <c r="M1795" s="60"/>
    </row>
    <row r="1796" spans="13:13">
      <c r="M1796" s="60"/>
    </row>
    <row r="1797" spans="13:13">
      <c r="M1797" s="60"/>
    </row>
    <row r="1798" spans="13:13">
      <c r="M1798" s="60"/>
    </row>
    <row r="1799" spans="13:13">
      <c r="M1799" s="60"/>
    </row>
    <row r="1800" spans="13:13">
      <c r="M1800" s="60"/>
    </row>
    <row r="1801" spans="13:13">
      <c r="M1801" s="60"/>
    </row>
    <row r="1802" spans="13:13">
      <c r="M1802" s="60"/>
    </row>
    <row r="1803" spans="13:13">
      <c r="M1803" s="60"/>
    </row>
    <row r="1804" spans="13:13">
      <c r="M1804" s="60"/>
    </row>
    <row r="1805" spans="13:13">
      <c r="M1805" s="60"/>
    </row>
    <row r="1806" spans="13:13">
      <c r="M1806" s="60"/>
    </row>
    <row r="1807" spans="13:13">
      <c r="M1807" s="60"/>
    </row>
    <row r="1808" spans="13:13">
      <c r="M1808" s="60"/>
    </row>
    <row r="1809" spans="13:13">
      <c r="M1809" s="60"/>
    </row>
    <row r="1810" spans="13:13">
      <c r="M1810" s="60"/>
    </row>
    <row r="1811" spans="13:13">
      <c r="M1811" s="60"/>
    </row>
    <row r="1812" spans="13:13">
      <c r="M1812" s="60"/>
    </row>
    <row r="1813" spans="13:13">
      <c r="M1813" s="60"/>
    </row>
    <row r="1814" spans="13:13">
      <c r="M1814" s="60"/>
    </row>
    <row r="1815" spans="13:13">
      <c r="M1815" s="60"/>
    </row>
    <row r="1816" spans="13:13">
      <c r="M1816" s="60"/>
    </row>
    <row r="1817" spans="13:13">
      <c r="M1817" s="60"/>
    </row>
    <row r="1818" spans="13:13">
      <c r="M1818" s="60"/>
    </row>
    <row r="1819" spans="13:13">
      <c r="M1819" s="60"/>
    </row>
    <row r="1820" spans="13:13">
      <c r="M1820" s="60"/>
    </row>
    <row r="1821" spans="13:13">
      <c r="M1821" s="60"/>
    </row>
    <row r="1822" spans="13:13">
      <c r="M1822" s="60"/>
    </row>
    <row r="1823" spans="13:13">
      <c r="M1823" s="60"/>
    </row>
    <row r="1824" spans="13:13">
      <c r="M1824" s="60"/>
    </row>
    <row r="1825" spans="13:13">
      <c r="M1825" s="60"/>
    </row>
    <row r="1826" spans="13:13">
      <c r="M1826" s="60"/>
    </row>
    <row r="1827" spans="13:13">
      <c r="M1827" s="60"/>
    </row>
    <row r="1828" spans="13:13">
      <c r="M1828" s="60"/>
    </row>
    <row r="1829" spans="13:13">
      <c r="M1829" s="60"/>
    </row>
    <row r="1830" spans="13:13">
      <c r="M1830" s="60"/>
    </row>
    <row r="1831" spans="13:13">
      <c r="M1831" s="60"/>
    </row>
    <row r="1832" spans="13:13">
      <c r="M1832" s="60"/>
    </row>
    <row r="1833" spans="13:13">
      <c r="M1833" s="60"/>
    </row>
    <row r="1834" spans="13:13">
      <c r="M1834" s="60"/>
    </row>
    <row r="1835" spans="13:13">
      <c r="M1835" s="60"/>
    </row>
    <row r="1836" spans="13:13">
      <c r="M1836" s="60"/>
    </row>
    <row r="1837" spans="13:13">
      <c r="M1837" s="60"/>
    </row>
    <row r="1838" spans="13:13">
      <c r="M1838" s="60"/>
    </row>
    <row r="1839" spans="13:13">
      <c r="M1839" s="60"/>
    </row>
    <row r="1840" spans="13:13">
      <c r="M1840" s="60"/>
    </row>
    <row r="1841" spans="13:13">
      <c r="M1841" s="60"/>
    </row>
    <row r="1842" spans="13:13">
      <c r="M1842" s="60"/>
    </row>
    <row r="1843" spans="13:13">
      <c r="M1843" s="60"/>
    </row>
    <row r="1844" spans="13:13">
      <c r="M1844" s="60"/>
    </row>
    <row r="1845" spans="13:13">
      <c r="M1845" s="60"/>
    </row>
    <row r="1846" spans="13:13">
      <c r="M1846" s="60"/>
    </row>
    <row r="1847" spans="13:13">
      <c r="M1847" s="60"/>
    </row>
    <row r="1848" spans="13:13">
      <c r="M1848" s="60"/>
    </row>
    <row r="1849" spans="13:13">
      <c r="M1849" s="60"/>
    </row>
    <row r="1850" spans="13:13">
      <c r="M1850" s="60"/>
    </row>
    <row r="1851" spans="13:13">
      <c r="M1851" s="60"/>
    </row>
    <row r="1852" spans="13:13">
      <c r="M1852" s="60"/>
    </row>
    <row r="1853" spans="13:13">
      <c r="M1853" s="60"/>
    </row>
    <row r="1854" spans="13:13">
      <c r="M1854" s="60"/>
    </row>
    <row r="1855" spans="13:13">
      <c r="M1855" s="60"/>
    </row>
    <row r="1856" spans="13:13">
      <c r="M1856" s="60"/>
    </row>
    <row r="1857" spans="13:13">
      <c r="M1857" s="60"/>
    </row>
    <row r="1858" spans="13:13">
      <c r="M1858" s="60"/>
    </row>
    <row r="1859" spans="13:13">
      <c r="M1859" s="60"/>
    </row>
    <row r="1860" spans="13:13">
      <c r="M1860" s="60"/>
    </row>
    <row r="1861" spans="13:13">
      <c r="M1861" s="60"/>
    </row>
    <row r="1862" spans="13:13">
      <c r="M1862" s="60"/>
    </row>
    <row r="1863" spans="13:13">
      <c r="M1863" s="60"/>
    </row>
    <row r="1864" spans="13:13">
      <c r="M1864" s="60"/>
    </row>
    <row r="1865" spans="13:13">
      <c r="M1865" s="60"/>
    </row>
    <row r="1866" spans="13:13">
      <c r="M1866" s="60"/>
    </row>
    <row r="1867" spans="13:13">
      <c r="M1867" s="60"/>
    </row>
    <row r="1868" spans="13:13">
      <c r="M1868" s="60"/>
    </row>
    <row r="1869" spans="13:13">
      <c r="M1869" s="60"/>
    </row>
    <row r="1870" spans="13:13">
      <c r="M1870" s="60"/>
    </row>
    <row r="1871" spans="13:13">
      <c r="M1871" s="60"/>
    </row>
    <row r="1872" spans="13:13">
      <c r="M1872" s="60"/>
    </row>
    <row r="1873" spans="13:13">
      <c r="M1873" s="60"/>
    </row>
    <row r="1874" spans="13:13">
      <c r="M1874" s="60"/>
    </row>
    <row r="1875" spans="13:13">
      <c r="M1875" s="60"/>
    </row>
    <row r="1876" spans="13:13">
      <c r="M1876" s="60"/>
    </row>
    <row r="1877" spans="13:13">
      <c r="M1877" s="60"/>
    </row>
    <row r="1878" spans="13:13">
      <c r="M1878" s="60"/>
    </row>
    <row r="1879" spans="13:13">
      <c r="M1879" s="60"/>
    </row>
    <row r="1880" spans="13:13">
      <c r="M1880" s="60"/>
    </row>
    <row r="1881" spans="13:13">
      <c r="M1881" s="60"/>
    </row>
    <row r="1882" spans="13:13">
      <c r="M1882" s="60"/>
    </row>
    <row r="1883" spans="13:13">
      <c r="M1883" s="60"/>
    </row>
    <row r="1884" spans="13:13">
      <c r="M1884" s="60"/>
    </row>
    <row r="1885" spans="13:13">
      <c r="M1885" s="60"/>
    </row>
    <row r="1886" spans="13:13">
      <c r="M1886" s="60"/>
    </row>
    <row r="1887" spans="13:13">
      <c r="M1887" s="60"/>
    </row>
    <row r="1888" spans="13:13">
      <c r="M1888" s="60"/>
    </row>
    <row r="1889" spans="13:13">
      <c r="M1889" s="60"/>
    </row>
    <row r="1890" spans="13:13">
      <c r="M1890" s="60"/>
    </row>
    <row r="1891" spans="13:13">
      <c r="M1891" s="60"/>
    </row>
    <row r="1892" spans="13:13">
      <c r="M1892" s="60"/>
    </row>
    <row r="1893" spans="13:13">
      <c r="M1893" s="60"/>
    </row>
    <row r="1894" spans="13:13">
      <c r="M1894" s="60"/>
    </row>
    <row r="1895" spans="13:13">
      <c r="M1895" s="60"/>
    </row>
    <row r="1896" spans="13:13">
      <c r="M1896" s="60"/>
    </row>
    <row r="1897" spans="13:13">
      <c r="M1897" s="60"/>
    </row>
    <row r="1898" spans="13:13">
      <c r="M1898" s="60"/>
    </row>
    <row r="1899" spans="13:13">
      <c r="M1899" s="60"/>
    </row>
    <row r="1900" spans="13:13">
      <c r="M1900" s="60"/>
    </row>
    <row r="1901" spans="13:13">
      <c r="M1901" s="60"/>
    </row>
    <row r="1902" spans="13:13">
      <c r="M1902" s="60"/>
    </row>
    <row r="1903" spans="13:13">
      <c r="M1903" s="60"/>
    </row>
    <row r="1904" spans="13:13">
      <c r="M1904" s="60"/>
    </row>
    <row r="1905" spans="13:13">
      <c r="M1905" s="60"/>
    </row>
    <row r="1906" spans="13:13">
      <c r="M1906" s="60"/>
    </row>
    <row r="1907" spans="13:13">
      <c r="M1907" s="60"/>
    </row>
    <row r="1908" spans="13:13">
      <c r="M1908" s="60"/>
    </row>
    <row r="1909" spans="13:13">
      <c r="M1909" s="60"/>
    </row>
    <row r="1910" spans="13:13">
      <c r="M1910" s="60"/>
    </row>
    <row r="1911" spans="13:13">
      <c r="M1911" s="60"/>
    </row>
    <row r="1912" spans="13:13">
      <c r="M1912" s="60"/>
    </row>
    <row r="1913" spans="13:13">
      <c r="M1913" s="60"/>
    </row>
    <row r="1914" spans="13:13">
      <c r="M1914" s="60"/>
    </row>
    <row r="1915" spans="13:13">
      <c r="M1915" s="60"/>
    </row>
    <row r="1916" spans="13:13">
      <c r="M1916" s="60"/>
    </row>
    <row r="1917" spans="13:13">
      <c r="M1917" s="60"/>
    </row>
    <row r="1918" spans="13:13">
      <c r="M1918" s="60"/>
    </row>
    <row r="1919" spans="13:13">
      <c r="M1919" s="60"/>
    </row>
    <row r="1920" spans="13:13">
      <c r="M1920" s="60"/>
    </row>
    <row r="1921" spans="13:13">
      <c r="M1921" s="60"/>
    </row>
    <row r="1922" spans="13:13">
      <c r="M1922" s="60"/>
    </row>
    <row r="1923" spans="13:13">
      <c r="M1923" s="60"/>
    </row>
    <row r="1924" spans="13:13">
      <c r="M1924" s="60"/>
    </row>
    <row r="1925" spans="13:13">
      <c r="M1925" s="60"/>
    </row>
    <row r="1926" spans="13:13">
      <c r="M1926" s="60"/>
    </row>
    <row r="1927" spans="13:13">
      <c r="M1927" s="60"/>
    </row>
    <row r="1928" spans="13:13">
      <c r="M1928" s="60"/>
    </row>
    <row r="1929" spans="13:13">
      <c r="M1929" s="60"/>
    </row>
    <row r="1930" spans="13:13">
      <c r="M1930" s="60"/>
    </row>
    <row r="1931" spans="13:13">
      <c r="M1931" s="60"/>
    </row>
    <row r="1932" spans="13:13">
      <c r="M1932" s="60"/>
    </row>
    <row r="1933" spans="13:13">
      <c r="M1933" s="60"/>
    </row>
    <row r="1934" spans="13:13">
      <c r="M1934" s="60"/>
    </row>
    <row r="1935" spans="13:13">
      <c r="M1935" s="60"/>
    </row>
    <row r="1936" spans="13:13">
      <c r="M1936" s="60"/>
    </row>
    <row r="1937" spans="13:13">
      <c r="M1937" s="60"/>
    </row>
  </sheetData>
  <autoFilter ref="B10:AO699"/>
  <phoneticPr fontId="10" type="noConversion"/>
  <conditionalFormatting sqref="B12:B582">
    <cfRule type="cellIs" dxfId="259" priority="2" stopIfTrue="1" operator="greaterThan">
      <formula>0.01</formula>
    </cfRule>
  </conditionalFormatting>
  <conditionalFormatting sqref="B11">
    <cfRule type="cellIs" dxfId="258" priority="1" stopIfTrue="1" operator="greaterThan">
      <formula>0.01</formula>
    </cfRule>
  </conditionalFormatting>
  <dataValidations count="2">
    <dataValidation type="list" allowBlank="1" showInputMessage="1" showErrorMessage="1" sqref="O451:O527 O161 O183 O204:O416 O11:O120 O583:O698">
      <formula1>UnitCode</formula1>
    </dataValidation>
    <dataValidation type="list" allowBlank="1" showInputMessage="1" showErrorMessage="1" sqref="O162:O182 O184:O203 O121:O160 O528:O582 O417:O450">
      <formula1>Code</formula1>
    </dataValidation>
  </dataValidations>
  <printOptions headings="1"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20"/>
  <sheetViews>
    <sheetView showGridLines="0" showRowColHeaders="0" showZeros="0" showOutlineSymbols="0" zoomScaleSheetLayoutView="65" workbookViewId="0"/>
  </sheetViews>
  <sheetFormatPr baseColWidth="10" defaultColWidth="0" defaultRowHeight="13" x14ac:dyDescent="0"/>
  <cols>
    <col min="1" max="1" width="0.140625" style="60" customWidth="1"/>
    <col min="2" max="2" width="13" style="60" customWidth="1"/>
    <col min="3" max="3" width="10.5703125" style="60" customWidth="1"/>
    <col min="4" max="4" width="6.28515625" style="60" customWidth="1"/>
    <col min="5" max="5" width="40.85546875" style="1" customWidth="1"/>
    <col min="6" max="6" width="9.140625" style="94" customWidth="1"/>
    <col min="7" max="7" width="10.7109375" style="95" customWidth="1"/>
    <col min="8" max="8" width="23" style="60" bestFit="1" customWidth="1"/>
    <col min="9" max="9" width="44.140625" style="96" bestFit="1" customWidth="1"/>
    <col min="10" max="10" width="9.5703125" style="60" bestFit="1" customWidth="1"/>
    <col min="11" max="11" width="8" style="97" customWidth="1"/>
    <col min="12" max="12" width="6.42578125" style="97" customWidth="1"/>
    <col min="13" max="13" width="11.5703125" style="98" customWidth="1"/>
    <col min="14" max="14" width="5.5703125" style="117" hidden="1" customWidth="1"/>
    <col min="15" max="15" width="0.140625" style="117" hidden="1" customWidth="1"/>
    <col min="16" max="16" width="12" style="483" customWidth="1"/>
    <col min="17" max="17" width="8" style="117" customWidth="1"/>
    <col min="18" max="18" width="11.42578125" style="60" customWidth="1"/>
    <col min="19" max="19" width="8.7109375" style="60" customWidth="1"/>
    <col min="20" max="20" width="7" style="60" hidden="1" customWidth="1"/>
    <col min="21" max="21" width="11" style="60" customWidth="1"/>
    <col min="22" max="22" width="7.140625" style="60" customWidth="1"/>
    <col min="23" max="23" width="7.28515625" style="60" hidden="1" customWidth="1"/>
    <col min="24" max="24" width="7.85546875" style="89" bestFit="1" customWidth="1"/>
    <col min="25" max="25" width="18.140625" style="60" customWidth="1"/>
    <col min="26" max="26" width="13" style="60" bestFit="1" customWidth="1"/>
    <col min="27" max="30" width="0" style="60" hidden="1" customWidth="1"/>
    <col min="31" max="16384" width="8.7109375" style="60" hidden="1"/>
  </cols>
  <sheetData>
    <row r="2" spans="1:30">
      <c r="A2" s="92">
        <v>1</v>
      </c>
      <c r="B2" s="366"/>
      <c r="C2" s="366"/>
      <c r="D2" s="366"/>
      <c r="E2" s="209" t="s">
        <v>218</v>
      </c>
      <c r="N2" s="98"/>
      <c r="O2" s="98"/>
      <c r="Q2" s="98"/>
      <c r="R2" s="99"/>
      <c r="S2" s="99"/>
      <c r="T2" s="99"/>
      <c r="U2" s="99"/>
      <c r="V2" s="99"/>
      <c r="W2" s="99"/>
      <c r="X2" s="100"/>
      <c r="Y2" s="101"/>
      <c r="Z2" s="101"/>
    </row>
    <row r="3" spans="1:30" ht="18" customHeight="1">
      <c r="A3" s="92">
        <v>2</v>
      </c>
      <c r="B3" s="366"/>
      <c r="C3" s="366"/>
      <c r="D3" s="366"/>
      <c r="E3" s="211"/>
      <c r="F3" s="103"/>
      <c r="G3" s="104"/>
      <c r="H3" s="102"/>
      <c r="I3" s="105"/>
      <c r="J3" s="93"/>
      <c r="K3" s="106"/>
      <c r="L3" s="106"/>
      <c r="M3" s="107"/>
      <c r="N3" s="107"/>
      <c r="O3" s="107"/>
      <c r="P3" s="484"/>
      <c r="Q3" s="107"/>
      <c r="R3" s="108"/>
      <c r="S3" s="108"/>
      <c r="T3" s="108"/>
      <c r="U3" s="108"/>
      <c r="V3" s="108"/>
      <c r="W3" s="108"/>
      <c r="X3" s="109"/>
      <c r="Y3" s="110"/>
      <c r="Z3" s="110"/>
    </row>
    <row r="4" spans="1:30" ht="18" customHeight="1">
      <c r="A4" s="92">
        <v>3</v>
      </c>
      <c r="B4" s="366"/>
      <c r="C4" s="366"/>
      <c r="D4" s="366"/>
      <c r="E4" s="212" t="str">
        <f>'1.2-Kengetal'!C3</f>
        <v>Naam opdrachtgever</v>
      </c>
      <c r="F4" s="111"/>
      <c r="G4" s="213" t="str">
        <f>'1.2-Kengetal'!F3</f>
        <v>Friesland College</v>
      </c>
      <c r="I4" s="105"/>
      <c r="J4" s="93"/>
      <c r="K4" s="106"/>
      <c r="L4" s="106"/>
      <c r="M4" s="107"/>
      <c r="N4" s="107"/>
      <c r="O4" s="107"/>
      <c r="P4" s="484"/>
      <c r="Q4" s="107"/>
      <c r="R4" s="108"/>
      <c r="S4" s="108"/>
      <c r="T4" s="108"/>
      <c r="U4" s="108"/>
      <c r="V4" s="108"/>
      <c r="W4" s="108"/>
      <c r="X4" s="109"/>
      <c r="Y4" s="93"/>
      <c r="Z4" s="93"/>
    </row>
    <row r="5" spans="1:30" ht="18" customHeight="1">
      <c r="A5" s="92">
        <v>4</v>
      </c>
      <c r="B5" s="366"/>
      <c r="C5" s="366"/>
      <c r="D5" s="366"/>
      <c r="E5" s="212" t="str">
        <f>'1.2-Kengetal'!C4</f>
        <v>Omschrijving blad</v>
      </c>
      <c r="F5" s="113"/>
      <c r="G5" s="537" t="s">
        <v>333</v>
      </c>
      <c r="I5" s="114"/>
      <c r="J5" s="93"/>
      <c r="K5" s="106"/>
      <c r="L5" s="106"/>
      <c r="M5" s="107"/>
      <c r="N5" s="107"/>
      <c r="O5" s="107"/>
      <c r="P5" s="484"/>
      <c r="Q5" s="107"/>
      <c r="R5" s="108"/>
      <c r="S5" s="108"/>
      <c r="T5" s="108"/>
      <c r="U5" s="108"/>
      <c r="V5" s="108"/>
      <c r="W5" s="108"/>
      <c r="X5" s="109"/>
      <c r="Y5" s="93"/>
      <c r="Z5" s="93"/>
    </row>
    <row r="6" spans="1:30" ht="18" customHeight="1">
      <c r="A6" s="92">
        <v>5</v>
      </c>
      <c r="B6" s="366"/>
      <c r="C6" s="366"/>
      <c r="D6" s="366"/>
      <c r="E6" s="212" t="str">
        <f>'1.2-Kengetal'!C5</f>
        <v>Adres/plaats</v>
      </c>
      <c r="F6" s="111"/>
      <c r="G6" s="213" t="str">
        <f>'1.2-Kengetal'!F5</f>
        <v>Diverse locaties Leeuwarden e.o.</v>
      </c>
      <c r="H6" s="115"/>
      <c r="I6" s="115"/>
      <c r="J6" s="115"/>
      <c r="K6" s="116"/>
      <c r="L6" s="116"/>
      <c r="M6" s="107"/>
      <c r="N6" s="107"/>
      <c r="O6" s="107"/>
      <c r="P6" s="484"/>
      <c r="Q6" s="107"/>
      <c r="R6" s="108"/>
      <c r="S6" s="108"/>
      <c r="T6" s="108"/>
      <c r="U6" s="108"/>
      <c r="V6" s="108"/>
      <c r="W6" s="108"/>
      <c r="X6" s="109"/>
      <c r="Y6" s="93"/>
      <c r="Z6" s="93"/>
    </row>
    <row r="7" spans="1:30" ht="18" customHeight="1">
      <c r="A7" s="92">
        <v>6</v>
      </c>
      <c r="B7" s="366"/>
      <c r="C7" s="366"/>
      <c r="D7" s="366"/>
      <c r="E7" s="212" t="str">
        <f>'1.2-Kengetal'!C6</f>
        <v>Besteknummer</v>
      </c>
      <c r="F7" s="111"/>
      <c r="G7" s="213" t="str">
        <f>'1.2-Kengetal'!F6</f>
        <v>0601-36-2013 Perceel 2</v>
      </c>
      <c r="J7" s="93"/>
      <c r="K7" s="106"/>
      <c r="L7" s="106"/>
      <c r="M7" s="107"/>
      <c r="N7" s="107"/>
      <c r="O7" s="107"/>
      <c r="P7" s="484"/>
      <c r="Q7" s="107"/>
      <c r="R7" s="108"/>
      <c r="S7" s="108"/>
      <c r="T7" s="108"/>
      <c r="U7" s="108"/>
      <c r="V7" s="108"/>
      <c r="W7" s="108"/>
      <c r="X7" s="109"/>
      <c r="Y7" s="93"/>
      <c r="Z7" s="93"/>
    </row>
    <row r="8" spans="1:30" ht="18" customHeight="1">
      <c r="A8" s="92">
        <v>7</v>
      </c>
      <c r="B8" s="366"/>
      <c r="C8" s="366"/>
      <c r="D8" s="366"/>
      <c r="E8" s="212" t="str">
        <f>'1.2-Kengetal'!C7</f>
        <v>Naam leverancier</v>
      </c>
      <c r="F8" s="111"/>
      <c r="G8" s="213" t="str">
        <f>'1.2-Kengetal'!F7</f>
        <v>(Invoer naam Inschrijver)</v>
      </c>
      <c r="J8" s="93"/>
      <c r="K8" s="106"/>
      <c r="L8" s="106"/>
      <c r="M8" s="107"/>
      <c r="N8" s="107"/>
      <c r="O8" s="107"/>
      <c r="P8" s="484"/>
      <c r="Q8" s="107"/>
      <c r="R8" s="108"/>
      <c r="S8" s="108"/>
      <c r="T8" s="108"/>
      <c r="U8" s="108"/>
      <c r="V8" s="108"/>
      <c r="W8" s="108"/>
      <c r="X8" s="109"/>
      <c r="Y8" s="93"/>
      <c r="Z8" s="93"/>
    </row>
    <row r="9" spans="1:30">
      <c r="A9" s="92">
        <v>8</v>
      </c>
      <c r="B9" s="366"/>
      <c r="C9" s="366"/>
      <c r="D9" s="366"/>
      <c r="E9" s="211"/>
      <c r="F9" s="103"/>
      <c r="G9" s="104"/>
      <c r="H9" s="102"/>
      <c r="I9" s="105"/>
      <c r="J9" s="93"/>
      <c r="K9" s="106"/>
      <c r="L9" s="106"/>
      <c r="M9" s="107"/>
      <c r="N9" s="107"/>
      <c r="O9" s="107"/>
      <c r="P9" s="484"/>
      <c r="Q9" s="107"/>
      <c r="R9" s="108"/>
      <c r="S9" s="108"/>
      <c r="T9" s="108"/>
      <c r="U9" s="108"/>
      <c r="V9" s="108"/>
      <c r="W9" s="108"/>
      <c r="X9" s="109"/>
      <c r="Y9" s="110"/>
      <c r="Z9" s="110"/>
    </row>
    <row r="10" spans="1:30" s="376" customFormat="1" ht="42" customHeight="1">
      <c r="A10" s="369">
        <v>9</v>
      </c>
      <c r="B10" s="281" t="s">
        <v>328</v>
      </c>
      <c r="C10" s="281" t="s">
        <v>329</v>
      </c>
      <c r="D10" s="281" t="s">
        <v>273</v>
      </c>
      <c r="E10" s="281" t="s">
        <v>207</v>
      </c>
      <c r="F10" s="285" t="s">
        <v>40</v>
      </c>
      <c r="G10" s="370" t="s">
        <v>51</v>
      </c>
      <c r="H10" s="281" t="s">
        <v>232</v>
      </c>
      <c r="I10" s="371" t="s">
        <v>92</v>
      </c>
      <c r="J10" s="372" t="s">
        <v>183</v>
      </c>
      <c r="K10" s="340" t="s">
        <v>143</v>
      </c>
      <c r="L10" s="340" t="s">
        <v>81</v>
      </c>
      <c r="M10" s="488" t="s">
        <v>304</v>
      </c>
      <c r="N10" s="373" t="s">
        <v>311</v>
      </c>
      <c r="O10" s="373" t="s">
        <v>312</v>
      </c>
      <c r="P10" s="374" t="s">
        <v>39</v>
      </c>
      <c r="Q10" s="373" t="s">
        <v>246</v>
      </c>
      <c r="R10" s="374" t="s">
        <v>82</v>
      </c>
      <c r="S10" s="374" t="s">
        <v>307</v>
      </c>
      <c r="T10" s="374" t="s">
        <v>313</v>
      </c>
      <c r="U10" s="375" t="s">
        <v>306</v>
      </c>
      <c r="V10" s="374" t="s">
        <v>305</v>
      </c>
      <c r="W10" s="374" t="s">
        <v>314</v>
      </c>
      <c r="X10" s="281" t="s">
        <v>123</v>
      </c>
      <c r="Y10" s="372" t="s">
        <v>0</v>
      </c>
      <c r="Z10" s="372" t="s">
        <v>88</v>
      </c>
    </row>
    <row r="11" spans="1:30">
      <c r="A11" s="92">
        <f t="shared" ref="A11:A20" si="0">D11</f>
        <v>0</v>
      </c>
      <c r="B11" s="535"/>
      <c r="C11" s="536"/>
      <c r="D11" s="534"/>
      <c r="E11" s="470"/>
      <c r="F11" s="471"/>
      <c r="G11" s="472"/>
      <c r="H11" s="473"/>
      <c r="I11" s="474">
        <f t="shared" ref="I11:I20" si="1">IF($M11="",0,VLOOKUP($M11,Kengetal,4,FALSE))</f>
        <v>0</v>
      </c>
      <c r="J11" s="473"/>
      <c r="K11" s="475"/>
      <c r="L11" s="475"/>
      <c r="M11" s="489"/>
      <c r="N11" s="476"/>
      <c r="O11" s="476"/>
      <c r="P11" s="477">
        <f t="shared" ref="P11:P20" si="2">VLOOKUP(M11,Kengetal,3,FALSE)+VLOOKUP(N11,Kengetal,3,FALSE)+VLOOKUP(O11,Kengetal,3,FALSE)</f>
        <v>0</v>
      </c>
      <c r="Q11" s="478">
        <v>1</v>
      </c>
      <c r="R11" s="367">
        <f t="shared" ref="R11:R20" si="3">U11*K11*Q11</f>
        <v>0</v>
      </c>
      <c r="S11" s="367">
        <f t="shared" ref="S11:S20" si="4">V11*K11*Q11</f>
        <v>0</v>
      </c>
      <c r="T11" s="367">
        <f t="shared" ref="T11:T20" si="5">W11*K11*Q11</f>
        <v>0</v>
      </c>
      <c r="U11" s="368">
        <f t="shared" ref="U11:U20" si="6">VLOOKUP($M11,Kengetal,6,FALSE)</f>
        <v>0</v>
      </c>
      <c r="V11" s="368">
        <f t="shared" ref="V11:V20" si="7">VLOOKUP($M11,Kengetal,7,FALSE)</f>
        <v>0</v>
      </c>
      <c r="W11" s="479">
        <f t="shared" ref="W11:W20" si="8">VLOOKUP($O11,Kengetal,7,FALSE)</f>
        <v>0</v>
      </c>
      <c r="X11" s="480" t="str">
        <f t="shared" ref="X11:X20" si="9">IF(M11="","",VLOOKUP(M11,Kengetal,14,FALSE))</f>
        <v/>
      </c>
      <c r="Y11" s="481"/>
      <c r="Z11" s="482">
        <f ca="1">(R11+S11)*'1.0-Contractblad'!$N$111</f>
        <v>0</v>
      </c>
      <c r="AB11" s="60" t="str">
        <f t="shared" ref="AB11:AB20" si="10">CONCATENATE(M11,"-",P11)</f>
        <v>-0</v>
      </c>
      <c r="AD11" s="60" t="str">
        <f t="shared" ref="AD11:AD20" si="11">LOWER(H11)</f>
        <v/>
      </c>
    </row>
    <row r="12" spans="1:30">
      <c r="A12" s="92">
        <f t="shared" si="0"/>
        <v>0</v>
      </c>
      <c r="B12" s="535"/>
      <c r="C12" s="536"/>
      <c r="D12" s="534"/>
      <c r="E12" s="470" t="s">
        <v>338</v>
      </c>
      <c r="F12" s="471"/>
      <c r="G12" s="472"/>
      <c r="H12" s="473"/>
      <c r="I12" s="474">
        <f t="shared" si="1"/>
        <v>0</v>
      </c>
      <c r="J12" s="473"/>
      <c r="K12" s="475"/>
      <c r="L12" s="475"/>
      <c r="M12" s="490"/>
      <c r="N12" s="476"/>
      <c r="O12" s="476"/>
      <c r="P12" s="477">
        <f t="shared" si="2"/>
        <v>0</v>
      </c>
      <c r="Q12" s="478">
        <v>1</v>
      </c>
      <c r="R12" s="367">
        <f t="shared" si="3"/>
        <v>0</v>
      </c>
      <c r="S12" s="367">
        <f t="shared" si="4"/>
        <v>0</v>
      </c>
      <c r="T12" s="367">
        <f t="shared" si="5"/>
        <v>0</v>
      </c>
      <c r="U12" s="368">
        <f t="shared" si="6"/>
        <v>0</v>
      </c>
      <c r="V12" s="368">
        <f t="shared" si="7"/>
        <v>0</v>
      </c>
      <c r="W12" s="479">
        <f t="shared" si="8"/>
        <v>0</v>
      </c>
      <c r="X12" s="480" t="str">
        <f t="shared" si="9"/>
        <v/>
      </c>
      <c r="Y12" s="481"/>
      <c r="Z12" s="482">
        <f ca="1">(R12+S12)*'1.0-Contractblad'!$N$111</f>
        <v>0</v>
      </c>
      <c r="AB12" s="60" t="str">
        <f t="shared" si="10"/>
        <v>-0</v>
      </c>
      <c r="AD12" s="60" t="str">
        <f t="shared" si="11"/>
        <v/>
      </c>
    </row>
    <row r="13" spans="1:30">
      <c r="A13" s="92">
        <f t="shared" si="0"/>
        <v>0</v>
      </c>
      <c r="B13" s="535"/>
      <c r="C13" s="536"/>
      <c r="D13" s="534"/>
      <c r="E13" s="470"/>
      <c r="F13" s="471"/>
      <c r="G13" s="472"/>
      <c r="H13" s="473"/>
      <c r="I13" s="474">
        <f t="shared" si="1"/>
        <v>0</v>
      </c>
      <c r="J13" s="473"/>
      <c r="K13" s="475"/>
      <c r="L13" s="475"/>
      <c r="M13" s="489"/>
      <c r="N13" s="476"/>
      <c r="O13" s="476"/>
      <c r="P13" s="477">
        <f t="shared" si="2"/>
        <v>0</v>
      </c>
      <c r="Q13" s="478">
        <v>1</v>
      </c>
      <c r="R13" s="367">
        <f t="shared" si="3"/>
        <v>0</v>
      </c>
      <c r="S13" s="367">
        <f t="shared" si="4"/>
        <v>0</v>
      </c>
      <c r="T13" s="367">
        <f t="shared" si="5"/>
        <v>0</v>
      </c>
      <c r="U13" s="368">
        <f t="shared" si="6"/>
        <v>0</v>
      </c>
      <c r="V13" s="368">
        <f t="shared" si="7"/>
        <v>0</v>
      </c>
      <c r="W13" s="479">
        <f t="shared" si="8"/>
        <v>0</v>
      </c>
      <c r="X13" s="480" t="str">
        <f t="shared" si="9"/>
        <v/>
      </c>
      <c r="Y13" s="481"/>
      <c r="Z13" s="482">
        <f ca="1">(R13+S13)*'1.0-Contractblad'!$N$111</f>
        <v>0</v>
      </c>
      <c r="AB13" s="60" t="str">
        <f t="shared" si="10"/>
        <v>-0</v>
      </c>
      <c r="AD13" s="60" t="str">
        <f t="shared" si="11"/>
        <v/>
      </c>
    </row>
    <row r="14" spans="1:30">
      <c r="A14" s="92">
        <f t="shared" si="0"/>
        <v>0</v>
      </c>
      <c r="B14" s="535"/>
      <c r="C14" s="536"/>
      <c r="D14" s="534"/>
      <c r="E14" s="470"/>
      <c r="F14" s="471"/>
      <c r="G14" s="472"/>
      <c r="H14" s="473"/>
      <c r="I14" s="474">
        <f t="shared" si="1"/>
        <v>0</v>
      </c>
      <c r="J14" s="473"/>
      <c r="K14" s="475"/>
      <c r="L14" s="475"/>
      <c r="M14" s="489"/>
      <c r="N14" s="476"/>
      <c r="O14" s="476"/>
      <c r="P14" s="477">
        <f t="shared" si="2"/>
        <v>0</v>
      </c>
      <c r="Q14" s="478">
        <v>1</v>
      </c>
      <c r="R14" s="367">
        <f t="shared" si="3"/>
        <v>0</v>
      </c>
      <c r="S14" s="367">
        <f t="shared" si="4"/>
        <v>0</v>
      </c>
      <c r="T14" s="367">
        <f t="shared" si="5"/>
        <v>0</v>
      </c>
      <c r="U14" s="368">
        <f t="shared" si="6"/>
        <v>0</v>
      </c>
      <c r="V14" s="368">
        <f t="shared" si="7"/>
        <v>0</v>
      </c>
      <c r="W14" s="479">
        <f t="shared" si="8"/>
        <v>0</v>
      </c>
      <c r="X14" s="480" t="str">
        <f t="shared" si="9"/>
        <v/>
      </c>
      <c r="Y14" s="481"/>
      <c r="Z14" s="482">
        <f ca="1">(R14+S14)*'1.0-Contractblad'!$N$111</f>
        <v>0</v>
      </c>
      <c r="AB14" s="60" t="str">
        <f t="shared" si="10"/>
        <v>-0</v>
      </c>
      <c r="AD14" s="60" t="str">
        <f t="shared" si="11"/>
        <v/>
      </c>
    </row>
    <row r="15" spans="1:30">
      <c r="A15" s="92">
        <f t="shared" si="0"/>
        <v>0</v>
      </c>
      <c r="B15" s="535"/>
      <c r="C15" s="536"/>
      <c r="D15" s="534"/>
      <c r="E15" s="470"/>
      <c r="F15" s="471"/>
      <c r="G15" s="472"/>
      <c r="H15" s="473"/>
      <c r="I15" s="474">
        <f t="shared" si="1"/>
        <v>0</v>
      </c>
      <c r="J15" s="473"/>
      <c r="K15" s="475"/>
      <c r="L15" s="475"/>
      <c r="M15" s="489"/>
      <c r="N15" s="476"/>
      <c r="O15" s="476"/>
      <c r="P15" s="477">
        <f t="shared" si="2"/>
        <v>0</v>
      </c>
      <c r="Q15" s="478">
        <v>1</v>
      </c>
      <c r="R15" s="367">
        <f t="shared" si="3"/>
        <v>0</v>
      </c>
      <c r="S15" s="367">
        <f t="shared" si="4"/>
        <v>0</v>
      </c>
      <c r="T15" s="367">
        <f t="shared" si="5"/>
        <v>0</v>
      </c>
      <c r="U15" s="368">
        <f t="shared" si="6"/>
        <v>0</v>
      </c>
      <c r="V15" s="368">
        <f t="shared" si="7"/>
        <v>0</v>
      </c>
      <c r="W15" s="479">
        <f t="shared" si="8"/>
        <v>0</v>
      </c>
      <c r="X15" s="480" t="str">
        <f t="shared" si="9"/>
        <v/>
      </c>
      <c r="Y15" s="481"/>
      <c r="Z15" s="482">
        <f ca="1">(R15+S15)*'1.0-Contractblad'!$N$111</f>
        <v>0</v>
      </c>
      <c r="AB15" s="60" t="str">
        <f t="shared" si="10"/>
        <v>-0</v>
      </c>
      <c r="AD15" s="60" t="str">
        <f t="shared" si="11"/>
        <v/>
      </c>
    </row>
    <row r="16" spans="1:30">
      <c r="A16" s="92">
        <f t="shared" si="0"/>
        <v>0</v>
      </c>
      <c r="B16" s="535"/>
      <c r="C16" s="536"/>
      <c r="D16" s="534"/>
      <c r="E16" s="470"/>
      <c r="F16" s="471"/>
      <c r="G16" s="472"/>
      <c r="H16" s="473"/>
      <c r="I16" s="474">
        <f t="shared" si="1"/>
        <v>0</v>
      </c>
      <c r="J16" s="473"/>
      <c r="K16" s="475"/>
      <c r="L16" s="475"/>
      <c r="M16" s="490"/>
      <c r="N16" s="476"/>
      <c r="O16" s="476"/>
      <c r="P16" s="477">
        <f t="shared" si="2"/>
        <v>0</v>
      </c>
      <c r="Q16" s="478">
        <v>1</v>
      </c>
      <c r="R16" s="367">
        <f t="shared" si="3"/>
        <v>0</v>
      </c>
      <c r="S16" s="367">
        <f t="shared" si="4"/>
        <v>0</v>
      </c>
      <c r="T16" s="367">
        <f t="shared" si="5"/>
        <v>0</v>
      </c>
      <c r="U16" s="368">
        <f t="shared" si="6"/>
        <v>0</v>
      </c>
      <c r="V16" s="368">
        <f t="shared" si="7"/>
        <v>0</v>
      </c>
      <c r="W16" s="479">
        <f t="shared" si="8"/>
        <v>0</v>
      </c>
      <c r="X16" s="480" t="str">
        <f t="shared" si="9"/>
        <v/>
      </c>
      <c r="Y16" s="481"/>
      <c r="Z16" s="482">
        <f ca="1">(R16+S16)*'1.0-Contractblad'!$N$111</f>
        <v>0</v>
      </c>
      <c r="AB16" s="60" t="str">
        <f t="shared" si="10"/>
        <v>-0</v>
      </c>
      <c r="AD16" s="60" t="str">
        <f t="shared" si="11"/>
        <v/>
      </c>
    </row>
    <row r="17" spans="1:30">
      <c r="A17" s="92">
        <f t="shared" si="0"/>
        <v>0</v>
      </c>
      <c r="B17" s="535"/>
      <c r="C17" s="536"/>
      <c r="D17" s="534"/>
      <c r="E17" s="470"/>
      <c r="F17" s="471"/>
      <c r="G17" s="472"/>
      <c r="H17" s="473"/>
      <c r="I17" s="474">
        <f t="shared" si="1"/>
        <v>0</v>
      </c>
      <c r="J17" s="473"/>
      <c r="K17" s="475"/>
      <c r="L17" s="475"/>
      <c r="M17" s="490"/>
      <c r="N17" s="476"/>
      <c r="O17" s="476"/>
      <c r="P17" s="477">
        <f t="shared" si="2"/>
        <v>0</v>
      </c>
      <c r="Q17" s="478">
        <v>1</v>
      </c>
      <c r="R17" s="367">
        <f t="shared" si="3"/>
        <v>0</v>
      </c>
      <c r="S17" s="367">
        <f t="shared" si="4"/>
        <v>0</v>
      </c>
      <c r="T17" s="367">
        <f t="shared" si="5"/>
        <v>0</v>
      </c>
      <c r="U17" s="368">
        <f t="shared" si="6"/>
        <v>0</v>
      </c>
      <c r="V17" s="368">
        <f t="shared" si="7"/>
        <v>0</v>
      </c>
      <c r="W17" s="479">
        <f t="shared" si="8"/>
        <v>0</v>
      </c>
      <c r="X17" s="480" t="str">
        <f t="shared" si="9"/>
        <v/>
      </c>
      <c r="Y17" s="481"/>
      <c r="Z17" s="482">
        <f ca="1">(R17+S17)*'1.0-Contractblad'!$N$111</f>
        <v>0</v>
      </c>
      <c r="AB17" s="60" t="str">
        <f t="shared" si="10"/>
        <v>-0</v>
      </c>
      <c r="AD17" s="60" t="str">
        <f t="shared" si="11"/>
        <v/>
      </c>
    </row>
    <row r="18" spans="1:30">
      <c r="A18" s="92">
        <f t="shared" si="0"/>
        <v>0</v>
      </c>
      <c r="B18" s="535"/>
      <c r="C18" s="536"/>
      <c r="D18" s="534"/>
      <c r="E18" s="470"/>
      <c r="F18" s="471"/>
      <c r="G18" s="472"/>
      <c r="H18" s="473"/>
      <c r="I18" s="474">
        <f t="shared" si="1"/>
        <v>0</v>
      </c>
      <c r="J18" s="473"/>
      <c r="K18" s="475"/>
      <c r="L18" s="475"/>
      <c r="M18" s="490"/>
      <c r="N18" s="476"/>
      <c r="O18" s="476"/>
      <c r="P18" s="477">
        <f t="shared" si="2"/>
        <v>0</v>
      </c>
      <c r="Q18" s="478">
        <v>1</v>
      </c>
      <c r="R18" s="367">
        <f t="shared" si="3"/>
        <v>0</v>
      </c>
      <c r="S18" s="367">
        <f t="shared" si="4"/>
        <v>0</v>
      </c>
      <c r="T18" s="367">
        <f t="shared" si="5"/>
        <v>0</v>
      </c>
      <c r="U18" s="368">
        <f t="shared" si="6"/>
        <v>0</v>
      </c>
      <c r="V18" s="368">
        <f t="shared" si="7"/>
        <v>0</v>
      </c>
      <c r="W18" s="479">
        <f t="shared" si="8"/>
        <v>0</v>
      </c>
      <c r="X18" s="480" t="str">
        <f t="shared" si="9"/>
        <v/>
      </c>
      <c r="Y18" s="481"/>
      <c r="Z18" s="482">
        <f ca="1">(R18+S18)*'1.0-Contractblad'!$N$111</f>
        <v>0</v>
      </c>
      <c r="AB18" s="60" t="str">
        <f t="shared" si="10"/>
        <v>-0</v>
      </c>
      <c r="AD18" s="60" t="str">
        <f t="shared" si="11"/>
        <v/>
      </c>
    </row>
    <row r="19" spans="1:30">
      <c r="A19" s="92">
        <f t="shared" si="0"/>
        <v>0</v>
      </c>
      <c r="B19" s="535"/>
      <c r="C19" s="536"/>
      <c r="D19" s="534"/>
      <c r="E19" s="470"/>
      <c r="F19" s="471"/>
      <c r="G19" s="472"/>
      <c r="H19" s="473"/>
      <c r="I19" s="474">
        <f t="shared" si="1"/>
        <v>0</v>
      </c>
      <c r="J19" s="473"/>
      <c r="K19" s="475"/>
      <c r="L19" s="475"/>
      <c r="M19" s="489"/>
      <c r="N19" s="476"/>
      <c r="O19" s="476"/>
      <c r="P19" s="477">
        <f t="shared" si="2"/>
        <v>0</v>
      </c>
      <c r="Q19" s="478">
        <v>1</v>
      </c>
      <c r="R19" s="367">
        <f t="shared" si="3"/>
        <v>0</v>
      </c>
      <c r="S19" s="367">
        <f t="shared" si="4"/>
        <v>0</v>
      </c>
      <c r="T19" s="367">
        <f t="shared" si="5"/>
        <v>0</v>
      </c>
      <c r="U19" s="368">
        <f t="shared" si="6"/>
        <v>0</v>
      </c>
      <c r="V19" s="368">
        <f t="shared" si="7"/>
        <v>0</v>
      </c>
      <c r="W19" s="479">
        <f t="shared" si="8"/>
        <v>0</v>
      </c>
      <c r="X19" s="480" t="str">
        <f t="shared" si="9"/>
        <v/>
      </c>
      <c r="Y19" s="481"/>
      <c r="Z19" s="482">
        <f ca="1">(R19+S19)*'1.0-Contractblad'!$N$111</f>
        <v>0</v>
      </c>
      <c r="AB19" s="60" t="str">
        <f t="shared" si="10"/>
        <v>-0</v>
      </c>
      <c r="AD19" s="60" t="str">
        <f t="shared" si="11"/>
        <v/>
      </c>
    </row>
    <row r="20" spans="1:30">
      <c r="A20" s="92">
        <f t="shared" si="0"/>
        <v>0</v>
      </c>
      <c r="B20" s="535"/>
      <c r="C20" s="536"/>
      <c r="D20" s="534"/>
      <c r="E20" s="470"/>
      <c r="F20" s="471"/>
      <c r="G20" s="472"/>
      <c r="H20" s="473"/>
      <c r="I20" s="474">
        <f t="shared" si="1"/>
        <v>0</v>
      </c>
      <c r="J20" s="473"/>
      <c r="K20" s="475"/>
      <c r="L20" s="475"/>
      <c r="M20" s="489"/>
      <c r="N20" s="476"/>
      <c r="O20" s="476"/>
      <c r="P20" s="477">
        <f t="shared" si="2"/>
        <v>0</v>
      </c>
      <c r="Q20" s="478">
        <v>1</v>
      </c>
      <c r="R20" s="367">
        <f t="shared" si="3"/>
        <v>0</v>
      </c>
      <c r="S20" s="367">
        <f t="shared" si="4"/>
        <v>0</v>
      </c>
      <c r="T20" s="367">
        <f t="shared" si="5"/>
        <v>0</v>
      </c>
      <c r="U20" s="368">
        <f t="shared" si="6"/>
        <v>0</v>
      </c>
      <c r="V20" s="368">
        <f t="shared" si="7"/>
        <v>0</v>
      </c>
      <c r="W20" s="479">
        <f t="shared" si="8"/>
        <v>0</v>
      </c>
      <c r="X20" s="480" t="str">
        <f t="shared" si="9"/>
        <v/>
      </c>
      <c r="Y20" s="481"/>
      <c r="Z20" s="482">
        <f ca="1">(R20+S20)*'1.0-Contractblad'!$N$111</f>
        <v>0</v>
      </c>
      <c r="AB20" s="60" t="str">
        <f t="shared" si="10"/>
        <v>-0</v>
      </c>
      <c r="AD20" s="60" t="str">
        <f t="shared" si="11"/>
        <v/>
      </c>
    </row>
  </sheetData>
  <autoFilter ref="D10:Z20"/>
  <printOptions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pageSetUpPr fitToPage="1"/>
  </sheetPr>
  <dimension ref="B1:K76"/>
  <sheetViews>
    <sheetView showGridLines="0" showZeros="0" showOutlineSymbols="0" zoomScaleSheetLayoutView="75" workbookViewId="0"/>
  </sheetViews>
  <sheetFormatPr baseColWidth="10" defaultRowHeight="13" zeroHeight="1" x14ac:dyDescent="0"/>
  <cols>
    <col min="1" max="1" width="14.42578125" style="163" customWidth="1"/>
    <col min="2" max="2" width="45.5703125" style="163" customWidth="1"/>
    <col min="3" max="3" width="21.5703125" style="163" customWidth="1"/>
    <col min="4" max="4" width="19.28515625" style="163" customWidth="1"/>
    <col min="5" max="5" width="21" style="163" customWidth="1"/>
    <col min="6" max="6" width="14.7109375" style="163" customWidth="1"/>
    <col min="7" max="7" width="15.28515625" style="163" customWidth="1"/>
    <col min="8" max="8" width="12.140625" style="163" customWidth="1"/>
    <col min="9" max="9" width="7.85546875" style="163" customWidth="1"/>
    <col min="10" max="10" width="27" style="163" customWidth="1"/>
    <col min="11" max="16384" width="10.7109375" style="163"/>
  </cols>
  <sheetData>
    <row r="1" spans="2:11"/>
    <row r="2" spans="2:11" ht="16">
      <c r="B2" s="72" t="s">
        <v>161</v>
      </c>
      <c r="C2" s="30" t="str">
        <f>'1.3-Basis ruimtestaat'!G4</f>
        <v>Friesland College</v>
      </c>
      <c r="E2" s="161"/>
      <c r="F2" s="161"/>
      <c r="G2" s="162"/>
      <c r="H2" s="162"/>
      <c r="I2" s="162"/>
    </row>
    <row r="3" spans="2:11" ht="16">
      <c r="B3" s="72" t="s">
        <v>113</v>
      </c>
      <c r="C3" s="72" t="s">
        <v>330</v>
      </c>
      <c r="D3" s="164"/>
      <c r="E3" s="165"/>
      <c r="F3" s="166"/>
      <c r="G3" s="167"/>
      <c r="H3" s="167"/>
      <c r="I3" s="167"/>
    </row>
    <row r="4" spans="2:11" ht="16">
      <c r="B4" s="72" t="s">
        <v>145</v>
      </c>
      <c r="C4" s="30" t="str">
        <f>'1.3-Basis ruimtestaat'!G6</f>
        <v>Diverse locaties Leeuwarden e.o.</v>
      </c>
      <c r="D4" s="72"/>
      <c r="E4" s="168"/>
      <c r="F4" s="169"/>
      <c r="G4" s="170"/>
      <c r="H4" s="171"/>
      <c r="I4" s="167"/>
    </row>
    <row r="5" spans="2:11" ht="16">
      <c r="B5" s="72" t="s">
        <v>221</v>
      </c>
      <c r="C5" s="30" t="str">
        <f>'1.3-Basis ruimtestaat'!G7</f>
        <v>0601-36-2013 Perceel 2</v>
      </c>
      <c r="D5" s="172"/>
      <c r="E5" s="168"/>
      <c r="F5" s="169"/>
      <c r="G5" s="170"/>
      <c r="H5" s="171"/>
      <c r="I5" s="167"/>
    </row>
    <row r="6" spans="2:11" ht="16">
      <c r="B6" s="72" t="s">
        <v>159</v>
      </c>
      <c r="C6" s="30" t="str">
        <f>'1.3-Basis ruimtestaat'!G8</f>
        <v>(Invoer naam Inschrijver)</v>
      </c>
      <c r="D6" s="172"/>
      <c r="E6" s="172"/>
      <c r="F6" s="173"/>
      <c r="G6" s="170"/>
      <c r="H6" s="171"/>
      <c r="I6" s="167"/>
      <c r="J6" s="174"/>
      <c r="K6" s="174"/>
    </row>
    <row r="7" spans="2:11" ht="16">
      <c r="B7" s="72" t="s">
        <v>8</v>
      </c>
      <c r="C7" s="520">
        <f>'1.0-Contractblad'!E7</f>
        <v>41275</v>
      </c>
      <c r="D7" s="169"/>
      <c r="E7" s="169"/>
      <c r="F7" s="169"/>
      <c r="G7" s="170"/>
      <c r="H7" s="171"/>
      <c r="I7" s="167"/>
    </row>
    <row r="8" spans="2:11" ht="16">
      <c r="B8" s="175"/>
      <c r="C8" s="169"/>
      <c r="D8" s="169"/>
      <c r="E8" s="169"/>
      <c r="F8" s="169"/>
      <c r="G8" s="170"/>
      <c r="H8" s="171"/>
      <c r="I8" s="167"/>
    </row>
    <row r="9" spans="2:11" ht="18">
      <c r="B9" s="379" t="s">
        <v>186</v>
      </c>
      <c r="C9" s="380"/>
      <c r="D9" s="380"/>
      <c r="E9" s="169"/>
      <c r="F9" s="380"/>
      <c r="G9" s="170"/>
      <c r="H9" s="171"/>
      <c r="I9" s="167"/>
    </row>
    <row r="10" spans="2:11">
      <c r="B10" s="176"/>
      <c r="C10" s="177"/>
      <c r="D10" s="177"/>
      <c r="E10" s="169"/>
      <c r="F10" s="177"/>
      <c r="G10" s="167"/>
      <c r="H10" s="167"/>
      <c r="I10" s="167"/>
    </row>
    <row r="11" spans="2:11">
      <c r="B11" s="377"/>
      <c r="C11" s="378"/>
      <c r="D11" s="403" t="s">
        <v>233</v>
      </c>
      <c r="E11" s="169"/>
      <c r="F11" s="177"/>
      <c r="G11" s="170"/>
      <c r="H11" s="171"/>
      <c r="I11" s="167"/>
    </row>
    <row r="12" spans="2:11">
      <c r="B12" s="546" t="s">
        <v>347</v>
      </c>
      <c r="C12" s="547"/>
      <c r="D12" s="543"/>
      <c r="E12" s="169"/>
      <c r="F12" s="170"/>
      <c r="G12" s="171"/>
      <c r="H12" s="167"/>
    </row>
    <row r="13" spans="2:11">
      <c r="B13" s="546" t="s">
        <v>164</v>
      </c>
      <c r="C13" s="547"/>
      <c r="D13" s="543"/>
      <c r="E13" s="169"/>
      <c r="F13" s="170"/>
      <c r="G13" s="171"/>
      <c r="H13" s="167"/>
    </row>
    <row r="14" spans="2:11">
      <c r="B14" s="548" t="s">
        <v>93</v>
      </c>
      <c r="C14" s="547"/>
      <c r="D14" s="549">
        <f>SUM(D12:D13)</f>
        <v>0</v>
      </c>
      <c r="E14" s="169"/>
      <c r="F14" s="170"/>
      <c r="G14" s="171"/>
      <c r="H14" s="167"/>
      <c r="I14" s="178"/>
    </row>
    <row r="15" spans="2:11">
      <c r="B15" s="550" t="s">
        <v>165</v>
      </c>
      <c r="C15" s="547" t="s">
        <v>348</v>
      </c>
      <c r="D15" s="543"/>
      <c r="E15" s="169"/>
      <c r="F15" s="170"/>
      <c r="G15" s="171"/>
      <c r="H15" s="167"/>
    </row>
    <row r="16" spans="2:11">
      <c r="B16" s="551" t="s">
        <v>166</v>
      </c>
      <c r="C16" s="547"/>
      <c r="D16" s="549">
        <f>D15+D14</f>
        <v>0</v>
      </c>
      <c r="E16" s="169"/>
      <c r="F16" s="170"/>
      <c r="G16" s="171"/>
      <c r="H16" s="167"/>
    </row>
    <row r="17" spans="2:8">
      <c r="B17" s="546" t="s">
        <v>349</v>
      </c>
      <c r="C17" s="547" t="s">
        <v>350</v>
      </c>
      <c r="D17" s="543"/>
      <c r="E17" s="169"/>
      <c r="F17" s="170"/>
      <c r="G17" s="171"/>
      <c r="H17" s="167"/>
    </row>
    <row r="18" spans="2:8">
      <c r="B18" s="546" t="s">
        <v>351</v>
      </c>
      <c r="C18" s="547"/>
      <c r="D18" s="543"/>
      <c r="E18" s="169"/>
      <c r="F18" s="170"/>
      <c r="G18" s="171"/>
      <c r="H18" s="167"/>
    </row>
    <row r="19" spans="2:8">
      <c r="B19" s="550" t="s">
        <v>19</v>
      </c>
      <c r="C19" s="547"/>
      <c r="D19" s="543"/>
      <c r="E19" s="169"/>
      <c r="F19" s="170"/>
      <c r="G19" s="171"/>
      <c r="H19" s="167"/>
    </row>
    <row r="20" spans="2:8">
      <c r="B20" s="546" t="s">
        <v>20</v>
      </c>
      <c r="C20" s="547" t="s">
        <v>352</v>
      </c>
      <c r="D20" s="543"/>
      <c r="E20" s="169"/>
      <c r="F20" s="170"/>
      <c r="G20" s="171"/>
      <c r="H20" s="167"/>
    </row>
    <row r="21" spans="2:8">
      <c r="B21" s="550" t="s">
        <v>353</v>
      </c>
      <c r="C21" s="547" t="s">
        <v>354</v>
      </c>
      <c r="D21" s="552">
        <f>D52</f>
        <v>0</v>
      </c>
      <c r="E21" s="169"/>
      <c r="F21" s="170"/>
      <c r="G21" s="171"/>
      <c r="H21" s="167"/>
    </row>
    <row r="22" spans="2:8">
      <c r="B22" s="550" t="s">
        <v>131</v>
      </c>
      <c r="C22" s="547" t="s">
        <v>355</v>
      </c>
      <c r="D22" s="543"/>
      <c r="E22" s="169"/>
      <c r="F22" s="170"/>
      <c r="G22" s="171"/>
      <c r="H22" s="167"/>
    </row>
    <row r="23" spans="2:8">
      <c r="B23" s="550" t="s">
        <v>132</v>
      </c>
      <c r="C23" s="547"/>
      <c r="D23" s="543"/>
      <c r="E23" s="169"/>
      <c r="F23" s="170"/>
      <c r="G23" s="171"/>
      <c r="H23" s="167"/>
    </row>
    <row r="24" spans="2:8">
      <c r="B24" s="550" t="s">
        <v>133</v>
      </c>
      <c r="C24" s="547" t="s">
        <v>356</v>
      </c>
      <c r="D24" s="543"/>
      <c r="E24" s="169"/>
      <c r="F24" s="170"/>
      <c r="G24" s="171"/>
      <c r="H24" s="167"/>
    </row>
    <row r="25" spans="2:8">
      <c r="B25" s="550" t="s">
        <v>167</v>
      </c>
      <c r="C25" s="547"/>
      <c r="D25" s="543"/>
      <c r="E25" s="169"/>
      <c r="F25" s="170"/>
      <c r="G25" s="171"/>
      <c r="H25" s="167"/>
    </row>
    <row r="26" spans="2:8">
      <c r="B26" s="550"/>
      <c r="C26" s="547"/>
      <c r="D26" s="543"/>
      <c r="E26" s="169"/>
      <c r="F26" s="170"/>
      <c r="G26" s="171"/>
      <c r="H26" s="167"/>
    </row>
    <row r="27" spans="2:8">
      <c r="B27" s="550"/>
      <c r="C27" s="547"/>
      <c r="D27" s="543"/>
      <c r="E27" s="169"/>
      <c r="F27" s="170"/>
      <c r="G27" s="171"/>
      <c r="H27" s="167"/>
    </row>
    <row r="28" spans="2:8">
      <c r="B28" s="550"/>
      <c r="C28" s="547"/>
      <c r="D28" s="543"/>
      <c r="E28" s="169"/>
      <c r="F28" s="170"/>
      <c r="G28" s="171"/>
      <c r="H28" s="167"/>
    </row>
    <row r="29" spans="2:8">
      <c r="B29" s="553"/>
      <c r="C29" s="553" t="s">
        <v>11</v>
      </c>
      <c r="D29" s="554">
        <f>SUM(D16:D28)</f>
        <v>0</v>
      </c>
      <c r="E29" s="169"/>
      <c r="F29" s="170"/>
      <c r="G29" s="171"/>
      <c r="H29" s="167"/>
    </row>
    <row r="30" spans="2:8">
      <c r="B30" s="179"/>
      <c r="C30" s="555"/>
      <c r="D30" s="181"/>
      <c r="E30" s="169"/>
      <c r="F30" s="167"/>
      <c r="G30" s="171"/>
      <c r="H30" s="167"/>
    </row>
    <row r="31" spans="2:8">
      <c r="B31" s="556" t="s">
        <v>357</v>
      </c>
      <c r="C31" s="555"/>
      <c r="D31" s="181"/>
      <c r="E31" s="169"/>
      <c r="F31" s="167"/>
      <c r="G31" s="171"/>
      <c r="H31" s="167"/>
    </row>
    <row r="32" spans="2:8">
      <c r="B32" s="808" t="s">
        <v>358</v>
      </c>
      <c r="C32" s="808"/>
      <c r="D32" s="808"/>
      <c r="E32" s="169"/>
      <c r="F32" s="167"/>
      <c r="G32" s="171"/>
      <c r="H32" s="167"/>
    </row>
    <row r="33" spans="2:11">
      <c r="B33" s="557" t="s">
        <v>359</v>
      </c>
      <c r="C33" s="555"/>
      <c r="D33" s="181"/>
      <c r="E33" s="167"/>
      <c r="F33" s="167"/>
      <c r="G33" s="167"/>
      <c r="H33" s="167"/>
      <c r="I33" s="167"/>
    </row>
    <row r="34" spans="2:11">
      <c r="B34" s="557" t="s">
        <v>360</v>
      </c>
      <c r="C34" s="555"/>
      <c r="D34" s="181"/>
      <c r="E34" s="380"/>
      <c r="F34" s="380"/>
      <c r="G34" s="170"/>
      <c r="H34" s="171"/>
      <c r="I34" s="167"/>
    </row>
    <row r="35" spans="2:11">
      <c r="B35" s="557" t="s">
        <v>361</v>
      </c>
      <c r="C35" s="555"/>
      <c r="D35" s="181"/>
      <c r="E35" s="169"/>
      <c r="F35" s="169"/>
      <c r="G35" s="167"/>
      <c r="H35" s="167"/>
      <c r="I35" s="167"/>
    </row>
    <row r="36" spans="2:11">
      <c r="B36" s="179"/>
      <c r="C36" s="555"/>
      <c r="D36" s="181"/>
      <c r="E36" s="169"/>
      <c r="F36" s="169"/>
      <c r="G36" s="170"/>
      <c r="H36" s="171"/>
      <c r="I36" s="167"/>
    </row>
    <row r="37" spans="2:11">
      <c r="B37" s="182"/>
      <c r="C37" s="165"/>
      <c r="D37" s="183"/>
      <c r="E37" s="169"/>
      <c r="F37" s="169"/>
      <c r="G37" s="170"/>
      <c r="H37" s="171"/>
      <c r="I37" s="167"/>
    </row>
    <row r="38" spans="2:11" ht="18">
      <c r="B38" s="379" t="s">
        <v>224</v>
      </c>
      <c r="C38" s="380"/>
      <c r="D38" s="380"/>
      <c r="E38" s="169"/>
      <c r="F38" s="169"/>
      <c r="G38" s="170"/>
      <c r="H38" s="171"/>
      <c r="I38" s="167"/>
    </row>
    <row r="39" spans="2:11">
      <c r="B39" s="176"/>
      <c r="C39" s="177"/>
      <c r="D39" s="177"/>
      <c r="E39" s="169"/>
      <c r="F39" s="169"/>
      <c r="G39" s="170"/>
      <c r="H39" s="171"/>
      <c r="I39" s="167"/>
    </row>
    <row r="40" spans="2:11">
      <c r="B40" s="390" t="s">
        <v>156</v>
      </c>
      <c r="C40" s="558"/>
      <c r="D40" s="559" t="s">
        <v>362</v>
      </c>
      <c r="E40" s="169"/>
      <c r="F40" s="169"/>
      <c r="G40" s="170"/>
      <c r="H40" s="171"/>
      <c r="I40" s="167"/>
    </row>
    <row r="41" spans="2:11">
      <c r="B41" s="560"/>
      <c r="C41" s="560"/>
      <c r="D41" s="560"/>
      <c r="E41" s="169"/>
      <c r="F41" s="169"/>
      <c r="G41" s="167"/>
      <c r="H41" s="167"/>
      <c r="I41" s="167"/>
    </row>
    <row r="42" spans="2:11">
      <c r="B42" s="393"/>
      <c r="C42" s="394" t="s">
        <v>211</v>
      </c>
      <c r="D42" s="388">
        <f>IF(D38&gt;=D37,0,(D39/D37)*D40)</f>
        <v>0</v>
      </c>
      <c r="E42" s="169"/>
      <c r="F42" s="169"/>
      <c r="G42" s="167"/>
      <c r="H42" s="171"/>
      <c r="I42" s="167"/>
    </row>
    <row r="43" spans="2:11">
      <c r="B43" s="176"/>
      <c r="C43" s="177"/>
      <c r="D43" s="177"/>
      <c r="E43" s="169"/>
      <c r="F43" s="169"/>
      <c r="G43" s="167"/>
      <c r="H43" s="167"/>
      <c r="I43" s="167"/>
    </row>
    <row r="44" spans="2:11" ht="18">
      <c r="B44" s="379" t="s">
        <v>140</v>
      </c>
      <c r="C44" s="380"/>
      <c r="D44" s="380"/>
      <c r="E44" s="380"/>
      <c r="F44" s="380"/>
      <c r="G44" s="170"/>
      <c r="H44" s="171"/>
      <c r="I44" s="167"/>
    </row>
    <row r="45" spans="2:11">
      <c r="B45" s="176"/>
      <c r="C45" s="177"/>
      <c r="D45" s="177"/>
      <c r="E45" s="169"/>
      <c r="F45" s="169"/>
      <c r="G45" s="167"/>
      <c r="H45" s="167"/>
      <c r="I45" s="167"/>
      <c r="J45" s="178"/>
    </row>
    <row r="46" spans="2:11">
      <c r="B46" s="177"/>
      <c r="C46" s="177"/>
      <c r="D46" s="385" t="s">
        <v>134</v>
      </c>
      <c r="F46" s="184"/>
      <c r="G46" s="167"/>
      <c r="H46" s="167"/>
      <c r="I46" s="167"/>
      <c r="J46" s="178"/>
    </row>
    <row r="47" spans="2:11">
      <c r="B47" s="390" t="s">
        <v>135</v>
      </c>
      <c r="C47" s="391"/>
      <c r="D47" s="387">
        <f>'1.5 Opbouw uurtarieven'!Q18</f>
        <v>0</v>
      </c>
      <c r="E47" s="178">
        <v>0</v>
      </c>
      <c r="F47" s="185"/>
      <c r="G47" s="183"/>
      <c r="H47" s="178"/>
      <c r="I47" s="167"/>
      <c r="J47" s="178"/>
      <c r="K47" s="178"/>
    </row>
    <row r="48" spans="2:11">
      <c r="B48" s="390" t="s">
        <v>119</v>
      </c>
      <c r="C48" s="391"/>
      <c r="D48" s="397"/>
      <c r="F48" s="185"/>
      <c r="G48" s="170"/>
      <c r="H48" s="171"/>
      <c r="I48" s="167"/>
      <c r="J48" s="178"/>
      <c r="K48" s="178"/>
    </row>
    <row r="49" spans="2:11">
      <c r="B49" s="390" t="s">
        <v>31</v>
      </c>
      <c r="C49" s="391"/>
      <c r="D49" s="387">
        <f>D47+D48</f>
        <v>0</v>
      </c>
      <c r="F49" s="185"/>
      <c r="G49" s="171"/>
      <c r="I49" s="167"/>
      <c r="J49" s="178"/>
      <c r="K49" s="178"/>
    </row>
    <row r="50" spans="2:11">
      <c r="B50" s="395" t="s">
        <v>32</v>
      </c>
      <c r="C50" s="391"/>
      <c r="D50" s="396"/>
      <c r="F50" s="186"/>
      <c r="G50" s="170"/>
      <c r="H50" s="171"/>
      <c r="I50" s="167"/>
      <c r="J50" s="178"/>
    </row>
    <row r="51" spans="2:11">
      <c r="B51" s="176"/>
      <c r="C51" s="180"/>
      <c r="D51" s="386"/>
      <c r="F51" s="177"/>
      <c r="G51" s="167"/>
      <c r="H51" s="167"/>
      <c r="I51" s="167"/>
      <c r="J51" s="178"/>
    </row>
    <row r="52" spans="2:11">
      <c r="B52" s="393"/>
      <c r="C52" s="394" t="s">
        <v>120</v>
      </c>
      <c r="D52" s="389">
        <f>IF(D49=0,0,(D49/D47)*D50)</f>
        <v>0</v>
      </c>
      <c r="F52" s="187"/>
      <c r="G52" s="167"/>
      <c r="H52" s="171"/>
      <c r="I52" s="188"/>
      <c r="J52" s="178"/>
    </row>
    <row r="53" spans="2:11">
      <c r="B53" s="179"/>
      <c r="C53" s="180"/>
      <c r="D53" s="187"/>
      <c r="F53" s="187"/>
      <c r="G53" s="167"/>
      <c r="H53" s="171"/>
      <c r="I53" s="167"/>
      <c r="J53" s="178"/>
    </row>
    <row r="54" spans="2:11">
      <c r="B54" s="176"/>
      <c r="C54" s="177"/>
      <c r="D54" s="177"/>
      <c r="E54" s="169"/>
      <c r="F54" s="177"/>
      <c r="G54" s="167"/>
      <c r="H54" s="171"/>
      <c r="I54" s="167"/>
    </row>
    <row r="55" spans="2:11">
      <c r="B55" s="176"/>
      <c r="C55" s="177"/>
      <c r="D55" s="177"/>
      <c r="E55" s="169"/>
      <c r="F55" s="177"/>
      <c r="G55" s="167"/>
      <c r="H55" s="167"/>
      <c r="I55" s="167"/>
    </row>
    <row r="56" spans="2:11" ht="18">
      <c r="B56" s="381" t="s">
        <v>12</v>
      </c>
      <c r="C56" s="382"/>
      <c r="D56" s="383"/>
      <c r="E56" s="384"/>
      <c r="F56" s="384"/>
      <c r="G56" s="167"/>
      <c r="H56" s="167"/>
      <c r="I56" s="167"/>
    </row>
    <row r="57" spans="2:11">
      <c r="B57" s="182"/>
      <c r="C57" s="165"/>
      <c r="D57" s="183"/>
      <c r="E57" s="167"/>
      <c r="F57" s="167"/>
      <c r="G57" s="167"/>
      <c r="H57" s="167"/>
      <c r="I57" s="167"/>
    </row>
    <row r="58" spans="2:11">
      <c r="B58" s="182"/>
      <c r="C58" s="398" t="s">
        <v>13</v>
      </c>
      <c r="D58" s="183"/>
      <c r="E58" s="398" t="s">
        <v>68</v>
      </c>
      <c r="F58" s="183"/>
      <c r="G58" s="167"/>
      <c r="H58" s="189"/>
      <c r="I58" s="167"/>
    </row>
    <row r="59" spans="2:11">
      <c r="B59" s="399" t="s">
        <v>14</v>
      </c>
      <c r="C59" s="406"/>
      <c r="D59" s="183"/>
      <c r="E59" s="406"/>
      <c r="F59" s="183"/>
      <c r="G59" s="177"/>
      <c r="H59" s="189"/>
      <c r="I59" s="189"/>
    </row>
    <row r="60" spans="2:11">
      <c r="B60" s="399" t="s">
        <v>15</v>
      </c>
      <c r="C60" s="406"/>
      <c r="D60" s="401"/>
      <c r="E60" s="406"/>
      <c r="F60" s="401"/>
      <c r="G60" s="189"/>
      <c r="H60" s="189"/>
      <c r="I60" s="189"/>
    </row>
    <row r="61" spans="2:11">
      <c r="B61" s="400" t="s">
        <v>16</v>
      </c>
      <c r="C61" s="407"/>
      <c r="D61" s="412">
        <f>C59-C60</f>
        <v>0</v>
      </c>
      <c r="E61" s="521"/>
      <c r="F61" s="522">
        <f>E59-E60</f>
        <v>0</v>
      </c>
      <c r="G61" s="190"/>
      <c r="H61" s="189"/>
      <c r="I61" s="189"/>
    </row>
    <row r="62" spans="2:11">
      <c r="B62" s="400"/>
      <c r="C62" s="408"/>
      <c r="D62" s="405"/>
      <c r="E62" s="523"/>
      <c r="F62" s="405"/>
      <c r="G62" s="190"/>
      <c r="H62" s="189"/>
      <c r="I62" s="189"/>
    </row>
    <row r="63" spans="2:11">
      <c r="B63" s="399" t="s">
        <v>105</v>
      </c>
      <c r="C63" s="406"/>
      <c r="D63" s="402"/>
      <c r="E63" s="406"/>
      <c r="F63" s="402"/>
      <c r="G63" s="167"/>
      <c r="H63" s="189"/>
      <c r="I63" s="189"/>
    </row>
    <row r="64" spans="2:11">
      <c r="B64" s="399" t="s">
        <v>49</v>
      </c>
      <c r="C64" s="406"/>
      <c r="D64" s="402"/>
      <c r="E64" s="406"/>
      <c r="F64" s="402"/>
      <c r="G64" s="167"/>
      <c r="H64" s="189"/>
      <c r="I64" s="189"/>
    </row>
    <row r="65" spans="2:10">
      <c r="B65" s="399" t="s">
        <v>106</v>
      </c>
      <c r="C65" s="406"/>
      <c r="D65" s="402"/>
      <c r="E65" s="406"/>
      <c r="F65" s="402"/>
      <c r="G65" s="167"/>
      <c r="H65" s="189"/>
      <c r="I65" s="189"/>
    </row>
    <row r="66" spans="2:10">
      <c r="B66" s="399" t="s">
        <v>107</v>
      </c>
      <c r="C66" s="406"/>
      <c r="D66" s="402"/>
      <c r="E66" s="406"/>
      <c r="F66" s="402"/>
      <c r="G66" s="167"/>
      <c r="H66" s="189"/>
      <c r="I66" s="189"/>
    </row>
    <row r="67" spans="2:10">
      <c r="B67" s="400" t="s">
        <v>56</v>
      </c>
      <c r="C67" s="409"/>
      <c r="D67" s="412">
        <f>D61-SUM(C63:C66)</f>
        <v>0</v>
      </c>
      <c r="E67" s="524"/>
      <c r="F67" s="522">
        <f>F61-SUM(E63:E66)</f>
        <v>0</v>
      </c>
      <c r="G67" s="167"/>
      <c r="H67" s="189"/>
      <c r="I67" s="189"/>
    </row>
    <row r="68" spans="2:10">
      <c r="B68" s="400"/>
      <c r="C68" s="410"/>
      <c r="D68" s="405"/>
      <c r="E68" s="525"/>
      <c r="F68" s="405"/>
      <c r="G68" s="167"/>
      <c r="H68" s="189"/>
      <c r="I68" s="189"/>
    </row>
    <row r="69" spans="2:10">
      <c r="B69" s="392" t="s">
        <v>126</v>
      </c>
      <c r="C69" s="411">
        <f>IF(C63=0,0,C63/$D$67)</f>
        <v>0</v>
      </c>
      <c r="D69" s="402"/>
      <c r="E69" s="526">
        <f>IF(E63=0,0,E63/$D$67)</f>
        <v>0</v>
      </c>
      <c r="F69" s="402"/>
      <c r="G69" s="167"/>
      <c r="H69" s="189"/>
      <c r="I69" s="189"/>
    </row>
    <row r="70" spans="2:10">
      <c r="B70" s="392" t="s">
        <v>49</v>
      </c>
      <c r="C70" s="411">
        <f>IF(C64=0,0,C64/$D$67)</f>
        <v>0</v>
      </c>
      <c r="D70" s="402"/>
      <c r="E70" s="526">
        <f>IF(E64=0,0,E64/$D$67)</f>
        <v>0</v>
      </c>
      <c r="F70" s="402"/>
      <c r="G70" s="167"/>
      <c r="H70" s="189"/>
      <c r="I70" s="189"/>
    </row>
    <row r="71" spans="2:10">
      <c r="B71" s="392" t="s">
        <v>219</v>
      </c>
      <c r="C71" s="411">
        <f>IF(C65=0,0,C65/$D$67)</f>
        <v>0</v>
      </c>
      <c r="D71" s="402"/>
      <c r="E71" s="526">
        <f>IF(E65=0,0,E65/$D$67)</f>
        <v>0</v>
      </c>
      <c r="F71" s="402"/>
      <c r="G71" s="167"/>
      <c r="H71" s="189"/>
      <c r="I71" s="189"/>
    </row>
    <row r="72" spans="2:10">
      <c r="B72" s="392" t="s">
        <v>107</v>
      </c>
      <c r="C72" s="404">
        <f>IF(C66=0,0,C66/$D$67)</f>
        <v>0</v>
      </c>
      <c r="D72" s="402"/>
      <c r="E72" s="404">
        <f>IF(E66=0,0,E66/$D$67)</f>
        <v>0</v>
      </c>
      <c r="F72" s="402"/>
      <c r="G72" s="167"/>
      <c r="H72" s="191"/>
      <c r="I72" s="192"/>
    </row>
    <row r="73" spans="2:10">
      <c r="B73" s="393"/>
      <c r="C73" s="393" t="s">
        <v>1</v>
      </c>
      <c r="D73" s="561">
        <f>SUM(C69:C72)</f>
        <v>0</v>
      </c>
      <c r="E73" s="393" t="s">
        <v>1</v>
      </c>
      <c r="F73" s="561">
        <f>SUM(E69:E72)</f>
        <v>0</v>
      </c>
      <c r="G73" s="167"/>
      <c r="H73" s="191"/>
      <c r="I73" s="193"/>
    </row>
    <row r="74" spans="2:10">
      <c r="B74" s="194"/>
      <c r="C74" s="194"/>
      <c r="D74" s="194"/>
      <c r="E74" s="167"/>
      <c r="F74" s="167"/>
      <c r="G74" s="167"/>
      <c r="H74" s="162"/>
      <c r="I74" s="162"/>
    </row>
    <row r="75" spans="2:10">
      <c r="B75" s="413" t="s">
        <v>33</v>
      </c>
      <c r="C75" s="195"/>
      <c r="D75" s="195"/>
      <c r="E75" s="195"/>
      <c r="F75" s="195"/>
      <c r="G75" s="162"/>
      <c r="H75" s="162"/>
      <c r="I75" s="162"/>
      <c r="J75" s="178"/>
    </row>
    <row r="76" spans="2:10">
      <c r="B76" s="196"/>
      <c r="C76" s="197"/>
      <c r="D76" s="197"/>
      <c r="E76" s="195"/>
      <c r="F76" s="195"/>
      <c r="G76" s="162"/>
      <c r="H76" s="162"/>
      <c r="I76" s="162"/>
    </row>
  </sheetData>
  <dataConsolidate/>
  <mergeCells count="1">
    <mergeCell ref="B32:D32"/>
  </mergeCells>
  <phoneticPr fontId="10"/>
  <pageMargins left="0.98425196850393704" right="0.59055118110236227" top="1.3779527559055118" bottom="0.78740157480314965" header="0.39370078740157483" footer="0.19685039370078741"/>
  <pageSetup paperSize="9" scale="61" orientation="portrait"/>
  <headerFooter>
    <oddFooter>&amp;L&amp;F-&amp;A_x000D_ICCA b.v. ©&amp;CBlad &amp;P van &amp;N&amp;Rprintversie &amp;D</oddFooter>
  </headerFooter>
  <drawing r:id="rId1"/>
  <extLst>
    <ext xmlns:mx="http://schemas.microsoft.com/office/mac/excel/2008/main" uri="{64002731-A6B0-56B0-2670-7721B7C09600}">
      <mx:PLV Mode="0" OnePage="0" WScale="7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13</vt:i4>
      </vt:variant>
    </vt:vector>
  </HeadingPairs>
  <TitlesOfParts>
    <vt:vector size="13" baseType="lpstr">
      <vt:lpstr>Info blad</vt:lpstr>
      <vt:lpstr>Voorblad</vt:lpstr>
      <vt:lpstr>Uitleg calculatiemodule</vt:lpstr>
      <vt:lpstr>1.0-Contractblad</vt:lpstr>
      <vt:lpstr>1.1-Jaarprijzen</vt:lpstr>
      <vt:lpstr>1.2-Kengetal</vt:lpstr>
      <vt:lpstr>1.3-Basis ruimtestaat</vt:lpstr>
      <vt:lpstr>1.3a-Mutaties</vt:lpstr>
      <vt:lpstr>1.4-Premies en opslagen</vt:lpstr>
      <vt:lpstr>1.5 Opbouw uurtarieven</vt:lpstr>
      <vt:lpstr>1.6-Machine-investeringskosten</vt:lpstr>
      <vt:lpstr>1.8-Afroepprijs</vt:lpstr>
      <vt:lpstr>1.8a-Budget afroep werkzaam.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van leijen</dc:creator>
  <cp:lastModifiedBy>ICCA bv</cp:lastModifiedBy>
  <cp:lastPrinted>2014-04-03T10:49:10Z</cp:lastPrinted>
  <dcterms:created xsi:type="dcterms:W3CDTF">1999-10-05T12:28:40Z</dcterms:created>
  <dcterms:modified xsi:type="dcterms:W3CDTF">2014-05-08T08:35:47Z</dcterms:modified>
</cp:coreProperties>
</file>