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Team Sociaal &amp; Cultureel\Woudenberg\IBMN-2019-WOU-KB-001 Hulp bij het huishouden\03 programma van eisen\"/>
    </mc:Choice>
  </mc:AlternateContent>
  <bookViews>
    <workbookView xWindow="0" yWindow="0" windowWidth="23040" windowHeight="9105" tabRatio="500" firstSheet="2" activeTab="5"/>
  </bookViews>
  <sheets>
    <sheet name="Invulblad HV schaal" sheetId="6" r:id="rId1"/>
    <sheet name="Invulblad CAO" sheetId="1" state="hidden" r:id="rId2"/>
    <sheet name="Pensioenpremie per loonschaal" sheetId="7" r:id="rId3"/>
    <sheet name="Pensioenpremie CAO" sheetId="2" state="hidden" r:id="rId4"/>
    <sheet name="Bruto-netto berekening" sheetId="8" r:id="rId5"/>
    <sheet name="VVT CAO UURLONEN 2018_2019" sheetId="5" r:id="rId6"/>
  </sheets>
  <definedNames>
    <definedName name="_xlnm.Print_Area" localSheetId="4">'Bruto-netto berekening'!$A$1:$D$23</definedName>
    <definedName name="_xlnm.Print_Area" localSheetId="0">'Invulblad HV schaal'!$A$1:$U$57</definedName>
    <definedName name="_xlnm.Print_Area" localSheetId="5">'VVT CAO UURLONEN 2018_2019'!$A$1:$F$17</definedName>
    <definedName name="FWGschaal">'VVT CAO UURLONEN 2018_2019'!$A$20:$A$24</definedName>
    <definedName name="VGN">'VVT CAO UURLONEN 2018_2019'!#REF!</definedName>
    <definedName name="VGNFWG10">'VVT CAO UURLONEN 2018_2019'!#REF!</definedName>
    <definedName name="VGNFWG15">'VVT CAO UURLONEN 2018_2019'!#REF!</definedName>
    <definedName name="VGNFWG20">'VVT CAO UURLONEN 2018_2019'!#REF!</definedName>
    <definedName name="VGNFWG25">'VVT CAO UURLONEN 2018_2019'!#REF!</definedName>
    <definedName name="VGNFWG30">'VVT CAO UURLONEN 2018_2019'!#REF!</definedName>
    <definedName name="VVT">'VVT CAO UURLONEN 2018_2019'!#REF!</definedName>
    <definedName name="VVTFWG10">'VVT CAO UURLONEN 2018_2019'!#REF!</definedName>
    <definedName name="VVTFWG15">'VVT CAO UURLONEN 2018_2019'!#REF!</definedName>
    <definedName name="VVTFWG20">'VVT CAO UURLONEN 2018_2019'!#REF!</definedName>
    <definedName name="VVTFWG25">'VVT CAO UURLONEN 2018_2019'!#REF!</definedName>
    <definedName name="VVTFWG30">'VVT CAO UURLONEN 2018_2019'!#REF!</definedName>
  </definedNames>
  <calcPr calcId="152511"/>
  <extLs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calcChain.xml><?xml version="1.0" encoding="utf-8"?>
<calcChain xmlns="http://schemas.openxmlformats.org/spreadsheetml/2006/main">
  <c r="B5" i="8" l="1"/>
  <c r="B8" i="8" l="1"/>
  <c r="C6" i="8" s="1"/>
  <c r="E25" i="6"/>
  <c r="C5" i="8" l="1"/>
  <c r="E29" i="6" s="1"/>
  <c r="C7" i="8"/>
  <c r="G55" i="6" l="1"/>
  <c r="H5" i="7" l="1"/>
  <c r="G5" i="7"/>
  <c r="F5" i="7"/>
  <c r="E5" i="7"/>
  <c r="D5" i="7"/>
  <c r="C5" i="7"/>
  <c r="H4" i="7"/>
  <c r="G4" i="7"/>
  <c r="F4" i="7"/>
  <c r="E4" i="7"/>
  <c r="D4" i="7"/>
  <c r="C4" i="7"/>
  <c r="L55" i="6"/>
  <c r="K55" i="6"/>
  <c r="J55" i="6"/>
  <c r="J10" i="6" s="1"/>
  <c r="J12" i="6" s="1"/>
  <c r="I55" i="6"/>
  <c r="H55" i="6"/>
  <c r="C3" i="7"/>
  <c r="A1" i="5"/>
  <c r="G10" i="6" s="1"/>
  <c r="G12" i="6" s="1"/>
  <c r="G45" i="1"/>
  <c r="H45" i="1"/>
  <c r="J45" i="1"/>
  <c r="K45" i="1"/>
  <c r="E35" i="1"/>
  <c r="C4" i="2"/>
  <c r="D4" i="2"/>
  <c r="E4" i="2"/>
  <c r="B4" i="2"/>
  <c r="D3" i="2"/>
  <c r="E3" i="2"/>
  <c r="C3" i="2"/>
  <c r="B3" i="2"/>
  <c r="C5" i="2"/>
  <c r="D5" i="2"/>
  <c r="E5" i="2"/>
  <c r="B5" i="2"/>
  <c r="E14" i="1"/>
  <c r="E26" i="1"/>
  <c r="G11" i="6" l="1"/>
  <c r="C7" i="7"/>
  <c r="C8" i="7" s="1"/>
  <c r="K11" i="1"/>
  <c r="K13" i="1" s="1"/>
  <c r="L10" i="6"/>
  <c r="G11" i="1"/>
  <c r="G12" i="1" s="1"/>
  <c r="H10" i="6"/>
  <c r="H12" i="6" s="1"/>
  <c r="H11" i="1"/>
  <c r="J11" i="1"/>
  <c r="K10" i="6"/>
  <c r="K12" i="6" s="1"/>
  <c r="I10" i="6"/>
  <c r="I12" i="6" s="1"/>
  <c r="F7" i="7"/>
  <c r="F8" i="7" s="1"/>
  <c r="J11" i="6"/>
  <c r="E35" i="6"/>
  <c r="E30" i="6"/>
  <c r="E31" i="6" s="1"/>
  <c r="L11" i="6" l="1"/>
  <c r="L12" i="6"/>
  <c r="L13" i="6" s="1"/>
  <c r="L23" i="6" s="1"/>
  <c r="K14" i="1"/>
  <c r="E7" i="2" s="1"/>
  <c r="E8" i="2" s="1"/>
  <c r="H11" i="6"/>
  <c r="H13" i="6" s="1"/>
  <c r="K12" i="1"/>
  <c r="H7" i="7"/>
  <c r="H8" i="7" s="1"/>
  <c r="D7" i="7"/>
  <c r="D8" i="7" s="1"/>
  <c r="G13" i="1"/>
  <c r="G14" i="1" s="1"/>
  <c r="G23" i="1" s="1"/>
  <c r="H12" i="1"/>
  <c r="H13" i="1"/>
  <c r="J13" i="6"/>
  <c r="J20" i="6" s="1"/>
  <c r="E7" i="7"/>
  <c r="E8" i="7" s="1"/>
  <c r="I11" i="6"/>
  <c r="I13" i="6" s="1"/>
  <c r="J12" i="1"/>
  <c r="J13" i="1"/>
  <c r="K11" i="6"/>
  <c r="G7" i="7"/>
  <c r="G8" i="7" s="1"/>
  <c r="K24" i="1" l="1"/>
  <c r="K21" i="1"/>
  <c r="K25" i="1"/>
  <c r="K23" i="1"/>
  <c r="K22" i="1"/>
  <c r="K20" i="1"/>
  <c r="K26" i="1" s="1"/>
  <c r="G22" i="1"/>
  <c r="G13" i="6"/>
  <c r="G24" i="1"/>
  <c r="J24" i="6"/>
  <c r="F9" i="7"/>
  <c r="F10" i="7" s="1"/>
  <c r="F15" i="7" s="1"/>
  <c r="F16" i="7" s="1"/>
  <c r="F18" i="7" s="1"/>
  <c r="J14" i="1"/>
  <c r="J23" i="1" s="1"/>
  <c r="J23" i="6"/>
  <c r="J19" i="6"/>
  <c r="B7" i="2"/>
  <c r="B8" i="2" s="1"/>
  <c r="B13" i="2" s="1"/>
  <c r="B14" i="2" s="1"/>
  <c r="B16" i="2" s="1"/>
  <c r="J21" i="6"/>
  <c r="J22" i="6"/>
  <c r="L21" i="6"/>
  <c r="L22" i="6"/>
  <c r="L24" i="6"/>
  <c r="L19" i="6"/>
  <c r="L20" i="6"/>
  <c r="H9" i="7"/>
  <c r="H10" i="7" s="1"/>
  <c r="K13" i="6"/>
  <c r="K21" i="6" s="1"/>
  <c r="G21" i="1"/>
  <c r="G25" i="1"/>
  <c r="G20" i="1"/>
  <c r="I22" i="6"/>
  <c r="E9" i="7"/>
  <c r="E10" i="7" s="1"/>
  <c r="E23" i="7" s="1"/>
  <c r="E24" i="7" s="1"/>
  <c r="E26" i="7" s="1"/>
  <c r="I16" i="6" s="1"/>
  <c r="I23" i="6"/>
  <c r="I24" i="6"/>
  <c r="I19" i="6"/>
  <c r="I20" i="6"/>
  <c r="I21" i="6"/>
  <c r="H14" i="1"/>
  <c r="E13" i="2"/>
  <c r="E14" i="2" s="1"/>
  <c r="E16" i="2" s="1"/>
  <c r="E21" i="2"/>
  <c r="E22" i="2" s="1"/>
  <c r="E24" i="2" s="1"/>
  <c r="K17" i="1" s="1"/>
  <c r="H20" i="6"/>
  <c r="H21" i="6"/>
  <c r="H19" i="6"/>
  <c r="H23" i="6"/>
  <c r="H22" i="6"/>
  <c r="D9" i="7"/>
  <c r="D10" i="7" s="1"/>
  <c r="H24" i="6"/>
  <c r="J22" i="1" l="1"/>
  <c r="B21" i="2"/>
  <c r="B22" i="2" s="1"/>
  <c r="B24" i="2" s="1"/>
  <c r="G17" i="1" s="1"/>
  <c r="G22" i="6"/>
  <c r="C9" i="7"/>
  <c r="C10" i="7" s="1"/>
  <c r="J20" i="1"/>
  <c r="G24" i="6"/>
  <c r="G19" i="6"/>
  <c r="G23" i="6"/>
  <c r="G21" i="6"/>
  <c r="G20" i="6"/>
  <c r="D7" i="2"/>
  <c r="D8" i="2" s="1"/>
  <c r="D21" i="2" s="1"/>
  <c r="D22" i="2" s="1"/>
  <c r="D24" i="2" s="1"/>
  <c r="J17" i="1" s="1"/>
  <c r="F23" i="7"/>
  <c r="F24" i="7" s="1"/>
  <c r="F26" i="7" s="1"/>
  <c r="J16" i="6" s="1"/>
  <c r="G9" i="7"/>
  <c r="G10" i="7" s="1"/>
  <c r="G23" i="7" s="1"/>
  <c r="G24" i="7" s="1"/>
  <c r="G26" i="7" s="1"/>
  <c r="K16" i="6" s="1"/>
  <c r="J21" i="1"/>
  <c r="J25" i="6"/>
  <c r="J25" i="1"/>
  <c r="J24" i="1"/>
  <c r="L25" i="6"/>
  <c r="K19" i="6"/>
  <c r="G26" i="1"/>
  <c r="K20" i="6"/>
  <c r="K24" i="6"/>
  <c r="K23" i="6"/>
  <c r="I25" i="6"/>
  <c r="H15" i="7"/>
  <c r="H16" i="7" s="1"/>
  <c r="H18" i="7" s="1"/>
  <c r="H23" i="7"/>
  <c r="H24" i="7" s="1"/>
  <c r="H26" i="7" s="1"/>
  <c r="L16" i="6" s="1"/>
  <c r="E15" i="7"/>
  <c r="E16" i="7" s="1"/>
  <c r="E18" i="7" s="1"/>
  <c r="I15" i="6" s="1"/>
  <c r="I17" i="6" s="1"/>
  <c r="K22" i="6"/>
  <c r="H25" i="1"/>
  <c r="H21" i="1"/>
  <c r="C7" i="2"/>
  <c r="C8" i="2" s="1"/>
  <c r="H20" i="1"/>
  <c r="H22" i="1"/>
  <c r="H23" i="1"/>
  <c r="H24" i="1"/>
  <c r="H25" i="6"/>
  <c r="J15" i="6"/>
  <c r="B26" i="2"/>
  <c r="G16" i="1"/>
  <c r="G18" i="1" s="1"/>
  <c r="D15" i="7"/>
  <c r="D16" i="7" s="1"/>
  <c r="D18" i="7" s="1"/>
  <c r="D23" i="7"/>
  <c r="D24" i="7" s="1"/>
  <c r="D26" i="7" s="1"/>
  <c r="H16" i="6" s="1"/>
  <c r="E26" i="2"/>
  <c r="K16" i="1"/>
  <c r="K18" i="1" s="1"/>
  <c r="K28" i="1" s="1"/>
  <c r="C15" i="7" l="1"/>
  <c r="C16" i="7" s="1"/>
  <c r="C18" i="7" s="1"/>
  <c r="G15" i="6" s="1"/>
  <c r="C23" i="7"/>
  <c r="C24" i="7" s="1"/>
  <c r="C26" i="7" s="1"/>
  <c r="G16" i="6" s="1"/>
  <c r="J26" i="1"/>
  <c r="D13" i="2"/>
  <c r="D14" i="2" s="1"/>
  <c r="D16" i="2" s="1"/>
  <c r="G28" i="1"/>
  <c r="G41" i="1" s="1"/>
  <c r="J17" i="6"/>
  <c r="J27" i="6" s="1"/>
  <c r="G25" i="6"/>
  <c r="G15" i="7"/>
  <c r="G16" i="7" s="1"/>
  <c r="G18" i="7" s="1"/>
  <c r="K15" i="6" s="1"/>
  <c r="K17" i="6" s="1"/>
  <c r="F28" i="7"/>
  <c r="I27" i="6"/>
  <c r="I35" i="6" s="1"/>
  <c r="I38" i="6" s="1"/>
  <c r="K25" i="6"/>
  <c r="E28" i="7"/>
  <c r="H26" i="1"/>
  <c r="L15" i="6"/>
  <c r="L17" i="6" s="1"/>
  <c r="L27" i="6" s="1"/>
  <c r="H28" i="7"/>
  <c r="C21" i="2"/>
  <c r="C22" i="2" s="1"/>
  <c r="C24" i="2" s="1"/>
  <c r="H17" i="1" s="1"/>
  <c r="C13" i="2"/>
  <c r="C14" i="2" s="1"/>
  <c r="C16" i="2" s="1"/>
  <c r="D28" i="7"/>
  <c r="H15" i="6"/>
  <c r="H17" i="6" s="1"/>
  <c r="H27" i="6" s="1"/>
  <c r="K40" i="1"/>
  <c r="K32" i="1"/>
  <c r="K35" i="1" s="1"/>
  <c r="K34" i="1"/>
  <c r="K41" i="1"/>
  <c r="K39" i="1"/>
  <c r="K33" i="1"/>
  <c r="G33" i="1"/>
  <c r="G40" i="1"/>
  <c r="G32" i="1"/>
  <c r="G17" i="6" l="1"/>
  <c r="G27" i="6" s="1"/>
  <c r="G30" i="6" s="1"/>
  <c r="G34" i="1"/>
  <c r="G39" i="1"/>
  <c r="J35" i="6"/>
  <c r="J38" i="6" s="1"/>
  <c r="J30" i="6"/>
  <c r="J16" i="1"/>
  <c r="J18" i="1" s="1"/>
  <c r="J28" i="1" s="1"/>
  <c r="D26" i="2"/>
  <c r="C28" i="7"/>
  <c r="J29" i="6"/>
  <c r="J44" i="6"/>
  <c r="K27" i="6"/>
  <c r="K44" i="6" s="1"/>
  <c r="I29" i="6"/>
  <c r="G28" i="7"/>
  <c r="I44" i="6"/>
  <c r="I30" i="6"/>
  <c r="G35" i="1"/>
  <c r="L29" i="6"/>
  <c r="L35" i="6"/>
  <c r="L38" i="6" s="1"/>
  <c r="L30" i="6"/>
  <c r="L44" i="6"/>
  <c r="C26" i="2"/>
  <c r="H16" i="1"/>
  <c r="H18" i="1" s="1"/>
  <c r="H28" i="1" s="1"/>
  <c r="K47" i="1"/>
  <c r="K48" i="1" s="1"/>
  <c r="H44" i="6"/>
  <c r="H29" i="6"/>
  <c r="H30" i="6"/>
  <c r="H35" i="6"/>
  <c r="H38" i="6" s="1"/>
  <c r="G47" i="1" l="1"/>
  <c r="G48" i="1" s="1"/>
  <c r="J31" i="6"/>
  <c r="J40" i="6" s="1"/>
  <c r="J45" i="6" s="1"/>
  <c r="G35" i="6"/>
  <c r="G38" i="6" s="1"/>
  <c r="G44" i="6"/>
  <c r="G29" i="6"/>
  <c r="G31" i="6" s="1"/>
  <c r="J41" i="1"/>
  <c r="J40" i="1"/>
  <c r="J39" i="1"/>
  <c r="J33" i="1"/>
  <c r="J32" i="1"/>
  <c r="J34" i="1"/>
  <c r="I31" i="6"/>
  <c r="I40" i="6" s="1"/>
  <c r="I46" i="6" s="1"/>
  <c r="K29" i="6"/>
  <c r="K30" i="6"/>
  <c r="K35" i="6"/>
  <c r="K38" i="6" s="1"/>
  <c r="L31" i="6"/>
  <c r="L40" i="6" s="1"/>
  <c r="H34" i="1"/>
  <c r="H41" i="1"/>
  <c r="H40" i="1"/>
  <c r="H33" i="1"/>
  <c r="H39" i="1"/>
  <c r="H32" i="1"/>
  <c r="K50" i="1"/>
  <c r="K51" i="1"/>
  <c r="K53" i="1" s="1"/>
  <c r="H31" i="6"/>
  <c r="H40" i="6" s="1"/>
  <c r="G50" i="1"/>
  <c r="G51" i="1"/>
  <c r="G53" i="1" s="1"/>
  <c r="J46" i="6" l="1"/>
  <c r="J51" i="6" s="1"/>
  <c r="G40" i="6"/>
  <c r="G45" i="6" s="1"/>
  <c r="K31" i="6"/>
  <c r="K40" i="6" s="1"/>
  <c r="K45" i="6" s="1"/>
  <c r="I45" i="6"/>
  <c r="I51" i="6" s="1"/>
  <c r="J35" i="1"/>
  <c r="J47" i="1" s="1"/>
  <c r="J48" i="1" s="1"/>
  <c r="J50" i="1" s="1"/>
  <c r="L46" i="6"/>
  <c r="L45" i="6"/>
  <c r="H35" i="1"/>
  <c r="H46" i="6"/>
  <c r="H45" i="6"/>
  <c r="G46" i="6" l="1"/>
  <c r="G51" i="6" s="1"/>
  <c r="J51" i="1"/>
  <c r="J53" i="1" s="1"/>
  <c r="J55" i="1" s="1"/>
  <c r="K46" i="6"/>
  <c r="K51" i="6" s="1"/>
  <c r="L51" i="6"/>
  <c r="H47" i="1"/>
  <c r="H48" i="1" s="1"/>
  <c r="H51" i="6"/>
  <c r="K53" i="6" l="1"/>
  <c r="H50" i="1"/>
  <c r="H51" i="1"/>
  <c r="H53" i="1" s="1"/>
  <c r="G55" i="1" s="1"/>
</calcChain>
</file>

<file path=xl/sharedStrings.xml><?xml version="1.0" encoding="utf-8"?>
<sst xmlns="http://schemas.openxmlformats.org/spreadsheetml/2006/main" count="254" uniqueCount="150">
  <si>
    <t>De groene vensters dienen gevuld te worden met de gegevens van de organisatie.</t>
  </si>
  <si>
    <t>FWG10</t>
  </si>
  <si>
    <t>FWG15</t>
  </si>
  <si>
    <t>HH</t>
  </si>
  <si>
    <t>Aanloopperiodiek 0</t>
  </si>
  <si>
    <t>Ondersteuningsvorm: benaming van gemeente</t>
  </si>
  <si>
    <t>Hulp bij Huishouden</t>
  </si>
  <si>
    <t>Toelichting</t>
  </si>
  <si>
    <t>Aanloopperiodiek 1</t>
  </si>
  <si>
    <t>Hulp bij huishouden</t>
  </si>
  <si>
    <t>[Datum CAO]</t>
  </si>
  <si>
    <t>Loonschaal</t>
  </si>
  <si>
    <t>Periodiek</t>
  </si>
  <si>
    <t>Inzetmix per periodiek</t>
  </si>
  <si>
    <t>Vast component of cao afgeleid</t>
  </si>
  <si>
    <t>%</t>
  </si>
  <si>
    <t>LOONKOSTEN PER UUR</t>
  </si>
  <si>
    <t>Bruto uurloon cao</t>
  </si>
  <si>
    <t>Vakantietoeslag (minimum cao bepaald, zie toelichting)</t>
  </si>
  <si>
    <t>Ja</t>
  </si>
  <si>
    <t>Eindejaarsuitkering (minimum cao bepaald, zie toelichting)</t>
  </si>
  <si>
    <t>Totaal bruto uurloon</t>
  </si>
  <si>
    <t>OP werkgeversdeel (zie werkblad "Pensioenpremie)</t>
  </si>
  <si>
    <t>Zie tabblad 'Pensioenpremie per loonschaal'</t>
  </si>
  <si>
    <t>AP werkgeversdeel (zie werkblad "Pensioenpremie)</t>
  </si>
  <si>
    <t>Totaal pensioenpremies</t>
  </si>
  <si>
    <t>WGA / WIA (+ WKO)</t>
  </si>
  <si>
    <t>WW</t>
  </si>
  <si>
    <t>Sectorfonds</t>
  </si>
  <si>
    <t>ZVW</t>
  </si>
  <si>
    <t>WHK</t>
  </si>
  <si>
    <t>Nee</t>
  </si>
  <si>
    <t>WGA eigen risico; herverzekerd</t>
  </si>
  <si>
    <t xml:space="preserve">Eigen risicodrager: keuze onderneming </t>
  </si>
  <si>
    <t>Totaal Sociale lasten</t>
  </si>
  <si>
    <t>Totaal te verlonen kosten per uur</t>
  </si>
  <si>
    <t>Verlof</t>
  </si>
  <si>
    <t xml:space="preserve">Zie voor rekenpercentage tabblad "Bruto-netto berekening" </t>
  </si>
  <si>
    <t>Scholing</t>
  </si>
  <si>
    <t>Aan te passen op tabblad "Bruto-netto berekening"</t>
  </si>
  <si>
    <t>Totaal verlof &amp; scholing</t>
  </si>
  <si>
    <t>ZIEKTEVERZUIM &amp; REISKOSTEN</t>
  </si>
  <si>
    <t>Ziekteverzuim</t>
  </si>
  <si>
    <t xml:space="preserve">Invullen op tabblad "Bruto-netto berekening" </t>
  </si>
  <si>
    <t>Reiskosten woon-werkverkeer volgens CAO</t>
  </si>
  <si>
    <t>Reiskosten dagvergoeding toe te berekenen per uur</t>
  </si>
  <si>
    <t>Reiskosten client naar client, toe te berekenen per uur</t>
  </si>
  <si>
    <t>Totaal ziekteverzuim &amp; reiskosten</t>
  </si>
  <si>
    <t>Totale kostprijs per uur</t>
  </si>
  <si>
    <t>OVERIGE KOSTEN</t>
  </si>
  <si>
    <t>Niet planbaar wel te verlonen tijd</t>
  </si>
  <si>
    <t>Individueel overleg, teamoverleg, organisatieoverleg, e.d.
Zie voor referentiewaarden Handreiking voor de AMvB reële prijs Wmo (VNG, 2017).</t>
  </si>
  <si>
    <t>Organisatiegebonden overheadkosten</t>
  </si>
  <si>
    <t>Risico &amp; resultaat</t>
  </si>
  <si>
    <t xml:space="preserve">Risico &amp; resultaat. Tevens kunnen hier opgenomen worden kosten als gevolg van gemeentelijke eisen, zoals rapportageverplichtingen en administratieve verplichtingen, of specifieke afspraken over vermindering van kosten. </t>
  </si>
  <si>
    <t>INDEXATIE</t>
  </si>
  <si>
    <t>Indexatiepercentage</t>
  </si>
  <si>
    <t>Vul hier de gekozen methodiek in (gangbaar OVA-index)</t>
  </si>
  <si>
    <t>Ongewogen tarief per uur</t>
  </si>
  <si>
    <t>Gewogen tarief per uur</t>
  </si>
  <si>
    <t>Naam combinatie loonschaal en -periodiek</t>
  </si>
  <si>
    <t>HH-1</t>
  </si>
  <si>
    <t>HH-2</t>
  </si>
  <si>
    <t>CAO keuze</t>
  </si>
  <si>
    <t>VVT</t>
  </si>
  <si>
    <t>FWG schaal</t>
  </si>
  <si>
    <t>FWG20</t>
  </si>
  <si>
    <t>Inzetmix per FWG schaal</t>
  </si>
  <si>
    <t>Vaste componenten of cao afgeleid</t>
  </si>
  <si>
    <t>Pas toe en leg uit</t>
  </si>
  <si>
    <t>Vakantietoeslag (minimum cao bepaald 0,98)</t>
  </si>
  <si>
    <t>Eindejaarsuitkering (minimum cao bepaald (0,94)</t>
  </si>
  <si>
    <t>Beschikking belastingdienst</t>
  </si>
  <si>
    <t>Eigen risicodrager: keuze onderneming</t>
  </si>
  <si>
    <t>KOSTPRIJS PER UUR</t>
  </si>
  <si>
    <t>Bron: Brancheviewer Vernet</t>
  </si>
  <si>
    <t>Kosten niet-werkbare uren claimrecht (verlof, ziekteverzuim, scholing)</t>
  </si>
  <si>
    <t>SECUNDAIR TOE TE BEREKENEN KOSTEN PER UUR</t>
  </si>
  <si>
    <t>Niet planbaar, wel te verlonen tijd</t>
  </si>
  <si>
    <t>Indirect Clientgebonden tijd (%)</t>
  </si>
  <si>
    <t>Rapportage clientdossier, casus overleg</t>
  </si>
  <si>
    <t>Organisatiegebonden tijd (%)</t>
  </si>
  <si>
    <t>Overige administratie, team overleg</t>
  </si>
  <si>
    <t>Eerste reis naar werk</t>
  </si>
  <si>
    <t>Ter vergelijking: onderzoek PWC april 2017 invloed op tarief eerste reis naar werk 3,4% tov de hier gehanteerde 1,9% (€0,28)</t>
  </si>
  <si>
    <t>Totaal reiskosten per uur</t>
  </si>
  <si>
    <t>Overhead over alle bovenstaande posten</t>
  </si>
  <si>
    <t>Totale kosten per uur in te zetten medewerker</t>
  </si>
  <si>
    <t>Opslag voor additionele administratieve lasten</t>
  </si>
  <si>
    <t>Gemeentelijke eisen, inkoopkenmerken, extra accountantscontroles</t>
  </si>
  <si>
    <t>RISICO &amp; MARGE</t>
  </si>
  <si>
    <t>Ongewogen tarief totaal</t>
  </si>
  <si>
    <t>Gewogen tarief</t>
  </si>
  <si>
    <t>Tarief per ondersteuningsvorm met de gekozen FWG inzetmix</t>
  </si>
  <si>
    <t>Berekening pensioenpremie HV schaal</t>
  </si>
  <si>
    <t xml:space="preserve">Ondersteuningsvorm; benaming gemeente </t>
  </si>
  <si>
    <t>Bruto uurloon</t>
  </si>
  <si>
    <t>Brutoloon tbv berekening premie-%</t>
  </si>
  <si>
    <t>Totaal bruto uurloon incl Vak toeslag en EJU</t>
  </si>
  <si>
    <t>Fulltime salaris</t>
  </si>
  <si>
    <t>OP Premie vaststellen</t>
  </si>
  <si>
    <t>% (werkgevers +werknemersdeel)</t>
  </si>
  <si>
    <t xml:space="preserve">Franchise </t>
  </si>
  <si>
    <t>Grondslag</t>
  </si>
  <si>
    <t>Premie (per jaar)</t>
  </si>
  <si>
    <r>
      <t xml:space="preserve">Werkgeversdeel OP </t>
    </r>
    <r>
      <rPr>
        <sz val="11"/>
        <color theme="1"/>
        <rFont val="Calibri"/>
        <family val="2"/>
        <scheme val="minor"/>
      </rPr>
      <t>(toe te passen %, na aftrek franchise)</t>
    </r>
  </si>
  <si>
    <t>AP Premie vaststellen</t>
  </si>
  <si>
    <t>Franchise (= frachisebedrag pensioenfonds)</t>
  </si>
  <si>
    <r>
      <t xml:space="preserve">Werkgeversdeel AP </t>
    </r>
    <r>
      <rPr>
        <sz val="11"/>
        <color theme="1"/>
        <rFont val="Calibri"/>
        <family val="2"/>
        <scheme val="minor"/>
      </rPr>
      <t>(toe te passen %, na aftrek franchise)</t>
    </r>
  </si>
  <si>
    <t>Totaal Werkgeversdeel</t>
  </si>
  <si>
    <t>Berekening pensioenpremie (VVT / VGN beide Pensioenfonds PZW)</t>
  </si>
  <si>
    <t>Cao</t>
  </si>
  <si>
    <t>FWG</t>
  </si>
  <si>
    <r>
      <t>Totaal Bruto uurloon</t>
    </r>
    <r>
      <rPr>
        <i/>
        <sz val="9"/>
        <color theme="1"/>
        <rFont val="Verdana"/>
        <family val="2"/>
      </rPr>
      <t/>
    </r>
  </si>
  <si>
    <t>Bruto-netto berekening</t>
  </si>
  <si>
    <t>CAO percentage</t>
  </si>
  <si>
    <t>Reken-percentage</t>
  </si>
  <si>
    <t>Bruto uren</t>
  </si>
  <si>
    <t>Netto uren</t>
  </si>
  <si>
    <r>
      <rPr>
        <u/>
        <sz val="11"/>
        <color theme="1"/>
        <rFont val="Calibri"/>
        <family val="2"/>
        <scheme val="minor"/>
      </rPr>
      <t>Toelichting</t>
    </r>
    <r>
      <rPr>
        <sz val="11"/>
        <color theme="1"/>
        <rFont val="Calibri"/>
        <family val="2"/>
        <scheme val="minor"/>
      </rPr>
      <t xml:space="preserve">: </t>
    </r>
  </si>
  <si>
    <t>De netto berekening is gebaseerd op de aangegeven verplichtende factoren (o.g.v. de cao-VVT en wetgeving)</t>
  </si>
  <si>
    <t>van improductiviteit. Deze verplichtende factoren gelden evenzeer voor de (kosten van) vervanging gedurende verlof, scholing en ziekteverzuim.</t>
  </si>
  <si>
    <t>Dit is derhalve in de rekenpercentages meegenomen.</t>
  </si>
  <si>
    <t>Schaal</t>
  </si>
  <si>
    <t>HH0</t>
  </si>
  <si>
    <t>HH1</t>
  </si>
  <si>
    <t>HH2</t>
  </si>
  <si>
    <t>HH3</t>
  </si>
  <si>
    <t>HH4</t>
  </si>
  <si>
    <t>HH5</t>
  </si>
  <si>
    <t>Vakantiebijslag</t>
  </si>
  <si>
    <t>Minimum vakantiebijslag</t>
  </si>
  <si>
    <t>HbH Schaal</t>
  </si>
  <si>
    <t>HbH</t>
  </si>
  <si>
    <t xml:space="preserve">Vul hier de periodiek(en) in waarmee u wilt rekenen. </t>
  </si>
  <si>
    <t>Reiskosten/reistijd toe te berekenen per uur (het kan hier gaan om een combinatie van reiskosten en/of reistijd, artikel 1.1 lid 4 CAO-VVT)</t>
  </si>
  <si>
    <t>Bij inzet van werknemers in verschillende periodieken kunt u hier per kolom het aandeel van de betreffende periodieken in de totale inzet invullen. Het totaal van de kolommen moet gelijk zijn aan 100. Als u geen percentage invult, wordt de kolom niet meegeteld in de berekening van het gewogen tarief.</t>
  </si>
  <si>
    <t>Bruto uurloon wordt automatisch ingevuld na selecteren van HbH loonschaal en periodiek. 
De CAO VVT is van toepassing.</t>
  </si>
  <si>
    <t>Hier is de HbH loonschaal ingevuld conform artikel 3.2A CAO-VVT. NB: De HbH schaal is o.g.v. artikel 3.2A lid 1 CAO-VVT alleen van toepassing als de AMvB reële tarieven van toepassing is. Dit is het geval voor Wmo/HbH contracten waarvan de aankondiging van een overheidsopdracht vanaf  1 juni 2017 heeft plaatsgevonden en voor contracten die vanaf 1 juni 2017 zijn verlengd.  Zie Besluit van 28 maart 2017, Staatsblad 2017, nr. 158 inzake de inwerkingtreding van de AMvB reële tarieven.</t>
  </si>
  <si>
    <t>In de cao VVT (2018-2019) is opgenomen dat het scholingsbudget minimaal 2% van de loonsom bedraagt (Artikel 10.1A). Hier is dat vertaald in 2% van de indirecte tijd. In het rekenpercentage is tevens rekening gehouden met kosten van vervanging tijdens scholing</t>
  </si>
  <si>
    <t>Rekentool voor berekening tarieven HbH tbv onderhandelingen tot en met eind 2018.                                                                                                                                                          De groene vensters dienen gevuld te worden met de gegevens van de organisatie.</t>
  </si>
  <si>
    <t>Verlofuren zijn 202,4 vanaf 1/1/2017. Extra bovenwettelijke verlofuren zijn 35. Dit wordt aangevuld met 1 dag voor verlof bijzondere gebeurtenissen (totaal 202,4 + 35 + 7,2 = 244,6). Het totaal aantal in te zetten uren per jaar obv 36 uur per week is afgerond 1877,14. In het rekenpercentage is nog geen rekening gehouden met kosten van vervanging tijdens verlof en met de extra verlofuren in verband met de CAO-artikelen 6.2 en 6.3, waarmee aanvullende verlofuren geregeld zijn voor medewerkers  die per 31 december 2011 50 jaar of ouder waren. Aanpassing van dit percentage in verband met groot aandeel 50 plussers is mogelijk.</t>
  </si>
  <si>
    <t>Overhead organisatie: Management, administratie, ICT, huisvesting, materiele kosten  e.d. obv. marktgemiddelde. Omvang wisselt per organisatie. Zie voor referentiewaarden Handreiking voor de AMvB reële prijs Wmo (VNG, 2017). Zie tevens Benchmark Care Berenschot (2017).</t>
  </si>
  <si>
    <t>Uurloon 1-4-2019</t>
  </si>
  <si>
    <r>
      <t xml:space="preserve">Minimum vakantiebijslag is </t>
    </r>
    <r>
      <rPr>
        <sz val="11"/>
        <color rgb="FFFF0000"/>
        <rFont val="Calibri"/>
        <family val="2"/>
        <scheme val="minor"/>
      </rPr>
      <t>€ 1934,78 per 1 mei 2019</t>
    </r>
    <r>
      <rPr>
        <sz val="11"/>
        <color theme="1"/>
        <rFont val="Calibri"/>
        <family val="2"/>
        <scheme val="minor"/>
      </rPr>
      <t xml:space="preserve"> (met 1.878 uur in een jaar is dat </t>
    </r>
    <r>
      <rPr>
        <sz val="11"/>
        <color rgb="FFFF0000"/>
        <rFont val="Calibri"/>
        <family val="2"/>
        <scheme val="minor"/>
      </rPr>
      <t>€1,03 per uur</t>
    </r>
    <r>
      <rPr>
        <sz val="11"/>
        <color theme="1"/>
        <rFont val="Calibri"/>
        <family val="2"/>
        <scheme val="minor"/>
      </rPr>
      <t xml:space="preserve">). De minimum vakantiebijslag wordt jaarlijks verhoogd met eventuele algemene loonaanpassingen die in het kader van de cao plaatsvinden. Op grond van de cao VVT per 1 april 2018 wordt (loon)indexering toegepast en wordt de minimum vakantiebijslag dus ook  verhoogd. </t>
    </r>
  </si>
  <si>
    <t>Premie 2019</t>
  </si>
  <si>
    <r>
      <t xml:space="preserve">Percentage is afhankelijk van de omvang van de werkgever en type werkgever.
Bij het vaststellen van de individuele premiepercentages gelden per premiecomponent de volgende grenzen in </t>
    </r>
    <r>
      <rPr>
        <sz val="11"/>
        <color rgb="FFFF0000"/>
        <rFont val="Calibri"/>
        <family val="2"/>
        <scheme val="minor"/>
      </rPr>
      <t>2019</t>
    </r>
    <r>
      <rPr>
        <sz val="11"/>
        <color theme="1"/>
        <rFont val="Calibri"/>
        <family val="2"/>
        <scheme val="minor"/>
      </rPr>
      <t xml:space="preserve">:
</t>
    </r>
    <r>
      <rPr>
        <u/>
        <sz val="11"/>
        <color theme="1"/>
        <rFont val="Calibri"/>
        <family val="2"/>
        <scheme val="minor"/>
      </rPr>
      <t xml:space="preserve">Voor de premiecomponent WGA: </t>
    </r>
    <r>
      <rPr>
        <sz val="11"/>
        <color theme="1"/>
        <rFont val="Calibri"/>
        <family val="2"/>
        <scheme val="minor"/>
      </rPr>
      <t xml:space="preserve">
minimumpercentage 0,18% 
maximumpercentage 3,00%
gemiddelde percentage (over alle sectoren) 0,75%
</t>
    </r>
    <r>
      <rPr>
        <u/>
        <sz val="11"/>
        <color theme="1"/>
        <rFont val="Calibri"/>
        <family val="2"/>
        <scheme val="minor"/>
      </rPr>
      <t xml:space="preserve">Voor de premiecomponent Ziektewet-flex: </t>
    </r>
    <r>
      <rPr>
        <sz val="11"/>
        <color theme="1"/>
        <rFont val="Calibri"/>
        <family val="2"/>
        <scheme val="minor"/>
      </rPr>
      <t xml:space="preserve">
minimumpercentage 0,1% 
maximumpercentage </t>
    </r>
    <r>
      <rPr>
        <sz val="11"/>
        <color rgb="FFFF0000"/>
        <rFont val="Calibri"/>
        <family val="2"/>
        <scheme val="minor"/>
      </rPr>
      <t>1,72</t>
    </r>
    <r>
      <rPr>
        <sz val="11"/>
        <color theme="1"/>
        <rFont val="Calibri"/>
        <family val="2"/>
        <scheme val="minor"/>
      </rPr>
      <t xml:space="preserve">%
gemiddelde percentage (over alle sectoren) </t>
    </r>
    <r>
      <rPr>
        <sz val="11"/>
        <color rgb="FFFF0000"/>
        <rFont val="Calibri"/>
        <family val="2"/>
        <scheme val="minor"/>
      </rPr>
      <t>0,43</t>
    </r>
    <r>
      <rPr>
        <sz val="11"/>
        <color theme="1"/>
        <rFont val="Calibri"/>
        <family val="2"/>
        <scheme val="minor"/>
      </rPr>
      <t>%
Het landelijke percentage voor</t>
    </r>
    <r>
      <rPr>
        <sz val="11"/>
        <color rgb="FFFF0000"/>
        <rFont val="Calibri"/>
        <family val="2"/>
        <scheme val="minor"/>
      </rPr>
      <t xml:space="preserve"> 2019</t>
    </r>
    <r>
      <rPr>
        <sz val="11"/>
        <color theme="1"/>
        <rFont val="Calibri"/>
        <family val="2"/>
        <scheme val="minor"/>
      </rPr>
      <t xml:space="preserve"> is door UWV/SZW vastgesteld op: 1,1% (WGA: </t>
    </r>
    <r>
      <rPr>
        <sz val="11"/>
        <color rgb="FFFF0000"/>
        <rFont val="Calibri"/>
        <family val="2"/>
        <scheme val="minor"/>
      </rPr>
      <t>0,80</t>
    </r>
    <r>
      <rPr>
        <sz val="11"/>
        <color theme="1"/>
        <rFont val="Calibri"/>
        <family val="2"/>
        <scheme val="minor"/>
      </rPr>
      <t xml:space="preserve">% + Ziektewet Flex 0,33% = </t>
    </r>
    <r>
      <rPr>
        <sz val="11"/>
        <color rgb="FFFF0000"/>
        <rFont val="Calibri"/>
        <family val="2"/>
        <scheme val="minor"/>
      </rPr>
      <t>1,13</t>
    </r>
    <r>
      <rPr>
        <sz val="11"/>
        <color theme="1"/>
        <rFont val="Calibri"/>
        <family val="2"/>
        <scheme val="minor"/>
      </rPr>
      <t xml:space="preserve">%).
Daarnaast kan de premie hoger zijn, afhankelijk van de schadelast van de betreffende instelling (zie pagina 12: </t>
    </r>
    <r>
      <rPr>
        <sz val="11"/>
        <color rgb="FFFF0000"/>
        <rFont val="Calibri"/>
        <family val="2"/>
        <scheme val="minor"/>
      </rPr>
      <t>https://www.uwv.nl/overuwv/Images/premienota-whk-2019.pdf</t>
    </r>
    <r>
      <rPr>
        <sz val="11"/>
        <color theme="1"/>
        <rFont val="Calibri"/>
        <family val="2"/>
        <scheme val="minor"/>
      </rPr>
      <t>).</t>
    </r>
  </si>
  <si>
    <r>
      <t xml:space="preserve">Tariefvoorbeeld </t>
    </r>
    <r>
      <rPr>
        <b/>
        <sz val="14"/>
        <color rgb="FFFF0000"/>
        <rFont val="Calibri"/>
        <family val="2"/>
        <scheme val="minor"/>
      </rPr>
      <t>2019</t>
    </r>
    <r>
      <rPr>
        <b/>
        <sz val="14"/>
        <color theme="1"/>
        <rFont val="Calibri"/>
        <family val="2"/>
        <scheme val="minor"/>
      </rPr>
      <t xml:space="preserve"> met de gekozen periodieke inzetmix </t>
    </r>
  </si>
  <si>
    <r>
      <t xml:space="preserve">De </t>
    </r>
    <r>
      <rPr>
        <b/>
        <sz val="11"/>
        <color theme="1"/>
        <rFont val="Calibri"/>
        <family val="2"/>
        <scheme val="minor"/>
      </rPr>
      <t>opbouw</t>
    </r>
    <r>
      <rPr>
        <sz val="11"/>
        <color theme="1"/>
        <rFont val="Calibri"/>
        <family val="2"/>
        <scheme val="minor"/>
      </rPr>
      <t xml:space="preserve"> van de eindejaarsuitkering is gebaseerd op:
</t>
    </r>
    <r>
      <rPr>
        <strike/>
        <sz val="11"/>
        <color rgb="FFFF0000"/>
        <rFont val="Calibri"/>
        <family val="2"/>
        <scheme val="minor"/>
      </rPr>
      <t>- per 1 januari 2017: 7,0 % van het verdiende bruto salaris in de periode januari tot en met november 2017;</t>
    </r>
    <r>
      <rPr>
        <sz val="11"/>
        <color theme="1"/>
        <rFont val="Calibri"/>
        <family val="2"/>
        <scheme val="minor"/>
      </rPr>
      <t xml:space="preserve">
</t>
    </r>
    <r>
      <rPr>
        <strike/>
        <sz val="11"/>
        <color rgb="FFFF0000"/>
        <rFont val="Calibri"/>
        <family val="2"/>
        <scheme val="minor"/>
      </rPr>
      <t>- per 1 december 2017: 7,4 % van het verdiende bruto salaris in de periode december 2017 tot en met november 2018;</t>
    </r>
    <r>
      <rPr>
        <sz val="11"/>
        <color theme="1"/>
        <rFont val="Calibri"/>
        <family val="2"/>
        <scheme val="minor"/>
      </rPr>
      <t xml:space="preserve">
- per 1 december 2018: 7,4 % van het verdiende bruto salaris in de periode december 2018 tot en met november 2019;
- per 1 december 2019: 8,33 % van het verdiende bruto salaris in de periode december 2019 tot en met november 2020;
</t>
    </r>
    <r>
      <rPr>
        <b/>
        <sz val="11"/>
        <color theme="1"/>
        <rFont val="Calibri"/>
        <family val="2"/>
        <scheme val="minor"/>
      </rPr>
      <t>Minimum</t>
    </r>
    <r>
      <rPr>
        <sz val="11"/>
        <color theme="1"/>
        <rFont val="Calibri"/>
        <family val="2"/>
        <scheme val="minor"/>
      </rPr>
      <t>: Als de werknemer 22 jaar of ouder is, wordt de eindejaarsuitkering tenminste berekend over het actuele bedrag van inpassingstabelnummer 12 dat van toepassing is. Per 1 oktober 2018: € 13,17. (Tot 1 oktober 2018: € 12,66)</t>
    </r>
  </si>
  <si>
    <r>
      <t xml:space="preserve">Ziekteverzuim wisselt per organisatie.
Het gemiddelde in de VVT-sector is volgens brancheviewer Vernet </t>
    </r>
    <r>
      <rPr>
        <sz val="11"/>
        <color rgb="FFFF0000"/>
        <rFont val="Calibri"/>
        <family val="2"/>
        <scheme val="minor"/>
      </rPr>
      <t>7,12</t>
    </r>
    <r>
      <rPr>
        <sz val="11"/>
        <color theme="1"/>
        <rFont val="Calibri"/>
        <family val="2"/>
        <scheme val="minor"/>
      </rPr>
      <t>% (jaar 2018-Q4).
Het gemiddelde in de zorgsector breed is volgens CBS in het eerste kwartaal van 2018 6,5% (niet-representatief voor hulp bij het huishouden).</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</si>
</sst>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0;###0"/>
  </numFmts>
  <fonts count="36"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sz val="9"/>
      <color theme="1"/>
      <name val="Verdana"/>
      <family val="2"/>
    </font>
    <font>
      <i/>
      <sz val="9"/>
      <color theme="1"/>
      <name val="Verdana"/>
      <family val="2"/>
    </font>
    <font>
      <sz val="11"/>
      <color theme="1"/>
      <name val="Calibri"/>
      <family val="2"/>
      <scheme val="minor"/>
    </font>
    <font>
      <b/>
      <sz val="11"/>
      <color theme="1"/>
      <name val="Calibri"/>
      <family val="2"/>
      <scheme val="minor"/>
    </font>
    <font>
      <b/>
      <i/>
      <sz val="11"/>
      <color theme="1"/>
      <name val="Calibri"/>
      <family val="2"/>
      <scheme val="minor"/>
    </font>
    <font>
      <sz val="14"/>
      <color theme="1"/>
      <name val="Calibri"/>
      <family val="2"/>
      <scheme val="minor"/>
    </font>
    <font>
      <b/>
      <sz val="14"/>
      <color theme="1"/>
      <name val="Calibri"/>
      <family val="2"/>
      <scheme val="minor"/>
    </font>
    <font>
      <u/>
      <sz val="12"/>
      <color theme="10"/>
      <name val="Calibri"/>
      <family val="2"/>
      <scheme val="minor"/>
    </font>
    <font>
      <sz val="10"/>
      <color rgb="FF000000"/>
      <name val="Times New Roman"/>
      <family val="1"/>
    </font>
    <font>
      <sz val="9"/>
      <color rgb="FF000000"/>
      <name val="Verdana"/>
      <family val="2"/>
    </font>
    <font>
      <b/>
      <sz val="9"/>
      <color rgb="FF000000"/>
      <name val="Verdana"/>
      <family val="2"/>
    </font>
    <font>
      <b/>
      <sz val="9"/>
      <name val="Verdana"/>
      <family val="2"/>
    </font>
    <font>
      <sz val="11"/>
      <color rgb="FF000000"/>
      <name val="Calibri"/>
      <family val="2"/>
    </font>
    <font>
      <sz val="10"/>
      <color theme="1"/>
      <name val="Verdana"/>
      <family val="2"/>
    </font>
    <font>
      <sz val="8"/>
      <name val="Calibri"/>
      <family val="2"/>
      <scheme val="minor"/>
    </font>
    <font>
      <b/>
      <i/>
      <sz val="12"/>
      <color theme="1"/>
      <name val="Calibri"/>
      <family val="2"/>
      <scheme val="minor"/>
    </font>
    <font>
      <sz val="10"/>
      <color theme="1"/>
      <name val="Arial"/>
      <family val="2"/>
    </font>
    <font>
      <u/>
      <sz val="11"/>
      <color theme="1"/>
      <name val="Calibri"/>
      <family val="2"/>
      <scheme val="minor"/>
    </font>
    <font>
      <sz val="12"/>
      <color rgb="FFFF0000"/>
      <name val="Calibri"/>
      <family val="2"/>
      <scheme val="minor"/>
    </font>
    <font>
      <sz val="10"/>
      <color rgb="FFFF0000"/>
      <name val="Arial"/>
      <family val="2"/>
    </font>
    <font>
      <sz val="12"/>
      <name val="Calibri"/>
      <family val="2"/>
      <scheme val="minor"/>
    </font>
    <font>
      <b/>
      <sz val="9"/>
      <color rgb="FFFF0000"/>
      <name val="Verdana"/>
      <family val="2"/>
    </font>
    <font>
      <b/>
      <i/>
      <sz val="13"/>
      <color theme="1"/>
      <name val="Calibri"/>
      <family val="2"/>
      <scheme val="minor"/>
    </font>
    <font>
      <sz val="13"/>
      <color theme="1"/>
      <name val="Calibri"/>
      <family val="2"/>
      <scheme val="minor"/>
    </font>
    <font>
      <sz val="11"/>
      <color rgb="FFFF0000"/>
      <name val="Calibri"/>
      <family val="2"/>
      <scheme val="minor"/>
    </font>
    <font>
      <strike/>
      <sz val="11"/>
      <color rgb="FFFF0000"/>
      <name val="Calibri"/>
      <family val="2"/>
      <scheme val="minor"/>
    </font>
    <font>
      <b/>
      <sz val="14"/>
      <color rgb="FFFF0000"/>
      <name val="Calibri"/>
      <family val="2"/>
      <scheme val="minor"/>
    </font>
  </fonts>
  <fills count="10">
    <fill>
      <patternFill patternType="none"/>
    </fill>
    <fill>
      <patternFill patternType="gray125"/>
    </fill>
    <fill>
      <patternFill patternType="solid">
        <fgColor theme="0" tint="-4.9989318521683403E-2"/>
        <bgColor indexed="64"/>
      </patternFill>
    </fill>
    <fill>
      <patternFill patternType="solid">
        <fgColor rgb="FFF1F1F1"/>
      </patternFill>
    </fill>
    <fill>
      <patternFill patternType="solid">
        <fgColor theme="8" tint="0.39997558519241921"/>
        <bgColor indexed="64"/>
      </patternFill>
    </fill>
    <fill>
      <patternFill patternType="solid">
        <fgColor theme="8"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FFC000"/>
        <bgColor indexed="64"/>
      </patternFill>
    </fill>
  </fills>
  <borders count="6">
    <border>
      <left/>
      <right/>
      <top/>
      <bottom/>
      <diagonal/>
    </border>
    <border>
      <left style="thin">
        <color auto="1"/>
      </left>
      <right style="thin">
        <color auto="1"/>
      </right>
      <top style="thin">
        <color auto="1"/>
      </top>
      <bottom style="thin">
        <color auto="1"/>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right/>
      <top/>
      <bottom style="thin">
        <color auto="1"/>
      </bottom>
      <diagonal/>
    </border>
  </borders>
  <cellStyleXfs count="34">
    <xf numFmtId="0" fontId="0" fillId="0" borderId="0"/>
    <xf numFmtId="164" fontId="7" fillId="0" borderId="0" applyFont="0" applyFill="0" applyBorder="0" applyAlignment="0" applyProtection="0"/>
    <xf numFmtId="9" fontId="7" fillId="0" borderId="0" applyFont="0" applyFill="0" applyBorder="0" applyAlignment="0" applyProtection="0"/>
    <xf numFmtId="0" fontId="9" fillId="0" borderId="0"/>
    <xf numFmtId="0" fontId="16" fillId="0" borderId="0" applyNumberFormat="0" applyFill="0" applyBorder="0" applyAlignment="0" applyProtection="0"/>
    <xf numFmtId="0" fontId="17" fillId="0" borderId="0"/>
    <xf numFmtId="44" fontId="17" fillId="0" borderId="0" applyFont="0" applyFill="0" applyBorder="0" applyAlignment="0" applyProtection="0"/>
    <xf numFmtId="9" fontId="11" fillId="0" borderId="0" applyFont="0" applyFill="0" applyBorder="0" applyAlignment="0" applyProtection="0"/>
    <xf numFmtId="0" fontId="11" fillId="0" borderId="0"/>
    <xf numFmtId="0" fontId="21" fillId="0" borderId="0"/>
    <xf numFmtId="44" fontId="2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7" fillId="0" borderId="0" applyFont="0" applyFill="0" applyBorder="0" applyAlignment="0" applyProtection="0"/>
    <xf numFmtId="9" fontId="11"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44" fontId="9" fillId="0" borderId="0" applyFont="0" applyFill="0" applyBorder="0" applyAlignment="0" applyProtection="0"/>
    <xf numFmtId="44" fontId="9" fillId="0" borderId="0" applyFont="0" applyFill="0" applyBorder="0" applyAlignment="0" applyProtection="0"/>
    <xf numFmtId="44" fontId="11" fillId="0" borderId="0" applyFont="0" applyFill="0" applyBorder="0" applyAlignment="0" applyProtection="0"/>
    <xf numFmtId="44" fontId="22" fillId="0" borderId="0" applyFont="0" applyFill="0" applyBorder="0" applyAlignment="0" applyProtection="0"/>
    <xf numFmtId="0" fontId="25" fillId="0" borderId="0"/>
    <xf numFmtId="44" fontId="25" fillId="0" borderId="0" applyFont="0" applyFill="0" applyBorder="0" applyAlignment="0" applyProtection="0"/>
    <xf numFmtId="43" fontId="25" fillId="0" borderId="0" applyFont="0" applyFill="0" applyBorder="0" applyAlignment="0" applyProtection="0"/>
    <xf numFmtId="165" fontId="7" fillId="0" borderId="0" applyFont="0" applyFill="0" applyBorder="0" applyAlignment="0" applyProtection="0"/>
  </cellStyleXfs>
  <cellXfs count="298">
    <xf numFmtId="0" fontId="0" fillId="0" borderId="0" xfId="0"/>
    <xf numFmtId="0" fontId="0" fillId="5" borderId="0" xfId="0" applyFill="1"/>
    <xf numFmtId="0" fontId="8" fillId="5" borderId="0" xfId="0" applyFont="1" applyFill="1"/>
    <xf numFmtId="0" fontId="0" fillId="5" borderId="0" xfId="0" applyFill="1" applyAlignment="1">
      <alignment horizontal="center"/>
    </xf>
    <xf numFmtId="0" fontId="8" fillId="5" borderId="0" xfId="0" applyFont="1" applyFill="1" applyAlignment="1">
      <alignment horizontal="center"/>
    </xf>
    <xf numFmtId="0" fontId="0" fillId="6" borderId="0" xfId="0" applyFill="1"/>
    <xf numFmtId="0" fontId="0" fillId="6" borderId="0" xfId="0" applyFill="1" applyAlignment="1">
      <alignment horizontal="center"/>
    </xf>
    <xf numFmtId="0" fontId="0" fillId="6" borderId="0" xfId="0" applyFont="1" applyFill="1"/>
    <xf numFmtId="10" fontId="0" fillId="6" borderId="0" xfId="2" applyNumberFormat="1" applyFont="1" applyFill="1"/>
    <xf numFmtId="164" fontId="0" fillId="6" borderId="0" xfId="0" applyNumberFormat="1" applyFill="1" applyAlignment="1">
      <alignment horizontal="center"/>
    </xf>
    <xf numFmtId="0" fontId="8" fillId="6" borderId="0" xfId="0" applyFont="1" applyFill="1"/>
    <xf numFmtId="164" fontId="8" fillId="6" borderId="0" xfId="0" applyNumberFormat="1" applyFont="1" applyFill="1" applyAlignment="1">
      <alignment horizontal="center"/>
    </xf>
    <xf numFmtId="164" fontId="8" fillId="6" borderId="0" xfId="1" applyFont="1" applyFill="1" applyAlignment="1">
      <alignment horizontal="center"/>
    </xf>
    <xf numFmtId="10" fontId="0" fillId="6" borderId="0" xfId="0" applyNumberFormat="1" applyFill="1"/>
    <xf numFmtId="0" fontId="8" fillId="6" borderId="0" xfId="0" applyFont="1" applyFill="1" applyAlignment="1">
      <alignment horizontal="center"/>
    </xf>
    <xf numFmtId="10" fontId="8" fillId="6" borderId="0" xfId="0" applyNumberFormat="1" applyFont="1" applyFill="1"/>
    <xf numFmtId="164" fontId="8" fillId="6" borderId="0" xfId="1" applyFont="1" applyFill="1"/>
    <xf numFmtId="0" fontId="0" fillId="7" borderId="0" xfId="0" applyFill="1" applyAlignment="1">
      <alignment horizontal="center"/>
    </xf>
    <xf numFmtId="0" fontId="0" fillId="7" borderId="0" xfId="0" applyFill="1"/>
    <xf numFmtId="0" fontId="14" fillId="6" borderId="0" xfId="0" applyFont="1" applyFill="1"/>
    <xf numFmtId="0" fontId="0" fillId="6" borderId="2" xfId="0" applyFill="1" applyBorder="1"/>
    <xf numFmtId="0" fontId="0" fillId="6" borderId="2" xfId="0" applyFill="1" applyBorder="1" applyAlignment="1">
      <alignment horizontal="center"/>
    </xf>
    <xf numFmtId="164" fontId="0" fillId="6" borderId="2" xfId="1" applyFont="1" applyFill="1" applyBorder="1" applyAlignment="1">
      <alignment horizontal="center"/>
    </xf>
    <xf numFmtId="0" fontId="0" fillId="6" borderId="3" xfId="0" applyFill="1" applyBorder="1"/>
    <xf numFmtId="0" fontId="0" fillId="6" borderId="3" xfId="0" applyFill="1" applyBorder="1" applyAlignment="1">
      <alignment horizontal="center"/>
    </xf>
    <xf numFmtId="10" fontId="0" fillId="6" borderId="3" xfId="0" applyNumberFormat="1" applyFill="1" applyBorder="1"/>
    <xf numFmtId="164" fontId="0" fillId="6" borderId="3" xfId="1" applyFont="1" applyFill="1" applyBorder="1" applyAlignment="1">
      <alignment horizontal="center"/>
    </xf>
    <xf numFmtId="10" fontId="0" fillId="6" borderId="3" xfId="2" applyNumberFormat="1" applyFont="1" applyFill="1" applyBorder="1"/>
    <xf numFmtId="0" fontId="8" fillId="6" borderId="3" xfId="0" applyFont="1" applyFill="1" applyBorder="1" applyAlignment="1">
      <alignment horizontal="center"/>
    </xf>
    <xf numFmtId="10" fontId="0" fillId="6" borderId="2" xfId="0" applyNumberFormat="1" applyFill="1" applyBorder="1"/>
    <xf numFmtId="10" fontId="0" fillId="6" borderId="2" xfId="2" applyNumberFormat="1" applyFont="1" applyFill="1" applyBorder="1"/>
    <xf numFmtId="0" fontId="8" fillId="6" borderId="4" xfId="0" applyFont="1" applyFill="1" applyBorder="1"/>
    <xf numFmtId="0" fontId="8" fillId="6" borderId="4" xfId="0" applyFont="1" applyFill="1" applyBorder="1" applyAlignment="1">
      <alignment horizontal="center"/>
    </xf>
    <xf numFmtId="10" fontId="8" fillId="6" borderId="4" xfId="2" applyNumberFormat="1" applyFont="1" applyFill="1" applyBorder="1"/>
    <xf numFmtId="164" fontId="8" fillId="6" borderId="4" xfId="0" applyNumberFormat="1" applyFont="1" applyFill="1" applyBorder="1" applyAlignment="1">
      <alignment horizontal="center"/>
    </xf>
    <xf numFmtId="0" fontId="0" fillId="6" borderId="4" xfId="0" applyFill="1" applyBorder="1"/>
    <xf numFmtId="10" fontId="0" fillId="6" borderId="4" xfId="0" applyNumberFormat="1" applyFill="1" applyBorder="1"/>
    <xf numFmtId="10" fontId="8" fillId="6" borderId="4" xfId="0" applyNumberFormat="1" applyFont="1" applyFill="1" applyBorder="1"/>
    <xf numFmtId="0" fontId="15" fillId="4" borderId="0" xfId="0" applyFont="1" applyFill="1"/>
    <xf numFmtId="0" fontId="15" fillId="4" borderId="0" xfId="0" applyFont="1" applyFill="1" applyAlignment="1">
      <alignment horizontal="center"/>
    </xf>
    <xf numFmtId="0" fontId="14" fillId="4" borderId="0" xfId="0" applyFont="1" applyFill="1"/>
    <xf numFmtId="0" fontId="0" fillId="4" borderId="0" xfId="0" applyFill="1"/>
    <xf numFmtId="0" fontId="14" fillId="4" borderId="0" xfId="0" applyFont="1" applyFill="1" applyAlignment="1">
      <alignment horizontal="center"/>
    </xf>
    <xf numFmtId="0" fontId="0" fillId="6" borderId="2" xfId="0" applyFont="1" applyFill="1" applyBorder="1"/>
    <xf numFmtId="0" fontId="0" fillId="6" borderId="2" xfId="0" applyFont="1" applyFill="1" applyBorder="1" applyAlignment="1">
      <alignment horizontal="center"/>
    </xf>
    <xf numFmtId="0" fontId="0" fillId="6" borderId="3" xfId="0" applyFont="1" applyFill="1" applyBorder="1"/>
    <xf numFmtId="164" fontId="0" fillId="6" borderId="2" xfId="0" applyNumberFormat="1" applyFill="1" applyBorder="1" applyAlignment="1">
      <alignment horizontal="center"/>
    </xf>
    <xf numFmtId="164" fontId="0" fillId="6" borderId="3" xfId="0" applyNumberFormat="1" applyFill="1" applyBorder="1" applyAlignment="1">
      <alignment horizontal="center"/>
    </xf>
    <xf numFmtId="0" fontId="0" fillId="6" borderId="2" xfId="0" applyFont="1" applyFill="1" applyBorder="1" applyAlignment="1">
      <alignment wrapText="1"/>
    </xf>
    <xf numFmtId="0" fontId="12" fillId="6" borderId="0" xfId="0" applyFont="1" applyFill="1" applyBorder="1" applyAlignment="1" applyProtection="1"/>
    <xf numFmtId="0" fontId="13" fillId="6" borderId="0" xfId="0" applyFont="1" applyFill="1" applyBorder="1" applyProtection="1"/>
    <xf numFmtId="0" fontId="12" fillId="4" borderId="0" xfId="0" applyFont="1" applyFill="1" applyBorder="1" applyProtection="1"/>
    <xf numFmtId="10" fontId="8" fillId="4" borderId="0" xfId="0" applyNumberFormat="1" applyFont="1" applyFill="1"/>
    <xf numFmtId="164" fontId="0" fillId="6" borderId="3" xfId="1" applyFont="1" applyFill="1" applyBorder="1"/>
    <xf numFmtId="164" fontId="0" fillId="6" borderId="3" xfId="0" applyNumberFormat="1" applyFill="1" applyBorder="1"/>
    <xf numFmtId="164" fontId="0" fillId="6" borderId="2" xfId="0" applyNumberFormat="1" applyFill="1" applyBorder="1"/>
    <xf numFmtId="0" fontId="12" fillId="6" borderId="3" xfId="0" applyFont="1" applyFill="1" applyBorder="1" applyAlignment="1" applyProtection="1"/>
    <xf numFmtId="0" fontId="12" fillId="5" borderId="0" xfId="0" applyFont="1" applyFill="1" applyBorder="1" applyProtection="1"/>
    <xf numFmtId="10" fontId="8" fillId="5" borderId="0" xfId="2" applyNumberFormat="1" applyFont="1" applyFill="1"/>
    <xf numFmtId="0" fontId="0" fillId="6" borderId="2" xfId="0" applyNumberFormat="1" applyFill="1" applyBorder="1" applyAlignment="1">
      <alignment horizontal="center"/>
    </xf>
    <xf numFmtId="0" fontId="0" fillId="7" borderId="3" xfId="0" applyFill="1" applyBorder="1" applyAlignment="1" applyProtection="1">
      <alignment horizontal="center"/>
      <protection locked="0"/>
    </xf>
    <xf numFmtId="9" fontId="0" fillId="7" borderId="3" xfId="0" applyNumberFormat="1" applyFill="1" applyBorder="1" applyAlignment="1" applyProtection="1">
      <alignment horizontal="center"/>
      <protection locked="0"/>
    </xf>
    <xf numFmtId="14" fontId="0" fillId="7" borderId="2" xfId="0" applyNumberFormat="1" applyFill="1" applyBorder="1" applyProtection="1">
      <protection locked="0"/>
    </xf>
    <xf numFmtId="0" fontId="0" fillId="7" borderId="3" xfId="0" applyFill="1" applyBorder="1" applyProtection="1">
      <protection locked="0"/>
    </xf>
    <xf numFmtId="10" fontId="0" fillId="7" borderId="3" xfId="2" applyNumberFormat="1" applyFont="1" applyFill="1" applyBorder="1" applyProtection="1">
      <protection locked="0"/>
    </xf>
    <xf numFmtId="10" fontId="0" fillId="7" borderId="3" xfId="0" applyNumberFormat="1" applyFill="1" applyBorder="1" applyProtection="1">
      <protection locked="0"/>
    </xf>
    <xf numFmtId="10" fontId="0" fillId="7" borderId="2" xfId="2" applyNumberFormat="1" applyFont="1" applyFill="1" applyBorder="1" applyProtection="1">
      <protection locked="0"/>
    </xf>
    <xf numFmtId="0" fontId="0" fillId="7" borderId="2" xfId="0" applyFill="1" applyBorder="1" applyProtection="1">
      <protection locked="0"/>
    </xf>
    <xf numFmtId="164" fontId="0" fillId="7" borderId="2" xfId="1" applyFont="1" applyFill="1" applyBorder="1" applyAlignment="1" applyProtection="1">
      <alignment horizontal="center"/>
      <protection locked="0"/>
    </xf>
    <xf numFmtId="0" fontId="0" fillId="7" borderId="2" xfId="0" applyFill="1" applyBorder="1" applyAlignment="1" applyProtection="1">
      <alignment wrapText="1"/>
      <protection locked="0"/>
    </xf>
    <xf numFmtId="164" fontId="0" fillId="7" borderId="3" xfId="1" applyFont="1" applyFill="1" applyBorder="1" applyAlignment="1" applyProtection="1">
      <alignment horizontal="center"/>
      <protection locked="0"/>
    </xf>
    <xf numFmtId="0" fontId="16" fillId="7" borderId="2" xfId="4" applyFill="1" applyBorder="1" applyProtection="1">
      <protection locked="0"/>
    </xf>
    <xf numFmtId="0" fontId="24" fillId="7" borderId="0" xfId="0" applyFont="1" applyFill="1"/>
    <xf numFmtId="0" fontId="0" fillId="5" borderId="3" xfId="0" applyFill="1" applyBorder="1" applyAlignment="1" applyProtection="1">
      <alignment horizontal="center"/>
      <protection locked="0"/>
    </xf>
    <xf numFmtId="9" fontId="0" fillId="5" borderId="3" xfId="0" applyNumberFormat="1" applyFill="1" applyBorder="1" applyAlignment="1" applyProtection="1">
      <alignment horizontal="center"/>
      <protection locked="0"/>
    </xf>
    <xf numFmtId="164" fontId="0" fillId="5" borderId="2" xfId="1" applyFont="1" applyFill="1" applyBorder="1" applyAlignment="1">
      <alignment horizontal="center"/>
    </xf>
    <xf numFmtId="164" fontId="0" fillId="5" borderId="3" xfId="1" applyFont="1" applyFill="1" applyBorder="1" applyAlignment="1">
      <alignment horizontal="center"/>
    </xf>
    <xf numFmtId="164" fontId="8" fillId="5" borderId="4" xfId="0" applyNumberFormat="1" applyFont="1" applyFill="1" applyBorder="1" applyAlignment="1">
      <alignment horizontal="center"/>
    </xf>
    <xf numFmtId="164" fontId="8" fillId="5" borderId="0" xfId="0" applyNumberFormat="1" applyFont="1" applyFill="1" applyAlignment="1">
      <alignment horizontal="center"/>
    </xf>
    <xf numFmtId="164" fontId="8" fillId="5" borderId="0" xfId="1" applyFont="1" applyFill="1"/>
    <xf numFmtId="164" fontId="0" fillId="5" borderId="2" xfId="0" applyNumberFormat="1" applyFill="1" applyBorder="1" applyAlignment="1">
      <alignment horizontal="center"/>
    </xf>
    <xf numFmtId="164" fontId="0" fillId="5" borderId="3" xfId="0" applyNumberFormat="1" applyFill="1" applyBorder="1" applyAlignment="1">
      <alignment horizontal="center"/>
    </xf>
    <xf numFmtId="164" fontId="0" fillId="5" borderId="0" xfId="0" applyNumberFormat="1" applyFill="1" applyAlignment="1">
      <alignment horizontal="center"/>
    </xf>
    <xf numFmtId="164" fontId="0" fillId="5" borderId="2" xfId="1" applyFont="1" applyFill="1" applyBorder="1" applyAlignment="1" applyProtection="1">
      <alignment horizontal="center"/>
      <protection locked="0"/>
    </xf>
    <xf numFmtId="164" fontId="0" fillId="5" borderId="3" xfId="1" applyFont="1" applyFill="1" applyBorder="1" applyAlignment="1" applyProtection="1">
      <alignment horizontal="center"/>
      <protection locked="0"/>
    </xf>
    <xf numFmtId="164" fontId="8" fillId="5" borderId="0" xfId="1" applyFont="1" applyFill="1" applyAlignment="1">
      <alignment horizontal="center"/>
    </xf>
    <xf numFmtId="0" fontId="8" fillId="5" borderId="2" xfId="0" applyFont="1" applyFill="1" applyBorder="1" applyAlignment="1" applyProtection="1">
      <alignment horizontal="center"/>
      <protection locked="0"/>
    </xf>
    <xf numFmtId="0" fontId="0" fillId="5" borderId="2" xfId="0" applyFill="1" applyBorder="1"/>
    <xf numFmtId="0" fontId="0" fillId="5" borderId="3" xfId="0" applyFill="1" applyBorder="1"/>
    <xf numFmtId="0" fontId="0" fillId="5" borderId="4" xfId="0" applyFill="1" applyBorder="1"/>
    <xf numFmtId="0" fontId="8" fillId="4" borderId="0" xfId="0" applyFont="1" applyFill="1" applyAlignment="1">
      <alignment horizontal="center" vertical="center"/>
    </xf>
    <xf numFmtId="0" fontId="8" fillId="4" borderId="0" xfId="0" applyFont="1" applyFill="1" applyAlignment="1">
      <alignment horizontal="center" vertical="center" wrapText="1"/>
    </xf>
    <xf numFmtId="0" fontId="0" fillId="5" borderId="0" xfId="0" applyFill="1" applyAlignment="1">
      <alignment horizontal="center" vertical="center"/>
    </xf>
    <xf numFmtId="0" fontId="0" fillId="4" borderId="0" xfId="0" applyFill="1" applyAlignment="1">
      <alignment horizontal="center" vertical="center"/>
    </xf>
    <xf numFmtId="0" fontId="0" fillId="5" borderId="0" xfId="0" applyFill="1" applyAlignment="1">
      <alignment vertical="center"/>
    </xf>
    <xf numFmtId="0" fontId="8" fillId="4" borderId="0" xfId="0" applyFont="1" applyFill="1" applyAlignment="1">
      <alignment vertical="center"/>
    </xf>
    <xf numFmtId="0" fontId="8" fillId="6" borderId="0" xfId="0" applyFont="1" applyFill="1" applyAlignment="1">
      <alignment wrapText="1"/>
    </xf>
    <xf numFmtId="0" fontId="15" fillId="4" borderId="0" xfId="0" applyFont="1" applyFill="1" applyAlignment="1" applyProtection="1">
      <alignment horizontal="center"/>
      <protection locked="0"/>
    </xf>
    <xf numFmtId="164" fontId="15" fillId="4" borderId="0" xfId="0" applyNumberFormat="1" applyFont="1" applyFill="1" applyAlignment="1">
      <alignment horizontal="center"/>
    </xf>
    <xf numFmtId="0" fontId="6" fillId="6" borderId="2" xfId="0" applyFont="1" applyFill="1" applyBorder="1" applyAlignment="1" applyProtection="1">
      <alignment wrapText="1"/>
    </xf>
    <xf numFmtId="0" fontId="6" fillId="6" borderId="2" xfId="0" applyFont="1" applyFill="1" applyBorder="1" applyProtection="1"/>
    <xf numFmtId="0" fontId="6" fillId="6" borderId="3" xfId="0" applyFont="1" applyFill="1" applyBorder="1" applyProtection="1"/>
    <xf numFmtId="0" fontId="18" fillId="0" borderId="0" xfId="5" applyFont="1" applyFill="1" applyBorder="1" applyAlignment="1" applyProtection="1">
      <alignment horizontal="left" vertical="top"/>
    </xf>
    <xf numFmtId="44" fontId="18" fillId="0" borderId="0" xfId="6" applyFont="1" applyFill="1" applyBorder="1" applyAlignment="1" applyProtection="1">
      <alignment horizontal="left" vertical="top"/>
    </xf>
    <xf numFmtId="0" fontId="19" fillId="0" borderId="0" xfId="5" applyFont="1" applyFill="1" applyBorder="1" applyAlignment="1" applyProtection="1">
      <alignment horizontal="left" vertical="top"/>
    </xf>
    <xf numFmtId="0" fontId="20" fillId="3" borderId="1" xfId="5" applyFont="1" applyFill="1" applyBorder="1" applyAlignment="1" applyProtection="1">
      <alignment horizontal="left" vertical="top" wrapText="1"/>
    </xf>
    <xf numFmtId="0" fontId="20" fillId="2" borderId="1" xfId="5" applyFont="1" applyFill="1" applyBorder="1" applyAlignment="1" applyProtection="1">
      <alignment horizontal="left" vertical="top" wrapText="1"/>
    </xf>
    <xf numFmtId="44" fontId="18" fillId="0" borderId="1" xfId="6" applyFont="1" applyFill="1" applyBorder="1" applyAlignment="1" applyProtection="1">
      <alignment horizontal="left" vertical="top"/>
    </xf>
    <xf numFmtId="44" fontId="18" fillId="0" borderId="0" xfId="6" applyFont="1" applyFill="1" applyBorder="1" applyAlignment="1" applyProtection="1">
      <alignment vertical="top" wrapText="1"/>
    </xf>
    <xf numFmtId="0" fontId="18" fillId="0" borderId="0" xfId="5" applyFont="1" applyFill="1" applyBorder="1" applyAlignment="1" applyProtection="1">
      <alignment horizontal="left" vertical="top" wrapText="1"/>
    </xf>
    <xf numFmtId="166" fontId="18" fillId="0" borderId="0" xfId="5" applyNumberFormat="1" applyFont="1" applyFill="1" applyBorder="1" applyAlignment="1" applyProtection="1">
      <alignment horizontal="left" vertical="top" wrapText="1"/>
    </xf>
    <xf numFmtId="0" fontId="18" fillId="0" borderId="1" xfId="5" applyFont="1" applyFill="1" applyBorder="1" applyAlignment="1" applyProtection="1">
      <alignment horizontal="left" vertical="top" wrapText="1"/>
    </xf>
    <xf numFmtId="49" fontId="30" fillId="2" borderId="1" xfId="6" applyNumberFormat="1" applyFont="1" applyFill="1" applyBorder="1" applyAlignment="1" applyProtection="1">
      <alignment vertical="top" wrapText="1"/>
    </xf>
    <xf numFmtId="0" fontId="15" fillId="4" borderId="0" xfId="0" applyFont="1" applyFill="1" applyAlignment="1" applyProtection="1">
      <alignment horizontal="center"/>
      <protection locked="0"/>
    </xf>
    <xf numFmtId="0" fontId="8" fillId="6" borderId="2" xfId="0" applyFont="1" applyFill="1" applyBorder="1" applyAlignment="1" applyProtection="1">
      <alignment horizontal="center"/>
    </xf>
    <xf numFmtId="164" fontId="15" fillId="4" borderId="0" xfId="0" applyNumberFormat="1" applyFont="1" applyFill="1" applyAlignment="1">
      <alignment horizontal="center"/>
    </xf>
    <xf numFmtId="0" fontId="8" fillId="4" borderId="0" xfId="0" quotePrefix="1" applyFont="1" applyFill="1" applyBorder="1" applyAlignment="1" applyProtection="1">
      <alignment horizontal="left"/>
    </xf>
    <xf numFmtId="0" fontId="0" fillId="6" borderId="0" xfId="0" applyFill="1" applyAlignment="1" applyProtection="1">
      <protection hidden="1"/>
    </xf>
    <xf numFmtId="0" fontId="0" fillId="7" borderId="0" xfId="0" applyFill="1" applyAlignment="1" applyProtection="1">
      <alignment horizontal="center"/>
      <protection hidden="1"/>
    </xf>
    <xf numFmtId="0" fontId="31" fillId="7" borderId="0" xfId="0" applyFont="1" applyFill="1" applyAlignment="1" applyProtection="1">
      <alignment vertical="center" wrapText="1"/>
      <protection hidden="1"/>
    </xf>
    <xf numFmtId="0" fontId="32" fillId="0" borderId="0" xfId="0" applyFont="1" applyAlignment="1" applyProtection="1">
      <alignment wrapText="1"/>
      <protection hidden="1"/>
    </xf>
    <xf numFmtId="0" fontId="0" fillId="6" borderId="0" xfId="0" applyFill="1" applyAlignment="1" applyProtection="1">
      <alignment horizontal="center"/>
      <protection hidden="1"/>
    </xf>
    <xf numFmtId="0" fontId="0" fillId="6" borderId="0" xfId="0" applyFill="1" applyProtection="1">
      <protection hidden="1"/>
    </xf>
    <xf numFmtId="0" fontId="0" fillId="6" borderId="0" xfId="0" applyFill="1" applyBorder="1" applyProtection="1">
      <protection hidden="1"/>
    </xf>
    <xf numFmtId="0" fontId="0" fillId="0" borderId="0" xfId="0" applyAlignment="1" applyProtection="1">
      <protection hidden="1"/>
    </xf>
    <xf numFmtId="0" fontId="15" fillId="4" borderId="0" xfId="0" applyFont="1" applyFill="1" applyAlignment="1" applyProtection="1">
      <alignment vertical="center"/>
      <protection hidden="1"/>
    </xf>
    <xf numFmtId="0" fontId="15" fillId="4" borderId="0" xfId="0" applyFont="1" applyFill="1" applyAlignment="1" applyProtection="1">
      <alignment horizontal="center" vertical="center"/>
      <protection hidden="1"/>
    </xf>
    <xf numFmtId="0" fontId="15" fillId="4" borderId="2" xfId="0" applyFont="1" applyFill="1" applyBorder="1" applyAlignment="1" applyProtection="1">
      <alignment horizontal="center" vertical="center"/>
      <protection hidden="1"/>
    </xf>
    <xf numFmtId="0" fontId="14" fillId="4" borderId="0" xfId="0" applyFont="1" applyFill="1" applyProtection="1">
      <protection hidden="1"/>
    </xf>
    <xf numFmtId="0" fontId="8" fillId="4" borderId="0" xfId="0" applyFont="1" applyFill="1" applyAlignment="1" applyProtection="1">
      <alignment vertical="center"/>
      <protection hidden="1"/>
    </xf>
    <xf numFmtId="0" fontId="14" fillId="6" borderId="0" xfId="0" applyFont="1" applyFill="1" applyBorder="1" applyProtection="1">
      <protection hidden="1"/>
    </xf>
    <xf numFmtId="0" fontId="14" fillId="6" borderId="0" xfId="0" applyFont="1" applyFill="1" applyProtection="1">
      <protection hidden="1"/>
    </xf>
    <xf numFmtId="0" fontId="0" fillId="6" borderId="3" xfId="0" applyFill="1" applyBorder="1" applyAlignment="1" applyProtection="1">
      <alignment vertical="center"/>
      <protection hidden="1"/>
    </xf>
    <xf numFmtId="0" fontId="0" fillId="5" borderId="3" xfId="0" applyFill="1" applyBorder="1" applyAlignment="1" applyProtection="1">
      <alignment horizontal="center" vertical="center"/>
      <protection hidden="1"/>
    </xf>
    <xf numFmtId="0" fontId="0" fillId="6" borderId="3" xfId="0" applyFill="1" applyBorder="1" applyAlignment="1" applyProtection="1">
      <alignment horizontal="center" vertical="center"/>
      <protection hidden="1"/>
    </xf>
    <xf numFmtId="0" fontId="0" fillId="9" borderId="3" xfId="0" applyFill="1" applyBorder="1" applyAlignment="1" applyProtection="1">
      <alignment horizontal="center" vertical="center"/>
      <protection hidden="1"/>
    </xf>
    <xf numFmtId="0" fontId="0" fillId="5" borderId="3" xfId="0" applyFill="1" applyBorder="1" applyProtection="1">
      <protection hidden="1"/>
    </xf>
    <xf numFmtId="14" fontId="0" fillId="6" borderId="2" xfId="0" applyNumberFormat="1" applyFill="1" applyBorder="1" applyProtection="1">
      <protection hidden="1"/>
    </xf>
    <xf numFmtId="14" fontId="5" fillId="6" borderId="2" xfId="0" applyNumberFormat="1" applyFont="1" applyFill="1" applyBorder="1" applyAlignment="1" applyProtection="1">
      <alignment wrapText="1"/>
      <protection hidden="1"/>
    </xf>
    <xf numFmtId="0" fontId="27" fillId="6" borderId="0" xfId="0" applyFont="1" applyFill="1" applyBorder="1" applyAlignment="1" applyProtection="1">
      <alignment vertical="top" wrapText="1"/>
      <protection hidden="1"/>
    </xf>
    <xf numFmtId="0" fontId="0" fillId="7" borderId="3" xfId="0" applyFill="1" applyBorder="1" applyAlignment="1" applyProtection="1">
      <alignment horizontal="center" vertical="center"/>
      <protection hidden="1"/>
    </xf>
    <xf numFmtId="14" fontId="5" fillId="7" borderId="2" xfId="0" applyNumberFormat="1" applyFont="1" applyFill="1" applyBorder="1" applyAlignment="1" applyProtection="1">
      <alignment wrapText="1"/>
      <protection hidden="1"/>
    </xf>
    <xf numFmtId="9" fontId="0" fillId="5" borderId="3" xfId="0" applyNumberFormat="1" applyFill="1" applyBorder="1" applyAlignment="1" applyProtection="1">
      <alignment horizontal="center" vertical="center"/>
      <protection hidden="1"/>
    </xf>
    <xf numFmtId="9" fontId="0" fillId="7" borderId="3" xfId="0" applyNumberFormat="1" applyFill="1" applyBorder="1" applyAlignment="1" applyProtection="1">
      <alignment horizontal="center" vertical="center"/>
      <protection hidden="1"/>
    </xf>
    <xf numFmtId="9" fontId="0" fillId="9" borderId="3" xfId="0" applyNumberFormat="1" applyFill="1" applyBorder="1" applyAlignment="1" applyProtection="1">
      <alignment horizontal="center" vertical="center"/>
      <protection hidden="1"/>
    </xf>
    <xf numFmtId="9" fontId="5" fillId="7" borderId="3" xfId="0" applyNumberFormat="1" applyFont="1" applyFill="1" applyBorder="1" applyAlignment="1" applyProtection="1">
      <alignment horizontal="left" vertical="top" wrapText="1"/>
      <protection hidden="1"/>
    </xf>
    <xf numFmtId="0" fontId="27" fillId="6" borderId="0" xfId="0" applyFont="1" applyFill="1" applyBorder="1" applyAlignment="1" applyProtection="1">
      <alignment horizontal="left" vertical="top"/>
      <protection hidden="1"/>
    </xf>
    <xf numFmtId="0" fontId="0" fillId="4" borderId="0" xfId="0" applyFill="1" applyAlignment="1" applyProtection="1">
      <alignment vertical="center"/>
      <protection hidden="1"/>
    </xf>
    <xf numFmtId="0" fontId="0" fillId="5" borderId="0" xfId="0" applyFill="1" applyAlignment="1" applyProtection="1">
      <alignment horizontal="center" vertical="center"/>
      <protection hidden="1"/>
    </xf>
    <xf numFmtId="0" fontId="8" fillId="4" borderId="0" xfId="0" applyFont="1" applyFill="1" applyAlignment="1" applyProtection="1">
      <alignment horizontal="center" vertical="center" wrapText="1"/>
      <protection hidden="1"/>
    </xf>
    <xf numFmtId="0" fontId="8" fillId="4" borderId="0" xfId="0" applyFont="1" applyFill="1" applyAlignment="1" applyProtection="1">
      <alignment horizontal="center" vertical="center"/>
      <protection hidden="1"/>
    </xf>
    <xf numFmtId="0" fontId="0" fillId="4" borderId="0" xfId="0" applyFill="1" applyAlignment="1" applyProtection="1">
      <alignment horizontal="center" vertical="center"/>
      <protection hidden="1"/>
    </xf>
    <xf numFmtId="0" fontId="0" fillId="9" borderId="0" xfId="0" applyFill="1" applyAlignment="1" applyProtection="1">
      <alignment horizontal="center" vertical="center"/>
      <protection hidden="1"/>
    </xf>
    <xf numFmtId="0" fontId="0" fillId="5" borderId="0" xfId="0" applyFill="1" applyAlignment="1" applyProtection="1">
      <alignment vertical="center"/>
      <protection hidden="1"/>
    </xf>
    <xf numFmtId="0" fontId="8" fillId="5" borderId="0" xfId="0" applyFont="1" applyFill="1" applyAlignment="1" applyProtection="1">
      <alignment vertical="center"/>
      <protection hidden="1"/>
    </xf>
    <xf numFmtId="0" fontId="0" fillId="5" borderId="0" xfId="0" applyFill="1" applyProtection="1">
      <protection hidden="1"/>
    </xf>
    <xf numFmtId="0" fontId="0" fillId="6" borderId="2" xfId="0" applyFill="1" applyBorder="1" applyAlignment="1" applyProtection="1">
      <alignment vertical="center"/>
      <protection hidden="1"/>
    </xf>
    <xf numFmtId="164" fontId="0" fillId="5" borderId="2" xfId="1" applyFont="1" applyFill="1" applyBorder="1" applyAlignment="1" applyProtection="1">
      <alignment horizontal="center" vertical="center"/>
      <protection hidden="1"/>
    </xf>
    <xf numFmtId="0" fontId="0" fillId="6" borderId="2" xfId="0" applyFill="1" applyBorder="1" applyAlignment="1" applyProtection="1">
      <alignment horizontal="center" vertical="center"/>
      <protection hidden="1"/>
    </xf>
    <xf numFmtId="164" fontId="0" fillId="6" borderId="2" xfId="1" applyFont="1" applyFill="1" applyBorder="1" applyAlignment="1" applyProtection="1">
      <alignment horizontal="center" vertical="center"/>
      <protection hidden="1"/>
    </xf>
    <xf numFmtId="164" fontId="0" fillId="9" borderId="2" xfId="1" applyFont="1" applyFill="1" applyBorder="1" applyAlignment="1" applyProtection="1">
      <alignment horizontal="center" vertical="center"/>
      <protection hidden="1"/>
    </xf>
    <xf numFmtId="0" fontId="0" fillId="5" borderId="2" xfId="0" applyFill="1" applyBorder="1" applyProtection="1">
      <protection hidden="1"/>
    </xf>
    <xf numFmtId="0" fontId="5" fillId="6" borderId="2" xfId="0" applyFont="1" applyFill="1" applyBorder="1" applyAlignment="1" applyProtection="1">
      <alignment wrapText="1"/>
      <protection hidden="1"/>
    </xf>
    <xf numFmtId="0" fontId="27" fillId="6" borderId="0" xfId="0" applyFont="1" applyFill="1" applyBorder="1" applyProtection="1">
      <protection hidden="1"/>
    </xf>
    <xf numFmtId="164" fontId="0" fillId="5" borderId="3" xfId="1" applyFont="1" applyFill="1" applyBorder="1" applyAlignment="1" applyProtection="1">
      <alignment horizontal="center" vertical="center"/>
      <protection hidden="1"/>
    </xf>
    <xf numFmtId="10" fontId="0" fillId="6" borderId="3" xfId="0" applyNumberFormat="1" applyFill="1" applyBorder="1" applyAlignment="1" applyProtection="1">
      <alignment vertical="center"/>
      <protection hidden="1"/>
    </xf>
    <xf numFmtId="164" fontId="0" fillId="6" borderId="3" xfId="1" applyFont="1" applyFill="1" applyBorder="1" applyAlignment="1" applyProtection="1">
      <alignment horizontal="center" vertical="center"/>
      <protection hidden="1"/>
    </xf>
    <xf numFmtId="164" fontId="0" fillId="9" borderId="3" xfId="1" applyFont="1" applyFill="1" applyBorder="1" applyAlignment="1" applyProtection="1">
      <alignment horizontal="center" vertical="center"/>
      <protection hidden="1"/>
    </xf>
    <xf numFmtId="0" fontId="3" fillId="6" borderId="3" xfId="0" applyFont="1" applyFill="1" applyBorder="1" applyAlignment="1" applyProtection="1">
      <alignment vertical="center" wrapText="1"/>
      <protection hidden="1"/>
    </xf>
    <xf numFmtId="10" fontId="0" fillId="7" borderId="3" xfId="2" applyNumberFormat="1" applyFont="1" applyFill="1" applyBorder="1" applyAlignment="1" applyProtection="1">
      <alignment vertical="center"/>
      <protection hidden="1"/>
    </xf>
    <xf numFmtId="0" fontId="3" fillId="7" borderId="3" xfId="0" applyFont="1" applyFill="1" applyBorder="1" applyAlignment="1" applyProtection="1">
      <alignment vertical="top" wrapText="1"/>
      <protection hidden="1"/>
    </xf>
    <xf numFmtId="0" fontId="8" fillId="6" borderId="4" xfId="0" applyFont="1" applyFill="1" applyBorder="1" applyAlignment="1" applyProtection="1">
      <alignment vertical="center"/>
      <protection hidden="1"/>
    </xf>
    <xf numFmtId="164" fontId="8" fillId="5" borderId="4" xfId="0" applyNumberFormat="1" applyFont="1" applyFill="1" applyBorder="1" applyAlignment="1" applyProtection="1">
      <alignment horizontal="center" vertical="center"/>
      <protection hidden="1"/>
    </xf>
    <xf numFmtId="0" fontId="8" fillId="6" borderId="4" xfId="0" applyFont="1" applyFill="1" applyBorder="1" applyAlignment="1" applyProtection="1">
      <alignment horizontal="center" vertical="center"/>
      <protection hidden="1"/>
    </xf>
    <xf numFmtId="10" fontId="8" fillId="6" borderId="4" xfId="0" applyNumberFormat="1" applyFont="1" applyFill="1" applyBorder="1" applyAlignment="1" applyProtection="1">
      <alignment vertical="center"/>
      <protection hidden="1"/>
    </xf>
    <xf numFmtId="164" fontId="8" fillId="6" borderId="4" xfId="0" applyNumberFormat="1" applyFont="1" applyFill="1" applyBorder="1" applyAlignment="1" applyProtection="1">
      <alignment horizontal="center" vertical="center"/>
      <protection hidden="1"/>
    </xf>
    <xf numFmtId="164" fontId="8" fillId="9" borderId="4" xfId="0" applyNumberFormat="1" applyFont="1" applyFill="1" applyBorder="1" applyAlignment="1" applyProtection="1">
      <alignment horizontal="center" vertical="center"/>
      <protection hidden="1"/>
    </xf>
    <xf numFmtId="0" fontId="0" fillId="5" borderId="4" xfId="0" applyFill="1" applyBorder="1" applyProtection="1">
      <protection hidden="1"/>
    </xf>
    <xf numFmtId="0" fontId="6" fillId="6" borderId="4" xfId="0" applyFont="1" applyFill="1" applyBorder="1" applyProtection="1">
      <protection hidden="1"/>
    </xf>
    <xf numFmtId="0" fontId="0" fillId="6" borderId="0" xfId="0" applyFill="1" applyAlignment="1" applyProtection="1">
      <alignment vertical="center"/>
      <protection hidden="1"/>
    </xf>
    <xf numFmtId="0" fontId="0" fillId="6" borderId="0" xfId="0" applyFill="1" applyAlignment="1" applyProtection="1">
      <alignment horizontal="center" vertical="center"/>
      <protection hidden="1"/>
    </xf>
    <xf numFmtId="10" fontId="0" fillId="6" borderId="0" xfId="0" applyNumberFormat="1" applyFill="1" applyAlignment="1" applyProtection="1">
      <alignment vertical="center"/>
      <protection hidden="1"/>
    </xf>
    <xf numFmtId="0" fontId="6" fillId="6" borderId="0" xfId="0" applyFont="1" applyFill="1" applyProtection="1">
      <protection hidden="1"/>
    </xf>
    <xf numFmtId="10" fontId="0" fillId="6" borderId="2" xfId="0" applyNumberFormat="1" applyFill="1" applyBorder="1" applyAlignment="1" applyProtection="1">
      <alignment vertical="center"/>
      <protection hidden="1"/>
    </xf>
    <xf numFmtId="0" fontId="6" fillId="6" borderId="2" xfId="0" applyFont="1" applyFill="1" applyBorder="1" applyProtection="1">
      <protection hidden="1"/>
    </xf>
    <xf numFmtId="10" fontId="0" fillId="6" borderId="4" xfId="0" applyNumberFormat="1" applyFill="1" applyBorder="1" applyAlignment="1" applyProtection="1">
      <alignment vertical="center"/>
      <protection hidden="1"/>
    </xf>
    <xf numFmtId="10" fontId="27" fillId="6" borderId="2" xfId="2" applyNumberFormat="1" applyFont="1" applyFill="1" applyBorder="1" applyAlignment="1" applyProtection="1">
      <alignment vertical="center"/>
      <protection hidden="1"/>
    </xf>
    <xf numFmtId="0" fontId="33" fillId="6" borderId="2" xfId="0" applyFont="1" applyFill="1" applyBorder="1" applyProtection="1">
      <protection hidden="1"/>
    </xf>
    <xf numFmtId="10" fontId="27" fillId="6" borderId="3" xfId="2" applyNumberFormat="1" applyFont="1" applyFill="1" applyBorder="1" applyAlignment="1" applyProtection="1">
      <alignment vertical="center"/>
      <protection hidden="1"/>
    </xf>
    <xf numFmtId="0" fontId="27" fillId="6" borderId="0" xfId="0" applyFont="1" applyFill="1" applyBorder="1" applyAlignment="1" applyProtection="1">
      <alignment wrapText="1"/>
      <protection hidden="1"/>
    </xf>
    <xf numFmtId="0" fontId="6" fillId="7" borderId="3" xfId="0" applyFont="1" applyFill="1" applyBorder="1" applyProtection="1">
      <protection hidden="1"/>
    </xf>
    <xf numFmtId="10" fontId="8" fillId="6" borderId="4" xfId="2" applyNumberFormat="1" applyFont="1" applyFill="1" applyBorder="1" applyAlignment="1" applyProtection="1">
      <alignment vertical="center"/>
      <protection hidden="1"/>
    </xf>
    <xf numFmtId="0" fontId="8" fillId="6" borderId="0" xfId="0" applyFont="1" applyFill="1" applyBorder="1" applyAlignment="1" applyProtection="1">
      <alignment vertical="center"/>
      <protection hidden="1"/>
    </xf>
    <xf numFmtId="164" fontId="8" fillId="5" borderId="0" xfId="0" applyNumberFormat="1" applyFont="1" applyFill="1" applyBorder="1" applyAlignment="1" applyProtection="1">
      <alignment horizontal="center" vertical="center"/>
      <protection hidden="1"/>
    </xf>
    <xf numFmtId="0" fontId="8" fillId="6" borderId="0" xfId="0" applyFont="1" applyFill="1" applyBorder="1" applyAlignment="1" applyProtection="1">
      <alignment horizontal="center" vertical="center"/>
      <protection hidden="1"/>
    </xf>
    <xf numFmtId="10" fontId="8" fillId="6" borderId="0" xfId="2" applyNumberFormat="1" applyFont="1" applyFill="1" applyBorder="1" applyAlignment="1" applyProtection="1">
      <alignment vertical="center"/>
      <protection hidden="1"/>
    </xf>
    <xf numFmtId="164" fontId="8" fillId="6" borderId="0" xfId="0" applyNumberFormat="1" applyFont="1" applyFill="1" applyBorder="1" applyAlignment="1" applyProtection="1">
      <alignment horizontal="center" vertical="center"/>
      <protection hidden="1"/>
    </xf>
    <xf numFmtId="164" fontId="8" fillId="9" borderId="0" xfId="0" applyNumberFormat="1" applyFont="1" applyFill="1" applyBorder="1" applyAlignment="1" applyProtection="1">
      <alignment horizontal="center" vertical="center"/>
      <protection hidden="1"/>
    </xf>
    <xf numFmtId="0" fontId="0" fillId="5" borderId="0" xfId="0" applyFill="1" applyBorder="1" applyProtection="1">
      <protection hidden="1"/>
    </xf>
    <xf numFmtId="0" fontId="6" fillId="6" borderId="0" xfId="0" applyFont="1" applyFill="1" applyBorder="1" applyProtection="1">
      <protection hidden="1"/>
    </xf>
    <xf numFmtId="0" fontId="8" fillId="6" borderId="0" xfId="0" applyFont="1" applyFill="1" applyAlignment="1" applyProtection="1">
      <alignment vertical="center"/>
      <protection hidden="1"/>
    </xf>
    <xf numFmtId="164" fontId="8" fillId="5" borderId="0" xfId="0" applyNumberFormat="1" applyFont="1" applyFill="1" applyAlignment="1" applyProtection="1">
      <alignment horizontal="center" vertical="center"/>
      <protection hidden="1"/>
    </xf>
    <xf numFmtId="0" fontId="8" fillId="6" borderId="0" xfId="0" applyFont="1" applyFill="1" applyAlignment="1" applyProtection="1">
      <alignment horizontal="center" vertical="center"/>
      <protection hidden="1"/>
    </xf>
    <xf numFmtId="164" fontId="8" fillId="6" borderId="0" xfId="0" applyNumberFormat="1" applyFont="1" applyFill="1" applyAlignment="1" applyProtection="1">
      <alignment horizontal="center" vertical="center"/>
      <protection hidden="1"/>
    </xf>
    <xf numFmtId="164" fontId="8" fillId="9" borderId="0" xfId="0" applyNumberFormat="1" applyFont="1" applyFill="1" applyAlignment="1" applyProtection="1">
      <alignment horizontal="center" vertical="center"/>
      <protection hidden="1"/>
    </xf>
    <xf numFmtId="10" fontId="0" fillId="0" borderId="2" xfId="0" applyNumberFormat="1" applyFill="1" applyBorder="1" applyAlignment="1" applyProtection="1">
      <alignment vertical="center"/>
      <protection hidden="1"/>
    </xf>
    <xf numFmtId="164" fontId="8" fillId="5" borderId="0" xfId="1" applyFont="1" applyFill="1" applyBorder="1" applyAlignment="1" applyProtection="1">
      <alignment horizontal="center" vertical="center"/>
      <protection hidden="1"/>
    </xf>
    <xf numFmtId="10" fontId="8" fillId="6" borderId="0" xfId="2" applyNumberFormat="1" applyFont="1" applyFill="1" applyBorder="1" applyAlignment="1" applyProtection="1">
      <alignment horizontal="center" vertical="center"/>
      <protection hidden="1"/>
    </xf>
    <xf numFmtId="164" fontId="8" fillId="6" borderId="0" xfId="1" applyFont="1" applyFill="1" applyBorder="1" applyAlignment="1" applyProtection="1">
      <alignment horizontal="center" vertical="center"/>
      <protection hidden="1"/>
    </xf>
    <xf numFmtId="164" fontId="8" fillId="9" borderId="0" xfId="1" applyFont="1" applyFill="1" applyBorder="1" applyAlignment="1" applyProtection="1">
      <alignment horizontal="center" vertical="center"/>
      <protection hidden="1"/>
    </xf>
    <xf numFmtId="0" fontId="8" fillId="5" borderId="0" xfId="0" applyFont="1" applyFill="1" applyAlignment="1" applyProtection="1">
      <alignment horizontal="center" vertical="center"/>
      <protection hidden="1"/>
    </xf>
    <xf numFmtId="0" fontId="6" fillId="5" borderId="0" xfId="0" applyFont="1" applyFill="1" applyProtection="1">
      <protection hidden="1"/>
    </xf>
    <xf numFmtId="0" fontId="0" fillId="6" borderId="0" xfId="0" applyFill="1" applyBorder="1" applyAlignment="1" applyProtection="1">
      <alignment vertical="center"/>
      <protection hidden="1"/>
    </xf>
    <xf numFmtId="0" fontId="0" fillId="5" borderId="0" xfId="0" applyFill="1" applyBorder="1" applyAlignment="1" applyProtection="1">
      <alignment horizontal="center" vertical="center"/>
      <protection hidden="1"/>
    </xf>
    <xf numFmtId="0" fontId="0" fillId="6" borderId="0" xfId="0" applyFill="1" applyBorder="1" applyAlignment="1" applyProtection="1">
      <alignment horizontal="center" vertical="center"/>
      <protection hidden="1"/>
    </xf>
    <xf numFmtId="0" fontId="0" fillId="9" borderId="0" xfId="0" applyFill="1" applyBorder="1" applyAlignment="1" applyProtection="1">
      <alignment horizontal="center" vertical="center"/>
      <protection hidden="1"/>
    </xf>
    <xf numFmtId="0" fontId="6" fillId="7" borderId="2" xfId="0" applyFont="1" applyFill="1" applyBorder="1" applyProtection="1">
      <protection hidden="1"/>
    </xf>
    <xf numFmtId="0" fontId="29" fillId="6" borderId="2" xfId="0" applyFont="1" applyFill="1" applyBorder="1" applyAlignment="1" applyProtection="1">
      <alignment vertical="center"/>
      <protection hidden="1"/>
    </xf>
    <xf numFmtId="44" fontId="0" fillId="7" borderId="2" xfId="1" applyNumberFormat="1" applyFont="1" applyFill="1" applyBorder="1" applyAlignment="1" applyProtection="1">
      <alignment horizontal="center" vertical="center"/>
      <protection hidden="1"/>
    </xf>
    <xf numFmtId="44" fontId="0" fillId="9" borderId="2" xfId="1" applyNumberFormat="1" applyFont="1" applyFill="1" applyBorder="1" applyAlignment="1" applyProtection="1">
      <alignment horizontal="center" vertical="center"/>
      <protection hidden="1"/>
    </xf>
    <xf numFmtId="0" fontId="0" fillId="5" borderId="2" xfId="0" applyFill="1" applyBorder="1" applyAlignment="1" applyProtection="1">
      <alignment vertical="top"/>
      <protection hidden="1"/>
    </xf>
    <xf numFmtId="0" fontId="6" fillId="7" borderId="2" xfId="0" applyFont="1" applyFill="1" applyBorder="1" applyAlignment="1" applyProtection="1">
      <alignment vertical="top" wrapText="1"/>
      <protection hidden="1"/>
    </xf>
    <xf numFmtId="0" fontId="0" fillId="6" borderId="0" xfId="0" applyFill="1" applyAlignment="1" applyProtection="1">
      <alignment vertical="top"/>
      <protection hidden="1"/>
    </xf>
    <xf numFmtId="0" fontId="0" fillId="6" borderId="3" xfId="0" applyFont="1" applyFill="1" applyBorder="1" applyAlignment="1" applyProtection="1">
      <alignment vertical="center"/>
      <protection hidden="1"/>
    </xf>
    <xf numFmtId="0" fontId="5" fillId="7" borderId="3" xfId="0" applyFont="1" applyFill="1" applyBorder="1" applyAlignment="1" applyProtection="1">
      <alignment wrapText="1"/>
      <protection hidden="1"/>
    </xf>
    <xf numFmtId="164" fontId="8" fillId="5" borderId="0" xfId="1" applyFont="1" applyFill="1" applyAlignment="1" applyProtection="1">
      <alignment horizontal="center" vertical="center"/>
      <protection hidden="1"/>
    </xf>
    <xf numFmtId="164" fontId="8" fillId="6" borderId="0" xfId="1" applyFont="1" applyFill="1" applyAlignment="1" applyProtection="1">
      <alignment horizontal="center" vertical="center"/>
      <protection hidden="1"/>
    </xf>
    <xf numFmtId="164" fontId="8" fillId="9" borderId="0" xfId="1" applyFont="1" applyFill="1" applyAlignment="1" applyProtection="1">
      <alignment horizontal="center" vertical="center"/>
      <protection hidden="1"/>
    </xf>
    <xf numFmtId="0" fontId="0" fillId="6" borderId="5" xfId="0" applyFill="1" applyBorder="1" applyAlignment="1" applyProtection="1">
      <alignment vertical="center"/>
      <protection hidden="1"/>
    </xf>
    <xf numFmtId="0" fontId="0" fillId="5" borderId="5" xfId="0" applyFill="1" applyBorder="1" applyAlignment="1" applyProtection="1">
      <alignment horizontal="center" vertical="center"/>
      <protection hidden="1"/>
    </xf>
    <xf numFmtId="0" fontId="0" fillId="6" borderId="5" xfId="0" applyFill="1" applyBorder="1" applyAlignment="1" applyProtection="1">
      <alignment horizontal="center" vertical="center"/>
      <protection hidden="1"/>
    </xf>
    <xf numFmtId="10" fontId="0" fillId="7" borderId="5" xfId="0" applyNumberFormat="1" applyFill="1" applyBorder="1" applyAlignment="1" applyProtection="1">
      <alignment vertical="center"/>
      <protection hidden="1"/>
    </xf>
    <xf numFmtId="44" fontId="0" fillId="6" borderId="5" xfId="0" applyNumberFormat="1" applyFill="1" applyBorder="1" applyAlignment="1" applyProtection="1">
      <alignment horizontal="center" vertical="center"/>
      <protection hidden="1"/>
    </xf>
    <xf numFmtId="44" fontId="0" fillId="9" borderId="5" xfId="0" applyNumberFormat="1" applyFill="1" applyBorder="1" applyAlignment="1" applyProtection="1">
      <alignment horizontal="center" vertical="center"/>
      <protection hidden="1"/>
    </xf>
    <xf numFmtId="0" fontId="6" fillId="7" borderId="2" xfId="0" applyFont="1" applyFill="1" applyBorder="1" applyAlignment="1" applyProtection="1">
      <alignment wrapText="1"/>
      <protection hidden="1"/>
    </xf>
    <xf numFmtId="10" fontId="0" fillId="7" borderId="2" xfId="0" applyNumberFormat="1" applyFill="1" applyBorder="1" applyAlignment="1" applyProtection="1">
      <alignment vertical="center"/>
      <protection hidden="1"/>
    </xf>
    <xf numFmtId="0" fontId="3" fillId="7" borderId="2" xfId="0" applyFont="1" applyFill="1" applyBorder="1" applyAlignment="1" applyProtection="1">
      <alignment wrapText="1"/>
      <protection hidden="1"/>
    </xf>
    <xf numFmtId="0" fontId="4" fillId="7" borderId="2" xfId="0" applyFont="1" applyFill="1" applyBorder="1" applyAlignment="1" applyProtection="1">
      <alignment wrapText="1"/>
      <protection hidden="1"/>
    </xf>
    <xf numFmtId="0" fontId="0" fillId="6" borderId="0" xfId="0" applyFont="1" applyFill="1" applyBorder="1" applyAlignment="1" applyProtection="1">
      <alignment vertical="center"/>
      <protection hidden="1"/>
    </xf>
    <xf numFmtId="164" fontId="0" fillId="5" borderId="0" xfId="0" applyNumberFormat="1" applyFill="1" applyBorder="1" applyAlignment="1" applyProtection="1">
      <alignment horizontal="center" vertical="center"/>
      <protection hidden="1"/>
    </xf>
    <xf numFmtId="10" fontId="0" fillId="6" borderId="0" xfId="2" applyNumberFormat="1" applyFont="1" applyFill="1" applyBorder="1" applyAlignment="1" applyProtection="1">
      <alignment vertical="center"/>
      <protection hidden="1"/>
    </xf>
    <xf numFmtId="164" fontId="0" fillId="6" borderId="0" xfId="0" applyNumberFormat="1" applyFill="1" applyBorder="1" applyAlignment="1" applyProtection="1">
      <alignment horizontal="center" vertical="center"/>
      <protection hidden="1"/>
    </xf>
    <xf numFmtId="164" fontId="0" fillId="9" borderId="0" xfId="0" applyNumberFormat="1" applyFill="1" applyBorder="1" applyAlignment="1" applyProtection="1">
      <alignment horizontal="center" vertical="center"/>
      <protection hidden="1"/>
    </xf>
    <xf numFmtId="0" fontId="0" fillId="6" borderId="2" xfId="0" applyFont="1" applyFill="1" applyBorder="1" applyAlignment="1" applyProtection="1">
      <alignment vertical="center"/>
      <protection hidden="1"/>
    </xf>
    <xf numFmtId="164" fontId="0" fillId="5" borderId="2" xfId="0" applyNumberFormat="1" applyFill="1" applyBorder="1" applyAlignment="1" applyProtection="1">
      <alignment horizontal="center" vertical="center"/>
      <protection hidden="1"/>
    </xf>
    <xf numFmtId="164" fontId="0" fillId="6" borderId="2" xfId="0" applyNumberFormat="1" applyFill="1" applyBorder="1" applyAlignment="1" applyProtection="1">
      <alignment horizontal="center" vertical="center"/>
      <protection hidden="1"/>
    </xf>
    <xf numFmtId="164" fontId="0" fillId="9" borderId="2" xfId="0" applyNumberFormat="1" applyFill="1" applyBorder="1" applyAlignment="1" applyProtection="1">
      <alignment horizontal="center" vertical="center"/>
      <protection hidden="1"/>
    </xf>
    <xf numFmtId="164" fontId="15" fillId="4" borderId="0" xfId="0" applyNumberFormat="1" applyFont="1" applyFill="1" applyAlignment="1" applyProtection="1">
      <alignment horizontal="center" vertical="center"/>
      <protection hidden="1"/>
    </xf>
    <xf numFmtId="0" fontId="14" fillId="4" borderId="0" xfId="0" applyFont="1" applyFill="1" applyAlignment="1" applyProtection="1">
      <alignment horizontal="center" vertical="center"/>
      <protection hidden="1"/>
    </xf>
    <xf numFmtId="0" fontId="14" fillId="4" borderId="0" xfId="0" applyFont="1" applyFill="1" applyAlignment="1" applyProtection="1">
      <alignment vertical="center"/>
      <protection hidden="1"/>
    </xf>
    <xf numFmtId="164" fontId="15" fillId="4" borderId="0" xfId="0" applyNumberFormat="1" applyFont="1" applyFill="1" applyAlignment="1" applyProtection="1">
      <alignment vertical="center"/>
      <protection hidden="1"/>
    </xf>
    <xf numFmtId="164" fontId="15" fillId="4" borderId="0" xfId="0" applyNumberFormat="1" applyFont="1" applyFill="1" applyAlignment="1" applyProtection="1">
      <alignment horizontal="center" vertical="center"/>
      <protection hidden="1"/>
    </xf>
    <xf numFmtId="0" fontId="0" fillId="4" borderId="0" xfId="0" applyFill="1" applyProtection="1">
      <protection hidden="1"/>
    </xf>
    <xf numFmtId="164" fontId="15" fillId="4" borderId="0" xfId="0" applyNumberFormat="1" applyFont="1" applyFill="1" applyAlignment="1" applyProtection="1">
      <protection hidden="1"/>
    </xf>
    <xf numFmtId="0" fontId="8" fillId="4" borderId="0" xfId="0" quotePrefix="1" applyFont="1" applyFill="1" applyBorder="1" applyAlignment="1" applyProtection="1">
      <alignment horizontal="left"/>
      <protection hidden="1"/>
    </xf>
    <xf numFmtId="0" fontId="8" fillId="4" borderId="0" xfId="0" quotePrefix="1" applyFont="1" applyFill="1" applyBorder="1" applyAlignment="1" applyProtection="1">
      <alignment horizontal="left"/>
      <protection hidden="1"/>
    </xf>
    <xf numFmtId="0" fontId="12" fillId="6" borderId="0" xfId="0" applyFont="1" applyFill="1" applyBorder="1" applyAlignment="1" applyProtection="1">
      <protection hidden="1"/>
    </xf>
    <xf numFmtId="0" fontId="12" fillId="5" borderId="0" xfId="0" applyFont="1" applyFill="1" applyBorder="1" applyProtection="1">
      <protection hidden="1"/>
    </xf>
    <xf numFmtId="0" fontId="8" fillId="5" borderId="2" xfId="0" applyFont="1" applyFill="1" applyBorder="1" applyAlignment="1" applyProtection="1">
      <alignment horizontal="center"/>
      <protection hidden="1"/>
    </xf>
    <xf numFmtId="0" fontId="6" fillId="6" borderId="3" xfId="0" applyFont="1" applyFill="1" applyBorder="1" applyProtection="1">
      <protection hidden="1"/>
    </xf>
    <xf numFmtId="0" fontId="0" fillId="6" borderId="3" xfId="0" applyFill="1" applyBorder="1" applyAlignment="1" applyProtection="1">
      <alignment horizontal="center"/>
      <protection hidden="1"/>
    </xf>
    <xf numFmtId="0" fontId="6" fillId="6" borderId="2" xfId="0" applyFont="1" applyFill="1" applyBorder="1" applyAlignment="1" applyProtection="1">
      <alignment wrapText="1"/>
      <protection hidden="1"/>
    </xf>
    <xf numFmtId="164" fontId="0" fillId="6" borderId="2" xfId="0" applyNumberFormat="1" applyFill="1" applyBorder="1" applyProtection="1">
      <protection hidden="1"/>
    </xf>
    <xf numFmtId="164" fontId="0" fillId="6" borderId="3" xfId="0" applyNumberFormat="1" applyFill="1" applyBorder="1" applyProtection="1">
      <protection hidden="1"/>
    </xf>
    <xf numFmtId="0" fontId="13" fillId="6" borderId="0" xfId="0" applyFont="1" applyFill="1" applyBorder="1" applyProtection="1">
      <protection hidden="1"/>
    </xf>
    <xf numFmtId="10" fontId="0" fillId="6" borderId="2" xfId="2" applyNumberFormat="1" applyFont="1" applyFill="1" applyBorder="1" applyProtection="1">
      <protection hidden="1"/>
    </xf>
    <xf numFmtId="164" fontId="27" fillId="6" borderId="3" xfId="1" applyFont="1" applyFill="1" applyBorder="1" applyProtection="1">
      <protection hidden="1"/>
    </xf>
    <xf numFmtId="10" fontId="8" fillId="5" borderId="0" xfId="2" applyNumberFormat="1" applyFont="1" applyFill="1" applyProtection="1">
      <protection hidden="1"/>
    </xf>
    <xf numFmtId="10" fontId="27" fillId="6" borderId="2" xfId="0" applyNumberFormat="1" applyFont="1" applyFill="1" applyBorder="1" applyProtection="1">
      <protection hidden="1"/>
    </xf>
    <xf numFmtId="164" fontId="0" fillId="6" borderId="3" xfId="1" applyFont="1" applyFill="1" applyBorder="1" applyProtection="1">
      <protection hidden="1"/>
    </xf>
    <xf numFmtId="0" fontId="12" fillId="4" borderId="0" xfId="0" applyFont="1" applyFill="1" applyBorder="1" applyProtection="1">
      <protection hidden="1"/>
    </xf>
    <xf numFmtId="10" fontId="8" fillId="4" borderId="0" xfId="0" applyNumberFormat="1" applyFont="1" applyFill="1" applyProtection="1">
      <protection hidden="1"/>
    </xf>
    <xf numFmtId="0" fontId="8" fillId="6" borderId="0" xfId="0" quotePrefix="1" applyFont="1" applyFill="1" applyBorder="1" applyAlignment="1" applyProtection="1">
      <protection hidden="1"/>
    </xf>
    <xf numFmtId="0" fontId="25" fillId="6" borderId="0" xfId="30" applyFill="1" applyProtection="1">
      <protection hidden="1"/>
    </xf>
    <xf numFmtId="0" fontId="12" fillId="4" borderId="0" xfId="0" applyFont="1" applyFill="1" applyBorder="1" applyAlignment="1" applyProtection="1">
      <alignment wrapText="1"/>
      <protection hidden="1"/>
    </xf>
    <xf numFmtId="0" fontId="12" fillId="4" borderId="0" xfId="0" applyFont="1" applyFill="1" applyBorder="1" applyAlignment="1" applyProtection="1">
      <alignment horizontal="center" wrapText="1"/>
      <protection hidden="1"/>
    </xf>
    <xf numFmtId="164" fontId="12" fillId="4" borderId="0" xfId="0" applyNumberFormat="1" applyFont="1" applyFill="1" applyBorder="1" applyAlignment="1" applyProtection="1">
      <alignment horizontal="center" wrapText="1"/>
      <protection hidden="1"/>
    </xf>
    <xf numFmtId="164" fontId="12" fillId="4" borderId="0" xfId="0" applyNumberFormat="1" applyFont="1" applyFill="1" applyBorder="1" applyAlignment="1" applyProtection="1">
      <alignment horizontal="left" wrapText="1"/>
      <protection hidden="1"/>
    </xf>
    <xf numFmtId="10" fontId="6" fillId="6" borderId="2" xfId="2" applyNumberFormat="1" applyFont="1" applyFill="1" applyBorder="1" applyAlignment="1" applyProtection="1">
      <alignment horizontal="center" wrapText="1"/>
      <protection hidden="1"/>
    </xf>
    <xf numFmtId="10" fontId="6" fillId="6" borderId="2" xfId="2" applyNumberFormat="1" applyFont="1" applyFill="1" applyBorder="1" applyAlignment="1" applyProtection="1">
      <alignment horizontal="center"/>
      <protection hidden="1"/>
    </xf>
    <xf numFmtId="10" fontId="6" fillId="6" borderId="3" xfId="2" applyNumberFormat="1" applyFont="1" applyFill="1" applyBorder="1" applyAlignment="1" applyProtection="1">
      <alignment horizontal="left" wrapText="1"/>
      <protection hidden="1"/>
    </xf>
    <xf numFmtId="10" fontId="6" fillId="7" borderId="2" xfId="2" applyNumberFormat="1" applyFont="1" applyFill="1" applyBorder="1" applyAlignment="1" applyProtection="1">
      <alignment horizontal="center"/>
      <protection hidden="1"/>
    </xf>
    <xf numFmtId="10" fontId="4" fillId="6" borderId="3" xfId="2" applyNumberFormat="1" applyFont="1" applyFill="1" applyBorder="1" applyAlignment="1" applyProtection="1">
      <alignment horizontal="left" wrapText="1"/>
      <protection hidden="1"/>
    </xf>
    <xf numFmtId="10" fontId="6" fillId="7" borderId="3" xfId="2" applyNumberFormat="1" applyFont="1" applyFill="1" applyBorder="1" applyAlignment="1" applyProtection="1">
      <alignment horizontal="center"/>
      <protection hidden="1"/>
    </xf>
    <xf numFmtId="10" fontId="6" fillId="6" borderId="3" xfId="2" applyNumberFormat="1" applyFont="1" applyFill="1" applyBorder="1" applyAlignment="1" applyProtection="1">
      <alignment horizontal="center"/>
      <protection hidden="1"/>
    </xf>
    <xf numFmtId="0" fontId="6" fillId="6" borderId="3" xfId="0" applyFont="1" applyFill="1" applyBorder="1" applyAlignment="1" applyProtection="1">
      <alignment vertical="top"/>
      <protection hidden="1"/>
    </xf>
    <xf numFmtId="10" fontId="6" fillId="7" borderId="3" xfId="2" applyNumberFormat="1" applyFont="1" applyFill="1" applyBorder="1" applyAlignment="1" applyProtection="1">
      <alignment horizontal="center" vertical="top"/>
      <protection hidden="1"/>
    </xf>
    <xf numFmtId="10" fontId="6" fillId="6" borderId="3" xfId="2" applyNumberFormat="1" applyFont="1" applyFill="1" applyBorder="1" applyAlignment="1" applyProtection="1">
      <alignment horizontal="center" vertical="top"/>
      <protection hidden="1"/>
    </xf>
    <xf numFmtId="10" fontId="2" fillId="6" borderId="3" xfId="2" applyNumberFormat="1" applyFont="1" applyFill="1" applyBorder="1" applyAlignment="1" applyProtection="1">
      <alignment horizontal="left" wrapText="1"/>
      <protection hidden="1"/>
    </xf>
    <xf numFmtId="0" fontId="28" fillId="6" borderId="0" xfId="30" applyFont="1" applyFill="1" applyAlignment="1" applyProtection="1">
      <alignment vertical="top" wrapText="1"/>
      <protection hidden="1"/>
    </xf>
    <xf numFmtId="10" fontId="12" fillId="5" borderId="0" xfId="2" applyNumberFormat="1" applyFont="1" applyFill="1" applyBorder="1" applyAlignment="1" applyProtection="1">
      <alignment horizontal="center"/>
      <protection hidden="1"/>
    </xf>
    <xf numFmtId="0" fontId="12" fillId="5" borderId="0" xfId="0" applyFont="1" applyFill="1" applyBorder="1" applyAlignment="1" applyProtection="1">
      <alignment horizontal="center"/>
      <protection hidden="1"/>
    </xf>
    <xf numFmtId="0" fontId="6" fillId="6" borderId="0" xfId="30" applyFont="1" applyFill="1" applyProtection="1">
      <protection hidden="1"/>
    </xf>
    <xf numFmtId="10" fontId="25" fillId="6" borderId="0" xfId="2" applyNumberFormat="1" applyFont="1" applyFill="1" applyProtection="1">
      <protection hidden="1"/>
    </xf>
    <xf numFmtId="2" fontId="25" fillId="6" borderId="0" xfId="30" applyNumberFormat="1" applyFill="1" applyProtection="1">
      <protection hidden="1"/>
    </xf>
    <xf numFmtId="165" fontId="25" fillId="6" borderId="0" xfId="33" applyFont="1" applyFill="1" applyProtection="1">
      <protection hidden="1"/>
    </xf>
    <xf numFmtId="10" fontId="25" fillId="6" borderId="0" xfId="30" applyNumberFormat="1" applyFill="1" applyProtection="1">
      <protection hidden="1"/>
    </xf>
    <xf numFmtId="44" fontId="18" fillId="8" borderId="1" xfId="6" applyFont="1" applyFill="1" applyBorder="1" applyAlignment="1" applyProtection="1">
      <alignment horizontal="left" vertical="top"/>
    </xf>
  </cellXfs>
  <cellStyles count="34">
    <cellStyle name="Hyperlink" xfId="4" builtinId="8"/>
    <cellStyle name="Komma" xfId="33" builtinId="3"/>
    <cellStyle name="Komma 2" xfId="32"/>
    <cellStyle name="Procent" xfId="2" builtinId="5"/>
    <cellStyle name="Procent 2" xfId="7"/>
    <cellStyle name="Procent 2 2" xfId="11"/>
    <cellStyle name="Procent 2 2 2" xfId="12"/>
    <cellStyle name="Procent 2 3" xfId="13"/>
    <cellStyle name="Procent 2 3 2" xfId="14"/>
    <cellStyle name="Procent 2 4" xfId="15"/>
    <cellStyle name="Procent 3" xfId="16"/>
    <cellStyle name="Procent 4" xfId="17"/>
    <cellStyle name="Stand. 2" xfId="8"/>
    <cellStyle name="Stand. 3" xfId="30"/>
    <cellStyle name="Standaard" xfId="0" builtinId="0"/>
    <cellStyle name="Standaard 2" xfId="3"/>
    <cellStyle name="Standaard 2 2" xfId="18"/>
    <cellStyle name="Standaard 2 2 2" xfId="19"/>
    <cellStyle name="Standaard 2 3" xfId="20"/>
    <cellStyle name="Standaard 2 3 2" xfId="21"/>
    <cellStyle name="Standaard 2 4" xfId="22"/>
    <cellStyle name="Standaard 2 4 2" xfId="23"/>
    <cellStyle name="Standaard 2 5" xfId="24"/>
    <cellStyle name="Standaard 3" xfId="25"/>
    <cellStyle name="Standaard 4" xfId="5"/>
    <cellStyle name="Standaard 5" xfId="9"/>
    <cellStyle name="Valuta" xfId="1" builtinId="4"/>
    <cellStyle name="Valuta 2" xfId="6"/>
    <cellStyle name="Valuta 2 2" xfId="26"/>
    <cellStyle name="Valuta 2 2 2" xfId="27"/>
    <cellStyle name="Valuta 3" xfId="28"/>
    <cellStyle name="Valuta 4" xfId="29"/>
    <cellStyle name="Valuta 5" xfId="10"/>
    <cellStyle name="Valuta 6" xfId="31"/>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142876</xdr:colOff>
      <xdr:row>0</xdr:row>
      <xdr:rowOff>79375</xdr:rowOff>
    </xdr:from>
    <xdr:to>
      <xdr:col>0</xdr:col>
      <xdr:colOff>2114798</xdr:colOff>
      <xdr:row>1</xdr:row>
      <xdr:rowOff>751416</xdr:rowOff>
    </xdr:to>
    <xdr:pic>
      <xdr:nvPicPr>
        <xdr:cNvPr id="4" name="Afbeelding 3">
          <a:extLst>
            <a:ext uri="{FF2B5EF4-FFF2-40B4-BE49-F238E27FC236}">
              <a16:creationId xmlns:a16="http://schemas.microsoft.com/office/drawing/2014/main" xmlns="" id="{579D3C13-E1B5-4973-9472-5464531AAA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6" y="79375"/>
          <a:ext cx="1971922" cy="1270000"/>
        </a:xfrm>
        <a:prstGeom prst="rect">
          <a:avLst/>
        </a:prstGeom>
      </xdr:spPr>
    </xdr:pic>
    <xdr:clientData/>
  </xdr:twoCellAnchor>
  <xdr:twoCellAnchor editAs="oneCell">
    <xdr:from>
      <xdr:col>10</xdr:col>
      <xdr:colOff>89958</xdr:colOff>
      <xdr:row>0</xdr:row>
      <xdr:rowOff>169339</xdr:rowOff>
    </xdr:from>
    <xdr:to>
      <xdr:col>11</xdr:col>
      <xdr:colOff>608987</xdr:colOff>
      <xdr:row>0</xdr:row>
      <xdr:rowOff>518582</xdr:rowOff>
    </xdr:to>
    <xdr:pic>
      <xdr:nvPicPr>
        <xdr:cNvPr id="6" name="Afbeelding 5">
          <a:extLst>
            <a:ext uri="{FF2B5EF4-FFF2-40B4-BE49-F238E27FC236}">
              <a16:creationId xmlns:a16="http://schemas.microsoft.com/office/drawing/2014/main" xmlns="" id="{07195809-14B7-4AA5-B6BC-735399E20A7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530292" y="169339"/>
          <a:ext cx="1323361" cy="349243"/>
        </a:xfrm>
        <a:prstGeom prst="rect">
          <a:avLst/>
        </a:prstGeom>
      </xdr:spPr>
    </xdr:pic>
    <xdr:clientData/>
  </xdr:twoCellAnchor>
  <xdr:twoCellAnchor editAs="oneCell">
    <xdr:from>
      <xdr:col>10</xdr:col>
      <xdr:colOff>164040</xdr:colOff>
      <xdr:row>1</xdr:row>
      <xdr:rowOff>105825</xdr:rowOff>
    </xdr:from>
    <xdr:to>
      <xdr:col>11</xdr:col>
      <xdr:colOff>255645</xdr:colOff>
      <xdr:row>1</xdr:row>
      <xdr:rowOff>634998</xdr:rowOff>
    </xdr:to>
    <xdr:pic>
      <xdr:nvPicPr>
        <xdr:cNvPr id="7" name="Afbeelding 6">
          <a:extLst>
            <a:ext uri="{FF2B5EF4-FFF2-40B4-BE49-F238E27FC236}">
              <a16:creationId xmlns:a16="http://schemas.microsoft.com/office/drawing/2014/main" xmlns="" id="{0F2CCB00-A07C-4A73-8351-4B3E80C7021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604374" y="703784"/>
          <a:ext cx="895937" cy="529173"/>
        </a:xfrm>
        <a:prstGeom prst="rect">
          <a:avLst/>
        </a:prstGeom>
      </xdr:spPr>
    </xdr:pic>
    <xdr:clientData/>
  </xdr:twoCellAnchor>
  <xdr:twoCellAnchor editAs="oneCell">
    <xdr:from>
      <xdr:col>11</xdr:col>
      <xdr:colOff>1066991</xdr:colOff>
      <xdr:row>1</xdr:row>
      <xdr:rowOff>322795</xdr:rowOff>
    </xdr:from>
    <xdr:to>
      <xdr:col>11</xdr:col>
      <xdr:colOff>2193091</xdr:colOff>
      <xdr:row>1</xdr:row>
      <xdr:rowOff>703792</xdr:rowOff>
    </xdr:to>
    <xdr:pic>
      <xdr:nvPicPr>
        <xdr:cNvPr id="9" name="Afbeelding 8">
          <a:extLst>
            <a:ext uri="{FF2B5EF4-FFF2-40B4-BE49-F238E27FC236}">
              <a16:creationId xmlns:a16="http://schemas.microsoft.com/office/drawing/2014/main" xmlns="" id="{3D992407-6FB3-4C1E-B696-A9486BF1214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311657" y="920754"/>
          <a:ext cx="1126100" cy="380997"/>
        </a:xfrm>
        <a:prstGeom prst="rect">
          <a:avLst/>
        </a:prstGeom>
      </xdr:spPr>
    </xdr:pic>
    <xdr:clientData/>
  </xdr:twoCellAnchor>
  <xdr:twoCellAnchor editAs="oneCell">
    <xdr:from>
      <xdr:col>11</xdr:col>
      <xdr:colOff>476251</xdr:colOff>
      <xdr:row>0</xdr:row>
      <xdr:rowOff>0</xdr:rowOff>
    </xdr:from>
    <xdr:to>
      <xdr:col>11</xdr:col>
      <xdr:colOff>1386417</xdr:colOff>
      <xdr:row>1</xdr:row>
      <xdr:rowOff>57361</xdr:rowOff>
    </xdr:to>
    <xdr:pic>
      <xdr:nvPicPr>
        <xdr:cNvPr id="11" name="Afbeelding 10">
          <a:extLst>
            <a:ext uri="{FF2B5EF4-FFF2-40B4-BE49-F238E27FC236}">
              <a16:creationId xmlns:a16="http://schemas.microsoft.com/office/drawing/2014/main" xmlns="" id="{64A714AB-44EA-4A6C-BB26-CA5FB4983A4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720917" y="0"/>
          <a:ext cx="910166" cy="655320"/>
        </a:xfrm>
        <a:prstGeom prst="rect">
          <a:avLst/>
        </a:prstGeom>
      </xdr:spPr>
    </xdr:pic>
    <xdr:clientData/>
  </xdr:twoCellAnchor>
  <xdr:twoCellAnchor editAs="oneCell">
    <xdr:from>
      <xdr:col>11</xdr:col>
      <xdr:colOff>423113</xdr:colOff>
      <xdr:row>1</xdr:row>
      <xdr:rowOff>63499</xdr:rowOff>
    </xdr:from>
    <xdr:to>
      <xdr:col>11</xdr:col>
      <xdr:colOff>1058444</xdr:colOff>
      <xdr:row>1</xdr:row>
      <xdr:rowOff>661457</xdr:rowOff>
    </xdr:to>
    <xdr:pic>
      <xdr:nvPicPr>
        <xdr:cNvPr id="13" name="Afbeelding 12">
          <a:extLst>
            <a:ext uri="{FF2B5EF4-FFF2-40B4-BE49-F238E27FC236}">
              <a16:creationId xmlns:a16="http://schemas.microsoft.com/office/drawing/2014/main" xmlns="" id="{EDC15DC9-B747-4C23-B665-5FFDEAD7E516}"/>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0667779" y="661458"/>
          <a:ext cx="635331" cy="597958"/>
        </a:xfrm>
        <a:prstGeom prst="rect">
          <a:avLst/>
        </a:prstGeom>
      </xdr:spPr>
    </xdr:pic>
    <xdr:clientData/>
  </xdr:twoCellAnchor>
  <xdr:twoCellAnchor editAs="oneCell">
    <xdr:from>
      <xdr:col>11</xdr:col>
      <xdr:colOff>1434042</xdr:colOff>
      <xdr:row>0</xdr:row>
      <xdr:rowOff>235327</xdr:rowOff>
    </xdr:from>
    <xdr:to>
      <xdr:col>11</xdr:col>
      <xdr:colOff>1905886</xdr:colOff>
      <xdr:row>1</xdr:row>
      <xdr:rowOff>204528</xdr:rowOff>
    </xdr:to>
    <xdr:pic>
      <xdr:nvPicPr>
        <xdr:cNvPr id="15" name="Afbeelding 14">
          <a:extLst>
            <a:ext uri="{FF2B5EF4-FFF2-40B4-BE49-F238E27FC236}">
              <a16:creationId xmlns:a16="http://schemas.microsoft.com/office/drawing/2014/main" xmlns="" id="{2AAEF737-88B0-43C3-B03F-C85DE6033F3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1678708" y="235327"/>
          <a:ext cx="471844" cy="567160"/>
        </a:xfrm>
        <a:prstGeom prst="rect">
          <a:avLst/>
        </a:prstGeom>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5"/>
  <sheetViews>
    <sheetView zoomScaleNormal="100" workbookViewId="0">
      <pane ySplit="3" topLeftCell="A4" activePane="bottomLeft" state="frozen"/>
      <selection pane="bottomLeft" sqref="A1:XFD1048576"/>
    </sheetView>
  </sheetViews>
  <sheetFormatPr defaultColWidth="10.625" defaultRowHeight="15.75" x14ac:dyDescent="0.25"/>
  <cols>
    <col min="1" max="1" width="49.125" style="122" customWidth="1"/>
    <col min="2" max="2" width="0.625" style="121" customWidth="1"/>
    <col min="3" max="3" width="14" style="121" customWidth="1"/>
    <col min="4" max="4" width="0.625" style="121" customWidth="1"/>
    <col min="5" max="5" width="7.125" style="122" customWidth="1"/>
    <col min="6" max="6" width="0.625" style="121" customWidth="1"/>
    <col min="7" max="7" width="20.375" style="121" customWidth="1"/>
    <col min="8" max="11" width="10.625" style="121"/>
    <col min="12" max="12" width="33.125" style="121" customWidth="1"/>
    <col min="13" max="13" width="0.625" style="122" customWidth="1"/>
    <col min="14" max="14" width="74.625" style="122" customWidth="1"/>
    <col min="15" max="15" width="11.125" style="123" customWidth="1"/>
    <col min="16" max="18" width="0" style="122" hidden="1" customWidth="1"/>
    <col min="19" max="16384" width="10.625" style="122"/>
  </cols>
  <sheetData>
    <row r="1" spans="1:18" ht="47.1" customHeight="1" x14ac:dyDescent="0.25">
      <c r="A1" s="117"/>
      <c r="B1" s="118"/>
      <c r="C1" s="119" t="s">
        <v>140</v>
      </c>
      <c r="D1" s="120"/>
      <c r="E1" s="120"/>
      <c r="F1" s="120"/>
      <c r="G1" s="120"/>
      <c r="H1" s="120"/>
      <c r="I1" s="120"/>
      <c r="J1" s="120"/>
      <c r="P1" s="122" t="s">
        <v>1</v>
      </c>
      <c r="Q1" s="122" t="s">
        <v>2</v>
      </c>
      <c r="R1" s="122" t="s">
        <v>3</v>
      </c>
    </row>
    <row r="2" spans="1:18" ht="62.45" customHeight="1" x14ac:dyDescent="0.25">
      <c r="A2" s="124"/>
      <c r="B2" s="118"/>
      <c r="C2" s="120"/>
      <c r="D2" s="120"/>
      <c r="E2" s="120"/>
      <c r="F2" s="120"/>
      <c r="G2" s="120"/>
      <c r="H2" s="120"/>
      <c r="I2" s="120"/>
      <c r="J2" s="120"/>
      <c r="P2" s="122">
        <v>0</v>
      </c>
      <c r="Q2" s="122" t="s">
        <v>4</v>
      </c>
      <c r="R2" s="122">
        <v>0</v>
      </c>
    </row>
    <row r="3" spans="1:18" s="131" customFormat="1" ht="18.75" x14ac:dyDescent="0.3">
      <c r="A3" s="125" t="s">
        <v>5</v>
      </c>
      <c r="B3" s="126"/>
      <c r="C3" s="126"/>
      <c r="D3" s="126"/>
      <c r="E3" s="125"/>
      <c r="F3" s="126"/>
      <c r="G3" s="127" t="s">
        <v>6</v>
      </c>
      <c r="H3" s="127"/>
      <c r="I3" s="127"/>
      <c r="J3" s="127"/>
      <c r="K3" s="127"/>
      <c r="L3" s="127"/>
      <c r="M3" s="128"/>
      <c r="N3" s="129" t="s">
        <v>7</v>
      </c>
      <c r="O3" s="130"/>
      <c r="P3" s="122">
        <v>1</v>
      </c>
      <c r="Q3" s="122" t="s">
        <v>8</v>
      </c>
      <c r="R3" s="122">
        <v>1</v>
      </c>
    </row>
    <row r="4" spans="1:18" x14ac:dyDescent="0.25">
      <c r="A4" s="132" t="s">
        <v>9</v>
      </c>
      <c r="B4" s="133"/>
      <c r="C4" s="134"/>
      <c r="D4" s="133"/>
      <c r="E4" s="132"/>
      <c r="F4" s="133"/>
      <c r="G4" s="134"/>
      <c r="H4" s="134"/>
      <c r="I4" s="134"/>
      <c r="J4" s="135"/>
      <c r="K4" s="134"/>
      <c r="L4" s="134"/>
      <c r="M4" s="136"/>
      <c r="N4" s="137" t="s">
        <v>10</v>
      </c>
      <c r="P4" s="122">
        <v>2</v>
      </c>
      <c r="Q4" s="122">
        <v>0</v>
      </c>
      <c r="R4" s="122">
        <v>2</v>
      </c>
    </row>
    <row r="5" spans="1:18" ht="90" x14ac:dyDescent="0.25">
      <c r="A5" s="132" t="s">
        <v>11</v>
      </c>
      <c r="B5" s="133"/>
      <c r="C5" s="134"/>
      <c r="D5" s="133"/>
      <c r="E5" s="132"/>
      <c r="F5" s="133"/>
      <c r="G5" s="134" t="s">
        <v>3</v>
      </c>
      <c r="H5" s="134" t="s">
        <v>3</v>
      </c>
      <c r="I5" s="134" t="s">
        <v>3</v>
      </c>
      <c r="J5" s="135" t="s">
        <v>3</v>
      </c>
      <c r="K5" s="134" t="s">
        <v>3</v>
      </c>
      <c r="L5" s="134" t="s">
        <v>3</v>
      </c>
      <c r="M5" s="136"/>
      <c r="N5" s="138" t="s">
        <v>138</v>
      </c>
      <c r="O5" s="139"/>
      <c r="P5" s="122">
        <v>3</v>
      </c>
      <c r="Q5" s="122">
        <v>1</v>
      </c>
      <c r="R5" s="122">
        <v>3</v>
      </c>
    </row>
    <row r="6" spans="1:18" x14ac:dyDescent="0.25">
      <c r="A6" s="132" t="s">
        <v>12</v>
      </c>
      <c r="B6" s="133"/>
      <c r="C6" s="134"/>
      <c r="D6" s="133"/>
      <c r="E6" s="132"/>
      <c r="F6" s="133"/>
      <c r="G6" s="140">
        <v>0</v>
      </c>
      <c r="H6" s="140">
        <v>1</v>
      </c>
      <c r="I6" s="140">
        <v>2</v>
      </c>
      <c r="J6" s="135">
        <v>3</v>
      </c>
      <c r="K6" s="140">
        <v>4</v>
      </c>
      <c r="L6" s="140">
        <v>5</v>
      </c>
      <c r="M6" s="136"/>
      <c r="N6" s="141" t="s">
        <v>134</v>
      </c>
      <c r="O6" s="139"/>
      <c r="P6" s="122">
        <v>4</v>
      </c>
      <c r="Q6" s="122">
        <v>2</v>
      </c>
      <c r="R6" s="122">
        <v>4</v>
      </c>
    </row>
    <row r="7" spans="1:18" ht="60" x14ac:dyDescent="0.25">
      <c r="A7" s="132" t="s">
        <v>13</v>
      </c>
      <c r="B7" s="142"/>
      <c r="C7" s="134"/>
      <c r="D7" s="142"/>
      <c r="E7" s="132"/>
      <c r="F7" s="142"/>
      <c r="G7" s="143"/>
      <c r="H7" s="143"/>
      <c r="I7" s="143"/>
      <c r="J7" s="144">
        <v>1</v>
      </c>
      <c r="K7" s="143"/>
      <c r="L7" s="143"/>
      <c r="M7" s="136"/>
      <c r="N7" s="145" t="s">
        <v>136</v>
      </c>
      <c r="O7" s="146"/>
      <c r="Q7" s="122">
        <v>3</v>
      </c>
      <c r="R7" s="122">
        <v>5</v>
      </c>
    </row>
    <row r="8" spans="1:18" ht="47.25" x14ac:dyDescent="0.25">
      <c r="A8" s="147"/>
      <c r="B8" s="148"/>
      <c r="C8" s="149" t="s">
        <v>14</v>
      </c>
      <c r="D8" s="148"/>
      <c r="E8" s="150" t="s">
        <v>15</v>
      </c>
      <c r="F8" s="148"/>
      <c r="G8" s="151"/>
      <c r="H8" s="151"/>
      <c r="I8" s="151"/>
      <c r="J8" s="152"/>
      <c r="K8" s="151"/>
      <c r="L8" s="151"/>
      <c r="M8" s="153"/>
      <c r="N8" s="129"/>
      <c r="Q8" s="122">
        <v>4</v>
      </c>
    </row>
    <row r="9" spans="1:18" x14ac:dyDescent="0.25">
      <c r="A9" s="154" t="s">
        <v>16</v>
      </c>
      <c r="B9" s="148"/>
      <c r="C9" s="148"/>
      <c r="D9" s="148"/>
      <c r="E9" s="153"/>
      <c r="F9" s="148"/>
      <c r="G9" s="148"/>
      <c r="H9" s="148"/>
      <c r="I9" s="148"/>
      <c r="J9" s="152"/>
      <c r="K9" s="148"/>
      <c r="L9" s="148"/>
      <c r="M9" s="155"/>
      <c r="N9" s="155"/>
      <c r="Q9" s="122">
        <v>5</v>
      </c>
    </row>
    <row r="10" spans="1:18" ht="32.25" customHeight="1" x14ac:dyDescent="0.25">
      <c r="A10" s="156" t="s">
        <v>17</v>
      </c>
      <c r="B10" s="157"/>
      <c r="C10" s="158"/>
      <c r="D10" s="157"/>
      <c r="E10" s="156"/>
      <c r="F10" s="157"/>
      <c r="G10" s="159">
        <f>VLOOKUP(G$55,'VVT CAO UURLONEN 2018_2019'!$A:$E,5,FALSE)</f>
        <v>10.76</v>
      </c>
      <c r="H10" s="159">
        <f>VLOOKUP(H$55,'VVT CAO UURLONEN 2018_2019'!$A:$E,5,FALSE)</f>
        <v>11.3</v>
      </c>
      <c r="I10" s="159">
        <f>VLOOKUP(I$55,'VVT CAO UURLONEN 2018_2019'!$A:$E,5,FALSE)</f>
        <v>11.84</v>
      </c>
      <c r="J10" s="160">
        <f>VLOOKUP(J$55,'VVT CAO UURLONEN 2018_2019'!$A:$E,5,FALSE)</f>
        <v>12.38</v>
      </c>
      <c r="K10" s="159">
        <f>VLOOKUP(K$55,'VVT CAO UURLONEN 2018_2019'!$A:$E,5,FALSE)</f>
        <v>12.92</v>
      </c>
      <c r="L10" s="159">
        <f>VLOOKUP(L$55,'VVT CAO UURLONEN 2018_2019'!$A:$E,5,FALSE)</f>
        <v>13.45</v>
      </c>
      <c r="M10" s="161"/>
      <c r="N10" s="162" t="s">
        <v>137</v>
      </c>
      <c r="O10" s="163"/>
      <c r="Q10" s="122">
        <v>6</v>
      </c>
    </row>
    <row r="11" spans="1:18" ht="105" customHeight="1" x14ac:dyDescent="0.25">
      <c r="A11" s="132" t="s">
        <v>18</v>
      </c>
      <c r="B11" s="164"/>
      <c r="C11" s="134" t="s">
        <v>19</v>
      </c>
      <c r="D11" s="164"/>
      <c r="E11" s="165">
        <v>0.08</v>
      </c>
      <c r="F11" s="164"/>
      <c r="G11" s="166">
        <f>IF(G$10=0,0,IF((G$10*$E11)&gt;('VVT CAO UURLONEN 2018_2019'!$F$15/1878),(G$10*$E11),('VVT CAO UURLONEN 2018_2019'!$F$15/1878)))</f>
        <v>1.0302342917997871</v>
      </c>
      <c r="H11" s="166">
        <f>IF(H$10=0,0,IF((H$10*$E11)&gt;('VVT CAO UURLONEN 2018_2019'!$F$15/1878),(H$10*$E11),('VVT CAO UURLONEN 2018_2019'!$F$15/1878)))</f>
        <v>1.0302342917997871</v>
      </c>
      <c r="I11" s="166">
        <f>IF(I$10=0,0,IF((I$10*$E11)&gt;('VVT CAO UURLONEN 2018_2019'!$F$15/1878),(I$10*$E11),('VVT CAO UURLONEN 2018_2019'!$F$15/1878)))</f>
        <v>1.0302342917997871</v>
      </c>
      <c r="J11" s="167">
        <f>IF(J$10=0,0,IF((J$10*$E11)&gt;('VVT CAO UURLONEN 2018_2019'!$F$15/1878),(J$10*$E11),('VVT CAO UURLONEN 2018_2019'!$F$15/1878)))</f>
        <v>1.0302342917997871</v>
      </c>
      <c r="K11" s="166">
        <f>IF(K$10=0,0,IF((K$10*$E11)&gt;('VVT CAO UURLONEN 2018_2019'!$F$15/1878),(K$10*$E11),('VVT CAO UURLONEN 2018_2019'!$F$15/1878)))</f>
        <v>1.0336000000000001</v>
      </c>
      <c r="L11" s="166">
        <f>IF(L$10=0,0,IF((L$10*$E11)&gt;('VVT CAO UURLONEN 2018_2019'!$F$15/1878),(L$10*$E11),('VVT CAO UURLONEN 2018_2019'!$F$15/1878)))</f>
        <v>1.0760000000000001</v>
      </c>
      <c r="M11" s="136"/>
      <c r="N11" s="168" t="s">
        <v>144</v>
      </c>
      <c r="O11" s="139"/>
      <c r="Q11" s="122">
        <v>7</v>
      </c>
    </row>
    <row r="12" spans="1:18" ht="227.25" customHeight="1" x14ac:dyDescent="0.25">
      <c r="A12" s="132" t="s">
        <v>20</v>
      </c>
      <c r="B12" s="164"/>
      <c r="C12" s="134" t="s">
        <v>19</v>
      </c>
      <c r="D12" s="164"/>
      <c r="E12" s="169">
        <v>8.3299999999999999E-2</v>
      </c>
      <c r="F12" s="164"/>
      <c r="G12" s="166">
        <f t="shared" ref="G12:L12" si="0">IF(G$10=0,0,IF((G$10*$E12)&gt;$E12*13.17,(G$10*$E12),$E12*13.17))</f>
        <v>1.0970610000000001</v>
      </c>
      <c r="H12" s="166">
        <f t="shared" si="0"/>
        <v>1.0970610000000001</v>
      </c>
      <c r="I12" s="166">
        <f t="shared" si="0"/>
        <v>1.0970610000000001</v>
      </c>
      <c r="J12" s="167">
        <f t="shared" si="0"/>
        <v>1.0970610000000001</v>
      </c>
      <c r="K12" s="166">
        <f t="shared" si="0"/>
        <v>1.0970610000000001</v>
      </c>
      <c r="L12" s="166">
        <f t="shared" si="0"/>
        <v>1.120385</v>
      </c>
      <c r="M12" s="136"/>
      <c r="N12" s="170" t="s">
        <v>148</v>
      </c>
      <c r="O12" s="139"/>
      <c r="Q12" s="122">
        <v>8</v>
      </c>
    </row>
    <row r="13" spans="1:18" x14ac:dyDescent="0.25">
      <c r="A13" s="171" t="s">
        <v>21</v>
      </c>
      <c r="B13" s="172"/>
      <c r="C13" s="173"/>
      <c r="D13" s="172"/>
      <c r="E13" s="174">
        <v>7.3999999999999996E-2</v>
      </c>
      <c r="F13" s="172"/>
      <c r="G13" s="175">
        <f>SUM(G$10:G$12)</f>
        <v>12.887295291799788</v>
      </c>
      <c r="H13" s="175">
        <f t="shared" ref="H13:L13" si="1">SUM(H$10:H$12)</f>
        <v>13.427295291799787</v>
      </c>
      <c r="I13" s="175">
        <f t="shared" si="1"/>
        <v>13.967295291799786</v>
      </c>
      <c r="J13" s="176">
        <f t="shared" si="1"/>
        <v>14.507295291799789</v>
      </c>
      <c r="K13" s="175">
        <f t="shared" si="1"/>
        <v>15.050661</v>
      </c>
      <c r="L13" s="175">
        <f t="shared" si="1"/>
        <v>15.646385</v>
      </c>
      <c r="M13" s="177"/>
      <c r="N13" s="178"/>
      <c r="O13" s="163"/>
    </row>
    <row r="14" spans="1:18" ht="8.25" customHeight="1" x14ac:dyDescent="0.25">
      <c r="A14" s="179"/>
      <c r="B14" s="148"/>
      <c r="C14" s="180"/>
      <c r="D14" s="148"/>
      <c r="E14" s="181"/>
      <c r="F14" s="148"/>
      <c r="G14" s="180"/>
      <c r="H14" s="180"/>
      <c r="I14" s="180"/>
      <c r="J14" s="152"/>
      <c r="K14" s="180"/>
      <c r="L14" s="180"/>
      <c r="M14" s="155"/>
      <c r="N14" s="182"/>
    </row>
    <row r="15" spans="1:18" x14ac:dyDescent="0.25">
      <c r="A15" s="156" t="s">
        <v>22</v>
      </c>
      <c r="B15" s="157"/>
      <c r="C15" s="158" t="s">
        <v>19</v>
      </c>
      <c r="D15" s="157"/>
      <c r="E15" s="183"/>
      <c r="F15" s="157"/>
      <c r="G15" s="159">
        <f>G$13*'Pensioenpremie per loonschaal'!C$18</f>
        <v>0.73680512010915866</v>
      </c>
      <c r="H15" s="159">
        <f>H$13*'Pensioenpremie per loonschaal'!D$18</f>
        <v>0.80025512010915867</v>
      </c>
      <c r="I15" s="159">
        <f>I$13*'Pensioenpremie per loonschaal'!E$18</f>
        <v>0.86370512010915856</v>
      </c>
      <c r="J15" s="160">
        <f>J$13*'Pensioenpremie per loonschaal'!F$18</f>
        <v>0.9271551201091589</v>
      </c>
      <c r="K15" s="159">
        <f>K$13*'Pensioenpremie per loonschaal'!G$18</f>
        <v>0.99100059082268377</v>
      </c>
      <c r="L15" s="159">
        <f>L$13*'Pensioenpremie per loonschaal'!H$18</f>
        <v>1.0609981608226837</v>
      </c>
      <c r="M15" s="161"/>
      <c r="N15" s="184" t="s">
        <v>23</v>
      </c>
    </row>
    <row r="16" spans="1:18" x14ac:dyDescent="0.25">
      <c r="A16" s="132" t="s">
        <v>24</v>
      </c>
      <c r="B16" s="164"/>
      <c r="C16" s="134" t="s">
        <v>19</v>
      </c>
      <c r="D16" s="164"/>
      <c r="E16" s="165"/>
      <c r="F16" s="164"/>
      <c r="G16" s="166">
        <f>G$13*'Pensioenpremie per loonschaal'!C$26</f>
        <v>5.2114066421725244E-3</v>
      </c>
      <c r="H16" s="166">
        <f>H$13*'Pensioenpremie per loonschaal'!D$26</f>
        <v>6.8314066421725234E-3</v>
      </c>
      <c r="I16" s="166">
        <f>I$13*'Pensioenpremie per loonschaal'!E$26</f>
        <v>8.4514066421725199E-3</v>
      </c>
      <c r="J16" s="167">
        <f>J$13*'Pensioenpremie per loonschaal'!F$26</f>
        <v>1.007140664217253E-2</v>
      </c>
      <c r="K16" s="166">
        <f>K$13*'Pensioenpremie per loonschaal'!G$26</f>
        <v>1.1701503766773164E-2</v>
      </c>
      <c r="L16" s="166">
        <f>L$13*'Pensioenpremie per loonschaal'!H$26</f>
        <v>1.3488675766773164E-2</v>
      </c>
      <c r="M16" s="136"/>
      <c r="N16" s="184" t="s">
        <v>23</v>
      </c>
    </row>
    <row r="17" spans="1:15" x14ac:dyDescent="0.25">
      <c r="A17" s="171" t="s">
        <v>25</v>
      </c>
      <c r="B17" s="172"/>
      <c r="C17" s="173"/>
      <c r="D17" s="172"/>
      <c r="E17" s="185"/>
      <c r="F17" s="172"/>
      <c r="G17" s="175">
        <f>SUM(G15:G16)</f>
        <v>0.74201652675133123</v>
      </c>
      <c r="H17" s="175">
        <f t="shared" ref="H17:L17" si="2">SUM(H15:H16)</f>
        <v>0.80708652675133119</v>
      </c>
      <c r="I17" s="175">
        <f t="shared" ref="I17:J17" si="3">SUM(I15:I16)</f>
        <v>0.87215652675133104</v>
      </c>
      <c r="J17" s="176">
        <f t="shared" si="3"/>
        <v>0.93722652675133145</v>
      </c>
      <c r="K17" s="175">
        <f t="shared" si="2"/>
        <v>1.0027020945894569</v>
      </c>
      <c r="L17" s="175">
        <f t="shared" si="2"/>
        <v>1.0744868365894569</v>
      </c>
      <c r="M17" s="177"/>
      <c r="N17" s="178"/>
    </row>
    <row r="18" spans="1:15" ht="8.25" customHeight="1" x14ac:dyDescent="0.25">
      <c r="A18" s="179"/>
      <c r="B18" s="148"/>
      <c r="C18" s="180"/>
      <c r="D18" s="148"/>
      <c r="E18" s="181"/>
      <c r="F18" s="148"/>
      <c r="G18" s="180"/>
      <c r="H18" s="180"/>
      <c r="I18" s="180"/>
      <c r="J18" s="152"/>
      <c r="K18" s="180"/>
      <c r="L18" s="180"/>
      <c r="M18" s="155"/>
      <c r="N18" s="182"/>
    </row>
    <row r="19" spans="1:15" x14ac:dyDescent="0.25">
      <c r="A19" s="156" t="s">
        <v>26</v>
      </c>
      <c r="B19" s="157"/>
      <c r="C19" s="158" t="s">
        <v>19</v>
      </c>
      <c r="D19" s="157"/>
      <c r="E19" s="186">
        <v>6.9599999999999995E-2</v>
      </c>
      <c r="F19" s="157"/>
      <c r="G19" s="159">
        <f>G$13*$E19</f>
        <v>0.89695575230926516</v>
      </c>
      <c r="H19" s="159">
        <f t="shared" ref="H19:L22" si="4">H$13*$E19</f>
        <v>0.93453975230926511</v>
      </c>
      <c r="I19" s="159">
        <f t="shared" si="4"/>
        <v>0.97212375230926507</v>
      </c>
      <c r="J19" s="160">
        <f t="shared" si="4"/>
        <v>1.0097077523092652</v>
      </c>
      <c r="K19" s="159">
        <f t="shared" si="4"/>
        <v>1.0475260056</v>
      </c>
      <c r="L19" s="159">
        <f t="shared" si="4"/>
        <v>1.088988396</v>
      </c>
      <c r="M19" s="161"/>
      <c r="N19" s="187" t="s">
        <v>145</v>
      </c>
    </row>
    <row r="20" spans="1:15" x14ac:dyDescent="0.25">
      <c r="A20" s="132" t="s">
        <v>27</v>
      </c>
      <c r="B20" s="164"/>
      <c r="C20" s="134" t="s">
        <v>19</v>
      </c>
      <c r="D20" s="164"/>
      <c r="E20" s="188">
        <v>3.5999999999999997E-2</v>
      </c>
      <c r="F20" s="164"/>
      <c r="G20" s="166">
        <f>G$13*$E20</f>
        <v>0.46394263050479234</v>
      </c>
      <c r="H20" s="166">
        <f t="shared" si="4"/>
        <v>0.4833826305047923</v>
      </c>
      <c r="I20" s="166">
        <f t="shared" si="4"/>
        <v>0.50282263050479226</v>
      </c>
      <c r="J20" s="167">
        <f t="shared" si="4"/>
        <v>0.52226263050479238</v>
      </c>
      <c r="K20" s="166">
        <f t="shared" si="4"/>
        <v>0.54182379599999997</v>
      </c>
      <c r="L20" s="166">
        <f t="shared" si="4"/>
        <v>0.56326986000000001</v>
      </c>
      <c r="M20" s="136"/>
      <c r="N20" s="187" t="s">
        <v>145</v>
      </c>
    </row>
    <row r="21" spans="1:15" x14ac:dyDescent="0.25">
      <c r="A21" s="132" t="s">
        <v>28</v>
      </c>
      <c r="B21" s="164"/>
      <c r="C21" s="134" t="s">
        <v>19</v>
      </c>
      <c r="D21" s="164"/>
      <c r="E21" s="188">
        <v>4.7000000000000002E-3</v>
      </c>
      <c r="F21" s="164"/>
      <c r="G21" s="166">
        <f t="shared" ref="G21:G22" si="5">G$13*$E21</f>
        <v>6.0570287871459003E-2</v>
      </c>
      <c r="H21" s="166">
        <f t="shared" si="4"/>
        <v>6.3108287871459001E-2</v>
      </c>
      <c r="I21" s="166">
        <f t="shared" si="4"/>
        <v>6.5646287871459E-2</v>
      </c>
      <c r="J21" s="167">
        <f t="shared" si="4"/>
        <v>6.8184287871459012E-2</v>
      </c>
      <c r="K21" s="166">
        <f t="shared" si="4"/>
        <v>7.0738106699999997E-2</v>
      </c>
      <c r="L21" s="166">
        <f t="shared" si="4"/>
        <v>7.3538009500000001E-2</v>
      </c>
      <c r="M21" s="136"/>
      <c r="N21" s="187" t="s">
        <v>145</v>
      </c>
    </row>
    <row r="22" spans="1:15" x14ac:dyDescent="0.25">
      <c r="A22" s="132" t="s">
        <v>29</v>
      </c>
      <c r="B22" s="164"/>
      <c r="C22" s="134" t="s">
        <v>19</v>
      </c>
      <c r="D22" s="164"/>
      <c r="E22" s="188">
        <v>6.9500000000000006E-2</v>
      </c>
      <c r="F22" s="164"/>
      <c r="G22" s="166">
        <f t="shared" si="5"/>
        <v>0.89566702278008536</v>
      </c>
      <c r="H22" s="166">
        <f t="shared" si="4"/>
        <v>0.93319702278008532</v>
      </c>
      <c r="I22" s="166">
        <f t="shared" si="4"/>
        <v>0.97072702278008527</v>
      </c>
      <c r="J22" s="167">
        <f t="shared" si="4"/>
        <v>1.0082570227800853</v>
      </c>
      <c r="K22" s="166">
        <f t="shared" si="4"/>
        <v>1.0460209395000002</v>
      </c>
      <c r="L22" s="166">
        <f t="shared" si="4"/>
        <v>1.0874237575000001</v>
      </c>
      <c r="M22" s="136"/>
      <c r="N22" s="187" t="s">
        <v>145</v>
      </c>
    </row>
    <row r="23" spans="1:15" ht="240" x14ac:dyDescent="0.25">
      <c r="A23" s="132" t="s">
        <v>30</v>
      </c>
      <c r="B23" s="164"/>
      <c r="C23" s="134" t="s">
        <v>31</v>
      </c>
      <c r="D23" s="164"/>
      <c r="E23" s="169">
        <v>0.01</v>
      </c>
      <c r="F23" s="164"/>
      <c r="G23" s="166">
        <f t="shared" ref="G23:L24" si="6">G$13*$E23</f>
        <v>0.12887295291799788</v>
      </c>
      <c r="H23" s="166">
        <f t="shared" si="6"/>
        <v>0.13427295291799787</v>
      </c>
      <c r="I23" s="166">
        <f t="shared" si="6"/>
        <v>0.13967295291799786</v>
      </c>
      <c r="J23" s="167">
        <f t="shared" si="6"/>
        <v>0.1450729529179979</v>
      </c>
      <c r="K23" s="166">
        <f t="shared" si="6"/>
        <v>0.15050661000000001</v>
      </c>
      <c r="L23" s="166">
        <f t="shared" si="6"/>
        <v>0.15646385000000002</v>
      </c>
      <c r="M23" s="136"/>
      <c r="N23" s="170" t="s">
        <v>146</v>
      </c>
      <c r="O23" s="189"/>
    </row>
    <row r="24" spans="1:15" x14ac:dyDescent="0.25">
      <c r="A24" s="132" t="s">
        <v>32</v>
      </c>
      <c r="B24" s="164"/>
      <c r="C24" s="134" t="s">
        <v>31</v>
      </c>
      <c r="D24" s="164"/>
      <c r="E24" s="169">
        <v>0</v>
      </c>
      <c r="F24" s="164"/>
      <c r="G24" s="166">
        <f t="shared" si="6"/>
        <v>0</v>
      </c>
      <c r="H24" s="166">
        <f t="shared" si="6"/>
        <v>0</v>
      </c>
      <c r="I24" s="166">
        <f t="shared" si="6"/>
        <v>0</v>
      </c>
      <c r="J24" s="167">
        <f t="shared" si="6"/>
        <v>0</v>
      </c>
      <c r="K24" s="166">
        <f t="shared" si="6"/>
        <v>0</v>
      </c>
      <c r="L24" s="166">
        <f t="shared" si="6"/>
        <v>0</v>
      </c>
      <c r="M24" s="136"/>
      <c r="N24" s="190" t="s">
        <v>33</v>
      </c>
    </row>
    <row r="25" spans="1:15" x14ac:dyDescent="0.25">
      <c r="A25" s="171" t="s">
        <v>34</v>
      </c>
      <c r="B25" s="172"/>
      <c r="C25" s="173"/>
      <c r="D25" s="172"/>
      <c r="E25" s="191">
        <f>SUM(E$19:E$24)</f>
        <v>0.18980000000000002</v>
      </c>
      <c r="F25" s="172"/>
      <c r="G25" s="175">
        <f>SUM(G$19:G$24)</f>
        <v>2.4460086463835995</v>
      </c>
      <c r="H25" s="175">
        <f t="shared" ref="H25:L25" si="7">SUM(H$19:H$24)</f>
        <v>2.5485006463835997</v>
      </c>
      <c r="I25" s="175">
        <f t="shared" si="7"/>
        <v>2.6509926463835995</v>
      </c>
      <c r="J25" s="176">
        <f t="shared" si="7"/>
        <v>2.7534846463835994</v>
      </c>
      <c r="K25" s="175">
        <f t="shared" si="7"/>
        <v>2.8566154578000003</v>
      </c>
      <c r="L25" s="175">
        <f t="shared" si="7"/>
        <v>2.9696838730000006</v>
      </c>
      <c r="M25" s="177"/>
      <c r="N25" s="178"/>
    </row>
    <row r="26" spans="1:15" ht="9" customHeight="1" x14ac:dyDescent="0.25">
      <c r="A26" s="192"/>
      <c r="B26" s="193"/>
      <c r="C26" s="194"/>
      <c r="D26" s="193"/>
      <c r="E26" s="195"/>
      <c r="F26" s="193"/>
      <c r="G26" s="196"/>
      <c r="H26" s="196"/>
      <c r="I26" s="196"/>
      <c r="J26" s="197"/>
      <c r="K26" s="196"/>
      <c r="L26" s="196"/>
      <c r="M26" s="198"/>
      <c r="N26" s="199"/>
    </row>
    <row r="27" spans="1:15" x14ac:dyDescent="0.25">
      <c r="A27" s="200" t="s">
        <v>35</v>
      </c>
      <c r="B27" s="201"/>
      <c r="C27" s="202"/>
      <c r="D27" s="201"/>
      <c r="E27" s="179"/>
      <c r="F27" s="201"/>
      <c r="G27" s="203">
        <f>G$13+G$17+G$25</f>
        <v>16.07532046493472</v>
      </c>
      <c r="H27" s="203">
        <f t="shared" ref="H27:L27" si="8">H$13+H$17+H$25</f>
        <v>16.782882464934715</v>
      </c>
      <c r="I27" s="203">
        <f t="shared" si="8"/>
        <v>17.490444464934718</v>
      </c>
      <c r="J27" s="204">
        <f t="shared" si="8"/>
        <v>18.198006464934721</v>
      </c>
      <c r="K27" s="203">
        <f t="shared" si="8"/>
        <v>18.909978552389457</v>
      </c>
      <c r="L27" s="203">
        <f t="shared" si="8"/>
        <v>19.690555709589457</v>
      </c>
      <c r="M27" s="155"/>
      <c r="N27" s="182"/>
    </row>
    <row r="28" spans="1:15" ht="9" customHeight="1" x14ac:dyDescent="0.25">
      <c r="A28" s="192"/>
      <c r="B28" s="193"/>
      <c r="C28" s="194"/>
      <c r="D28" s="193"/>
      <c r="E28" s="195"/>
      <c r="F28" s="193"/>
      <c r="G28" s="196"/>
      <c r="H28" s="196"/>
      <c r="I28" s="196"/>
      <c r="J28" s="197"/>
      <c r="K28" s="196"/>
      <c r="L28" s="196"/>
      <c r="M28" s="198"/>
      <c r="N28" s="199"/>
    </row>
    <row r="29" spans="1:15" x14ac:dyDescent="0.25">
      <c r="A29" s="156" t="s">
        <v>36</v>
      </c>
      <c r="B29" s="157"/>
      <c r="C29" s="158" t="s">
        <v>19</v>
      </c>
      <c r="D29" s="157"/>
      <c r="E29" s="205">
        <f>'Bruto-netto berekening'!C5</f>
        <v>0.1645890368820942</v>
      </c>
      <c r="F29" s="157"/>
      <c r="G29" s="159">
        <f>G$27*$E29</f>
        <v>2.6458215128946243</v>
      </c>
      <c r="H29" s="159">
        <f t="shared" ref="H29:L30" si="9">H$27*$E29</f>
        <v>2.7622784610089917</v>
      </c>
      <c r="I29" s="159">
        <f t="shared" si="9"/>
        <v>2.8787354091233608</v>
      </c>
      <c r="J29" s="160">
        <f t="shared" si="9"/>
        <v>2.9951923572377295</v>
      </c>
      <c r="K29" s="159">
        <f t="shared" si="9"/>
        <v>3.1123751573988385</v>
      </c>
      <c r="L29" s="159">
        <f t="shared" si="9"/>
        <v>3.2408495999145495</v>
      </c>
      <c r="M29" s="161"/>
      <c r="N29" s="184" t="s">
        <v>37</v>
      </c>
    </row>
    <row r="30" spans="1:15" x14ac:dyDescent="0.25">
      <c r="A30" s="132" t="s">
        <v>38</v>
      </c>
      <c r="B30" s="164"/>
      <c r="C30" s="134" t="s">
        <v>19</v>
      </c>
      <c r="D30" s="164"/>
      <c r="E30" s="183">
        <f>'Bruto-netto berekening'!C6</f>
        <v>2.5262235073364302E-2</v>
      </c>
      <c r="F30" s="164"/>
      <c r="G30" s="166">
        <f>G$27*$E30</f>
        <v>0.40609852446484479</v>
      </c>
      <c r="H30" s="166">
        <f t="shared" si="9"/>
        <v>0.4239731220378245</v>
      </c>
      <c r="I30" s="166">
        <f t="shared" si="9"/>
        <v>0.44184771961080438</v>
      </c>
      <c r="J30" s="167">
        <f t="shared" si="9"/>
        <v>0.4597223171837842</v>
      </c>
      <c r="K30" s="166">
        <f t="shared" si="9"/>
        <v>0.47770832342273967</v>
      </c>
      <c r="L30" s="166">
        <f t="shared" si="9"/>
        <v>0.49742744706082448</v>
      </c>
      <c r="M30" s="136"/>
      <c r="N30" s="184" t="s">
        <v>39</v>
      </c>
    </row>
    <row r="31" spans="1:15" x14ac:dyDescent="0.25">
      <c r="A31" s="192" t="s">
        <v>40</v>
      </c>
      <c r="B31" s="206"/>
      <c r="C31" s="194"/>
      <c r="D31" s="206"/>
      <c r="E31" s="207">
        <f>SUM(E$29:E$30)</f>
        <v>0.18985127195545851</v>
      </c>
      <c r="F31" s="206"/>
      <c r="G31" s="208">
        <f>SUM(G$29:G$30)</f>
        <v>3.0519200373594693</v>
      </c>
      <c r="H31" s="208">
        <f t="shared" ref="H31:L31" si="10">SUM(H$29:H$30)</f>
        <v>3.1862515830468161</v>
      </c>
      <c r="I31" s="208">
        <f t="shared" si="10"/>
        <v>3.3205831287341652</v>
      </c>
      <c r="J31" s="209">
        <f t="shared" si="10"/>
        <v>3.4549146744215138</v>
      </c>
      <c r="K31" s="208">
        <f t="shared" si="10"/>
        <v>3.590083480821578</v>
      </c>
      <c r="L31" s="208">
        <f t="shared" si="10"/>
        <v>3.7382770469753739</v>
      </c>
      <c r="M31" s="198"/>
      <c r="N31" s="199"/>
    </row>
    <row r="32" spans="1:15" x14ac:dyDescent="0.25">
      <c r="A32" s="179"/>
      <c r="B32" s="148"/>
      <c r="C32" s="180"/>
      <c r="D32" s="148"/>
      <c r="E32" s="179"/>
      <c r="F32" s="148"/>
      <c r="G32" s="180"/>
      <c r="H32" s="180"/>
      <c r="I32" s="180"/>
      <c r="J32" s="152"/>
      <c r="K32" s="180"/>
      <c r="L32" s="180"/>
      <c r="M32" s="155"/>
      <c r="N32" s="182"/>
    </row>
    <row r="33" spans="1:15" x14ac:dyDescent="0.25">
      <c r="A33" s="154" t="s">
        <v>41</v>
      </c>
      <c r="B33" s="148"/>
      <c r="C33" s="210"/>
      <c r="D33" s="148"/>
      <c r="E33" s="153"/>
      <c r="F33" s="148"/>
      <c r="G33" s="148"/>
      <c r="H33" s="148"/>
      <c r="I33" s="148"/>
      <c r="J33" s="152"/>
      <c r="K33" s="148"/>
      <c r="L33" s="148"/>
      <c r="M33" s="155"/>
      <c r="N33" s="211"/>
    </row>
    <row r="34" spans="1:15" x14ac:dyDescent="0.25">
      <c r="A34" s="212"/>
      <c r="B34" s="213"/>
      <c r="C34" s="214"/>
      <c r="D34" s="213"/>
      <c r="E34" s="212"/>
      <c r="F34" s="213"/>
      <c r="G34" s="214"/>
      <c r="H34" s="214"/>
      <c r="I34" s="214"/>
      <c r="J34" s="215"/>
      <c r="K34" s="214"/>
      <c r="L34" s="214"/>
      <c r="M34" s="198"/>
      <c r="N34" s="199"/>
    </row>
    <row r="35" spans="1:15" x14ac:dyDescent="0.25">
      <c r="A35" s="156" t="s">
        <v>42</v>
      </c>
      <c r="B35" s="157"/>
      <c r="C35" s="158" t="s">
        <v>31</v>
      </c>
      <c r="D35" s="157"/>
      <c r="E35" s="183">
        <f>IF('Bruto-netto berekening'!C7="","",'Bruto-netto berekening'!C7)</f>
        <v>7.3260481712756481E-2</v>
      </c>
      <c r="F35" s="157"/>
      <c r="G35" s="159">
        <f t="shared" ref="G35:L35" si="11">IFERROR(G$27*$E35,0)</f>
        <v>1.17768572094805</v>
      </c>
      <c r="H35" s="159">
        <f t="shared" si="11"/>
        <v>1.2295220539096912</v>
      </c>
      <c r="I35" s="159">
        <f t="shared" si="11"/>
        <v>1.2813583868713327</v>
      </c>
      <c r="J35" s="160">
        <f t="shared" si="11"/>
        <v>1.3331947198329743</v>
      </c>
      <c r="K35" s="159">
        <f t="shared" si="11"/>
        <v>1.3853541379259451</v>
      </c>
      <c r="L35" s="159">
        <f t="shared" si="11"/>
        <v>1.4425395964763912</v>
      </c>
      <c r="M35" s="161"/>
      <c r="N35" s="216" t="s">
        <v>43</v>
      </c>
    </row>
    <row r="36" spans="1:15" s="222" customFormat="1" x14ac:dyDescent="0.25">
      <c r="A36" s="217" t="s">
        <v>44</v>
      </c>
      <c r="B36" s="157"/>
      <c r="C36" s="158" t="s">
        <v>19</v>
      </c>
      <c r="D36" s="157"/>
      <c r="E36" s="156"/>
      <c r="F36" s="157"/>
      <c r="G36" s="218">
        <v>0</v>
      </c>
      <c r="H36" s="218">
        <v>0</v>
      </c>
      <c r="I36" s="218">
        <v>0</v>
      </c>
      <c r="J36" s="219">
        <v>0</v>
      </c>
      <c r="K36" s="218">
        <v>0</v>
      </c>
      <c r="L36" s="218">
        <v>0</v>
      </c>
      <c r="M36" s="220"/>
      <c r="N36" s="221" t="s">
        <v>45</v>
      </c>
      <c r="O36" s="139"/>
    </row>
    <row r="37" spans="1:15" ht="30" x14ac:dyDescent="0.25">
      <c r="A37" s="223" t="s">
        <v>46</v>
      </c>
      <c r="B37" s="164"/>
      <c r="C37" s="134" t="s">
        <v>19</v>
      </c>
      <c r="D37" s="164"/>
      <c r="E37" s="132"/>
      <c r="F37" s="164"/>
      <c r="G37" s="218">
        <v>0.49</v>
      </c>
      <c r="H37" s="218">
        <v>0.49</v>
      </c>
      <c r="I37" s="218">
        <v>0.49</v>
      </c>
      <c r="J37" s="219">
        <v>0.49</v>
      </c>
      <c r="K37" s="218">
        <v>0.49</v>
      </c>
      <c r="L37" s="218">
        <v>0.49</v>
      </c>
      <c r="M37" s="136"/>
      <c r="N37" s="224" t="s">
        <v>135</v>
      </c>
      <c r="O37" s="139"/>
    </row>
    <row r="38" spans="1:15" x14ac:dyDescent="0.25">
      <c r="A38" s="200" t="s">
        <v>47</v>
      </c>
      <c r="B38" s="225"/>
      <c r="C38" s="180"/>
      <c r="D38" s="225"/>
      <c r="E38" s="179"/>
      <c r="F38" s="225"/>
      <c r="G38" s="226">
        <f t="shared" ref="G38:L38" si="12">SUM(G35:G37)</f>
        <v>1.66768572094805</v>
      </c>
      <c r="H38" s="226">
        <f t="shared" si="12"/>
        <v>1.7195220539096912</v>
      </c>
      <c r="I38" s="226">
        <f t="shared" si="12"/>
        <v>1.7713583868713327</v>
      </c>
      <c r="J38" s="227">
        <f t="shared" si="12"/>
        <v>1.8231947198329743</v>
      </c>
      <c r="K38" s="226">
        <f t="shared" si="12"/>
        <v>1.8753541379259451</v>
      </c>
      <c r="L38" s="226">
        <f t="shared" si="12"/>
        <v>1.9325395964763912</v>
      </c>
      <c r="M38" s="155"/>
      <c r="N38" s="182"/>
    </row>
    <row r="39" spans="1:15" x14ac:dyDescent="0.25">
      <c r="A39" s="200"/>
      <c r="B39" s="225"/>
      <c r="C39" s="180"/>
      <c r="D39" s="225"/>
      <c r="E39" s="179"/>
      <c r="F39" s="225"/>
      <c r="G39" s="226"/>
      <c r="H39" s="226"/>
      <c r="I39" s="226"/>
      <c r="J39" s="227"/>
      <c r="K39" s="226"/>
      <c r="L39" s="226"/>
      <c r="M39" s="155"/>
      <c r="N39" s="182"/>
    </row>
    <row r="40" spans="1:15" x14ac:dyDescent="0.25">
      <c r="A40" s="200" t="s">
        <v>48</v>
      </c>
      <c r="B40" s="225"/>
      <c r="C40" s="180"/>
      <c r="D40" s="225"/>
      <c r="E40" s="179"/>
      <c r="F40" s="225"/>
      <c r="G40" s="226">
        <f t="shared" ref="G40:L40" si="13">G$27+G$31+G$38</f>
        <v>20.794926223242239</v>
      </c>
      <c r="H40" s="226">
        <f t="shared" si="13"/>
        <v>21.688656101891223</v>
      </c>
      <c r="I40" s="226">
        <f t="shared" si="13"/>
        <v>22.582385980540217</v>
      </c>
      <c r="J40" s="227">
        <f t="shared" si="13"/>
        <v>23.476115859189207</v>
      </c>
      <c r="K40" s="226">
        <f t="shared" si="13"/>
        <v>24.375416171136983</v>
      </c>
      <c r="L40" s="226">
        <f t="shared" si="13"/>
        <v>25.361372353041222</v>
      </c>
      <c r="M40" s="155"/>
      <c r="N40" s="182"/>
    </row>
    <row r="41" spans="1:15" x14ac:dyDescent="0.25">
      <c r="A41" s="179"/>
      <c r="B41" s="148"/>
      <c r="C41" s="180"/>
      <c r="D41" s="148"/>
      <c r="E41" s="179"/>
      <c r="F41" s="148"/>
      <c r="G41" s="180"/>
      <c r="H41" s="180"/>
      <c r="I41" s="180"/>
      <c r="J41" s="152"/>
      <c r="K41" s="180"/>
      <c r="L41" s="180"/>
      <c r="M41" s="155"/>
      <c r="N41" s="182"/>
    </row>
    <row r="42" spans="1:15" x14ac:dyDescent="0.25">
      <c r="A42" s="154" t="s">
        <v>49</v>
      </c>
      <c r="B42" s="148"/>
      <c r="C42" s="210"/>
      <c r="D42" s="148"/>
      <c r="E42" s="153"/>
      <c r="F42" s="148"/>
      <c r="G42" s="148"/>
      <c r="H42" s="148"/>
      <c r="I42" s="148"/>
      <c r="J42" s="152"/>
      <c r="K42" s="148"/>
      <c r="L42" s="148"/>
      <c r="M42" s="155"/>
      <c r="N42" s="211"/>
    </row>
    <row r="43" spans="1:15" x14ac:dyDescent="0.25">
      <c r="A43" s="212"/>
      <c r="B43" s="213"/>
      <c r="C43" s="214"/>
      <c r="D43" s="213"/>
      <c r="E43" s="212"/>
      <c r="F43" s="213"/>
      <c r="G43" s="214"/>
      <c r="H43" s="214"/>
      <c r="I43" s="214"/>
      <c r="J43" s="215"/>
      <c r="K43" s="214"/>
      <c r="L43" s="214"/>
      <c r="M43" s="198"/>
      <c r="N43" s="199"/>
    </row>
    <row r="44" spans="1:15" ht="30" x14ac:dyDescent="0.25">
      <c r="A44" s="228" t="s">
        <v>50</v>
      </c>
      <c r="B44" s="229"/>
      <c r="C44" s="230" t="s">
        <v>31</v>
      </c>
      <c r="D44" s="229"/>
      <c r="E44" s="231">
        <v>1.6500000000000001E-2</v>
      </c>
      <c r="F44" s="229"/>
      <c r="G44" s="232">
        <f t="shared" ref="G44:L44" si="14">G$27*$E$44</f>
        <v>0.2652427876714229</v>
      </c>
      <c r="H44" s="232">
        <f t="shared" si="14"/>
        <v>0.27691756067142281</v>
      </c>
      <c r="I44" s="232">
        <f t="shared" si="14"/>
        <v>0.28859233367142284</v>
      </c>
      <c r="J44" s="233">
        <f t="shared" si="14"/>
        <v>0.30026710667142292</v>
      </c>
      <c r="K44" s="232">
        <f t="shared" si="14"/>
        <v>0.31201464611442609</v>
      </c>
      <c r="L44" s="232">
        <f t="shared" si="14"/>
        <v>0.32489416920822606</v>
      </c>
      <c r="M44" s="198"/>
      <c r="N44" s="234" t="s">
        <v>51</v>
      </c>
      <c r="O44" s="139"/>
    </row>
    <row r="45" spans="1:15" ht="60" x14ac:dyDescent="0.25">
      <c r="A45" s="156" t="s">
        <v>52</v>
      </c>
      <c r="B45" s="157"/>
      <c r="C45" s="158" t="s">
        <v>31</v>
      </c>
      <c r="D45" s="157"/>
      <c r="E45" s="235">
        <v>0.15</v>
      </c>
      <c r="F45" s="157"/>
      <c r="G45" s="159">
        <f>$E$45*G$40</f>
        <v>3.119238933486336</v>
      </c>
      <c r="H45" s="159">
        <f t="shared" ref="H45:L45" si="15">$E$45*H$40</f>
        <v>3.2532984152836835</v>
      </c>
      <c r="I45" s="159">
        <f t="shared" si="15"/>
        <v>3.3873578970810323</v>
      </c>
      <c r="J45" s="160">
        <f t="shared" si="15"/>
        <v>3.5214173788783811</v>
      </c>
      <c r="K45" s="159">
        <f t="shared" si="15"/>
        <v>3.6563124256705475</v>
      </c>
      <c r="L45" s="159">
        <f t="shared" si="15"/>
        <v>3.8042058529561831</v>
      </c>
      <c r="M45" s="198"/>
      <c r="N45" s="236" t="s">
        <v>142</v>
      </c>
    </row>
    <row r="46" spans="1:15" ht="45" x14ac:dyDescent="0.25">
      <c r="A46" s="156" t="s">
        <v>53</v>
      </c>
      <c r="B46" s="157"/>
      <c r="C46" s="158" t="s">
        <v>31</v>
      </c>
      <c r="D46" s="157"/>
      <c r="E46" s="235">
        <v>2.5000000000000001E-2</v>
      </c>
      <c r="F46" s="157"/>
      <c r="G46" s="159">
        <f>$E$46*G$40</f>
        <v>0.51987315558105596</v>
      </c>
      <c r="H46" s="159">
        <f t="shared" ref="H46:L46" si="16">$E$46*H$40</f>
        <v>0.54221640254728054</v>
      </c>
      <c r="I46" s="159">
        <f t="shared" si="16"/>
        <v>0.56455964951350546</v>
      </c>
      <c r="J46" s="160">
        <f t="shared" si="16"/>
        <v>0.58690289647973015</v>
      </c>
      <c r="K46" s="159">
        <f t="shared" si="16"/>
        <v>0.60938540427842458</v>
      </c>
      <c r="L46" s="159">
        <f t="shared" si="16"/>
        <v>0.63403430882603062</v>
      </c>
      <c r="M46" s="198"/>
      <c r="N46" s="237" t="s">
        <v>54</v>
      </c>
    </row>
    <row r="47" spans="1:15" x14ac:dyDescent="0.25">
      <c r="A47" s="238"/>
      <c r="B47" s="239"/>
      <c r="C47" s="214"/>
      <c r="D47" s="239"/>
      <c r="E47" s="240"/>
      <c r="F47" s="239"/>
      <c r="G47" s="241"/>
      <c r="H47" s="241"/>
      <c r="I47" s="241"/>
      <c r="J47" s="242"/>
      <c r="K47" s="241"/>
      <c r="L47" s="241"/>
      <c r="M47" s="198"/>
      <c r="N47" s="199"/>
    </row>
    <row r="48" spans="1:15" x14ac:dyDescent="0.25">
      <c r="A48" s="154" t="s">
        <v>55</v>
      </c>
      <c r="B48" s="148"/>
      <c r="C48" s="210"/>
      <c r="D48" s="148"/>
      <c r="E48" s="153"/>
      <c r="F48" s="148"/>
      <c r="G48" s="148"/>
      <c r="H48" s="148"/>
      <c r="I48" s="148"/>
      <c r="J48" s="152"/>
      <c r="K48" s="148"/>
      <c r="L48" s="148"/>
      <c r="M48" s="155"/>
      <c r="N48" s="211"/>
    </row>
    <row r="49" spans="1:15" x14ac:dyDescent="0.25">
      <c r="A49" s="243" t="s">
        <v>56</v>
      </c>
      <c r="B49" s="244"/>
      <c r="C49" s="158"/>
      <c r="D49" s="244"/>
      <c r="E49" s="235">
        <v>2.52E-2</v>
      </c>
      <c r="F49" s="244"/>
      <c r="G49" s="245"/>
      <c r="H49" s="245"/>
      <c r="I49" s="245"/>
      <c r="J49" s="246"/>
      <c r="K49" s="245"/>
      <c r="L49" s="245"/>
      <c r="M49" s="161"/>
      <c r="N49" s="184" t="s">
        <v>57</v>
      </c>
      <c r="O49" s="139"/>
    </row>
    <row r="50" spans="1:15" ht="14.1" customHeight="1" x14ac:dyDescent="0.25">
      <c r="A50" s="179"/>
      <c r="B50" s="148"/>
      <c r="C50" s="180"/>
      <c r="D50" s="148"/>
      <c r="E50" s="179"/>
      <c r="F50" s="148"/>
      <c r="G50" s="180"/>
      <c r="H50" s="180"/>
      <c r="I50" s="180"/>
      <c r="J50" s="152"/>
      <c r="K50" s="180"/>
      <c r="L50" s="180"/>
      <c r="M50" s="155"/>
      <c r="N50" s="182"/>
    </row>
    <row r="51" spans="1:15" x14ac:dyDescent="0.25">
      <c r="A51" s="200" t="s">
        <v>58</v>
      </c>
      <c r="B51" s="201"/>
      <c r="C51" s="180"/>
      <c r="D51" s="201"/>
      <c r="E51" s="179"/>
      <c r="F51" s="201"/>
      <c r="G51" s="203">
        <f>(G$40+G$44+G$45+G$46)*(1+$E$49)</f>
        <v>25.321702983700572</v>
      </c>
      <c r="H51" s="203">
        <f t="shared" ref="H51:L51" si="17">(H$40+H$44+H$45+H$46)*(1+$E$49)</f>
        <v>26.410267910099524</v>
      </c>
      <c r="I51" s="203">
        <f t="shared" si="17"/>
        <v>27.49883283649849</v>
      </c>
      <c r="J51" s="204">
        <f t="shared" si="17"/>
        <v>28.587397762897453</v>
      </c>
      <c r="K51" s="203">
        <f t="shared" si="17"/>
        <v>29.682747489109829</v>
      </c>
      <c r="L51" s="203">
        <f t="shared" si="17"/>
        <v>30.883644252469256</v>
      </c>
      <c r="M51" s="155"/>
      <c r="N51" s="182"/>
    </row>
    <row r="52" spans="1:15" x14ac:dyDescent="0.25">
      <c r="A52" s="179"/>
      <c r="B52" s="148"/>
      <c r="C52" s="180"/>
      <c r="D52" s="148"/>
      <c r="E52" s="179"/>
      <c r="F52" s="148"/>
      <c r="G52" s="180"/>
      <c r="H52" s="180"/>
      <c r="I52" s="180"/>
      <c r="J52" s="152"/>
      <c r="K52" s="180"/>
      <c r="L52" s="180"/>
      <c r="M52" s="155"/>
      <c r="N52" s="182"/>
    </row>
    <row r="53" spans="1:15" ht="18.75" x14ac:dyDescent="0.3">
      <c r="A53" s="125" t="s">
        <v>59</v>
      </c>
      <c r="B53" s="247"/>
      <c r="C53" s="248"/>
      <c r="D53" s="247"/>
      <c r="E53" s="249"/>
      <c r="F53" s="247"/>
      <c r="G53" s="250"/>
      <c r="H53" s="250"/>
      <c r="I53" s="250"/>
      <c r="J53" s="250"/>
      <c r="K53" s="251">
        <f>(G51*G7)+(H51*H7)+(I51*I7)+(J51*J7)+(K51*K7)+(L51*L7)</f>
        <v>28.587397762897453</v>
      </c>
      <c r="L53" s="251"/>
      <c r="M53" s="252"/>
      <c r="N53" s="253" t="s">
        <v>147</v>
      </c>
    </row>
    <row r="54" spans="1:15" ht="25.5" customHeight="1" x14ac:dyDescent="0.25"/>
    <row r="55" spans="1:15" ht="24" customHeight="1" x14ac:dyDescent="0.25">
      <c r="A55" s="122" t="s">
        <v>60</v>
      </c>
      <c r="G55" s="121" t="str">
        <f>IF(OR(G5="",G6=""),"",IF(G5="HH",G5&amp;G6,"VVT"&amp;G5&amp;G6))</f>
        <v>HH0</v>
      </c>
      <c r="H55" s="121" t="str">
        <f t="shared" ref="H55:L55" si="18">IF(OR(H5="",H6=""),"",IF(H5="HH",H5&amp;H6,"VVT"&amp;H5&amp;H6))</f>
        <v>HH1</v>
      </c>
      <c r="I55" s="121" t="str">
        <f t="shared" si="18"/>
        <v>HH2</v>
      </c>
      <c r="J55" s="121" t="str">
        <f t="shared" si="18"/>
        <v>HH3</v>
      </c>
      <c r="K55" s="121" t="str">
        <f t="shared" si="18"/>
        <v>HH4</v>
      </c>
      <c r="L55" s="121" t="str">
        <f t="shared" si="18"/>
        <v>HH5</v>
      </c>
    </row>
  </sheetData>
  <sheetProtection algorithmName="SHA-512" hashValue="HN3D6qUMUltAzIqsWqa6b1juIAjNBnbmiiBGYqspEz3O+eAH9byVMBYsRtIg+HuJrLGR1aHR4FaJSZ78FNrbbA==" saltValue="J8kTFYm5ELScdQKo968Trw==" spinCount="100000" sheet="1" objects="1" scenarios="1"/>
  <mergeCells count="4">
    <mergeCell ref="K53:L53"/>
    <mergeCell ref="G3:L3"/>
    <mergeCell ref="A1:A2"/>
    <mergeCell ref="C1:J2"/>
  </mergeCells>
  <dataValidations count="2">
    <dataValidation type="list" allowBlank="1" showInputMessage="1" showErrorMessage="1" sqref="G6:L6">
      <formula1>IF(G5="FWG10",$P$2:$P$6,IF(G5="FWG15",$Q$2:$Q$12,$R$2:$R$7))</formula1>
    </dataValidation>
    <dataValidation type="list" allowBlank="1" showInputMessage="1" showErrorMessage="1" sqref="G5:L5">
      <formula1>"HH"</formula1>
    </dataValidation>
  </dataValidations>
  <pageMargins left="0.25" right="0.25" top="0.75" bottom="0.75" header="0.3" footer="0.3"/>
  <pageSetup paperSize="256" scale="2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5"/>
  <sheetViews>
    <sheetView workbookViewId="0">
      <pane ySplit="3" topLeftCell="A4" activePane="bottomLeft" state="frozen"/>
      <selection pane="bottomLeft" activeCell="G28" sqref="G28"/>
    </sheetView>
  </sheetViews>
  <sheetFormatPr defaultColWidth="10.625" defaultRowHeight="15.75" x14ac:dyDescent="0.25"/>
  <cols>
    <col min="1" max="1" width="54.625" style="5" customWidth="1"/>
    <col min="2" max="2" width="0.625" style="6" customWidth="1"/>
    <col min="3" max="3" width="14" style="6" customWidth="1"/>
    <col min="4" max="4" width="0.625" style="6" customWidth="1"/>
    <col min="5" max="5" width="7.125" style="5" customWidth="1"/>
    <col min="6" max="6" width="0.625" style="6" customWidth="1"/>
    <col min="7" max="8" width="10.625" style="6"/>
    <col min="9" max="9" width="0.625" style="6" customWidth="1"/>
    <col min="10" max="11" width="10.625" style="6"/>
    <col min="12" max="12" width="0.625" style="5" customWidth="1"/>
    <col min="13" max="13" width="62.125" style="5" customWidth="1"/>
    <col min="14" max="16384" width="10.625" style="5"/>
  </cols>
  <sheetData>
    <row r="1" spans="1:13" x14ac:dyDescent="0.25">
      <c r="A1" s="72" t="s">
        <v>0</v>
      </c>
      <c r="B1" s="17"/>
      <c r="C1" s="17"/>
      <c r="D1" s="17"/>
      <c r="E1" s="18"/>
    </row>
    <row r="3" spans="1:13" s="19" customFormat="1" ht="18.75" x14ac:dyDescent="0.3">
      <c r="A3" s="38" t="s">
        <v>5</v>
      </c>
      <c r="B3" s="97"/>
      <c r="C3" s="39"/>
      <c r="D3" s="97"/>
      <c r="E3" s="38"/>
      <c r="F3" s="97"/>
      <c r="G3" s="113" t="s">
        <v>61</v>
      </c>
      <c r="H3" s="113"/>
      <c r="I3" s="97"/>
      <c r="J3" s="113" t="s">
        <v>62</v>
      </c>
      <c r="K3" s="113"/>
      <c r="L3" s="40"/>
      <c r="M3" s="40"/>
    </row>
    <row r="4" spans="1:13" x14ac:dyDescent="0.25">
      <c r="A4" s="20" t="s">
        <v>63</v>
      </c>
      <c r="B4" s="86"/>
      <c r="C4" s="59"/>
      <c r="D4" s="86"/>
      <c r="E4" s="20"/>
      <c r="F4" s="86"/>
      <c r="G4" s="114" t="s">
        <v>64</v>
      </c>
      <c r="H4" s="114"/>
      <c r="I4" s="86"/>
      <c r="J4" s="114" t="s">
        <v>64</v>
      </c>
      <c r="K4" s="114"/>
      <c r="L4" s="87"/>
      <c r="M4" s="62" t="s">
        <v>10</v>
      </c>
    </row>
    <row r="5" spans="1:13" x14ac:dyDescent="0.25">
      <c r="A5" s="23" t="s">
        <v>65</v>
      </c>
      <c r="B5" s="73"/>
      <c r="C5" s="24"/>
      <c r="D5" s="73"/>
      <c r="E5" s="23"/>
      <c r="F5" s="73"/>
      <c r="G5" s="60" t="s">
        <v>1</v>
      </c>
      <c r="H5" s="60" t="s">
        <v>2</v>
      </c>
      <c r="I5" s="73"/>
      <c r="J5" s="60" t="s">
        <v>2</v>
      </c>
      <c r="K5" s="60" t="s">
        <v>66</v>
      </c>
      <c r="L5" s="88"/>
      <c r="M5" s="23"/>
    </row>
    <row r="6" spans="1:13" x14ac:dyDescent="0.25">
      <c r="A6" s="23" t="s">
        <v>12</v>
      </c>
      <c r="B6" s="73"/>
      <c r="C6" s="24"/>
      <c r="D6" s="73"/>
      <c r="E6" s="23"/>
      <c r="F6" s="73"/>
      <c r="G6" s="60">
        <v>3</v>
      </c>
      <c r="H6" s="60">
        <v>7</v>
      </c>
      <c r="I6" s="73"/>
      <c r="J6" s="60">
        <v>7</v>
      </c>
      <c r="K6" s="60">
        <v>4</v>
      </c>
      <c r="L6" s="88"/>
      <c r="M6" s="23"/>
    </row>
    <row r="7" spans="1:13" x14ac:dyDescent="0.25">
      <c r="A7" s="23" t="s">
        <v>67</v>
      </c>
      <c r="B7" s="74"/>
      <c r="C7" s="24"/>
      <c r="D7" s="74"/>
      <c r="E7" s="23"/>
      <c r="F7" s="74"/>
      <c r="G7" s="61">
        <v>0.75</v>
      </c>
      <c r="H7" s="61">
        <v>0.25</v>
      </c>
      <c r="I7" s="74"/>
      <c r="J7" s="61">
        <v>0.6</v>
      </c>
      <c r="K7" s="61">
        <v>0.4</v>
      </c>
      <c r="L7" s="88"/>
      <c r="M7" s="23"/>
    </row>
    <row r="8" spans="1:13" x14ac:dyDescent="0.25">
      <c r="B8" s="3"/>
      <c r="D8" s="3"/>
      <c r="F8" s="3"/>
      <c r="I8" s="3"/>
      <c r="L8" s="1"/>
    </row>
    <row r="9" spans="1:13" ht="47.25" x14ac:dyDescent="0.25">
      <c r="A9" s="41"/>
      <c r="B9" s="92"/>
      <c r="C9" s="91" t="s">
        <v>68</v>
      </c>
      <c r="D9" s="92"/>
      <c r="E9" s="90" t="s">
        <v>15</v>
      </c>
      <c r="F9" s="92"/>
      <c r="G9" s="93"/>
      <c r="H9" s="93"/>
      <c r="I9" s="92"/>
      <c r="J9" s="93"/>
      <c r="K9" s="93"/>
      <c r="L9" s="94"/>
      <c r="M9" s="95" t="s">
        <v>69</v>
      </c>
    </row>
    <row r="10" spans="1:13" x14ac:dyDescent="0.25">
      <c r="A10" s="2" t="s">
        <v>16</v>
      </c>
      <c r="B10" s="3"/>
      <c r="C10" s="3"/>
      <c r="D10" s="3"/>
      <c r="E10" s="1"/>
      <c r="F10" s="3"/>
      <c r="G10" s="3"/>
      <c r="H10" s="3"/>
      <c r="I10" s="3"/>
      <c r="J10" s="3"/>
      <c r="K10" s="3"/>
      <c r="L10" s="1"/>
      <c r="M10" s="1"/>
    </row>
    <row r="11" spans="1:13" x14ac:dyDescent="0.25">
      <c r="A11" s="20" t="s">
        <v>17</v>
      </c>
      <c r="B11" s="75"/>
      <c r="C11" s="21"/>
      <c r="D11" s="75"/>
      <c r="E11" s="20"/>
      <c r="F11" s="75"/>
      <c r="G11" s="22" t="e">
        <f>VLOOKUP(G4&amp;G5&amp;G6,'VVT CAO UURLONEN 2018_2019'!$A$1:$F$1,6,0)</f>
        <v>#N/A</v>
      </c>
      <c r="H11" s="22" t="e">
        <f>VLOOKUP(G4&amp;H5&amp;H6,'VVT CAO UURLONEN 2018_2019'!$A$1:$F$1,6,0)</f>
        <v>#N/A</v>
      </c>
      <c r="I11" s="75"/>
      <c r="J11" s="22" t="e">
        <f>VLOOKUP(J4&amp;J5&amp;J6,'VVT CAO UURLONEN 2018_2019'!$A$1:$F$1,6,0)</f>
        <v>#N/A</v>
      </c>
      <c r="K11" s="22" t="e">
        <f>VLOOKUP(J4&amp;K5&amp;K6,'VVT CAO UURLONEN 2018_2019'!$A$1:$F$1,6,0)</f>
        <v>#N/A</v>
      </c>
      <c r="L11" s="87"/>
      <c r="M11" s="20"/>
    </row>
    <row r="12" spans="1:13" x14ac:dyDescent="0.25">
      <c r="A12" s="23" t="s">
        <v>70</v>
      </c>
      <c r="B12" s="76"/>
      <c r="C12" s="24" t="s">
        <v>19</v>
      </c>
      <c r="D12" s="76"/>
      <c r="E12" s="25">
        <v>0.08</v>
      </c>
      <c r="F12" s="76"/>
      <c r="G12" s="26" t="e">
        <f>IF((G$11*$E12)&gt;0.98,(G$11*$E12),0.98)</f>
        <v>#N/A</v>
      </c>
      <c r="H12" s="26" t="e">
        <f t="shared" ref="H12:K12" si="0">IF((H$11*$E12)&gt;0.98,(H$11*$E12),0.98)</f>
        <v>#N/A</v>
      </c>
      <c r="I12" s="76"/>
      <c r="J12" s="26" t="e">
        <f t="shared" si="0"/>
        <v>#N/A</v>
      </c>
      <c r="K12" s="26" t="e">
        <f t="shared" si="0"/>
        <v>#N/A</v>
      </c>
      <c r="L12" s="88"/>
      <c r="M12" s="23"/>
    </row>
    <row r="13" spans="1:13" x14ac:dyDescent="0.25">
      <c r="A13" s="23" t="s">
        <v>71</v>
      </c>
      <c r="B13" s="76"/>
      <c r="C13" s="24" t="s">
        <v>19</v>
      </c>
      <c r="D13" s="76"/>
      <c r="E13" s="27">
        <v>7.3999999999999996E-2</v>
      </c>
      <c r="F13" s="76"/>
      <c r="G13" s="26" t="e">
        <f>IF((G$11*$E13)&gt;0.94,(G$11*$E13),0.94)</f>
        <v>#N/A</v>
      </c>
      <c r="H13" s="26" t="e">
        <f t="shared" ref="H13:K13" si="1">IF((H$11*$E13)&gt;0.94,(H$11*$E13),0.94)</f>
        <v>#N/A</v>
      </c>
      <c r="I13" s="76"/>
      <c r="J13" s="26" t="e">
        <f t="shared" si="1"/>
        <v>#N/A</v>
      </c>
      <c r="K13" s="26" t="e">
        <f t="shared" si="1"/>
        <v>#N/A</v>
      </c>
      <c r="L13" s="88"/>
      <c r="M13" s="23"/>
    </row>
    <row r="14" spans="1:13" x14ac:dyDescent="0.25">
      <c r="A14" s="31" t="s">
        <v>21</v>
      </c>
      <c r="B14" s="77"/>
      <c r="C14" s="32"/>
      <c r="D14" s="77"/>
      <c r="E14" s="37">
        <f>SUM(E12:E13)</f>
        <v>0.154</v>
      </c>
      <c r="F14" s="77"/>
      <c r="G14" s="34" t="e">
        <f>SUM(G11:G13)</f>
        <v>#N/A</v>
      </c>
      <c r="H14" s="34" t="e">
        <f t="shared" ref="H14:K14" si="2">SUM(H11:H13)</f>
        <v>#N/A</v>
      </c>
      <c r="I14" s="77"/>
      <c r="J14" s="34" t="e">
        <f t="shared" si="2"/>
        <v>#N/A</v>
      </c>
      <c r="K14" s="34" t="e">
        <f t="shared" si="2"/>
        <v>#N/A</v>
      </c>
      <c r="L14" s="89"/>
      <c r="M14" s="35"/>
    </row>
    <row r="15" spans="1:13" ht="8.25" customHeight="1" x14ac:dyDescent="0.25">
      <c r="B15" s="3"/>
      <c r="D15" s="3"/>
      <c r="E15" s="13"/>
      <c r="F15" s="3"/>
      <c r="I15" s="3"/>
      <c r="L15" s="1"/>
    </row>
    <row r="16" spans="1:13" x14ac:dyDescent="0.25">
      <c r="A16" s="20" t="s">
        <v>22</v>
      </c>
      <c r="B16" s="75"/>
      <c r="C16" s="21" t="s">
        <v>19</v>
      </c>
      <c r="D16" s="75"/>
      <c r="E16" s="29"/>
      <c r="F16" s="75"/>
      <c r="G16" s="22" t="e">
        <f>G$14*'Pensioenpremie CAO'!B$16</f>
        <v>#N/A</v>
      </c>
      <c r="H16" s="22" t="e">
        <f>H$14*'Pensioenpremie CAO'!C$16</f>
        <v>#N/A</v>
      </c>
      <c r="I16" s="75"/>
      <c r="J16" s="22" t="e">
        <f>J$14*'Pensioenpremie CAO'!D$16</f>
        <v>#N/A</v>
      </c>
      <c r="K16" s="22" t="e">
        <f>K$14*'Pensioenpremie CAO'!E$16</f>
        <v>#N/A</v>
      </c>
      <c r="L16" s="87"/>
      <c r="M16" s="20"/>
    </row>
    <row r="17" spans="1:13" x14ac:dyDescent="0.25">
      <c r="A17" s="23" t="s">
        <v>24</v>
      </c>
      <c r="B17" s="76"/>
      <c r="C17" s="24" t="s">
        <v>19</v>
      </c>
      <c r="D17" s="76"/>
      <c r="E17" s="25"/>
      <c r="F17" s="76"/>
      <c r="G17" s="26" t="e">
        <f>G$14*'Pensioenpremie CAO'!B$24</f>
        <v>#N/A</v>
      </c>
      <c r="H17" s="26" t="e">
        <f>H$14*'Pensioenpremie CAO'!C$24</f>
        <v>#N/A</v>
      </c>
      <c r="I17" s="76"/>
      <c r="J17" s="26" t="e">
        <f>J$14*'Pensioenpremie CAO'!D$24</f>
        <v>#N/A</v>
      </c>
      <c r="K17" s="26" t="e">
        <f>K$14*'Pensioenpremie CAO'!E$24</f>
        <v>#N/A</v>
      </c>
      <c r="L17" s="88"/>
      <c r="M17" s="23"/>
    </row>
    <row r="18" spans="1:13" x14ac:dyDescent="0.25">
      <c r="A18" s="31" t="s">
        <v>25</v>
      </c>
      <c r="B18" s="77"/>
      <c r="C18" s="32"/>
      <c r="D18" s="77"/>
      <c r="E18" s="36"/>
      <c r="F18" s="77"/>
      <c r="G18" s="34" t="e">
        <f>SUM(G16:G17)</f>
        <v>#N/A</v>
      </c>
      <c r="H18" s="34" t="e">
        <f t="shared" ref="H18:K18" si="3">SUM(H16:H17)</f>
        <v>#N/A</v>
      </c>
      <c r="I18" s="77"/>
      <c r="J18" s="34" t="e">
        <f t="shared" si="3"/>
        <v>#N/A</v>
      </c>
      <c r="K18" s="34" t="e">
        <f t="shared" si="3"/>
        <v>#N/A</v>
      </c>
      <c r="L18" s="89"/>
      <c r="M18" s="35"/>
    </row>
    <row r="19" spans="1:13" ht="8.25" customHeight="1" x14ac:dyDescent="0.25">
      <c r="B19" s="3"/>
      <c r="D19" s="3"/>
      <c r="E19" s="13"/>
      <c r="F19" s="3"/>
      <c r="I19" s="3"/>
      <c r="L19" s="1"/>
    </row>
    <row r="20" spans="1:13" x14ac:dyDescent="0.25">
      <c r="A20" s="20" t="s">
        <v>26</v>
      </c>
      <c r="B20" s="75"/>
      <c r="C20" s="21" t="s">
        <v>19</v>
      </c>
      <c r="D20" s="75"/>
      <c r="E20" s="30">
        <v>6.6600000000000006E-2</v>
      </c>
      <c r="F20" s="75"/>
      <c r="G20" s="22" t="e">
        <f>G$14*$E20</f>
        <v>#N/A</v>
      </c>
      <c r="H20" s="22" t="e">
        <f t="shared" ref="H20:K23" si="4">H$14*$E20</f>
        <v>#N/A</v>
      </c>
      <c r="I20" s="75"/>
      <c r="J20" s="22" t="e">
        <f t="shared" si="4"/>
        <v>#N/A</v>
      </c>
      <c r="K20" s="22" t="e">
        <f t="shared" si="4"/>
        <v>#N/A</v>
      </c>
      <c r="L20" s="87"/>
      <c r="M20" s="20"/>
    </row>
    <row r="21" spans="1:13" x14ac:dyDescent="0.25">
      <c r="A21" s="23" t="s">
        <v>27</v>
      </c>
      <c r="B21" s="76"/>
      <c r="C21" s="24" t="s">
        <v>19</v>
      </c>
      <c r="D21" s="76"/>
      <c r="E21" s="27">
        <v>2.64E-2</v>
      </c>
      <c r="F21" s="76"/>
      <c r="G21" s="26" t="e">
        <f>G$14*$E21</f>
        <v>#N/A</v>
      </c>
      <c r="H21" s="26" t="e">
        <f t="shared" si="4"/>
        <v>#N/A</v>
      </c>
      <c r="I21" s="76"/>
      <c r="J21" s="26" t="e">
        <f t="shared" si="4"/>
        <v>#N/A</v>
      </c>
      <c r="K21" s="26" t="e">
        <f t="shared" si="4"/>
        <v>#N/A</v>
      </c>
      <c r="L21" s="88"/>
      <c r="M21" s="23"/>
    </row>
    <row r="22" spans="1:13" x14ac:dyDescent="0.25">
      <c r="A22" s="23" t="s">
        <v>28</v>
      </c>
      <c r="B22" s="76"/>
      <c r="C22" s="24" t="s">
        <v>19</v>
      </c>
      <c r="D22" s="76"/>
      <c r="E22" s="27">
        <v>9.4000000000000004E-3</v>
      </c>
      <c r="F22" s="76"/>
      <c r="G22" s="26" t="e">
        <f t="shared" ref="G22:G23" si="5">G$14*$E22</f>
        <v>#N/A</v>
      </c>
      <c r="H22" s="26" t="e">
        <f t="shared" si="4"/>
        <v>#N/A</v>
      </c>
      <c r="I22" s="76"/>
      <c r="J22" s="26" t="e">
        <f t="shared" si="4"/>
        <v>#N/A</v>
      </c>
      <c r="K22" s="26" t="e">
        <f t="shared" si="4"/>
        <v>#N/A</v>
      </c>
      <c r="L22" s="88"/>
      <c r="M22" s="23"/>
    </row>
    <row r="23" spans="1:13" x14ac:dyDescent="0.25">
      <c r="A23" s="23" t="s">
        <v>29</v>
      </c>
      <c r="B23" s="76"/>
      <c r="C23" s="24" t="s">
        <v>19</v>
      </c>
      <c r="D23" s="76"/>
      <c r="E23" s="27">
        <v>6.6500000000000004E-2</v>
      </c>
      <c r="F23" s="76"/>
      <c r="G23" s="26" t="e">
        <f t="shared" si="5"/>
        <v>#N/A</v>
      </c>
      <c r="H23" s="26" t="e">
        <f t="shared" si="4"/>
        <v>#N/A</v>
      </c>
      <c r="I23" s="76"/>
      <c r="J23" s="26" t="e">
        <f t="shared" si="4"/>
        <v>#N/A</v>
      </c>
      <c r="K23" s="26" t="e">
        <f t="shared" si="4"/>
        <v>#N/A</v>
      </c>
      <c r="L23" s="88"/>
      <c r="M23" s="23"/>
    </row>
    <row r="24" spans="1:13" x14ac:dyDescent="0.25">
      <c r="A24" s="23" t="s">
        <v>30</v>
      </c>
      <c r="B24" s="76"/>
      <c r="C24" s="24" t="s">
        <v>31</v>
      </c>
      <c r="D24" s="76"/>
      <c r="E24" s="64">
        <v>9.1000000000000004E-3</v>
      </c>
      <c r="F24" s="76"/>
      <c r="G24" s="26" t="e">
        <f>G$14*$E24</f>
        <v>#N/A</v>
      </c>
      <c r="H24" s="26" t="e">
        <f>H$14*$E24</f>
        <v>#N/A</v>
      </c>
      <c r="I24" s="76"/>
      <c r="J24" s="26" t="e">
        <f>J$14*$E24</f>
        <v>#N/A</v>
      </c>
      <c r="K24" s="26" t="e">
        <f>K$14*$E24</f>
        <v>#N/A</v>
      </c>
      <c r="L24" s="88"/>
      <c r="M24" s="63" t="s">
        <v>72</v>
      </c>
    </row>
    <row r="25" spans="1:13" x14ac:dyDescent="0.25">
      <c r="A25" s="23" t="s">
        <v>32</v>
      </c>
      <c r="B25" s="76"/>
      <c r="C25" s="24" t="s">
        <v>31</v>
      </c>
      <c r="D25" s="76"/>
      <c r="E25" s="64">
        <v>0</v>
      </c>
      <c r="F25" s="76"/>
      <c r="G25" s="26" t="e">
        <f>G$14*$E25</f>
        <v>#N/A</v>
      </c>
      <c r="H25" s="26" t="e">
        <f>H$14*$E25</f>
        <v>#N/A</v>
      </c>
      <c r="I25" s="76"/>
      <c r="J25" s="26" t="e">
        <f>J$14*$E25</f>
        <v>#N/A</v>
      </c>
      <c r="K25" s="26" t="e">
        <f>K$14*$E25</f>
        <v>#N/A</v>
      </c>
      <c r="L25" s="88"/>
      <c r="M25" s="63" t="s">
        <v>73</v>
      </c>
    </row>
    <row r="26" spans="1:13" x14ac:dyDescent="0.25">
      <c r="A26" s="31" t="s">
        <v>34</v>
      </c>
      <c r="B26" s="77"/>
      <c r="C26" s="32"/>
      <c r="D26" s="77"/>
      <c r="E26" s="33">
        <f>SUM(E20:E25)</f>
        <v>0.17799999999999999</v>
      </c>
      <c r="F26" s="77"/>
      <c r="G26" s="34" t="e">
        <f>SUM(G20:G25)</f>
        <v>#N/A</v>
      </c>
      <c r="H26" s="34" t="e">
        <f t="shared" ref="H26:K26" si="6">SUM(H20:H25)</f>
        <v>#N/A</v>
      </c>
      <c r="I26" s="77"/>
      <c r="J26" s="34" t="e">
        <f t="shared" si="6"/>
        <v>#N/A</v>
      </c>
      <c r="K26" s="34" t="e">
        <f t="shared" si="6"/>
        <v>#N/A</v>
      </c>
      <c r="L26" s="89"/>
      <c r="M26" s="35"/>
    </row>
    <row r="27" spans="1:13" ht="8.25" customHeight="1" x14ac:dyDescent="0.25">
      <c r="B27" s="3"/>
      <c r="D27" s="3"/>
      <c r="F27" s="3"/>
      <c r="I27" s="3"/>
      <c r="L27" s="1"/>
    </row>
    <row r="28" spans="1:13" x14ac:dyDescent="0.25">
      <c r="A28" s="10" t="s">
        <v>35</v>
      </c>
      <c r="B28" s="78"/>
      <c r="C28" s="14"/>
      <c r="D28" s="78"/>
      <c r="F28" s="78"/>
      <c r="G28" s="11" t="e">
        <f>G14+G18+G26</f>
        <v>#N/A</v>
      </c>
      <c r="H28" s="11" t="e">
        <f t="shared" ref="H28:K28" si="7">H14+H18+H26</f>
        <v>#N/A</v>
      </c>
      <c r="I28" s="78"/>
      <c r="J28" s="11" t="e">
        <f t="shared" si="7"/>
        <v>#N/A</v>
      </c>
      <c r="K28" s="11" t="e">
        <f t="shared" si="7"/>
        <v>#N/A</v>
      </c>
      <c r="L28" s="1"/>
    </row>
    <row r="29" spans="1:13" x14ac:dyDescent="0.25">
      <c r="B29" s="3"/>
      <c r="D29" s="3"/>
      <c r="F29" s="3"/>
      <c r="I29" s="3"/>
      <c r="L29" s="1"/>
    </row>
    <row r="30" spans="1:13" x14ac:dyDescent="0.25">
      <c r="A30" s="2" t="s">
        <v>74</v>
      </c>
      <c r="B30" s="3"/>
      <c r="C30" s="4"/>
      <c r="D30" s="3"/>
      <c r="E30" s="1"/>
      <c r="F30" s="3"/>
      <c r="G30" s="3"/>
      <c r="H30" s="3"/>
      <c r="I30" s="3"/>
      <c r="J30" s="3"/>
      <c r="K30" s="3"/>
      <c r="L30" s="1"/>
      <c r="M30" s="1"/>
    </row>
    <row r="31" spans="1:13" ht="8.25" customHeight="1" x14ac:dyDescent="0.25">
      <c r="B31" s="3"/>
      <c r="D31" s="3"/>
      <c r="F31" s="3"/>
      <c r="I31" s="3"/>
      <c r="L31" s="1"/>
    </row>
    <row r="32" spans="1:13" x14ac:dyDescent="0.25">
      <c r="A32" s="20" t="s">
        <v>36</v>
      </c>
      <c r="B32" s="75"/>
      <c r="C32" s="21" t="s">
        <v>19</v>
      </c>
      <c r="D32" s="75"/>
      <c r="E32" s="29">
        <v>0.13589999999999999</v>
      </c>
      <c r="F32" s="75"/>
      <c r="G32" s="22" t="e">
        <f>G$28*$E32</f>
        <v>#N/A</v>
      </c>
      <c r="H32" s="22" t="e">
        <f t="shared" ref="H32:K32" si="8">H$28*$E32</f>
        <v>#N/A</v>
      </c>
      <c r="I32" s="75"/>
      <c r="J32" s="22" t="e">
        <f t="shared" si="8"/>
        <v>#N/A</v>
      </c>
      <c r="K32" s="22" t="e">
        <f t="shared" si="8"/>
        <v>#N/A</v>
      </c>
      <c r="L32" s="87"/>
      <c r="M32" s="20"/>
    </row>
    <row r="33" spans="1:13" x14ac:dyDescent="0.25">
      <c r="A33" s="23" t="s">
        <v>42</v>
      </c>
      <c r="B33" s="76"/>
      <c r="C33" s="24" t="s">
        <v>31</v>
      </c>
      <c r="D33" s="76"/>
      <c r="E33" s="65">
        <v>6.3399999999999998E-2</v>
      </c>
      <c r="F33" s="76"/>
      <c r="G33" s="26" t="e">
        <f>G$28*$E33</f>
        <v>#N/A</v>
      </c>
      <c r="H33" s="26" t="e">
        <f>H$28*$E33</f>
        <v>#N/A</v>
      </c>
      <c r="I33" s="76"/>
      <c r="J33" s="26" t="e">
        <f>J$28*$E33</f>
        <v>#N/A</v>
      </c>
      <c r="K33" s="26" t="e">
        <f>K$28*$E33</f>
        <v>#N/A</v>
      </c>
      <c r="L33" s="88"/>
      <c r="M33" s="63" t="s">
        <v>75</v>
      </c>
    </row>
    <row r="34" spans="1:13" x14ac:dyDescent="0.25">
      <c r="A34" s="23" t="s">
        <v>38</v>
      </c>
      <c r="B34" s="76"/>
      <c r="C34" s="24" t="s">
        <v>19</v>
      </c>
      <c r="D34" s="76"/>
      <c r="E34" s="27">
        <v>0.02</v>
      </c>
      <c r="F34" s="76"/>
      <c r="G34" s="26" t="e">
        <f t="shared" ref="G34:K34" si="9">G$28*$E34</f>
        <v>#N/A</v>
      </c>
      <c r="H34" s="26" t="e">
        <f t="shared" si="9"/>
        <v>#N/A</v>
      </c>
      <c r="I34" s="76"/>
      <c r="J34" s="26" t="e">
        <f t="shared" si="9"/>
        <v>#N/A</v>
      </c>
      <c r="K34" s="26" t="e">
        <f t="shared" si="9"/>
        <v>#N/A</v>
      </c>
      <c r="L34" s="88"/>
      <c r="M34" s="23"/>
    </row>
    <row r="35" spans="1:13" ht="31.5" x14ac:dyDescent="0.25">
      <c r="A35" s="96" t="s">
        <v>76</v>
      </c>
      <c r="B35" s="79"/>
      <c r="C35" s="14"/>
      <c r="D35" s="79"/>
      <c r="E35" s="15">
        <f>SUM(E32:E34)</f>
        <v>0.21929999999999997</v>
      </c>
      <c r="F35" s="79"/>
      <c r="G35" s="16" t="e">
        <f t="shared" ref="G35:K35" si="10">SUM(G32:G34)</f>
        <v>#N/A</v>
      </c>
      <c r="H35" s="16" t="e">
        <f t="shared" si="10"/>
        <v>#N/A</v>
      </c>
      <c r="I35" s="79"/>
      <c r="J35" s="16" t="e">
        <f t="shared" si="10"/>
        <v>#N/A</v>
      </c>
      <c r="K35" s="16" t="e">
        <f t="shared" si="10"/>
        <v>#N/A</v>
      </c>
      <c r="L35" s="1"/>
    </row>
    <row r="36" spans="1:13" x14ac:dyDescent="0.25">
      <c r="B36" s="3"/>
      <c r="D36" s="3"/>
      <c r="F36" s="3"/>
      <c r="I36" s="3"/>
      <c r="L36" s="1"/>
    </row>
    <row r="37" spans="1:13" x14ac:dyDescent="0.25">
      <c r="A37" s="2" t="s">
        <v>77</v>
      </c>
      <c r="B37" s="3"/>
      <c r="C37" s="4"/>
      <c r="D37" s="3"/>
      <c r="E37" s="1"/>
      <c r="F37" s="3"/>
      <c r="G37" s="3"/>
      <c r="H37" s="3"/>
      <c r="I37" s="3"/>
      <c r="J37" s="3"/>
      <c r="K37" s="3"/>
      <c r="L37" s="1"/>
      <c r="M37" s="1"/>
    </row>
    <row r="38" spans="1:13" ht="8.25" customHeight="1" x14ac:dyDescent="0.25">
      <c r="B38" s="3"/>
      <c r="D38" s="3"/>
      <c r="F38" s="3"/>
      <c r="I38" s="3"/>
      <c r="L38" s="1"/>
    </row>
    <row r="39" spans="1:13" x14ac:dyDescent="0.25">
      <c r="A39" s="43" t="s">
        <v>78</v>
      </c>
      <c r="B39" s="80"/>
      <c r="C39" s="44" t="s">
        <v>31</v>
      </c>
      <c r="D39" s="80"/>
      <c r="E39" s="66">
        <v>2.5000000000000001E-2</v>
      </c>
      <c r="F39" s="80"/>
      <c r="G39" s="46" t="e">
        <f>$E39*G$28</f>
        <v>#N/A</v>
      </c>
      <c r="H39" s="46" t="e">
        <f t="shared" ref="H39:K41" si="11">$E39*H$28</f>
        <v>#N/A</v>
      </c>
      <c r="I39" s="80"/>
      <c r="J39" s="46" t="e">
        <f t="shared" si="11"/>
        <v>#N/A</v>
      </c>
      <c r="K39" s="46" t="e">
        <f t="shared" si="11"/>
        <v>#N/A</v>
      </c>
      <c r="L39" s="87"/>
      <c r="M39" s="67"/>
    </row>
    <row r="40" spans="1:13" x14ac:dyDescent="0.25">
      <c r="A40" s="45" t="s">
        <v>79</v>
      </c>
      <c r="B40" s="81"/>
      <c r="C40" s="24" t="s">
        <v>31</v>
      </c>
      <c r="D40" s="81"/>
      <c r="E40" s="64">
        <v>2.5000000000000001E-2</v>
      </c>
      <c r="F40" s="81"/>
      <c r="G40" s="47" t="e">
        <f>$E40*G$28</f>
        <v>#N/A</v>
      </c>
      <c r="H40" s="47" t="e">
        <f t="shared" si="11"/>
        <v>#N/A</v>
      </c>
      <c r="I40" s="81"/>
      <c r="J40" s="47" t="e">
        <f t="shared" si="11"/>
        <v>#N/A</v>
      </c>
      <c r="K40" s="47" t="e">
        <f t="shared" si="11"/>
        <v>#N/A</v>
      </c>
      <c r="L40" s="88"/>
      <c r="M40" s="63" t="s">
        <v>80</v>
      </c>
    </row>
    <row r="41" spans="1:13" x14ac:dyDescent="0.25">
      <c r="A41" s="45" t="s">
        <v>81</v>
      </c>
      <c r="B41" s="81"/>
      <c r="C41" s="24" t="s">
        <v>31</v>
      </c>
      <c r="D41" s="81"/>
      <c r="E41" s="64">
        <v>2.5000000000000001E-2</v>
      </c>
      <c r="F41" s="81"/>
      <c r="G41" s="47" t="e">
        <f>$E41*G$28</f>
        <v>#N/A</v>
      </c>
      <c r="H41" s="47" t="e">
        <f t="shared" si="11"/>
        <v>#N/A</v>
      </c>
      <c r="I41" s="81"/>
      <c r="J41" s="47" t="e">
        <f t="shared" si="11"/>
        <v>#N/A</v>
      </c>
      <c r="K41" s="47" t="e">
        <f t="shared" si="11"/>
        <v>#N/A</v>
      </c>
      <c r="L41" s="88"/>
      <c r="M41" s="63" t="s">
        <v>82</v>
      </c>
    </row>
    <row r="42" spans="1:13" ht="8.25" customHeight="1" x14ac:dyDescent="0.25">
      <c r="A42" s="7"/>
      <c r="B42" s="82"/>
      <c r="D42" s="82"/>
      <c r="E42" s="8"/>
      <c r="F42" s="82"/>
      <c r="G42" s="9"/>
      <c r="H42" s="9"/>
      <c r="I42" s="82"/>
      <c r="J42" s="9"/>
      <c r="K42" s="9"/>
      <c r="L42" s="1"/>
    </row>
    <row r="43" spans="1:13" ht="31.5" x14ac:dyDescent="0.25">
      <c r="A43" s="43" t="s">
        <v>83</v>
      </c>
      <c r="B43" s="83"/>
      <c r="C43" s="21" t="s">
        <v>31</v>
      </c>
      <c r="D43" s="83"/>
      <c r="E43" s="20"/>
      <c r="F43" s="83"/>
      <c r="G43" s="68">
        <v>0.28000000000000003</v>
      </c>
      <c r="H43" s="68">
        <v>0.28000000000000003</v>
      </c>
      <c r="I43" s="83"/>
      <c r="J43" s="68">
        <v>0.28000000000000003</v>
      </c>
      <c r="K43" s="68">
        <v>0.28000000000000003</v>
      </c>
      <c r="L43" s="87"/>
      <c r="M43" s="69" t="s">
        <v>84</v>
      </c>
    </row>
    <row r="44" spans="1:13" x14ac:dyDescent="0.25">
      <c r="A44" s="45" t="s">
        <v>46</v>
      </c>
      <c r="B44" s="84"/>
      <c r="C44" s="24" t="s">
        <v>31</v>
      </c>
      <c r="D44" s="84"/>
      <c r="E44" s="23"/>
      <c r="F44" s="84"/>
      <c r="G44" s="70">
        <v>0.2</v>
      </c>
      <c r="H44" s="70">
        <v>0.2</v>
      </c>
      <c r="I44" s="84"/>
      <c r="J44" s="70">
        <v>0.2</v>
      </c>
      <c r="K44" s="70">
        <v>0.2</v>
      </c>
      <c r="L44" s="88"/>
      <c r="M44" s="63"/>
    </row>
    <row r="45" spans="1:13" x14ac:dyDescent="0.25">
      <c r="A45" s="10" t="s">
        <v>85</v>
      </c>
      <c r="B45" s="85"/>
      <c r="D45" s="85"/>
      <c r="F45" s="85"/>
      <c r="G45" s="12">
        <f>SUM(G43:G44)</f>
        <v>0.48000000000000004</v>
      </c>
      <c r="H45" s="12">
        <f t="shared" ref="H45:K45" si="12">SUM(H43:H44)</f>
        <v>0.48000000000000004</v>
      </c>
      <c r="I45" s="85"/>
      <c r="J45" s="12">
        <f t="shared" si="12"/>
        <v>0.48000000000000004</v>
      </c>
      <c r="K45" s="12">
        <f t="shared" si="12"/>
        <v>0.48000000000000004</v>
      </c>
      <c r="L45" s="1"/>
    </row>
    <row r="46" spans="1:13" ht="8.25" customHeight="1" x14ac:dyDescent="0.25">
      <c r="A46" s="7"/>
      <c r="B46" s="85"/>
      <c r="D46" s="85"/>
      <c r="F46" s="85"/>
      <c r="G46" s="12"/>
      <c r="H46" s="12"/>
      <c r="I46" s="85"/>
      <c r="J46" s="12"/>
      <c r="K46" s="12"/>
      <c r="L46" s="1"/>
    </row>
    <row r="47" spans="1:13" x14ac:dyDescent="0.25">
      <c r="A47" s="43" t="s">
        <v>86</v>
      </c>
      <c r="B47" s="80"/>
      <c r="C47" s="21" t="s">
        <v>31</v>
      </c>
      <c r="D47" s="80"/>
      <c r="E47" s="66">
        <v>0.15</v>
      </c>
      <c r="F47" s="80"/>
      <c r="G47" s="46" t="e">
        <f>$E47*(G$28+G$35+G$39+G$40+G$45)</f>
        <v>#N/A</v>
      </c>
      <c r="H47" s="46" t="e">
        <f>$E47*(H$28+H$35+H$39+H$40+H$45)</f>
        <v>#N/A</v>
      </c>
      <c r="I47" s="80"/>
      <c r="J47" s="46" t="e">
        <f>$E47*(J$28+J$35+J$39+J$40+J$45)</f>
        <v>#N/A</v>
      </c>
      <c r="K47" s="46" t="e">
        <f>$E47*(K$28+K$35+K$39+K$40+K$45)</f>
        <v>#N/A</v>
      </c>
      <c r="L47" s="87"/>
      <c r="M47" s="71" t="s">
        <v>7</v>
      </c>
    </row>
    <row r="48" spans="1:13" x14ac:dyDescent="0.25">
      <c r="A48" s="10" t="s">
        <v>87</v>
      </c>
      <c r="B48" s="78"/>
      <c r="D48" s="78"/>
      <c r="F48" s="78"/>
      <c r="G48" s="11" t="e">
        <f>G$28+G$35+G$39+G$40+G$45+G$47</f>
        <v>#N/A</v>
      </c>
      <c r="H48" s="11" t="e">
        <f t="shared" ref="H48:K48" si="13">H$28+H$35+H$39+H$40+H$45+H$47</f>
        <v>#N/A</v>
      </c>
      <c r="I48" s="78"/>
      <c r="J48" s="11" t="e">
        <f t="shared" si="13"/>
        <v>#N/A</v>
      </c>
      <c r="K48" s="11" t="e">
        <f t="shared" si="13"/>
        <v>#N/A</v>
      </c>
      <c r="L48" s="1"/>
    </row>
    <row r="49" spans="1:13" ht="8.25" customHeight="1" x14ac:dyDescent="0.25">
      <c r="A49" s="10"/>
      <c r="B49" s="78"/>
      <c r="D49" s="78"/>
      <c r="F49" s="78"/>
      <c r="G49" s="11"/>
      <c r="H49" s="11"/>
      <c r="I49" s="78"/>
      <c r="J49" s="11"/>
      <c r="K49" s="11"/>
      <c r="L49" s="1"/>
    </row>
    <row r="50" spans="1:13" x14ac:dyDescent="0.25">
      <c r="A50" s="48" t="s">
        <v>88</v>
      </c>
      <c r="B50" s="80"/>
      <c r="C50" s="21" t="s">
        <v>31</v>
      </c>
      <c r="D50" s="80"/>
      <c r="E50" s="66">
        <v>0</v>
      </c>
      <c r="F50" s="80"/>
      <c r="G50" s="46" t="e">
        <f>$E50*G$48</f>
        <v>#N/A</v>
      </c>
      <c r="H50" s="46" t="e">
        <f t="shared" ref="H50:K50" si="14">$E50*H$48</f>
        <v>#N/A</v>
      </c>
      <c r="I50" s="80"/>
      <c r="J50" s="46" t="e">
        <f t="shared" si="14"/>
        <v>#N/A</v>
      </c>
      <c r="K50" s="46" t="e">
        <f t="shared" si="14"/>
        <v>#N/A</v>
      </c>
      <c r="L50" s="87"/>
      <c r="M50" s="67" t="s">
        <v>89</v>
      </c>
    </row>
    <row r="51" spans="1:13" x14ac:dyDescent="0.25">
      <c r="A51" s="45" t="s">
        <v>90</v>
      </c>
      <c r="B51" s="81"/>
      <c r="C51" s="24" t="s">
        <v>31</v>
      </c>
      <c r="D51" s="81"/>
      <c r="E51" s="64">
        <v>0.05</v>
      </c>
      <c r="F51" s="81"/>
      <c r="G51" s="47" t="e">
        <f>$E51*G$48</f>
        <v>#N/A</v>
      </c>
      <c r="H51" s="47" t="e">
        <f t="shared" ref="H51:K51" si="15">$E51*H$48</f>
        <v>#N/A</v>
      </c>
      <c r="I51" s="81"/>
      <c r="J51" s="47" t="e">
        <f t="shared" si="15"/>
        <v>#N/A</v>
      </c>
      <c r="K51" s="47" t="e">
        <f t="shared" si="15"/>
        <v>#N/A</v>
      </c>
      <c r="L51" s="88"/>
      <c r="M51" s="63"/>
    </row>
    <row r="52" spans="1:13" ht="8.25" customHeight="1" x14ac:dyDescent="0.25">
      <c r="B52" s="3"/>
      <c r="D52" s="3"/>
      <c r="F52" s="3"/>
      <c r="I52" s="3"/>
      <c r="L52" s="1"/>
    </row>
    <row r="53" spans="1:13" x14ac:dyDescent="0.25">
      <c r="A53" s="10" t="s">
        <v>91</v>
      </c>
      <c r="B53" s="78"/>
      <c r="D53" s="78"/>
      <c r="F53" s="78"/>
      <c r="G53" s="11" t="e">
        <f>G$48+G$51</f>
        <v>#N/A</v>
      </c>
      <c r="H53" s="11" t="e">
        <f t="shared" ref="H53:K53" si="16">H$48+H$51</f>
        <v>#N/A</v>
      </c>
      <c r="I53" s="78"/>
      <c r="J53" s="11" t="e">
        <f t="shared" si="16"/>
        <v>#N/A</v>
      </c>
      <c r="K53" s="11" t="e">
        <f t="shared" si="16"/>
        <v>#N/A</v>
      </c>
      <c r="L53" s="1"/>
    </row>
    <row r="54" spans="1:13" x14ac:dyDescent="0.25">
      <c r="B54" s="3"/>
      <c r="D54" s="3"/>
      <c r="F54" s="3"/>
      <c r="I54" s="3"/>
      <c r="L54" s="1"/>
    </row>
    <row r="55" spans="1:13" ht="18.75" x14ac:dyDescent="0.3">
      <c r="A55" s="38" t="s">
        <v>92</v>
      </c>
      <c r="B55" s="98"/>
      <c r="C55" s="42"/>
      <c r="D55" s="98"/>
      <c r="E55" s="40"/>
      <c r="F55" s="98"/>
      <c r="G55" s="115" t="e">
        <f>(G53*G7)+(H53*H7)</f>
        <v>#N/A</v>
      </c>
      <c r="H55" s="115"/>
      <c r="I55" s="98"/>
      <c r="J55" s="115" t="e">
        <f>(J53*J7)+(K53*K7)</f>
        <v>#N/A</v>
      </c>
      <c r="K55" s="115"/>
      <c r="L55" s="41"/>
      <c r="M55" s="38" t="s">
        <v>93</v>
      </c>
    </row>
  </sheetData>
  <mergeCells count="6">
    <mergeCell ref="J3:K3"/>
    <mergeCell ref="G3:H3"/>
    <mergeCell ref="G4:H4"/>
    <mergeCell ref="J4:K4"/>
    <mergeCell ref="G55:H55"/>
    <mergeCell ref="J55:K55"/>
  </mergeCells>
  <phoneticPr fontId="23" type="noConversion"/>
  <dataValidations count="6">
    <dataValidation type="list" showInputMessage="1" showErrorMessage="1" sqref="J5:K5 H5">
      <formula1>"FWG10,FWG15,FWG20,FWG25,FWG30"</formula1>
    </dataValidation>
    <dataValidation type="list" showInputMessage="1" showErrorMessage="1" sqref="G5">
      <formula1>",FWG10,FWG15,FWG20,FWG25,FWG30"</formula1>
    </dataValidation>
    <dataValidation type="list" showInputMessage="1" showErrorMessage="1" sqref="G6">
      <formula1>INDIRECT($G$4&amp;$G$5)</formula1>
    </dataValidation>
    <dataValidation type="list" allowBlank="1" showInputMessage="1" showErrorMessage="1" sqref="H6">
      <formula1>INDIRECT($G$4&amp;$H$5)</formula1>
    </dataValidation>
    <dataValidation type="list" allowBlank="1" showInputMessage="1" showErrorMessage="1" sqref="J6">
      <formula1>INDIRECT($J$4&amp;$J$5)</formula1>
    </dataValidation>
    <dataValidation type="list" allowBlank="1" showInputMessage="1" showErrorMessage="1" sqref="K6">
      <formula1>INDIRECT($J$4&amp;$K$5)</formula1>
    </dataValidation>
  </dataValidations>
  <hyperlinks>
    <hyperlink ref="M47" location="Toelichting!A1" display="Toelichting"/>
  </hyperlinks>
  <pageMargins left="0.7" right="0.7" top="0.75" bottom="0.75" header="0.3" footer="0.3"/>
  <pageSetup paperSize="9" scale="66" fitToHeight="2" orientation="landscape" horizontalDpi="0" verticalDpi="0"/>
  <ignoredErrors>
    <ignoredError sqref="H11"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zoomScale="90" zoomScaleNormal="90" workbookViewId="0">
      <selection activeCell="D35" sqref="D35"/>
    </sheetView>
  </sheetViews>
  <sheetFormatPr defaultColWidth="10.625" defaultRowHeight="15.75" x14ac:dyDescent="0.25"/>
  <cols>
    <col min="1" max="1" width="45.5" style="122" customWidth="1"/>
    <col min="2" max="2" width="8.125" style="122" customWidth="1"/>
    <col min="3" max="3" width="12.125" style="122" bestFit="1" customWidth="1"/>
    <col min="4" max="4" width="12.5" style="122" bestFit="1" customWidth="1"/>
    <col min="5" max="5" width="14.125" style="122" customWidth="1"/>
    <col min="6" max="6" width="14.625" style="122" customWidth="1"/>
    <col min="7" max="7" width="14.125" style="122" customWidth="1"/>
    <col min="8" max="8" width="14.625" style="122" customWidth="1"/>
    <col min="9" max="16384" width="10.625" style="122"/>
  </cols>
  <sheetData>
    <row r="1" spans="1:8" x14ac:dyDescent="0.25">
      <c r="A1" s="254" t="s">
        <v>94</v>
      </c>
      <c r="B1" s="254"/>
      <c r="C1" s="254"/>
      <c r="D1" s="254"/>
      <c r="E1" s="254"/>
      <c r="F1" s="254"/>
      <c r="G1" s="255"/>
      <c r="H1" s="255"/>
    </row>
    <row r="2" spans="1:8" x14ac:dyDescent="0.25">
      <c r="A2" s="256"/>
      <c r="B2" s="256"/>
    </row>
    <row r="3" spans="1:8" x14ac:dyDescent="0.25">
      <c r="A3" s="257" t="s">
        <v>95</v>
      </c>
      <c r="B3" s="257"/>
      <c r="C3" s="258" t="str">
        <f>'Invulblad HV schaal'!G3</f>
        <v>Hulp bij Huishouden</v>
      </c>
      <c r="D3" s="258"/>
      <c r="E3" s="258"/>
      <c r="F3" s="258"/>
      <c r="G3" s="258"/>
      <c r="H3" s="258"/>
    </row>
    <row r="4" spans="1:8" x14ac:dyDescent="0.25">
      <c r="A4" s="259" t="s">
        <v>11</v>
      </c>
      <c r="B4" s="259"/>
      <c r="C4" s="260" t="str">
        <f>IF('Invulblad HV schaal'!G5="","",'Invulblad HV schaal'!G5)</f>
        <v>HH</v>
      </c>
      <c r="D4" s="260" t="str">
        <f>IF('Invulblad HV schaal'!H5="","",'Invulblad HV schaal'!H5)</f>
        <v>HH</v>
      </c>
      <c r="E4" s="260" t="str">
        <f>IF('Invulblad HV schaal'!I5="","",'Invulblad HV schaal'!I5)</f>
        <v>HH</v>
      </c>
      <c r="F4" s="260" t="str">
        <f>IF('Invulblad HV schaal'!J5="","",'Invulblad HV schaal'!J5)</f>
        <v>HH</v>
      </c>
      <c r="G4" s="260" t="str">
        <f>IF('Invulblad HV schaal'!K5="","",'Invulblad HV schaal'!K5)</f>
        <v>HH</v>
      </c>
      <c r="H4" s="260" t="str">
        <f>IF('Invulblad HV schaal'!L5="","",'Invulblad HV schaal'!L5)</f>
        <v>HH</v>
      </c>
    </row>
    <row r="5" spans="1:8" x14ac:dyDescent="0.25">
      <c r="A5" s="259" t="s">
        <v>12</v>
      </c>
      <c r="B5" s="259"/>
      <c r="C5" s="260">
        <f>IF('Invulblad HV schaal'!G6="","",'Invulblad HV schaal'!G6)</f>
        <v>0</v>
      </c>
      <c r="D5" s="260">
        <f>IF('Invulblad HV schaal'!H6="","",'Invulblad HV schaal'!H6)</f>
        <v>1</v>
      </c>
      <c r="E5" s="260">
        <f>IF('Invulblad HV schaal'!I6="","",'Invulblad HV schaal'!I6)</f>
        <v>2</v>
      </c>
      <c r="F5" s="260">
        <f>IF('Invulblad HV schaal'!J6="","",'Invulblad HV schaal'!J6)</f>
        <v>3</v>
      </c>
      <c r="G5" s="260">
        <f>IF('Invulblad HV schaal'!K6="","",'Invulblad HV schaal'!K6)</f>
        <v>4</v>
      </c>
      <c r="H5" s="260">
        <f>IF('Invulblad HV schaal'!L6="","",'Invulblad HV schaal'!L6)</f>
        <v>5</v>
      </c>
    </row>
    <row r="6" spans="1:8" x14ac:dyDescent="0.25">
      <c r="A6" s="256"/>
      <c r="B6" s="256"/>
    </row>
    <row r="7" spans="1:8" x14ac:dyDescent="0.25">
      <c r="A7" s="261" t="s">
        <v>96</v>
      </c>
      <c r="B7" s="261"/>
      <c r="C7" s="262">
        <f>'Invulblad HV schaal'!G10</f>
        <v>10.76</v>
      </c>
      <c r="D7" s="262">
        <f>'Invulblad HV schaal'!H10</f>
        <v>11.3</v>
      </c>
      <c r="E7" s="262">
        <f>'Invulblad HV schaal'!I10</f>
        <v>11.84</v>
      </c>
      <c r="F7" s="262">
        <f>'Invulblad HV schaal'!J10</f>
        <v>12.38</v>
      </c>
      <c r="G7" s="262">
        <f>'Invulblad HV schaal'!K10</f>
        <v>12.92</v>
      </c>
      <c r="H7" s="262">
        <f>'Invulblad HV schaal'!L10</f>
        <v>13.45</v>
      </c>
    </row>
    <row r="8" spans="1:8" x14ac:dyDescent="0.25">
      <c r="A8" s="261" t="s">
        <v>97</v>
      </c>
      <c r="B8" s="261"/>
      <c r="C8" s="262">
        <f>C7*1878</f>
        <v>20207.28</v>
      </c>
      <c r="D8" s="262">
        <f t="shared" ref="D8:H8" si="0">D7*1878</f>
        <v>21221.4</v>
      </c>
      <c r="E8" s="262">
        <f t="shared" si="0"/>
        <v>22235.52</v>
      </c>
      <c r="F8" s="262">
        <f t="shared" si="0"/>
        <v>23249.640000000003</v>
      </c>
      <c r="G8" s="262">
        <f t="shared" si="0"/>
        <v>24263.759999999998</v>
      </c>
      <c r="H8" s="262">
        <f t="shared" si="0"/>
        <v>25259.1</v>
      </c>
    </row>
    <row r="9" spans="1:8" x14ac:dyDescent="0.25">
      <c r="A9" s="261" t="s">
        <v>98</v>
      </c>
      <c r="B9" s="261"/>
      <c r="C9" s="262">
        <f>'Invulblad HV schaal'!G13</f>
        <v>12.887295291799788</v>
      </c>
      <c r="D9" s="262">
        <f>'Invulblad HV schaal'!H13</f>
        <v>13.427295291799787</v>
      </c>
      <c r="E9" s="262">
        <f>'Invulblad HV schaal'!I13</f>
        <v>13.967295291799786</v>
      </c>
      <c r="F9" s="262">
        <f>'Invulblad HV schaal'!J13</f>
        <v>14.507295291799789</v>
      </c>
      <c r="G9" s="262">
        <f>'Invulblad HV schaal'!K13</f>
        <v>15.050661</v>
      </c>
      <c r="H9" s="262">
        <f>'Invulblad HV schaal'!L13</f>
        <v>15.646385</v>
      </c>
    </row>
    <row r="10" spans="1:8" x14ac:dyDescent="0.25">
      <c r="A10" s="259" t="s">
        <v>99</v>
      </c>
      <c r="B10" s="259"/>
      <c r="C10" s="263">
        <f>C9*1878</f>
        <v>24202.340558</v>
      </c>
      <c r="D10" s="263">
        <f t="shared" ref="D10:H10" si="1">D9*1878</f>
        <v>25216.460557999999</v>
      </c>
      <c r="E10" s="263">
        <f t="shared" si="1"/>
        <v>26230.580557999998</v>
      </c>
      <c r="F10" s="263">
        <f t="shared" si="1"/>
        <v>27244.700558000004</v>
      </c>
      <c r="G10" s="263">
        <f t="shared" si="1"/>
        <v>28265.141358000001</v>
      </c>
      <c r="H10" s="263">
        <f t="shared" si="1"/>
        <v>29383.911029999999</v>
      </c>
    </row>
    <row r="11" spans="1:8" x14ac:dyDescent="0.25">
      <c r="A11" s="256"/>
      <c r="B11" s="256"/>
    </row>
    <row r="12" spans="1:8" x14ac:dyDescent="0.25">
      <c r="A12" s="264" t="s">
        <v>100</v>
      </c>
      <c r="B12" s="264"/>
    </row>
    <row r="13" spans="1:8" x14ac:dyDescent="0.25">
      <c r="A13" s="184" t="s">
        <v>101</v>
      </c>
      <c r="B13" s="184"/>
      <c r="C13" s="265">
        <v>0.23499999999999999</v>
      </c>
      <c r="D13" s="265">
        <v>0.23499999999999999</v>
      </c>
      <c r="E13" s="265">
        <v>0.23499999999999999</v>
      </c>
      <c r="F13" s="265">
        <v>0.23499999999999999</v>
      </c>
      <c r="G13" s="265">
        <v>0.23499999999999999</v>
      </c>
      <c r="H13" s="265">
        <v>0.23499999999999999</v>
      </c>
    </row>
    <row r="14" spans="1:8" x14ac:dyDescent="0.25">
      <c r="A14" s="259" t="s">
        <v>102</v>
      </c>
      <c r="B14" s="259"/>
      <c r="C14" s="266">
        <v>12426</v>
      </c>
      <c r="D14" s="266">
        <v>12426</v>
      </c>
      <c r="E14" s="266">
        <v>12426</v>
      </c>
      <c r="F14" s="266">
        <v>12426</v>
      </c>
      <c r="G14" s="266">
        <v>12426</v>
      </c>
      <c r="H14" s="266">
        <v>12426</v>
      </c>
    </row>
    <row r="15" spans="1:8" x14ac:dyDescent="0.25">
      <c r="A15" s="259" t="s">
        <v>103</v>
      </c>
      <c r="B15" s="259"/>
      <c r="C15" s="263">
        <f>C10-C14</f>
        <v>11776.340558</v>
      </c>
      <c r="D15" s="263">
        <f t="shared" ref="D15:H15" si="2">D10-D14</f>
        <v>12790.460557999999</v>
      </c>
      <c r="E15" s="263">
        <f t="shared" si="2"/>
        <v>13804.580557999998</v>
      </c>
      <c r="F15" s="263">
        <f t="shared" si="2"/>
        <v>14818.700558000004</v>
      </c>
      <c r="G15" s="263">
        <f t="shared" si="2"/>
        <v>15839.141358000001</v>
      </c>
      <c r="H15" s="263">
        <f t="shared" si="2"/>
        <v>16957.911029999999</v>
      </c>
    </row>
    <row r="16" spans="1:8" x14ac:dyDescent="0.25">
      <c r="A16" s="259" t="s">
        <v>104</v>
      </c>
      <c r="B16" s="259"/>
      <c r="C16" s="263">
        <f>C15*C13</f>
        <v>2767.4400311299996</v>
      </c>
      <c r="D16" s="263">
        <f t="shared" ref="D16:H16" si="3">D15*D13</f>
        <v>3005.7582311299998</v>
      </c>
      <c r="E16" s="263">
        <f t="shared" si="3"/>
        <v>3244.0764311299995</v>
      </c>
      <c r="F16" s="263">
        <f t="shared" si="3"/>
        <v>3482.3946311300006</v>
      </c>
      <c r="G16" s="263">
        <f t="shared" si="3"/>
        <v>3722.1982191299999</v>
      </c>
      <c r="H16" s="263">
        <f t="shared" si="3"/>
        <v>3985.1090920499996</v>
      </c>
    </row>
    <row r="17" spans="1:8" x14ac:dyDescent="0.25">
      <c r="A17" s="256"/>
      <c r="B17" s="256"/>
    </row>
    <row r="18" spans="1:8" x14ac:dyDescent="0.25">
      <c r="A18" s="257" t="s">
        <v>105</v>
      </c>
      <c r="B18" s="257"/>
      <c r="C18" s="267">
        <f>IFERROR((C16/C10)*0.5,0)</f>
        <v>5.7172983424845496E-2</v>
      </c>
      <c r="D18" s="267">
        <f t="shared" ref="D18:H18" si="4">IFERROR((D16/D10)*0.5,0)</f>
        <v>5.9599130183566024E-2</v>
      </c>
      <c r="E18" s="267">
        <f t="shared" si="4"/>
        <v>6.1837678810745894E-2</v>
      </c>
      <c r="F18" s="267">
        <f t="shared" si="4"/>
        <v>6.3909578006124332E-2</v>
      </c>
      <c r="G18" s="267">
        <f t="shared" si="4"/>
        <v>6.5844323436869898E-2</v>
      </c>
      <c r="H18" s="267">
        <f t="shared" si="4"/>
        <v>6.781107334522854E-2</v>
      </c>
    </row>
    <row r="19" spans="1:8" x14ac:dyDescent="0.25">
      <c r="A19" s="256"/>
      <c r="B19" s="256"/>
    </row>
    <row r="20" spans="1:8" x14ac:dyDescent="0.25">
      <c r="A20" s="264" t="s">
        <v>106</v>
      </c>
      <c r="B20" s="264"/>
    </row>
    <row r="21" spans="1:8" x14ac:dyDescent="0.25">
      <c r="A21" s="184" t="s">
        <v>101</v>
      </c>
      <c r="B21" s="184"/>
      <c r="C21" s="268">
        <v>6.0000000000000001E-3</v>
      </c>
      <c r="D21" s="268">
        <v>6.0000000000000001E-3</v>
      </c>
      <c r="E21" s="268">
        <v>6.0000000000000001E-3</v>
      </c>
      <c r="F21" s="268">
        <v>6.0000000000000001E-3</v>
      </c>
      <c r="G21" s="268">
        <v>6.0000000000000001E-3</v>
      </c>
      <c r="H21" s="268">
        <v>6.0000000000000001E-3</v>
      </c>
    </row>
    <row r="22" spans="1:8" x14ac:dyDescent="0.25">
      <c r="A22" s="259" t="s">
        <v>107</v>
      </c>
      <c r="B22" s="259"/>
      <c r="C22" s="266">
        <v>20940</v>
      </c>
      <c r="D22" s="266">
        <v>20940</v>
      </c>
      <c r="E22" s="266">
        <v>20940</v>
      </c>
      <c r="F22" s="266">
        <v>20940</v>
      </c>
      <c r="G22" s="266">
        <v>20940</v>
      </c>
      <c r="H22" s="266">
        <v>20940</v>
      </c>
    </row>
    <row r="23" spans="1:8" x14ac:dyDescent="0.25">
      <c r="A23" s="259" t="s">
        <v>103</v>
      </c>
      <c r="B23" s="259"/>
      <c r="C23" s="263">
        <f>C10-C22</f>
        <v>3262.3405579999999</v>
      </c>
      <c r="D23" s="263">
        <f t="shared" ref="D23:H23" si="5">D10-D22</f>
        <v>4276.4605579999989</v>
      </c>
      <c r="E23" s="263">
        <f t="shared" si="5"/>
        <v>5290.5805579999978</v>
      </c>
      <c r="F23" s="263">
        <f t="shared" si="5"/>
        <v>6304.7005580000041</v>
      </c>
      <c r="G23" s="263">
        <f t="shared" si="5"/>
        <v>7325.1413580000008</v>
      </c>
      <c r="H23" s="263">
        <f t="shared" si="5"/>
        <v>8443.9110299999993</v>
      </c>
    </row>
    <row r="24" spans="1:8" x14ac:dyDescent="0.25">
      <c r="A24" s="259" t="s">
        <v>104</v>
      </c>
      <c r="B24" s="259"/>
      <c r="C24" s="269">
        <f>C21*C23</f>
        <v>19.574043348</v>
      </c>
      <c r="D24" s="269">
        <f t="shared" ref="D24:H24" si="6">D21*D23</f>
        <v>25.658763347999994</v>
      </c>
      <c r="E24" s="269">
        <f t="shared" si="6"/>
        <v>31.743483347999987</v>
      </c>
      <c r="F24" s="269">
        <f t="shared" si="6"/>
        <v>37.828203348000024</v>
      </c>
      <c r="G24" s="269">
        <f t="shared" si="6"/>
        <v>43.950848148000006</v>
      </c>
      <c r="H24" s="269">
        <f t="shared" si="6"/>
        <v>50.66346618</v>
      </c>
    </row>
    <row r="25" spans="1:8" x14ac:dyDescent="0.25">
      <c r="A25" s="256"/>
      <c r="B25" s="256"/>
    </row>
    <row r="26" spans="1:8" x14ac:dyDescent="0.25">
      <c r="A26" s="257" t="s">
        <v>108</v>
      </c>
      <c r="B26" s="257"/>
      <c r="C26" s="267">
        <f>IFERROR(IF(((C24/C10)*0.5)&gt;0,(C24/C10)*0.5,0),0)</f>
        <v>4.043832723758998E-4</v>
      </c>
      <c r="D26" s="267">
        <f t="shared" ref="D26:H26" si="7">IFERROR(IF(((D24/D10)*0.5)&gt;0,(D24/D10)*0.5,0),0)</f>
        <v>5.0877012039383289E-4</v>
      </c>
      <c r="E26" s="267">
        <f t="shared" si="7"/>
        <v>6.0508541314611931E-4</v>
      </c>
      <c r="F26" s="267">
        <f t="shared" si="7"/>
        <v>6.9423048470415897E-4</v>
      </c>
      <c r="G26" s="267">
        <f t="shared" si="7"/>
        <v>7.7747440904908855E-4</v>
      </c>
      <c r="H26" s="267">
        <f t="shared" si="7"/>
        <v>8.6209535089243707E-4</v>
      </c>
    </row>
    <row r="27" spans="1:8" x14ac:dyDescent="0.25">
      <c r="A27" s="256"/>
      <c r="B27" s="256"/>
    </row>
    <row r="28" spans="1:8" x14ac:dyDescent="0.25">
      <c r="A28" s="270" t="s">
        <v>109</v>
      </c>
      <c r="B28" s="270"/>
      <c r="C28" s="271">
        <f>C18+C26</f>
        <v>5.7577366697221397E-2</v>
      </c>
      <c r="D28" s="271">
        <f t="shared" ref="D28:F28" si="8">D18+D26</f>
        <v>6.0107900303959856E-2</v>
      </c>
      <c r="E28" s="271">
        <f t="shared" si="8"/>
        <v>6.2442764223892014E-2</v>
      </c>
      <c r="F28" s="271">
        <f t="shared" si="8"/>
        <v>6.4603808490828488E-2</v>
      </c>
      <c r="G28" s="271">
        <f t="shared" ref="G28:H28" si="9">G18+G26</f>
        <v>6.6621797845918984E-2</v>
      </c>
      <c r="H28" s="271">
        <f t="shared" si="9"/>
        <v>6.8673168696120973E-2</v>
      </c>
    </row>
  </sheetData>
  <sheetProtection algorithmName="SHA-512" hashValue="aRD56j9Jg+dQ8vvZeXQ4e7OkHe7442PjcMtfzt27xNqYF5YL5nKoCWoFL1HbSJcXI83qJ6lRBMY2Bq5rlsRCGw==" saltValue="5SqfDwa9aMG1hSNRS8eUIA==" spinCount="100000" sheet="1" objects="1" scenarios="1"/>
  <mergeCells count="2">
    <mergeCell ref="A1:F1"/>
    <mergeCell ref="C3:H3"/>
  </mergeCells>
  <pageMargins left="0.7" right="0.7" top="0.75" bottom="0.75" header="0.3" footer="0.3"/>
  <pageSetup paperSize="9" orientation="landscape" r:id="rId1"/>
  <ignoredErrors>
    <ignoredError sqref="D9:H9"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election activeCell="B7" sqref="B7"/>
    </sheetView>
  </sheetViews>
  <sheetFormatPr defaultColWidth="10.625" defaultRowHeight="15.75" x14ac:dyDescent="0.25"/>
  <cols>
    <col min="1" max="1" width="45.5" style="5" customWidth="1"/>
    <col min="2" max="2" width="11.625" style="5" bestFit="1" customWidth="1"/>
    <col min="3" max="3" width="11.625" style="5" customWidth="1"/>
    <col min="4" max="4" width="14.125" style="5" customWidth="1"/>
    <col min="5" max="5" width="14.625" style="5" customWidth="1"/>
    <col min="6" max="16384" width="10.625" style="5"/>
  </cols>
  <sheetData>
    <row r="1" spans="1:5" x14ac:dyDescent="0.25">
      <c r="A1" s="116" t="s">
        <v>110</v>
      </c>
      <c r="B1" s="116"/>
      <c r="C1" s="116"/>
      <c r="D1" s="116"/>
      <c r="E1" s="116"/>
    </row>
    <row r="2" spans="1:5" x14ac:dyDescent="0.25">
      <c r="A2" s="49"/>
    </row>
    <row r="3" spans="1:5" x14ac:dyDescent="0.25">
      <c r="A3" s="57" t="s">
        <v>95</v>
      </c>
      <c r="B3" s="4" t="str">
        <f>'Invulblad CAO'!G3</f>
        <v>HH-1</v>
      </c>
      <c r="C3" s="4" t="str">
        <f>'Invulblad CAO'!G3</f>
        <v>HH-1</v>
      </c>
      <c r="D3" s="4" t="str">
        <f>'Invulblad CAO'!J3</f>
        <v>HH-2</v>
      </c>
      <c r="E3" s="4" t="str">
        <f>'Invulblad CAO'!J3</f>
        <v>HH-2</v>
      </c>
    </row>
    <row r="4" spans="1:5" x14ac:dyDescent="0.25">
      <c r="A4" s="56" t="s">
        <v>111</v>
      </c>
      <c r="B4" s="28" t="str">
        <f>'Invulblad CAO'!G4</f>
        <v>VVT</v>
      </c>
      <c r="C4" s="28" t="str">
        <f>'Invulblad CAO'!G4</f>
        <v>VVT</v>
      </c>
      <c r="D4" s="28" t="str">
        <f>'Invulblad CAO'!J4</f>
        <v>VVT</v>
      </c>
      <c r="E4" s="28" t="str">
        <f>'Invulblad CAO'!J4</f>
        <v>VVT</v>
      </c>
    </row>
    <row r="5" spans="1:5" x14ac:dyDescent="0.25">
      <c r="A5" s="101" t="s">
        <v>112</v>
      </c>
      <c r="B5" s="24" t="str">
        <f>'Invulblad CAO'!G5</f>
        <v>FWG10</v>
      </c>
      <c r="C5" s="24" t="str">
        <f>'Invulblad CAO'!H5</f>
        <v>FWG15</v>
      </c>
      <c r="D5" s="24" t="str">
        <f>'Invulblad CAO'!J5</f>
        <v>FWG15</v>
      </c>
      <c r="E5" s="24" t="str">
        <f>'Invulblad CAO'!K5</f>
        <v>FWG20</v>
      </c>
    </row>
    <row r="6" spans="1:5" x14ac:dyDescent="0.25">
      <c r="A6" s="49"/>
    </row>
    <row r="7" spans="1:5" x14ac:dyDescent="0.25">
      <c r="A7" s="99" t="s">
        <v>113</v>
      </c>
      <c r="B7" s="55" t="e">
        <f>'Invulblad CAO'!G14</f>
        <v>#N/A</v>
      </c>
      <c r="C7" s="55" t="e">
        <f>'Invulblad CAO'!H14</f>
        <v>#N/A</v>
      </c>
      <c r="D7" s="55" t="e">
        <f>'Invulblad CAO'!J14</f>
        <v>#N/A</v>
      </c>
      <c r="E7" s="55" t="e">
        <f>'Invulblad CAO'!K14</f>
        <v>#N/A</v>
      </c>
    </row>
    <row r="8" spans="1:5" x14ac:dyDescent="0.25">
      <c r="A8" s="101" t="s">
        <v>99</v>
      </c>
      <c r="B8" s="54" t="e">
        <f>B7*1878</f>
        <v>#N/A</v>
      </c>
      <c r="C8" s="54" t="e">
        <f t="shared" ref="C8:E8" si="0">C7*1878</f>
        <v>#N/A</v>
      </c>
      <c r="D8" s="54" t="e">
        <f t="shared" si="0"/>
        <v>#N/A</v>
      </c>
      <c r="E8" s="54" t="e">
        <f t="shared" si="0"/>
        <v>#N/A</v>
      </c>
    </row>
    <row r="9" spans="1:5" x14ac:dyDescent="0.25">
      <c r="A9" s="49"/>
    </row>
    <row r="10" spans="1:5" x14ac:dyDescent="0.25">
      <c r="A10" s="50" t="s">
        <v>100</v>
      </c>
    </row>
    <row r="11" spans="1:5" x14ac:dyDescent="0.25">
      <c r="A11" s="100" t="s">
        <v>101</v>
      </c>
      <c r="B11" s="30">
        <v>0.23499999999999999</v>
      </c>
      <c r="C11" s="30">
        <v>0.23499999999999999</v>
      </c>
      <c r="D11" s="30">
        <v>0.23499999999999999</v>
      </c>
      <c r="E11" s="30">
        <v>0.23499999999999999</v>
      </c>
    </row>
    <row r="12" spans="1:5" x14ac:dyDescent="0.25">
      <c r="A12" s="101" t="s">
        <v>102</v>
      </c>
      <c r="B12" s="53">
        <v>11829</v>
      </c>
      <c r="C12" s="53">
        <v>11829</v>
      </c>
      <c r="D12" s="53">
        <v>11829</v>
      </c>
      <c r="E12" s="53">
        <v>11829</v>
      </c>
    </row>
    <row r="13" spans="1:5" x14ac:dyDescent="0.25">
      <c r="A13" s="101" t="s">
        <v>103</v>
      </c>
      <c r="B13" s="54" t="e">
        <f>B8-B12</f>
        <v>#N/A</v>
      </c>
      <c r="C13" s="54" t="e">
        <f>C8-C12</f>
        <v>#N/A</v>
      </c>
      <c r="D13" s="54" t="e">
        <f>D8-D12</f>
        <v>#N/A</v>
      </c>
      <c r="E13" s="54" t="e">
        <f>E8-E12</f>
        <v>#N/A</v>
      </c>
    </row>
    <row r="14" spans="1:5" x14ac:dyDescent="0.25">
      <c r="A14" s="101" t="s">
        <v>104</v>
      </c>
      <c r="B14" s="54" t="e">
        <f>B13*B11</f>
        <v>#N/A</v>
      </c>
      <c r="C14" s="54" t="e">
        <f>C13*C11</f>
        <v>#N/A</v>
      </c>
      <c r="D14" s="54" t="e">
        <f>D13*D11</f>
        <v>#N/A</v>
      </c>
      <c r="E14" s="54" t="e">
        <f>E13*E11</f>
        <v>#N/A</v>
      </c>
    </row>
    <row r="15" spans="1:5" x14ac:dyDescent="0.25">
      <c r="A15" s="49"/>
    </row>
    <row r="16" spans="1:5" x14ac:dyDescent="0.25">
      <c r="A16" s="57" t="s">
        <v>105</v>
      </c>
      <c r="B16" s="58" t="e">
        <f>(B14/B8)*0.5</f>
        <v>#N/A</v>
      </c>
      <c r="C16" s="58" t="e">
        <f>(C14/C8)*0.5</f>
        <v>#N/A</v>
      </c>
      <c r="D16" s="58" t="e">
        <f>(D14/D8)*0.5</f>
        <v>#N/A</v>
      </c>
      <c r="E16" s="58" t="e">
        <f>(E14/E8)*0.5</f>
        <v>#N/A</v>
      </c>
    </row>
    <row r="17" spans="1:5" x14ac:dyDescent="0.25">
      <c r="A17" s="49"/>
    </row>
    <row r="18" spans="1:5" x14ac:dyDescent="0.25">
      <c r="A18" s="50" t="s">
        <v>106</v>
      </c>
    </row>
    <row r="19" spans="1:5" x14ac:dyDescent="0.25">
      <c r="A19" s="100" t="s">
        <v>101</v>
      </c>
      <c r="B19" s="29">
        <v>5.0000000000000001E-3</v>
      </c>
      <c r="C19" s="29">
        <v>5.0000000000000001E-3</v>
      </c>
      <c r="D19" s="29">
        <v>5.0000000000000001E-3</v>
      </c>
      <c r="E19" s="29">
        <v>5.0000000000000001E-3</v>
      </c>
    </row>
    <row r="20" spans="1:5" x14ac:dyDescent="0.25">
      <c r="A20" s="101" t="s">
        <v>107</v>
      </c>
      <c r="B20" s="53">
        <v>20108</v>
      </c>
      <c r="C20" s="53">
        <v>20108</v>
      </c>
      <c r="D20" s="53">
        <v>20108</v>
      </c>
      <c r="E20" s="53">
        <v>20108</v>
      </c>
    </row>
    <row r="21" spans="1:5" x14ac:dyDescent="0.25">
      <c r="A21" s="101" t="s">
        <v>103</v>
      </c>
      <c r="B21" s="54" t="e">
        <f>B8-B20</f>
        <v>#N/A</v>
      </c>
      <c r="C21" s="54" t="e">
        <f>C8-C20</f>
        <v>#N/A</v>
      </c>
      <c r="D21" s="54" t="e">
        <f>D8-D20</f>
        <v>#N/A</v>
      </c>
      <c r="E21" s="54" t="e">
        <f>E8-E20</f>
        <v>#N/A</v>
      </c>
    </row>
    <row r="22" spans="1:5" x14ac:dyDescent="0.25">
      <c r="A22" s="101" t="s">
        <v>104</v>
      </c>
      <c r="B22" s="53" t="e">
        <f>B19*B21</f>
        <v>#N/A</v>
      </c>
      <c r="C22" s="53" t="e">
        <f>C19*C21</f>
        <v>#N/A</v>
      </c>
      <c r="D22" s="53" t="e">
        <f>D19*D21</f>
        <v>#N/A</v>
      </c>
      <c r="E22" s="53" t="e">
        <f>E19*E21</f>
        <v>#N/A</v>
      </c>
    </row>
    <row r="23" spans="1:5" x14ac:dyDescent="0.25">
      <c r="A23" s="49"/>
    </row>
    <row r="24" spans="1:5" x14ac:dyDescent="0.25">
      <c r="A24" s="57" t="s">
        <v>108</v>
      </c>
      <c r="B24" s="58" t="e">
        <f>(B22/B8)*0.5</f>
        <v>#N/A</v>
      </c>
      <c r="C24" s="58" t="e">
        <f>(C22/C8)*0.5</f>
        <v>#N/A</v>
      </c>
      <c r="D24" s="58" t="e">
        <f>(D22/D8)*0.5</f>
        <v>#N/A</v>
      </c>
      <c r="E24" s="58" t="e">
        <f>(E22/E8)*0.5</f>
        <v>#N/A</v>
      </c>
    </row>
    <row r="25" spans="1:5" x14ac:dyDescent="0.25">
      <c r="A25" s="49"/>
    </row>
    <row r="26" spans="1:5" x14ac:dyDescent="0.25">
      <c r="A26" s="51" t="s">
        <v>109</v>
      </c>
      <c r="B26" s="52" t="e">
        <f>B16+B24</f>
        <v>#N/A</v>
      </c>
      <c r="C26" s="52" t="e">
        <f t="shared" ref="C26:E26" si="1">C16+C24</f>
        <v>#N/A</v>
      </c>
      <c r="D26" s="52" t="e">
        <f t="shared" si="1"/>
        <v>#N/A</v>
      </c>
      <c r="E26" s="52" t="e">
        <f t="shared" si="1"/>
        <v>#N/A</v>
      </c>
    </row>
  </sheetData>
  <mergeCells count="1">
    <mergeCell ref="A1:E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selection activeCell="B6" sqref="B6"/>
    </sheetView>
  </sheetViews>
  <sheetFormatPr defaultColWidth="8.625" defaultRowHeight="12.75" x14ac:dyDescent="0.2"/>
  <cols>
    <col min="1" max="1" width="56.125" style="273" bestFit="1" customWidth="1"/>
    <col min="2" max="2" width="11.125" style="273" bestFit="1" customWidth="1"/>
    <col min="3" max="3" width="10.625" style="273" customWidth="1"/>
    <col min="4" max="4" width="67.875" style="273" customWidth="1"/>
    <col min="5" max="5" width="41.875" style="273" customWidth="1"/>
    <col min="6" max="16384" width="8.625" style="273"/>
  </cols>
  <sheetData>
    <row r="1" spans="1:6" ht="15.75" x14ac:dyDescent="0.25">
      <c r="A1" s="254" t="s">
        <v>114</v>
      </c>
      <c r="B1" s="254"/>
      <c r="C1" s="254"/>
      <c r="D1" s="254"/>
      <c r="E1" s="272"/>
      <c r="F1" s="272"/>
    </row>
    <row r="3" spans="1:6" ht="30" x14ac:dyDescent="0.25">
      <c r="A3" s="274"/>
      <c r="B3" s="275" t="s">
        <v>115</v>
      </c>
      <c r="C3" s="276" t="s">
        <v>116</v>
      </c>
      <c r="D3" s="277" t="s">
        <v>7</v>
      </c>
    </row>
    <row r="4" spans="1:6" ht="15" x14ac:dyDescent="0.25">
      <c r="A4" s="261" t="s">
        <v>117</v>
      </c>
      <c r="B4" s="278">
        <v>1</v>
      </c>
      <c r="C4" s="279"/>
      <c r="D4" s="280"/>
    </row>
    <row r="5" spans="1:6" ht="120" x14ac:dyDescent="0.25">
      <c r="A5" s="261" t="s">
        <v>36</v>
      </c>
      <c r="B5" s="278">
        <f>(202.4+35+7.2)/(36/7*365)</f>
        <v>0.13030441400304413</v>
      </c>
      <c r="C5" s="281">
        <f>B5/B8</f>
        <v>0.1645890368820942</v>
      </c>
      <c r="D5" s="282" t="s">
        <v>141</v>
      </c>
    </row>
    <row r="6" spans="1:6" ht="60" x14ac:dyDescent="0.25">
      <c r="A6" s="259" t="s">
        <v>38</v>
      </c>
      <c r="B6" s="283">
        <v>0.02</v>
      </c>
      <c r="C6" s="284">
        <f>B6/$B$8</f>
        <v>2.5262235073364302E-2</v>
      </c>
      <c r="D6" s="282" t="s">
        <v>139</v>
      </c>
    </row>
    <row r="7" spans="1:6" ht="75" x14ac:dyDescent="0.25">
      <c r="A7" s="285" t="s">
        <v>42</v>
      </c>
      <c r="B7" s="286">
        <v>5.8000000000000003E-2</v>
      </c>
      <c r="C7" s="287">
        <f>IF(B7="","",B7/$B$8)</f>
        <v>7.3260481712756481E-2</v>
      </c>
      <c r="D7" s="288" t="s">
        <v>149</v>
      </c>
      <c r="E7" s="289"/>
    </row>
    <row r="8" spans="1:6" ht="15" x14ac:dyDescent="0.25">
      <c r="A8" s="257" t="s">
        <v>118</v>
      </c>
      <c r="B8" s="290">
        <f>B4-B5-B6-B7</f>
        <v>0.79169558599695578</v>
      </c>
      <c r="C8" s="291"/>
      <c r="D8" s="291"/>
    </row>
    <row r="10" spans="1:6" ht="15" x14ac:dyDescent="0.25">
      <c r="A10" s="292" t="s">
        <v>119</v>
      </c>
    </row>
    <row r="11" spans="1:6" ht="15" x14ac:dyDescent="0.25">
      <c r="A11" s="292" t="s">
        <v>120</v>
      </c>
    </row>
    <row r="12" spans="1:6" ht="15" x14ac:dyDescent="0.25">
      <c r="A12" s="292" t="s">
        <v>121</v>
      </c>
    </row>
    <row r="13" spans="1:6" ht="15" x14ac:dyDescent="0.25">
      <c r="A13" s="292" t="s">
        <v>122</v>
      </c>
    </row>
    <row r="15" spans="1:6" x14ac:dyDescent="0.2">
      <c r="A15" s="293"/>
    </row>
    <row r="17" spans="1:2" x14ac:dyDescent="0.2">
      <c r="A17" s="294"/>
      <c r="B17" s="293"/>
    </row>
    <row r="21" spans="1:2" x14ac:dyDescent="0.2">
      <c r="A21" s="295"/>
    </row>
    <row r="23" spans="1:2" x14ac:dyDescent="0.2">
      <c r="B23" s="296"/>
    </row>
  </sheetData>
  <sheetProtection algorithmName="SHA-512" hashValue="JHeuvsockm9AswVdIIauhJlFuHuyKtMlIuFIhNn3caL7gC/Qh5tvHcv2Dc0j2NKx/DI/LCzqICnrEdouv4qlug==" saltValue="fuPJldzqyJUzr30wQxaK5Q==" spinCount="100000" sheet="1" objects="1" scenarios="1"/>
  <mergeCells count="1">
    <mergeCell ref="A1:D1"/>
  </mergeCells>
  <pageMargins left="0.7" right="0.7" top="0.75" bottom="0.75" header="0.3" footer="0.3"/>
  <pageSetup paperSize="9" scale="82" orientation="landscape" r:id="rId1"/>
  <colBreaks count="1" manualBreakCount="1">
    <brk id="4"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showFormulas="1" tabSelected="1" topLeftCell="C1" zoomScaleNormal="100" workbookViewId="0">
      <selection activeCell="C26" sqref="C26"/>
    </sheetView>
  </sheetViews>
  <sheetFormatPr defaultColWidth="8" defaultRowHeight="11.25" x14ac:dyDescent="0.25"/>
  <cols>
    <col min="1" max="1" width="25.125" style="102" hidden="1" customWidth="1"/>
    <col min="2" max="2" width="5.625" style="102" hidden="1" customWidth="1"/>
    <col min="3" max="3" width="48.875" style="102" bestFit="1" customWidth="1"/>
    <col min="4" max="4" width="15.125" style="109" bestFit="1" customWidth="1"/>
    <col min="5" max="5" width="15.375" style="103" bestFit="1" customWidth="1"/>
    <col min="6" max="6" width="15.875" style="102" bestFit="1" customWidth="1"/>
    <col min="7" max="7" width="2.125" style="102" customWidth="1"/>
    <col min="8" max="8" width="101.125" style="102" customWidth="1"/>
    <col min="9" max="9" width="26.125" style="102" customWidth="1"/>
    <col min="10" max="10" width="7.5" style="102" customWidth="1"/>
    <col min="11" max="11" width="13.125" style="102" bestFit="1" customWidth="1"/>
    <col min="12" max="12" width="9.625" style="102" customWidth="1"/>
    <col min="13" max="16384" width="8" style="102"/>
  </cols>
  <sheetData>
    <row r="1" spans="1:6" x14ac:dyDescent="0.25">
      <c r="A1" s="102" t="str">
        <f t="shared" ref="A1" si="0">B1&amp;C1&amp;D1</f>
        <v/>
      </c>
      <c r="D1" s="110"/>
      <c r="E1" s="108"/>
      <c r="F1" s="108"/>
    </row>
    <row r="4" spans="1:6" x14ac:dyDescent="0.25">
      <c r="C4" s="104" t="s">
        <v>132</v>
      </c>
    </row>
    <row r="5" spans="1:6" ht="22.5" x14ac:dyDescent="0.25">
      <c r="C5" s="105" t="s">
        <v>123</v>
      </c>
      <c r="D5" s="106" t="s">
        <v>12</v>
      </c>
      <c r="E5" s="112" t="s">
        <v>143</v>
      </c>
    </row>
    <row r="6" spans="1:6" x14ac:dyDescent="0.25">
      <c r="A6" s="102" t="s">
        <v>124</v>
      </c>
      <c r="C6" s="105" t="s">
        <v>133</v>
      </c>
      <c r="D6" s="111">
        <v>0</v>
      </c>
      <c r="E6" s="107">
        <v>10.76</v>
      </c>
    </row>
    <row r="7" spans="1:6" x14ac:dyDescent="0.25">
      <c r="A7" s="102" t="s">
        <v>125</v>
      </c>
      <c r="C7" s="105" t="s">
        <v>133</v>
      </c>
      <c r="D7" s="111">
        <v>1</v>
      </c>
      <c r="E7" s="107">
        <v>11.3</v>
      </c>
    </row>
    <row r="8" spans="1:6" x14ac:dyDescent="0.25">
      <c r="A8" s="102" t="s">
        <v>126</v>
      </c>
      <c r="C8" s="105" t="s">
        <v>133</v>
      </c>
      <c r="D8" s="111">
        <v>2</v>
      </c>
      <c r="E8" s="107">
        <v>11.84</v>
      </c>
    </row>
    <row r="9" spans="1:6" x14ac:dyDescent="0.25">
      <c r="A9" s="102" t="s">
        <v>127</v>
      </c>
      <c r="C9" s="105" t="s">
        <v>133</v>
      </c>
      <c r="D9" s="111">
        <v>3</v>
      </c>
      <c r="E9" s="107">
        <v>12.38</v>
      </c>
    </row>
    <row r="10" spans="1:6" x14ac:dyDescent="0.25">
      <c r="A10" s="102" t="s">
        <v>128</v>
      </c>
      <c r="C10" s="105" t="s">
        <v>133</v>
      </c>
      <c r="D10" s="111">
        <v>4</v>
      </c>
      <c r="E10" s="107">
        <v>12.92</v>
      </c>
    </row>
    <row r="11" spans="1:6" x14ac:dyDescent="0.25">
      <c r="A11" s="102" t="s">
        <v>129</v>
      </c>
      <c r="C11" s="105" t="s">
        <v>133</v>
      </c>
      <c r="D11" s="111">
        <v>5</v>
      </c>
      <c r="E11" s="107">
        <v>13.45</v>
      </c>
    </row>
    <row r="14" spans="1:6" x14ac:dyDescent="0.25">
      <c r="C14" s="104" t="s">
        <v>130</v>
      </c>
    </row>
    <row r="15" spans="1:6" x14ac:dyDescent="0.25">
      <c r="C15" s="102" t="s">
        <v>131</v>
      </c>
      <c r="F15" s="297">
        <v>1934.78</v>
      </c>
    </row>
  </sheetData>
  <sheetProtection algorithmName="SHA-512" hashValue="hd4cVCWn0o05V/2sdfblnIUmmb1L8nGvzlSu1LJyvMucLtwaWjI13pOOeCS2zD7RYXhL7b7Iup3xDMOXDivaSQ==" saltValue="riWK+82uhfxwhIS6q1JcJw==" spinCount="100000" sheet="1" objects="1" scenarios="1"/>
  <pageMargins left="0.7" right="0.7" top="0.75" bottom="0.75" header="0.3" footer="0.3"/>
  <pageSetup paperSize="9" scale="6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4</vt:i4>
      </vt:variant>
    </vt:vector>
  </HeadingPairs>
  <TitlesOfParts>
    <vt:vector size="10" baseType="lpstr">
      <vt:lpstr>Invulblad HV schaal</vt:lpstr>
      <vt:lpstr>Invulblad CAO</vt:lpstr>
      <vt:lpstr>Pensioenpremie per loonschaal</vt:lpstr>
      <vt:lpstr>Pensioenpremie CAO</vt:lpstr>
      <vt:lpstr>Bruto-netto berekening</vt:lpstr>
      <vt:lpstr>VVT CAO UURLONEN 2018_2019</vt:lpstr>
      <vt:lpstr>'Bruto-netto berekening'!Afdrukbereik</vt:lpstr>
      <vt:lpstr>'Invulblad HV schaal'!Afdrukbereik</vt:lpstr>
      <vt:lpstr>'VVT CAO UURLONEN 2018_2019'!Afdrukbereik</vt:lpstr>
      <vt:lpstr>FWGschaal</vt:lpstr>
    </vt:vector>
  </TitlesOfParts>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Office-gebruiker</dc:creator>
  <cp:lastModifiedBy>Iris van den Boogaart</cp:lastModifiedBy>
  <cp:revision/>
  <cp:lastPrinted>2019-07-16T14:19:05Z</cp:lastPrinted>
  <dcterms:created xsi:type="dcterms:W3CDTF">2017-08-15T08:53:09Z</dcterms:created>
  <dcterms:modified xsi:type="dcterms:W3CDTF">2019-07-16T14:25:31Z</dcterms:modified>
</cp:coreProperties>
</file>