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Team Sociaal &amp; Cultureel\Scherpenzeel\IBMN-2019-SCH-KB-001 Hulp bij het huishouden\03 programma van eisen\Publicatie\"/>
    </mc:Choice>
  </mc:AlternateContent>
  <bookViews>
    <workbookView xWindow="0" yWindow="0" windowWidth="23040" windowHeight="9105" tabRatio="500" firstSheet="2" activeTab="5"/>
  </bookViews>
  <sheets>
    <sheet name="Invulblad HV schaal" sheetId="6" r:id="rId1"/>
    <sheet name="Invulblad CAO" sheetId="1" state="hidden" r:id="rId2"/>
    <sheet name="Pensioenpremie per loonschaal" sheetId="7" r:id="rId3"/>
    <sheet name="Pensioenpremie CAO" sheetId="2" state="hidden" r:id="rId4"/>
    <sheet name="Bruto-netto berekening" sheetId="8" r:id="rId5"/>
    <sheet name="VVT CAO UURLONEN 2018_2019" sheetId="5" r:id="rId6"/>
  </sheets>
  <definedNames>
    <definedName name="FWGschaal">'VVT CAO UURLONEN 2018_2019'!$A$20:$A$24</definedName>
    <definedName name="VGN">'VVT CAO UURLONEN 2018_2019'!#REF!</definedName>
    <definedName name="VGNFWG10">'VVT CAO UURLONEN 2018_2019'!#REF!</definedName>
    <definedName name="VGNFWG15">'VVT CAO UURLONEN 2018_2019'!#REF!</definedName>
    <definedName name="VGNFWG20">'VVT CAO UURLONEN 2018_2019'!#REF!</definedName>
    <definedName name="VGNFWG25">'VVT CAO UURLONEN 2018_2019'!#REF!</definedName>
    <definedName name="VGNFWG30">'VVT CAO UURLONEN 2018_2019'!#REF!</definedName>
    <definedName name="VVT">'VVT CAO UURLONEN 2018_2019'!#REF!</definedName>
    <definedName name="VVTFWG10">'VVT CAO UURLONEN 2018_2019'!#REF!</definedName>
    <definedName name="VVTFWG15">'VVT CAO UURLONEN 2018_2019'!#REF!</definedName>
    <definedName name="VVTFWG20">'VVT CAO UURLONEN 2018_2019'!#REF!</definedName>
    <definedName name="VVTFWG25">'VVT CAO UURLONEN 2018_2019'!#REF!</definedName>
    <definedName name="VVTFWG30">'VVT CAO UURLONEN 2018_2019'!#REF!</definedName>
  </definedNames>
  <calcPr calcId="162913"/>
</workbook>
</file>

<file path=xl/calcChain.xml><?xml version="1.0" encoding="utf-8"?>
<calcChain xmlns="http://schemas.openxmlformats.org/spreadsheetml/2006/main">
  <c r="G31" i="6" l="1"/>
  <c r="B5" i="8" l="1"/>
  <c r="B8" i="8" l="1"/>
  <c r="C6" i="8" s="1"/>
  <c r="G25" i="6"/>
  <c r="C5" i="8" l="1"/>
  <c r="C7" i="8"/>
  <c r="I55" i="6" l="1"/>
  <c r="H5" i="7" l="1"/>
  <c r="G5" i="7"/>
  <c r="F5" i="7"/>
  <c r="E5" i="7"/>
  <c r="D5" i="7"/>
  <c r="C5" i="7"/>
  <c r="H4" i="7"/>
  <c r="G4" i="7"/>
  <c r="F4" i="7"/>
  <c r="E4" i="7"/>
  <c r="D4" i="7"/>
  <c r="C4" i="7"/>
  <c r="N55" i="6"/>
  <c r="M55" i="6"/>
  <c r="L55" i="6"/>
  <c r="K55" i="6"/>
  <c r="J55" i="6"/>
  <c r="C3" i="7"/>
  <c r="A1" i="5"/>
  <c r="I10" i="6" s="1"/>
  <c r="I12" i="6" s="1"/>
  <c r="G45" i="1"/>
  <c r="H45" i="1"/>
  <c r="J45" i="1"/>
  <c r="K45" i="1"/>
  <c r="E35" i="1"/>
  <c r="C4" i="2"/>
  <c r="D4" i="2"/>
  <c r="E4" i="2"/>
  <c r="B4" i="2"/>
  <c r="D3" i="2"/>
  <c r="E3" i="2"/>
  <c r="C3" i="2"/>
  <c r="B3" i="2"/>
  <c r="C5" i="2"/>
  <c r="D5" i="2"/>
  <c r="E5" i="2"/>
  <c r="B5" i="2"/>
  <c r="E14" i="1"/>
  <c r="E26" i="1"/>
  <c r="L10" i="6" l="1"/>
  <c r="L12" i="6" s="1"/>
  <c r="I11" i="6"/>
  <c r="C7" i="7"/>
  <c r="C8" i="7" s="1"/>
  <c r="K11" i="1"/>
  <c r="K13" i="1" s="1"/>
  <c r="N10" i="6"/>
  <c r="G11" i="1"/>
  <c r="G12" i="1" s="1"/>
  <c r="J10" i="6"/>
  <c r="J12" i="6" s="1"/>
  <c r="H11" i="1"/>
  <c r="J11" i="1"/>
  <c r="M10" i="6"/>
  <c r="M12" i="6" s="1"/>
  <c r="K10" i="6"/>
  <c r="K12" i="6" s="1"/>
  <c r="F7" i="7"/>
  <c r="F8" i="7" s="1"/>
  <c r="L11" i="6"/>
  <c r="N11" i="6" l="1"/>
  <c r="N12" i="6"/>
  <c r="K14" i="1"/>
  <c r="E7" i="2" s="1"/>
  <c r="E8" i="2" s="1"/>
  <c r="J11" i="6"/>
  <c r="J13" i="6" s="1"/>
  <c r="K12" i="1"/>
  <c r="H7" i="7"/>
  <c r="H8" i="7" s="1"/>
  <c r="D7" i="7"/>
  <c r="D8" i="7" s="1"/>
  <c r="G13" i="1"/>
  <c r="G14" i="1" s="1"/>
  <c r="G23" i="1" s="1"/>
  <c r="H12" i="1"/>
  <c r="H13" i="1"/>
  <c r="L13" i="6"/>
  <c r="L20" i="6" s="1"/>
  <c r="E7" i="7"/>
  <c r="E8" i="7" s="1"/>
  <c r="K11" i="6"/>
  <c r="K13" i="6" s="1"/>
  <c r="J12" i="1"/>
  <c r="J13" i="1"/>
  <c r="M11" i="6"/>
  <c r="G7" i="7"/>
  <c r="G8" i="7" s="1"/>
  <c r="N13" i="6" l="1"/>
  <c r="N23" i="6" s="1"/>
  <c r="K24" i="1"/>
  <c r="K21" i="1"/>
  <c r="K25" i="1"/>
  <c r="K23" i="1"/>
  <c r="K22" i="1"/>
  <c r="K20" i="1"/>
  <c r="K26" i="1" s="1"/>
  <c r="G22" i="1"/>
  <c r="I13" i="6"/>
  <c r="G24" i="1"/>
  <c r="L24" i="6"/>
  <c r="F9" i="7"/>
  <c r="F10" i="7" s="1"/>
  <c r="F15" i="7" s="1"/>
  <c r="F16" i="7" s="1"/>
  <c r="F18" i="7" s="1"/>
  <c r="J14" i="1"/>
  <c r="J23" i="1" s="1"/>
  <c r="L23" i="6"/>
  <c r="L19" i="6"/>
  <c r="B7" i="2"/>
  <c r="B8" i="2" s="1"/>
  <c r="B13" i="2" s="1"/>
  <c r="B14" i="2" s="1"/>
  <c r="B16" i="2" s="1"/>
  <c r="L21" i="6"/>
  <c r="L22" i="6"/>
  <c r="N21" i="6"/>
  <c r="N22" i="6"/>
  <c r="N24" i="6"/>
  <c r="N19" i="6"/>
  <c r="N20" i="6"/>
  <c r="H9" i="7"/>
  <c r="H10" i="7" s="1"/>
  <c r="M13" i="6"/>
  <c r="M21" i="6" s="1"/>
  <c r="G21" i="1"/>
  <c r="G25" i="1"/>
  <c r="G20" i="1"/>
  <c r="J22" i="1"/>
  <c r="K22" i="6"/>
  <c r="E9" i="7"/>
  <c r="E10" i="7" s="1"/>
  <c r="E23" i="7" s="1"/>
  <c r="E24" i="7" s="1"/>
  <c r="E26" i="7" s="1"/>
  <c r="K16" i="6" s="1"/>
  <c r="K23" i="6"/>
  <c r="K24" i="6"/>
  <c r="K19" i="6"/>
  <c r="K20" i="6"/>
  <c r="K21" i="6"/>
  <c r="H14" i="1"/>
  <c r="E13" i="2"/>
  <c r="E14" i="2" s="1"/>
  <c r="E16" i="2" s="1"/>
  <c r="E21" i="2"/>
  <c r="E22" i="2" s="1"/>
  <c r="E24" i="2" s="1"/>
  <c r="K17" i="1" s="1"/>
  <c r="J20" i="6"/>
  <c r="J21" i="6"/>
  <c r="J19" i="6"/>
  <c r="J23" i="6"/>
  <c r="J22" i="6"/>
  <c r="D9" i="7"/>
  <c r="D10" i="7" s="1"/>
  <c r="J24" i="6"/>
  <c r="B21" i="2" l="1"/>
  <c r="B22" i="2" s="1"/>
  <c r="B24" i="2" s="1"/>
  <c r="G17" i="1" s="1"/>
  <c r="I22" i="6"/>
  <c r="C9" i="7"/>
  <c r="C10" i="7" s="1"/>
  <c r="J20" i="1"/>
  <c r="I24" i="6"/>
  <c r="I19" i="6"/>
  <c r="I23" i="6"/>
  <c r="I21" i="6"/>
  <c r="I20" i="6"/>
  <c r="D7" i="2"/>
  <c r="D8" i="2" s="1"/>
  <c r="D21" i="2" s="1"/>
  <c r="D22" i="2" s="1"/>
  <c r="D24" i="2" s="1"/>
  <c r="J17" i="1" s="1"/>
  <c r="F23" i="7"/>
  <c r="F24" i="7" s="1"/>
  <c r="F26" i="7" s="1"/>
  <c r="L16" i="6" s="1"/>
  <c r="G9" i="7"/>
  <c r="G10" i="7" s="1"/>
  <c r="G23" i="7" s="1"/>
  <c r="G24" i="7" s="1"/>
  <c r="G26" i="7" s="1"/>
  <c r="M16" i="6" s="1"/>
  <c r="J21" i="1"/>
  <c r="L25" i="6"/>
  <c r="J25" i="1"/>
  <c r="J24" i="1"/>
  <c r="N25" i="6"/>
  <c r="M19" i="6"/>
  <c r="G26" i="1"/>
  <c r="M20" i="6"/>
  <c r="M24" i="6"/>
  <c r="M23" i="6"/>
  <c r="K25" i="6"/>
  <c r="H15" i="7"/>
  <c r="H16" i="7" s="1"/>
  <c r="H18" i="7" s="1"/>
  <c r="H23" i="7"/>
  <c r="H24" i="7" s="1"/>
  <c r="H26" i="7" s="1"/>
  <c r="N16" i="6" s="1"/>
  <c r="E15" i="7"/>
  <c r="E16" i="7" s="1"/>
  <c r="E18" i="7" s="1"/>
  <c r="K15" i="6" s="1"/>
  <c r="K17" i="6" s="1"/>
  <c r="M22" i="6"/>
  <c r="H25" i="1"/>
  <c r="H21" i="1"/>
  <c r="C7" i="2"/>
  <c r="C8" i="2" s="1"/>
  <c r="H20" i="1"/>
  <c r="H22" i="1"/>
  <c r="H23" i="1"/>
  <c r="H24" i="1"/>
  <c r="J25" i="6"/>
  <c r="L15" i="6"/>
  <c r="B26" i="2"/>
  <c r="G16" i="1"/>
  <c r="G18" i="1" s="1"/>
  <c r="D15" i="7"/>
  <c r="D16" i="7" s="1"/>
  <c r="D18" i="7" s="1"/>
  <c r="D23" i="7"/>
  <c r="D24" i="7" s="1"/>
  <c r="D26" i="7" s="1"/>
  <c r="J16" i="6" s="1"/>
  <c r="E26" i="2"/>
  <c r="K16" i="1"/>
  <c r="K18" i="1" s="1"/>
  <c r="K28" i="1" s="1"/>
  <c r="C15" i="7" l="1"/>
  <c r="C16" i="7" s="1"/>
  <c r="C18" i="7" s="1"/>
  <c r="I15" i="6" s="1"/>
  <c r="C23" i="7"/>
  <c r="C24" i="7" s="1"/>
  <c r="C26" i="7" s="1"/>
  <c r="I16" i="6" s="1"/>
  <c r="J26" i="1"/>
  <c r="D13" i="2"/>
  <c r="D14" i="2" s="1"/>
  <c r="D16" i="2" s="1"/>
  <c r="G28" i="1"/>
  <c r="G41" i="1" s="1"/>
  <c r="L17" i="6"/>
  <c r="L27" i="6" s="1"/>
  <c r="I25" i="6"/>
  <c r="G15" i="7"/>
  <c r="G16" i="7" s="1"/>
  <c r="G18" i="7" s="1"/>
  <c r="M15" i="6" s="1"/>
  <c r="M17" i="6" s="1"/>
  <c r="F28" i="7"/>
  <c r="K27" i="6"/>
  <c r="K35" i="6" s="1"/>
  <c r="K38" i="6" s="1"/>
  <c r="M25" i="6"/>
  <c r="E28" i="7"/>
  <c r="H26" i="1"/>
  <c r="N15" i="6"/>
  <c r="N17" i="6" s="1"/>
  <c r="N27" i="6" s="1"/>
  <c r="H28" i="7"/>
  <c r="C21" i="2"/>
  <c r="C22" i="2" s="1"/>
  <c r="C24" i="2" s="1"/>
  <c r="H17" i="1" s="1"/>
  <c r="C13" i="2"/>
  <c r="C14" i="2" s="1"/>
  <c r="C16" i="2" s="1"/>
  <c r="D28" i="7"/>
  <c r="J15" i="6"/>
  <c r="J17" i="6" s="1"/>
  <c r="J27" i="6" s="1"/>
  <c r="K40" i="1"/>
  <c r="K32" i="1"/>
  <c r="K35" i="1" s="1"/>
  <c r="K34" i="1"/>
  <c r="K41" i="1"/>
  <c r="K39" i="1"/>
  <c r="K33" i="1"/>
  <c r="G33" i="1"/>
  <c r="G40" i="1"/>
  <c r="G32" i="1"/>
  <c r="I17" i="6" l="1"/>
  <c r="I27" i="6" s="1"/>
  <c r="I30" i="6" s="1"/>
  <c r="G34" i="1"/>
  <c r="G39" i="1"/>
  <c r="L35" i="6"/>
  <c r="L38" i="6" s="1"/>
  <c r="L30" i="6"/>
  <c r="J16" i="1"/>
  <c r="J18" i="1" s="1"/>
  <c r="J28" i="1" s="1"/>
  <c r="D26" i="2"/>
  <c r="C28" i="7"/>
  <c r="L29" i="6"/>
  <c r="L44" i="6"/>
  <c r="M27" i="6"/>
  <c r="M44" i="6" s="1"/>
  <c r="K29" i="6"/>
  <c r="G28" i="7"/>
  <c r="K44" i="6"/>
  <c r="K30" i="6"/>
  <c r="G35" i="1"/>
  <c r="N29" i="6"/>
  <c r="N35" i="6"/>
  <c r="N38" i="6" s="1"/>
  <c r="N30" i="6"/>
  <c r="N44" i="6"/>
  <c r="C26" i="2"/>
  <c r="H16" i="1"/>
  <c r="H18" i="1" s="1"/>
  <c r="H28" i="1" s="1"/>
  <c r="K47" i="1"/>
  <c r="K48" i="1" s="1"/>
  <c r="J44" i="6"/>
  <c r="J29" i="6"/>
  <c r="J30" i="6"/>
  <c r="J35" i="6"/>
  <c r="J38" i="6" s="1"/>
  <c r="G47" i="1" l="1"/>
  <c r="G48" i="1" s="1"/>
  <c r="L31" i="6"/>
  <c r="L40" i="6" s="1"/>
  <c r="L45" i="6" s="1"/>
  <c r="I35" i="6"/>
  <c r="I38" i="6" s="1"/>
  <c r="I44" i="6"/>
  <c r="I29" i="6"/>
  <c r="I31" i="6" s="1"/>
  <c r="J41" i="1"/>
  <c r="J40" i="1"/>
  <c r="J39" i="1"/>
  <c r="J33" i="1"/>
  <c r="J32" i="1"/>
  <c r="J34" i="1"/>
  <c r="K31" i="6"/>
  <c r="K40" i="6" s="1"/>
  <c r="K46" i="6" s="1"/>
  <c r="M29" i="6"/>
  <c r="M30" i="6"/>
  <c r="M35" i="6"/>
  <c r="M38" i="6" s="1"/>
  <c r="N31" i="6"/>
  <c r="N40" i="6" s="1"/>
  <c r="H34" i="1"/>
  <c r="H41" i="1"/>
  <c r="H40" i="1"/>
  <c r="H33" i="1"/>
  <c r="H39" i="1"/>
  <c r="H32" i="1"/>
  <c r="K50" i="1"/>
  <c r="K51" i="1"/>
  <c r="K53" i="1" s="1"/>
  <c r="J31" i="6"/>
  <c r="J40" i="6" s="1"/>
  <c r="G50" i="1"/>
  <c r="G51" i="1"/>
  <c r="G53" i="1" s="1"/>
  <c r="L46" i="6" l="1"/>
  <c r="L51" i="6" s="1"/>
  <c r="I40" i="6"/>
  <c r="I45" i="6" s="1"/>
  <c r="M31" i="6"/>
  <c r="M40" i="6" s="1"/>
  <c r="M45" i="6" s="1"/>
  <c r="K45" i="6"/>
  <c r="K51" i="6" s="1"/>
  <c r="J35" i="1"/>
  <c r="J47" i="1" s="1"/>
  <c r="J48" i="1" s="1"/>
  <c r="J50" i="1" s="1"/>
  <c r="N46" i="6"/>
  <c r="N45" i="6"/>
  <c r="H35" i="1"/>
  <c r="J46" i="6"/>
  <c r="J45" i="6"/>
  <c r="I46" i="6" l="1"/>
  <c r="I51" i="6" s="1"/>
  <c r="J51" i="1"/>
  <c r="J53" i="1" s="1"/>
  <c r="J55" i="1" s="1"/>
  <c r="M46" i="6"/>
  <c r="M51" i="6" s="1"/>
  <c r="N51" i="6"/>
  <c r="H47" i="1"/>
  <c r="H48" i="1" s="1"/>
  <c r="J51" i="6"/>
  <c r="M53" i="6" l="1"/>
  <c r="H50" i="1"/>
  <c r="H51" i="1"/>
  <c r="H53" i="1" s="1"/>
  <c r="G55" i="1" s="1"/>
</calcChain>
</file>

<file path=xl/sharedStrings.xml><?xml version="1.0" encoding="utf-8"?>
<sst xmlns="http://schemas.openxmlformats.org/spreadsheetml/2006/main" count="262" uniqueCount="158">
  <si>
    <t>De groene vensters dienen gevuld te worden met de gegevens van de organisatie.</t>
  </si>
  <si>
    <t>FWG10</t>
  </si>
  <si>
    <t>FWG15</t>
  </si>
  <si>
    <t>HH</t>
  </si>
  <si>
    <t>Aanloopperiodiek 0</t>
  </si>
  <si>
    <t>Ondersteuningsvorm: benaming van gemeente</t>
  </si>
  <si>
    <t>Hulp bij Huishouden</t>
  </si>
  <si>
    <t>Toelichting</t>
  </si>
  <si>
    <t>Aanloopperiodiek 1</t>
  </si>
  <si>
    <t>Hulp bij huishouden</t>
  </si>
  <si>
    <t>[Datum CAO]</t>
  </si>
  <si>
    <t>Loonschaal</t>
  </si>
  <si>
    <t>Periodiek</t>
  </si>
  <si>
    <t>Inzetmix per periodiek</t>
  </si>
  <si>
    <t>Vast component of cao afgeleid</t>
  </si>
  <si>
    <t>%</t>
  </si>
  <si>
    <t>LOONKOSTEN PER UUR</t>
  </si>
  <si>
    <t>Bruto uurloon cao</t>
  </si>
  <si>
    <t>Vakantietoeslag (minimum cao bepaald, zie toelichting)</t>
  </si>
  <si>
    <t>Ja</t>
  </si>
  <si>
    <t>Eindejaarsuitkering (minimum cao bepaald, zie toelichting)</t>
  </si>
  <si>
    <t>Totaal bruto uurloon</t>
  </si>
  <si>
    <t>OP werkgeversdeel (zie werkblad "Pensioenpremie)</t>
  </si>
  <si>
    <t>Zie tabblad 'Pensioenpremie per loonschaal'</t>
  </si>
  <si>
    <t>AP werkgeversdeel (zie werkblad "Pensioenpremie)</t>
  </si>
  <si>
    <t>Totaal pensioenpremies</t>
  </si>
  <si>
    <t>WGA / WIA (+ WKO)</t>
  </si>
  <si>
    <t>WW</t>
  </si>
  <si>
    <t>Sectorfonds</t>
  </si>
  <si>
    <t>ZVW</t>
  </si>
  <si>
    <t>WHK</t>
  </si>
  <si>
    <t>Nee</t>
  </si>
  <si>
    <t>WGA eigen risico; herverzekerd</t>
  </si>
  <si>
    <t xml:space="preserve">Eigen risicodrager: keuze onderneming </t>
  </si>
  <si>
    <t>Totaal Sociale lasten</t>
  </si>
  <si>
    <t>Totaal te verlonen kosten per uur</t>
  </si>
  <si>
    <t>Verlof</t>
  </si>
  <si>
    <t xml:space="preserve">Zie voor rekenpercentage tabblad "Bruto-netto berekening" </t>
  </si>
  <si>
    <t>Scholing</t>
  </si>
  <si>
    <t>Aan te passen op tabblad "Bruto-netto berekening"</t>
  </si>
  <si>
    <t>Totaal verlof &amp; scholing</t>
  </si>
  <si>
    <t>ZIEKTEVERZUIM &amp; REISKOSTEN</t>
  </si>
  <si>
    <t>Ziekteverzuim</t>
  </si>
  <si>
    <t xml:space="preserve">Invullen op tabblad "Bruto-netto berekening" </t>
  </si>
  <si>
    <t>Reiskosten woon-werkverkeer volgens CAO</t>
  </si>
  <si>
    <t>Reiskosten dagvergoeding toe te berekenen per uur</t>
  </si>
  <si>
    <t>Reiskosten client naar client, toe te berekenen per uur</t>
  </si>
  <si>
    <t>Totaal ziekteverzuim &amp; reiskosten</t>
  </si>
  <si>
    <t>Totale kostprijs per uur</t>
  </si>
  <si>
    <t>OVERIGE KOSTEN</t>
  </si>
  <si>
    <t>Niet planbaar wel te verlonen tijd</t>
  </si>
  <si>
    <t>Individueel overleg, teamoverleg, organisatieoverleg, e.d.
Zie voor referentiewaarden Handreiking voor de AMvB reële prijs Wmo (VNG, 2017).</t>
  </si>
  <si>
    <t>Organisatiegebonden overheadkosten</t>
  </si>
  <si>
    <t>Risico &amp; resultaat</t>
  </si>
  <si>
    <t xml:space="preserve">Risico &amp; resultaat. Tevens kunnen hier opgenomen worden kosten als gevolg van gemeentelijke eisen, zoals rapportageverplichtingen en administratieve verplichtingen, of specifieke afspraken over vermindering van kosten. </t>
  </si>
  <si>
    <t>INDEXATIE</t>
  </si>
  <si>
    <t>Indexatiepercentage</t>
  </si>
  <si>
    <t>Vul hier de gekozen methodiek in (gangbaar OVA-index)</t>
  </si>
  <si>
    <t>Ongewogen tarief per uur</t>
  </si>
  <si>
    <t>Gewogen tarief per uur</t>
  </si>
  <si>
    <t>Naam combinatie loonschaal en -periodiek</t>
  </si>
  <si>
    <t>HH-1</t>
  </si>
  <si>
    <t>HH-2</t>
  </si>
  <si>
    <t>CAO keuze</t>
  </si>
  <si>
    <t>VVT</t>
  </si>
  <si>
    <t>FWG schaal</t>
  </si>
  <si>
    <t>FWG20</t>
  </si>
  <si>
    <t>Inzetmix per FWG schaal</t>
  </si>
  <si>
    <t>Vaste componenten of cao afgeleid</t>
  </si>
  <si>
    <t>Pas toe en leg uit</t>
  </si>
  <si>
    <t>Vakantietoeslag (minimum cao bepaald 0,98)</t>
  </si>
  <si>
    <t>Eindejaarsuitkering (minimum cao bepaald (0,94)</t>
  </si>
  <si>
    <t>Beschikking belastingdienst</t>
  </si>
  <si>
    <t>Eigen risicodrager: keuze onderneming</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</si>
  <si>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</si>
  <si>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</si>
  <si>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</si>
  <si>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</si>
  <si>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</si>
  <si>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</si>
  <si>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</si>
  <si>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</si>
  <si>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</si>
  <si>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</si>
  <si>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</si>
  <si>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</si>
  <si>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</si>
  <si>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</si>
  <si>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</si>
  <si>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</si>
  <si>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</si>
  <si>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</si>
  <si>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</si>
  <si>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</si>
  <si>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HV schaal</t>
  </si>
  <si>
    <t xml:space="preserve">Ondersteuningsvorm; benaming gemeente </t>
  </si>
  <si>
    <t>Bruto uurloon</t>
  </si>
  <si>
    <t>Brutoloon tbv berekening premie-%</t>
  </si>
  <si>
    <t>Totaal bruto uurloon incl Vak toeslag en EJU</t>
  </si>
  <si>
    <t>Fulltime salaris</t>
  </si>
  <si>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</si>
  <si>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</si>
  <si>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</si>
  <si>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</si>
  <si>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</si>
  <si>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</si>
  <si>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</si>
  <si>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</si>
  <si>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</si>
  <si>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</si>
  <si>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Berekening pensioenpremie (VVT / VGN beide Pensioenfonds PZW)</t>
  </si>
  <si>
    <t>Cao</t>
  </si>
  <si>
    <t>FWG</t>
  </si>
  <si>
    <r>
      <t>Totaal Bruto uurloon</t>
    </r>
    <r>
      <rPr>
        <i/>
        <sz val="9"/>
        <color theme="1"/>
        <rFont val="Verdana"/>
        <family val="2"/>
      </rPr>
      <t/>
    </r>
  </si>
  <si>
    <t>Bruto-netto berekening</t>
  </si>
  <si>
    <t>CAO percentage</t>
  </si>
  <si>
    <t>Reken-percentage</t>
  </si>
  <si>
    <t>Bruto uren</t>
  </si>
  <si>
    <t>Netto uren</t>
  </si>
  <si>
    <r>
      <rPr>
        <u/>
        <sz val="11"/>
        <color theme="1"/>
        <rFont val="Calibri"/>
        <family val="2"/>
        <scheme val="minor"/>
      </rPr>
      <t>Toelichting</t>
    </r>
    <r>
      <rPr>
        <sz val="11"/>
        <color theme="1"/>
        <rFont val="Calibri"/>
        <family val="2"/>
        <scheme val="minor"/>
      </rPr>
      <t xml:space="preserve">: </t>
    </r>
  </si>
  <si>
    <t>De netto berekening is gebaseerd op de aangegeven verplichtende factoren (o.g.v. de cao-VVT en wetgeving)</t>
  </si>
  <si>
    <t>van improductiviteit. Deze verplichtende factoren gelden evenzeer voor de (kosten van) vervanging gedurende verlof, scholing en ziekteverzuim.</t>
  </si>
  <si>
    <t>Dit is derhalve in de rekenpercentages meegenomen.</t>
  </si>
  <si>
    <t>Schaal</t>
  </si>
  <si>
    <t>HH0</t>
  </si>
  <si>
    <t>HH1</t>
  </si>
  <si>
    <t>HH2</t>
  </si>
  <si>
    <t>HH3</t>
  </si>
  <si>
    <t>HH4</t>
  </si>
  <si>
    <t>HH5</t>
  </si>
  <si>
    <t>Vakantiebijslag</t>
  </si>
  <si>
    <t>Minimum vakantiebijslag</t>
  </si>
  <si>
    <t>HbH Schaal</t>
  </si>
  <si>
    <t>HbH</t>
  </si>
  <si>
    <t xml:space="preserve">Vul hier de periodiek(en) in waarmee u wilt rekenen. </t>
  </si>
  <si>
    <t>Reiskosten/reistijd toe te berekenen per uur (het kan hier gaan om een combinatie van reiskosten en/of reistijd, artikel 1.1 lid 4 CAO-VVT)</t>
  </si>
  <si>
    <t>Bij inzet van werknemers in verschillende periodieken kunt u hier per kolom het aandeel van de betreffende periodieken in de totale inzet invullen. Het totaal van de kolommen moet gelijk zijn aan 100. Als u geen percentage invult, wordt de kolom niet meegeteld in de berekening van het gewogen tarief.</t>
  </si>
  <si>
    <t>Bruto uurloon wordt automatisch ingevuld na selecteren van HbH loonschaal en periodiek. 
De CAO VVT is van toepassing.</t>
  </si>
  <si>
    <t>Hier is de HbH loonschaal ingevuld conform artikel 3.2A CAO-VVT. NB: De HbH schaal is o.g.v. artikel 3.2A lid 1 CAO-VVT alleen van toepassing als de AMvB reële tarieven van toepassing is. Dit is het geval voor Wmo/HbH contracten waarvan de aankondiging van een overheidsopdracht vanaf  1 juni 2017 heeft plaatsgevonden en voor contracten die vanaf 1 juni 2017 zijn verlengd.  Zie Besluit van 28 maart 2017, Staatsblad 2017, nr. 158 inzake de inwerkingtreding van de AMvB reële tarieven.</t>
  </si>
  <si>
    <t>In de cao VVT (2018-2019) is opgenomen dat het scholingsbudget minimaal 2% van de loonsom bedraagt (Artikel 10.1A). Hier is dat vertaald in 2% van de indirecte tijd. In het rekenpercentage is tevens rekening gehouden met kosten van vervanging tijdens scholing</t>
  </si>
  <si>
    <t>Verlofuren zijn 202,4 vanaf 1/1/2017. Extra bovenwettelijke verlofuren zijn 35. Dit wordt aangevuld met 1 dag voor verlof bijzondere gebeurtenissen (totaal 202,4 + 35 + 7,2 = 244,6). Het totaal aantal in te zetten uren per jaar obv 36 uur per week is afgerond 1877,14. In het rekenpercentage is nog geen rekening gehouden met kosten van vervanging tijdens verlof en met de extra verlofuren in verband met de CAO-artikelen 6.2 en 6.3, waarmee aanvullende verlofuren geregeld zijn voor medewerkers  die per 31 december 2011 50 jaar of ouder waren. Aanpassing van dit percentage in verband met groot aandeel 50 plussers is mogelijk.</t>
  </si>
  <si>
    <t>Overhead organisatie: Management, administratie, ICT, huisvesting, materiele kosten  e.d. obv. marktgemiddelde. Omvang wisselt per organisatie. Zie voor referentiewaarden Handreiking voor de AMvB reële prijs Wmo (VNG, 2017). Zie tevens Benchmark Care Berenschot (2017).</t>
  </si>
  <si>
    <t>Uurloon 1-4-2019</t>
  </si>
  <si>
    <r>
      <t xml:space="preserve">Minimum vakantiebijslag is </t>
    </r>
    <r>
      <rPr>
        <sz val="11"/>
        <color rgb="FFFF0000"/>
        <rFont val="Calibri"/>
        <family val="2"/>
        <scheme val="minor"/>
      </rPr>
      <t>€ 1934,78 per 1 mei 2019</t>
    </r>
    <r>
      <rPr>
        <sz val="11"/>
        <color theme="1"/>
        <rFont val="Calibri"/>
        <family val="2"/>
        <scheme val="minor"/>
      </rPr>
      <t xml:space="preserve"> (met 1.878 uur in een jaar is dat </t>
    </r>
    <r>
      <rPr>
        <sz val="11"/>
        <color rgb="FFFF0000"/>
        <rFont val="Calibri"/>
        <family val="2"/>
        <scheme val="minor"/>
      </rPr>
      <t>€1,03 per uur</t>
    </r>
    <r>
      <rPr>
        <sz val="11"/>
        <color theme="1"/>
        <rFont val="Calibri"/>
        <family val="2"/>
        <scheme val="minor"/>
      </rPr>
      <t xml:space="preserve">). De minimum vakantiebijslag wordt jaarlijks verhoogd met eventuele algemene loonaanpassingen die in het kader van de cao plaatsvinden. Op grond van de cao VVT per 1 april 2018 wordt (loon)indexering toegepast en wordt de minimum vakantiebijslag dus ook  verhoogd. </t>
    </r>
  </si>
  <si>
    <t>Premie 2019</t>
  </si>
  <si>
    <r>
      <t xml:space="preserve">Percentage is afhankelijk van de omvang van de werkgever en type werkgever.
Bij het vaststellen van de individuele premiepercentages gelden per premiecomponent de volgende grenzen in </t>
    </r>
    <r>
      <rPr>
        <sz val="11"/>
        <color rgb="FFFF0000"/>
        <rFont val="Calibri"/>
        <family val="2"/>
        <scheme val="minor"/>
      </rPr>
      <t>2019</t>
    </r>
    <r>
      <rPr>
        <sz val="11"/>
        <color theme="1"/>
        <rFont val="Calibri"/>
        <family val="2"/>
        <scheme val="minor"/>
      </rPr>
      <t xml:space="preserve">:
</t>
    </r>
    <r>
      <rPr>
        <u/>
        <sz val="11"/>
        <color theme="1"/>
        <rFont val="Calibri"/>
        <family val="2"/>
        <scheme val="minor"/>
      </rPr>
      <t xml:space="preserve">Voor de premiecomponent WGA: </t>
    </r>
    <r>
      <rPr>
        <sz val="11"/>
        <color theme="1"/>
        <rFont val="Calibri"/>
        <family val="2"/>
        <scheme val="minor"/>
      </rPr>
      <t xml:space="preserve">
minimumpercentage 0,18% 
maximumpercentage 3,00%
gemiddelde percentage (over alle sectoren) 0,75%
</t>
    </r>
    <r>
      <rPr>
        <u/>
        <sz val="11"/>
        <color theme="1"/>
        <rFont val="Calibri"/>
        <family val="2"/>
        <scheme val="minor"/>
      </rPr>
      <t xml:space="preserve">Voor de premiecomponent Ziektewet-flex: </t>
    </r>
    <r>
      <rPr>
        <sz val="11"/>
        <color theme="1"/>
        <rFont val="Calibri"/>
        <family val="2"/>
        <scheme val="minor"/>
      </rPr>
      <t xml:space="preserve">
minimumpercentage 0,1% 
maximumpercentage </t>
    </r>
    <r>
      <rPr>
        <sz val="11"/>
        <color rgb="FFFF0000"/>
        <rFont val="Calibri"/>
        <family val="2"/>
        <scheme val="minor"/>
      </rPr>
      <t>1,72</t>
    </r>
    <r>
      <rPr>
        <sz val="11"/>
        <color theme="1"/>
        <rFont val="Calibri"/>
        <family val="2"/>
        <scheme val="minor"/>
      </rPr>
      <t xml:space="preserve">%
gemiddelde percentage (over alle sectoren) </t>
    </r>
    <r>
      <rPr>
        <sz val="11"/>
        <color rgb="FFFF0000"/>
        <rFont val="Calibri"/>
        <family val="2"/>
        <scheme val="minor"/>
      </rPr>
      <t>0,43</t>
    </r>
    <r>
      <rPr>
        <sz val="11"/>
        <color theme="1"/>
        <rFont val="Calibri"/>
        <family val="2"/>
        <scheme val="minor"/>
      </rPr>
      <t>%
Het landelijke percentage voor</t>
    </r>
    <r>
      <rPr>
        <sz val="11"/>
        <color rgb="FFFF0000"/>
        <rFont val="Calibri"/>
        <family val="2"/>
        <scheme val="minor"/>
      </rPr>
      <t xml:space="preserve"> 2019</t>
    </r>
    <r>
      <rPr>
        <sz val="11"/>
        <color theme="1"/>
        <rFont val="Calibri"/>
        <family val="2"/>
        <scheme val="minor"/>
      </rPr>
      <t xml:space="preserve"> is door UWV/SZW vastgesteld op: 1,1% (WGA: </t>
    </r>
    <r>
      <rPr>
        <sz val="11"/>
        <color rgb="FFFF0000"/>
        <rFont val="Calibri"/>
        <family val="2"/>
        <scheme val="minor"/>
      </rPr>
      <t>0,80</t>
    </r>
    <r>
      <rPr>
        <sz val="11"/>
        <color theme="1"/>
        <rFont val="Calibri"/>
        <family val="2"/>
        <scheme val="minor"/>
      </rPr>
      <t xml:space="preserve">% + Ziektewet Flex 0,33% = </t>
    </r>
    <r>
      <rPr>
        <sz val="11"/>
        <color rgb="FFFF0000"/>
        <rFont val="Calibri"/>
        <family val="2"/>
        <scheme val="minor"/>
      </rPr>
      <t>1,13</t>
    </r>
    <r>
      <rPr>
        <sz val="11"/>
        <color theme="1"/>
        <rFont val="Calibri"/>
        <family val="2"/>
        <scheme val="minor"/>
      </rPr>
      <t xml:space="preserve">%).
Daarnaast kan de premie hoger zijn, afhankelijk van de schadelast van de betreffende instelling (zie pagina 12: </t>
    </r>
    <r>
      <rPr>
        <sz val="11"/>
        <color rgb="FFFF0000"/>
        <rFont val="Calibri"/>
        <family val="2"/>
        <scheme val="minor"/>
      </rPr>
      <t>https://www.uwv.nl/overuwv/Images/premienota-whk-2019.pdf</t>
    </r>
    <r>
      <rPr>
        <sz val="11"/>
        <color theme="1"/>
        <rFont val="Calibri"/>
        <family val="2"/>
        <scheme val="minor"/>
      </rPr>
      <t>).</t>
    </r>
  </si>
  <si>
    <r>
      <t xml:space="preserve">Tariefvoorbeeld </t>
    </r>
    <r>
      <rPr>
        <b/>
        <sz val="14"/>
        <color rgb="FFFF0000"/>
        <rFont val="Calibri"/>
        <family val="2"/>
        <scheme val="minor"/>
      </rPr>
      <t>2019</t>
    </r>
    <r>
      <rPr>
        <b/>
        <sz val="14"/>
        <color theme="1"/>
        <rFont val="Calibri"/>
        <family val="2"/>
        <scheme val="minor"/>
      </rPr>
      <t xml:space="preserve"> met de gekozen periodieke inzetmix </t>
    </r>
  </si>
  <si>
    <r>
      <t xml:space="preserve">Ziekteverzuim wisselt per organisatie.
Het gemiddelde in de VVT-sector is volgens brancheviewer Vernet </t>
    </r>
    <r>
      <rPr>
        <sz val="11"/>
        <color rgb="FFFF0000"/>
        <rFont val="Calibri"/>
        <family val="2"/>
        <scheme val="minor"/>
      </rPr>
      <t>7,12</t>
    </r>
    <r>
      <rPr>
        <sz val="11"/>
        <color theme="1"/>
        <rFont val="Calibri"/>
        <family val="2"/>
        <scheme val="minor"/>
      </rPr>
      <t>% (jaar 2018-Q4).
Het gemiddelde in de zorgsector breed is volgens CBS in het eerste kwartaal van 2018 6,5% (niet-representatief voor hulp bij het huishouden).</t>
    </r>
  </si>
  <si>
    <r>
      <t xml:space="preserve">De </t>
    </r>
    <r>
      <rPr>
        <b/>
        <sz val="11"/>
        <color theme="1"/>
        <rFont val="Calibri"/>
        <family val="2"/>
        <scheme val="minor"/>
      </rPr>
      <t>opbouw</t>
    </r>
    <r>
      <rPr>
        <sz val="11"/>
        <color theme="1"/>
        <rFont val="Calibri"/>
        <family val="2"/>
        <scheme val="minor"/>
      </rPr>
      <t xml:space="preserve"> van de eindejaarsuitkering is gebaseerd op:
</t>
    </r>
    <r>
      <rPr>
        <sz val="11"/>
        <color theme="1"/>
        <rFont val="Calibri"/>
        <family val="2"/>
        <scheme val="minor"/>
      </rPr>
      <t xml:space="preserve">per 1 december 2019: 8,33 % van het verdiende bruto salaris in de periode december 2019 tot en met november 2020;
</t>
    </r>
    <r>
      <rPr>
        <b/>
        <sz val="11"/>
        <color theme="1"/>
        <rFont val="Calibri"/>
        <family val="2"/>
        <scheme val="minor"/>
      </rPr>
      <t>Minimum</t>
    </r>
    <r>
      <rPr>
        <sz val="11"/>
        <color theme="1"/>
        <rFont val="Calibri"/>
        <family val="2"/>
        <scheme val="minor"/>
      </rPr>
      <t>: Als de werknemer 22 jaar of ouder is, wordt de eindejaarsuitkering tenminste berekend over het actuele bedrag van inpassingstabelnummer 12 dat van toepassing is. Per 1 oktober 2018: € 13,17. (Tot 1 oktober 2018: € 12,66)</t>
    </r>
  </si>
  <si>
    <t>2,52% is opgenomen als PM-post en zal worden aangepast aan het door het CBS vast te stellen percentage.</t>
  </si>
  <si>
    <t>Rekentool voor berekening tarieven HbH tbv onderhandelingen hbh 2020.</t>
  </si>
  <si>
    <t>Bij de berekening van de uurprijs is uitgegaan van HH onder periodiek 3.</t>
  </si>
  <si>
    <t xml:space="preserve">Het landelijk gemiddelde zit tussen de 15% en 20%. Het marktvergelijkingsgemiddelde bedraagt 17,5%. Omdat de aanbieders vanaf 1 januari 2020 geen gegevens meer hoeven aan te leveren bij het CAK is een correctie doorgevoerd. </t>
  </si>
  <si>
    <t>De door Scherpenzeel gehanteerde 1,97% is overeenkomstig het gemiddelde van de marktvergelijking.</t>
  </si>
  <si>
    <t>Zie voor de motivering het Tyco-arrest</t>
  </si>
  <si>
    <t xml:space="preserve">De door Scherpenzeel gehanteerde 2,13% is overeenkomstig het gemiddelde van de marktvergelijking. </t>
  </si>
  <si>
    <t>De door Scherpenzeel gehanteerde 2,33% is overeenkomstig het gemiddelde van de marktvergelijking.</t>
  </si>
  <si>
    <t>De posten 36 en 37 zijn samengevoegd. De door Scherpenzeel gehanteerde 0,69 is overeenkomstig het gemiddelde van de marktvergelijking.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</si>
</sst>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s>
  <fonts count="3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9"/>
      <color rgb="FF000000"/>
      <name val="Verdana"/>
      <family val="2"/>
    </font>
    <font>
      <b/>
      <sz val="9"/>
      <color rgb="FF000000"/>
      <name val="Verdana"/>
      <family val="2"/>
    </font>
    <font>
      <b/>
      <sz val="9"/>
      <name val="Verdana"/>
      <family val="2"/>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u/>
      <sz val="11"/>
      <color theme="1"/>
      <name val="Calibri"/>
      <family val="2"/>
      <scheme val="minor"/>
    </font>
    <font>
      <sz val="12"/>
      <color rgb="FFFF0000"/>
      <name val="Calibri"/>
      <family val="2"/>
      <scheme val="minor"/>
    </font>
    <font>
      <sz val="10"/>
      <color rgb="FFFF0000"/>
      <name val="Arial"/>
      <family val="2"/>
    </font>
    <font>
      <sz val="12"/>
      <name val="Calibri"/>
      <family val="2"/>
      <scheme val="minor"/>
    </font>
    <font>
      <b/>
      <sz val="9"/>
      <color rgb="FFFF0000"/>
      <name val="Verdana"/>
      <family val="2"/>
    </font>
    <font>
      <b/>
      <i/>
      <sz val="13"/>
      <color theme="1"/>
      <name val="Calibri"/>
      <family val="2"/>
      <scheme val="minor"/>
    </font>
    <font>
      <sz val="13"/>
      <color theme="1"/>
      <name val="Calibri"/>
      <family val="2"/>
      <scheme val="minor"/>
    </font>
    <font>
      <sz val="11"/>
      <color rgb="FFFF0000"/>
      <name val="Calibri"/>
      <family val="2"/>
      <scheme val="minor"/>
    </font>
    <font>
      <b/>
      <sz val="14"/>
      <color rgb="FFFF000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rgb="FFF1F1F1"/>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6337778862885"/>
        <bgColor indexed="64"/>
      </patternFill>
    </fill>
    <fill>
      <patternFill patternType="solid">
        <fgColor theme="8" tint="0.3999450666829432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s>
  <cellStyleXfs count="39">
    <xf numFmtId="0" fontId="0" fillId="0" borderId="0"/>
    <xf numFmtId="164" fontId="10" fillId="0" borderId="0" applyFont="0" applyFill="0" applyBorder="0" applyAlignment="0" applyProtection="0"/>
    <xf numFmtId="9" fontId="10" fillId="0" borderId="0" applyFont="0" applyFill="0" applyBorder="0" applyAlignment="0" applyProtection="0"/>
    <xf numFmtId="0" fontId="12" fillId="0" borderId="0"/>
    <xf numFmtId="0" fontId="19" fillId="0" borderId="0" applyNumberFormat="0" applyFill="0" applyBorder="0" applyAlignment="0" applyProtection="0"/>
    <xf numFmtId="0" fontId="20" fillId="0" borderId="0"/>
    <xf numFmtId="44" fontId="20" fillId="0" borderId="0" applyFont="0" applyFill="0" applyBorder="0" applyAlignment="0" applyProtection="0"/>
    <xf numFmtId="9" fontId="14" fillId="0" borderId="0" applyFont="0" applyFill="0" applyBorder="0" applyAlignment="0" applyProtection="0"/>
    <xf numFmtId="0" fontId="14" fillId="0" borderId="0"/>
    <xf numFmtId="0" fontId="24" fillId="0" borderId="0"/>
    <xf numFmtId="44" fontId="2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0" fillId="0" borderId="0" applyFont="0" applyFill="0" applyBorder="0" applyAlignment="0" applyProtection="0"/>
    <xf numFmtId="9" fontId="1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25" fillId="0" borderId="0" applyFont="0" applyFill="0" applyBorder="0" applyAlignment="0" applyProtection="0"/>
    <xf numFmtId="0" fontId="28" fillId="0" borderId="0"/>
    <xf numFmtId="44" fontId="28" fillId="0" borderId="0" applyFont="0" applyFill="0" applyBorder="0" applyAlignment="0" applyProtection="0"/>
    <xf numFmtId="43" fontId="28" fillId="0" borderId="0" applyFont="0" applyFill="0" applyBorder="0" applyAlignment="0" applyProtection="0"/>
    <xf numFmtId="165" fontId="10"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4" fontId="4" fillId="0" borderId="0" applyFont="0" applyFill="0" applyBorder="0" applyAlignment="0" applyProtection="0"/>
  </cellStyleXfs>
  <cellXfs count="331">
    <xf numFmtId="0" fontId="0" fillId="0" borderId="0" xfId="0"/>
    <xf numFmtId="0" fontId="0" fillId="5" borderId="0" xfId="0" applyFill="1"/>
    <xf numFmtId="0" fontId="11" fillId="5" borderId="0" xfId="0" applyFont="1" applyFill="1"/>
    <xf numFmtId="0" fontId="0" fillId="5" borderId="0" xfId="0" applyFill="1" applyAlignment="1">
      <alignment horizontal="center"/>
    </xf>
    <xf numFmtId="0" fontId="11" fillId="5" borderId="0" xfId="0" applyFont="1" applyFill="1" applyAlignment="1">
      <alignment horizontal="center"/>
    </xf>
    <xf numFmtId="0" fontId="0" fillId="6" borderId="0" xfId="0" applyFill="1"/>
    <xf numFmtId="0" fontId="0" fillId="6" borderId="0" xfId="0" applyFill="1" applyAlignment="1">
      <alignment horizontal="center"/>
    </xf>
    <xf numFmtId="0" fontId="0" fillId="6" borderId="0" xfId="0" applyFont="1" applyFill="1"/>
    <xf numFmtId="10" fontId="0" fillId="6" borderId="0" xfId="2" applyNumberFormat="1" applyFont="1" applyFill="1"/>
    <xf numFmtId="164" fontId="0" fillId="6" borderId="0" xfId="0" applyNumberFormat="1" applyFill="1" applyAlignment="1">
      <alignment horizontal="center"/>
    </xf>
    <xf numFmtId="0" fontId="11" fillId="6" borderId="0" xfId="0" applyFont="1" applyFill="1"/>
    <xf numFmtId="164" fontId="11" fillId="6" borderId="0" xfId="0" applyNumberFormat="1" applyFont="1" applyFill="1" applyAlignment="1">
      <alignment horizontal="center"/>
    </xf>
    <xf numFmtId="164" fontId="11" fillId="6" borderId="0" xfId="1" applyFont="1" applyFill="1" applyAlignment="1">
      <alignment horizontal="center"/>
    </xf>
    <xf numFmtId="10" fontId="0" fillId="6" borderId="0" xfId="0" applyNumberFormat="1" applyFill="1"/>
    <xf numFmtId="0" fontId="11" fillId="6" borderId="0" xfId="0" applyFont="1" applyFill="1" applyAlignment="1">
      <alignment horizontal="center"/>
    </xf>
    <xf numFmtId="10" fontId="11" fillId="6" borderId="0" xfId="0" applyNumberFormat="1" applyFont="1" applyFill="1"/>
    <xf numFmtId="164" fontId="11" fillId="6" borderId="0" xfId="1" applyFont="1" applyFill="1"/>
    <xf numFmtId="0" fontId="0" fillId="7" borderId="0" xfId="0" applyFill="1" applyAlignment="1">
      <alignment horizontal="center"/>
    </xf>
    <xf numFmtId="0" fontId="0" fillId="7" borderId="0" xfId="0" applyFill="1"/>
    <xf numFmtId="0" fontId="17" fillId="6" borderId="0" xfId="0" applyFont="1" applyFill="1"/>
    <xf numFmtId="0" fontId="0" fillId="6" borderId="2" xfId="0" applyFill="1" applyBorder="1"/>
    <xf numFmtId="0" fontId="0" fillId="6" borderId="2" xfId="0" applyFill="1" applyBorder="1" applyAlignment="1">
      <alignment horizontal="center"/>
    </xf>
    <xf numFmtId="164" fontId="0" fillId="6" borderId="2" xfId="1" applyFont="1" applyFill="1" applyBorder="1" applyAlignment="1">
      <alignment horizontal="center"/>
    </xf>
    <xf numFmtId="0" fontId="0" fillId="6" borderId="3" xfId="0" applyFill="1" applyBorder="1"/>
    <xf numFmtId="0" fontId="0" fillId="6" borderId="3" xfId="0" applyFill="1" applyBorder="1" applyAlignment="1">
      <alignment horizontal="center"/>
    </xf>
    <xf numFmtId="10" fontId="0" fillId="6" borderId="3" xfId="0" applyNumberFormat="1" applyFill="1" applyBorder="1"/>
    <xf numFmtId="164" fontId="0" fillId="6" borderId="3" xfId="1" applyFont="1" applyFill="1" applyBorder="1" applyAlignment="1">
      <alignment horizontal="center"/>
    </xf>
    <xf numFmtId="10" fontId="0" fillId="6" borderId="3" xfId="2" applyNumberFormat="1" applyFont="1" applyFill="1" applyBorder="1"/>
    <xf numFmtId="0" fontId="11" fillId="6" borderId="3" xfId="0" applyFont="1" applyFill="1" applyBorder="1" applyAlignment="1">
      <alignment horizontal="center"/>
    </xf>
    <xf numFmtId="10" fontId="0" fillId="6" borderId="2" xfId="0" applyNumberFormat="1" applyFill="1" applyBorder="1"/>
    <xf numFmtId="10" fontId="0" fillId="6" borderId="2" xfId="2" applyNumberFormat="1" applyFont="1" applyFill="1" applyBorder="1"/>
    <xf numFmtId="0" fontId="11" fillId="6" borderId="4" xfId="0" applyFont="1" applyFill="1" applyBorder="1"/>
    <xf numFmtId="0" fontId="11" fillId="6" borderId="4" xfId="0" applyFont="1" applyFill="1" applyBorder="1" applyAlignment="1">
      <alignment horizontal="center"/>
    </xf>
    <xf numFmtId="10" fontId="11" fillId="6" borderId="4" xfId="2" applyNumberFormat="1" applyFont="1" applyFill="1" applyBorder="1"/>
    <xf numFmtId="164" fontId="11" fillId="6" borderId="4" xfId="0" applyNumberFormat="1" applyFont="1" applyFill="1" applyBorder="1" applyAlignment="1">
      <alignment horizontal="center"/>
    </xf>
    <xf numFmtId="0" fontId="0" fillId="6" borderId="4" xfId="0" applyFill="1" applyBorder="1"/>
    <xf numFmtId="10" fontId="0" fillId="6" borderId="4" xfId="0" applyNumberFormat="1" applyFill="1" applyBorder="1"/>
    <xf numFmtId="10" fontId="11" fillId="6" borderId="4" xfId="0" applyNumberFormat="1" applyFont="1" applyFill="1" applyBorder="1"/>
    <xf numFmtId="0" fontId="18" fillId="4" borderId="0" xfId="0" applyFont="1" applyFill="1"/>
    <xf numFmtId="0" fontId="18" fillId="4" borderId="0" xfId="0" applyFont="1" applyFill="1" applyAlignment="1">
      <alignment horizontal="center"/>
    </xf>
    <xf numFmtId="0" fontId="17" fillId="4" borderId="0" xfId="0" applyFont="1" applyFill="1"/>
    <xf numFmtId="0" fontId="0" fillId="4" borderId="0" xfId="0" applyFill="1"/>
    <xf numFmtId="0" fontId="17" fillId="4" borderId="0" xfId="0" applyFont="1" applyFill="1" applyAlignment="1">
      <alignment horizontal="center"/>
    </xf>
    <xf numFmtId="0" fontId="0" fillId="6" borderId="2" xfId="0" applyFont="1" applyFill="1" applyBorder="1"/>
    <xf numFmtId="0" fontId="0" fillId="6" borderId="2" xfId="0" applyFont="1" applyFill="1" applyBorder="1" applyAlignment="1">
      <alignment horizontal="center"/>
    </xf>
    <xf numFmtId="0" fontId="0" fillId="6" borderId="3" xfId="0" applyFont="1" applyFill="1" applyBorder="1"/>
    <xf numFmtId="164" fontId="0" fillId="6" borderId="2" xfId="0" applyNumberFormat="1" applyFill="1" applyBorder="1" applyAlignment="1">
      <alignment horizontal="center"/>
    </xf>
    <xf numFmtId="164" fontId="0" fillId="6" borderId="3" xfId="0" applyNumberFormat="1" applyFill="1" applyBorder="1" applyAlignment="1">
      <alignment horizontal="center"/>
    </xf>
    <xf numFmtId="0" fontId="0" fillId="6" borderId="2" xfId="0" applyFont="1" applyFill="1" applyBorder="1" applyAlignment="1">
      <alignment wrapText="1"/>
    </xf>
    <xf numFmtId="0" fontId="15" fillId="6" borderId="0" xfId="0" applyFont="1" applyFill="1" applyBorder="1" applyAlignment="1" applyProtection="1"/>
    <xf numFmtId="0" fontId="16" fillId="6" borderId="0" xfId="0" applyFont="1" applyFill="1" applyBorder="1" applyProtection="1"/>
    <xf numFmtId="0" fontId="15" fillId="4" borderId="0" xfId="0" applyFont="1" applyFill="1" applyBorder="1" applyProtection="1"/>
    <xf numFmtId="10" fontId="11" fillId="4" borderId="0" xfId="0" applyNumberFormat="1" applyFont="1" applyFill="1"/>
    <xf numFmtId="164" fontId="0" fillId="6" borderId="3" xfId="1" applyFont="1" applyFill="1" applyBorder="1"/>
    <xf numFmtId="164" fontId="0" fillId="6" borderId="3" xfId="0" applyNumberFormat="1" applyFill="1" applyBorder="1"/>
    <xf numFmtId="164" fontId="0" fillId="6" borderId="2" xfId="0" applyNumberFormat="1" applyFill="1" applyBorder="1"/>
    <xf numFmtId="0" fontId="15" fillId="6" borderId="3" xfId="0" applyFont="1" applyFill="1" applyBorder="1" applyAlignment="1" applyProtection="1"/>
    <xf numFmtId="0" fontId="15" fillId="5" borderId="0" xfId="0" applyFont="1" applyFill="1" applyBorder="1" applyProtection="1"/>
    <xf numFmtId="10" fontId="11" fillId="5" borderId="0" xfId="2" applyNumberFormat="1" applyFont="1" applyFill="1"/>
    <xf numFmtId="0" fontId="0" fillId="6" borderId="2" xfId="0" applyNumberFormat="1" applyFill="1" applyBorder="1" applyAlignment="1">
      <alignment horizontal="center"/>
    </xf>
    <xf numFmtId="0" fontId="0" fillId="7" borderId="3" xfId="0" applyFill="1" applyBorder="1" applyAlignment="1" applyProtection="1">
      <alignment horizontal="center"/>
      <protection locked="0"/>
    </xf>
    <xf numFmtId="9" fontId="0" fillId="7" borderId="3" xfId="0" applyNumberFormat="1" applyFill="1" applyBorder="1" applyAlignment="1" applyProtection="1">
      <alignment horizontal="center"/>
      <protection locked="0"/>
    </xf>
    <xf numFmtId="14" fontId="0" fillId="7" borderId="2" xfId="0" applyNumberFormat="1" applyFill="1" applyBorder="1" applyProtection="1">
      <protection locked="0"/>
    </xf>
    <xf numFmtId="0" fontId="0" fillId="7" borderId="3" xfId="0" applyFill="1" applyBorder="1" applyProtection="1">
      <protection locked="0"/>
    </xf>
    <xf numFmtId="10" fontId="0" fillId="7" borderId="3" xfId="2" applyNumberFormat="1" applyFont="1" applyFill="1" applyBorder="1" applyProtection="1">
      <protection locked="0"/>
    </xf>
    <xf numFmtId="10" fontId="0" fillId="7" borderId="3" xfId="0" applyNumberFormat="1" applyFill="1" applyBorder="1" applyProtection="1">
      <protection locked="0"/>
    </xf>
    <xf numFmtId="10" fontId="0" fillId="7" borderId="2" xfId="2" applyNumberFormat="1" applyFont="1" applyFill="1" applyBorder="1" applyProtection="1">
      <protection locked="0"/>
    </xf>
    <xf numFmtId="0" fontId="0" fillId="7" borderId="2" xfId="0" applyFill="1" applyBorder="1" applyProtection="1">
      <protection locked="0"/>
    </xf>
    <xf numFmtId="164" fontId="0" fillId="7" borderId="2" xfId="1" applyFont="1" applyFill="1" applyBorder="1" applyAlignment="1" applyProtection="1">
      <alignment horizontal="center"/>
      <protection locked="0"/>
    </xf>
    <xf numFmtId="0" fontId="0" fillId="7" borderId="2" xfId="0" applyFill="1" applyBorder="1" applyAlignment="1" applyProtection="1">
      <alignment wrapText="1"/>
      <protection locked="0"/>
    </xf>
    <xf numFmtId="164" fontId="0" fillId="7" borderId="3" xfId="1" applyFont="1" applyFill="1" applyBorder="1" applyAlignment="1" applyProtection="1">
      <alignment horizontal="center"/>
      <protection locked="0"/>
    </xf>
    <xf numFmtId="0" fontId="19" fillId="7" borderId="2" xfId="4" applyFill="1" applyBorder="1" applyProtection="1">
      <protection locked="0"/>
    </xf>
    <xf numFmtId="0" fontId="27" fillId="7" borderId="0" xfId="0" applyFont="1" applyFill="1"/>
    <xf numFmtId="0" fontId="0" fillId="5" borderId="3" xfId="0" applyFill="1" applyBorder="1" applyAlignment="1" applyProtection="1">
      <alignment horizontal="center"/>
      <protection locked="0"/>
    </xf>
    <xf numFmtId="9" fontId="0" fillId="5" borderId="3" xfId="0" applyNumberFormat="1" applyFill="1" applyBorder="1" applyAlignment="1" applyProtection="1">
      <alignment horizontal="center"/>
      <protection locked="0"/>
    </xf>
    <xf numFmtId="164" fontId="0" fillId="5" borderId="2" xfId="1" applyFont="1" applyFill="1" applyBorder="1" applyAlignment="1">
      <alignment horizontal="center"/>
    </xf>
    <xf numFmtId="164" fontId="0" fillId="5" borderId="3" xfId="1" applyFont="1" applyFill="1" applyBorder="1" applyAlignment="1">
      <alignment horizontal="center"/>
    </xf>
    <xf numFmtId="164" fontId="11" fillId="5" borderId="4" xfId="0" applyNumberFormat="1" applyFont="1" applyFill="1" applyBorder="1" applyAlignment="1">
      <alignment horizontal="center"/>
    </xf>
    <xf numFmtId="164" fontId="11" fillId="5" borderId="0" xfId="0" applyNumberFormat="1" applyFont="1" applyFill="1" applyAlignment="1">
      <alignment horizontal="center"/>
    </xf>
    <xf numFmtId="164" fontId="11" fillId="5" borderId="0" xfId="1" applyFont="1" applyFill="1"/>
    <xf numFmtId="164" fontId="0" fillId="5" borderId="2" xfId="0" applyNumberFormat="1" applyFill="1" applyBorder="1" applyAlignment="1">
      <alignment horizontal="center"/>
    </xf>
    <xf numFmtId="164" fontId="0" fillId="5" borderId="3" xfId="0" applyNumberFormat="1" applyFill="1" applyBorder="1" applyAlignment="1">
      <alignment horizontal="center"/>
    </xf>
    <xf numFmtId="164" fontId="0" fillId="5" borderId="0" xfId="0" applyNumberFormat="1" applyFill="1" applyAlignment="1">
      <alignment horizontal="center"/>
    </xf>
    <xf numFmtId="164" fontId="0" fillId="5" borderId="2" xfId="1" applyFont="1" applyFill="1" applyBorder="1" applyAlignment="1" applyProtection="1">
      <alignment horizontal="center"/>
      <protection locked="0"/>
    </xf>
    <xf numFmtId="164" fontId="0" fillId="5" borderId="3" xfId="1" applyFont="1" applyFill="1" applyBorder="1" applyAlignment="1" applyProtection="1">
      <alignment horizontal="center"/>
      <protection locked="0"/>
    </xf>
    <xf numFmtId="164" fontId="11" fillId="5" borderId="0" xfId="1" applyFont="1" applyFill="1" applyAlignment="1">
      <alignment horizontal="center"/>
    </xf>
    <xf numFmtId="0" fontId="11" fillId="5" borderId="2" xfId="0" applyFont="1" applyFill="1" applyBorder="1" applyAlignment="1" applyProtection="1">
      <alignment horizontal="center"/>
      <protection locked="0"/>
    </xf>
    <xf numFmtId="0" fontId="0" fillId="5" borderId="2" xfId="0" applyFill="1" applyBorder="1"/>
    <xf numFmtId="0" fontId="0" fillId="5" borderId="3" xfId="0" applyFill="1" applyBorder="1"/>
    <xf numFmtId="0" fontId="0" fillId="5" borderId="4" xfId="0" applyFill="1" applyBorder="1"/>
    <xf numFmtId="0" fontId="11" fillId="4" borderId="0" xfId="0" applyFont="1" applyFill="1" applyAlignment="1">
      <alignment horizontal="center" vertical="center"/>
    </xf>
    <xf numFmtId="0" fontId="11" fillId="4" borderId="0" xfId="0" applyFont="1" applyFill="1" applyAlignment="1">
      <alignment horizontal="center" vertical="center" wrapText="1"/>
    </xf>
    <xf numFmtId="0" fontId="0" fillId="5" borderId="0" xfId="0" applyFill="1" applyAlignment="1">
      <alignment horizontal="center" vertical="center"/>
    </xf>
    <xf numFmtId="0" fontId="0" fillId="4" borderId="0" xfId="0" applyFill="1" applyAlignment="1">
      <alignment horizontal="center" vertical="center"/>
    </xf>
    <xf numFmtId="0" fontId="0" fillId="5" borderId="0" xfId="0" applyFill="1" applyAlignment="1">
      <alignment vertical="center"/>
    </xf>
    <xf numFmtId="0" fontId="11" fillId="4" borderId="0" xfId="0" applyFont="1" applyFill="1" applyAlignment="1">
      <alignment vertical="center"/>
    </xf>
    <xf numFmtId="0" fontId="11" fillId="6" borderId="0" xfId="0" applyFont="1" applyFill="1" applyAlignment="1">
      <alignment wrapText="1"/>
    </xf>
    <xf numFmtId="0" fontId="18" fillId="4" borderId="0" xfId="0" applyFont="1" applyFill="1" applyAlignment="1" applyProtection="1">
      <alignment horizontal="center"/>
      <protection locked="0"/>
    </xf>
    <xf numFmtId="164" fontId="18" fillId="4" borderId="0" xfId="0" applyNumberFormat="1" applyFont="1" applyFill="1" applyAlignment="1">
      <alignment horizontal="center"/>
    </xf>
    <xf numFmtId="0" fontId="9" fillId="6" borderId="2" xfId="0" applyFont="1" applyFill="1" applyBorder="1" applyAlignment="1" applyProtection="1">
      <alignment wrapText="1"/>
    </xf>
    <xf numFmtId="0" fontId="9" fillId="6" borderId="2" xfId="0" applyFont="1" applyFill="1" applyBorder="1" applyProtection="1"/>
    <xf numFmtId="0" fontId="9" fillId="6" borderId="3" xfId="0" applyFont="1" applyFill="1" applyBorder="1" applyProtection="1"/>
    <xf numFmtId="0" fontId="21" fillId="0" borderId="0" xfId="5" applyFont="1" applyFill="1" applyBorder="1" applyAlignment="1" applyProtection="1">
      <alignment horizontal="left" vertical="top"/>
    </xf>
    <xf numFmtId="44" fontId="21" fillId="0" borderId="0" xfId="6" applyFont="1" applyFill="1" applyBorder="1" applyAlignment="1" applyProtection="1">
      <alignment horizontal="left" vertical="top"/>
    </xf>
    <xf numFmtId="0" fontId="22" fillId="0" borderId="0" xfId="5" applyFont="1" applyFill="1" applyBorder="1" applyAlignment="1" applyProtection="1">
      <alignment horizontal="left" vertical="top"/>
    </xf>
    <xf numFmtId="0" fontId="23" fillId="3" borderId="1" xfId="5" applyFont="1" applyFill="1" applyBorder="1" applyAlignment="1" applyProtection="1">
      <alignment horizontal="left" vertical="top" wrapText="1"/>
    </xf>
    <xf numFmtId="0" fontId="23" fillId="2" borderId="1" xfId="5" applyFont="1" applyFill="1" applyBorder="1" applyAlignment="1" applyProtection="1">
      <alignment horizontal="left" vertical="top" wrapText="1"/>
    </xf>
    <xf numFmtId="44" fontId="21" fillId="0" borderId="1" xfId="6" applyFont="1" applyFill="1" applyBorder="1" applyAlignment="1" applyProtection="1">
      <alignment horizontal="left" vertical="top"/>
    </xf>
    <xf numFmtId="44" fontId="21" fillId="0" borderId="0" xfId="6" applyFont="1" applyFill="1" applyBorder="1" applyAlignment="1" applyProtection="1">
      <alignment vertical="top" wrapText="1"/>
    </xf>
    <xf numFmtId="0" fontId="21" fillId="0" borderId="0" xfId="5" applyFont="1" applyFill="1" applyBorder="1" applyAlignment="1" applyProtection="1">
      <alignment horizontal="left" vertical="top" wrapText="1"/>
    </xf>
    <xf numFmtId="166" fontId="21" fillId="0" borderId="0" xfId="5" applyNumberFormat="1" applyFont="1" applyFill="1" applyBorder="1" applyAlignment="1" applyProtection="1">
      <alignment horizontal="left" vertical="top" wrapText="1"/>
    </xf>
    <xf numFmtId="0" fontId="21" fillId="0" borderId="1" xfId="5" applyFont="1" applyFill="1" applyBorder="1" applyAlignment="1" applyProtection="1">
      <alignment horizontal="left" vertical="top" wrapText="1"/>
    </xf>
    <xf numFmtId="49" fontId="33" fillId="2" borderId="1" xfId="6" applyNumberFormat="1" applyFont="1" applyFill="1" applyBorder="1" applyAlignment="1" applyProtection="1">
      <alignment vertical="top" wrapText="1"/>
    </xf>
    <xf numFmtId="0" fontId="18" fillId="4" borderId="0" xfId="0" applyFont="1" applyFill="1" applyAlignment="1" applyProtection="1">
      <alignment horizontal="center"/>
      <protection locked="0"/>
    </xf>
    <xf numFmtId="0" fontId="11" fillId="6" borderId="2" xfId="0" applyFont="1" applyFill="1" applyBorder="1" applyAlignment="1" applyProtection="1">
      <alignment horizontal="center"/>
    </xf>
    <xf numFmtId="164" fontId="18" fillId="4" borderId="0" xfId="0" applyNumberFormat="1" applyFont="1" applyFill="1" applyAlignment="1">
      <alignment horizontal="center"/>
    </xf>
    <xf numFmtId="0" fontId="11" fillId="4" borderId="0" xfId="0" quotePrefix="1" applyFont="1" applyFill="1" applyBorder="1" applyAlignment="1" applyProtection="1">
      <alignment horizontal="left"/>
    </xf>
    <xf numFmtId="0" fontId="0" fillId="6" borderId="0" xfId="0" applyFill="1" applyProtection="1">
      <protection hidden="1"/>
    </xf>
    <xf numFmtId="0" fontId="0" fillId="6" borderId="0" xfId="0" applyFill="1" applyAlignment="1" applyProtection="1">
      <protection hidden="1"/>
    </xf>
    <xf numFmtId="0" fontId="0" fillId="7" borderId="0" xfId="0" applyFill="1" applyAlignment="1" applyProtection="1">
      <alignment horizontal="center"/>
      <protection hidden="1"/>
    </xf>
    <xf numFmtId="0" fontId="34" fillId="7" borderId="0" xfId="0" applyFont="1" applyFill="1" applyAlignment="1" applyProtection="1">
      <alignment vertical="center" wrapText="1"/>
      <protection hidden="1"/>
    </xf>
    <xf numFmtId="0" fontId="35" fillId="0" borderId="0" xfId="0" applyFont="1" applyAlignment="1" applyProtection="1">
      <alignment wrapText="1"/>
      <protection hidden="1"/>
    </xf>
    <xf numFmtId="0" fontId="0" fillId="6" borderId="0" xfId="0" applyFill="1" applyAlignment="1" applyProtection="1">
      <alignment horizontal="center"/>
      <protection hidden="1"/>
    </xf>
    <xf numFmtId="0" fontId="0" fillId="6" borderId="0" xfId="0" applyFill="1" applyBorder="1" applyProtection="1">
      <protection hidden="1"/>
    </xf>
    <xf numFmtId="0" fontId="0" fillId="0" borderId="0" xfId="0" applyAlignment="1" applyProtection="1">
      <protection hidden="1"/>
    </xf>
    <xf numFmtId="0" fontId="17" fillId="10" borderId="0" xfId="0" applyFont="1" applyFill="1" applyProtection="1">
      <protection hidden="1"/>
    </xf>
    <xf numFmtId="0" fontId="18" fillId="4" borderId="0" xfId="0" applyFont="1" applyFill="1" applyAlignment="1" applyProtection="1">
      <alignment vertical="center"/>
      <protection hidden="1"/>
    </xf>
    <xf numFmtId="0" fontId="18" fillId="4" borderId="0" xfId="0" applyFont="1" applyFill="1" applyAlignment="1" applyProtection="1">
      <alignment horizontal="center" vertical="center"/>
      <protection hidden="1"/>
    </xf>
    <xf numFmtId="0" fontId="18" fillId="4" borderId="2" xfId="0" applyFont="1" applyFill="1" applyBorder="1" applyAlignment="1" applyProtection="1">
      <alignment horizontal="center" vertical="center"/>
      <protection hidden="1"/>
    </xf>
    <xf numFmtId="0" fontId="17" fillId="4" borderId="0" xfId="0" applyFont="1" applyFill="1" applyProtection="1">
      <protection hidden="1"/>
    </xf>
    <xf numFmtId="0" fontId="11" fillId="4" borderId="0" xfId="0" applyFont="1" applyFill="1" applyAlignment="1" applyProtection="1">
      <alignment vertical="center"/>
      <protection hidden="1"/>
    </xf>
    <xf numFmtId="0" fontId="17" fillId="10" borderId="0" xfId="0" applyFont="1" applyFill="1" applyBorder="1" applyProtection="1">
      <protection hidden="1"/>
    </xf>
    <xf numFmtId="0" fontId="17" fillId="6" borderId="0" xfId="0" applyFont="1" applyFill="1" applyProtection="1">
      <protection hidden="1"/>
    </xf>
    <xf numFmtId="0" fontId="0" fillId="10" borderId="0" xfId="0" applyFill="1" applyProtection="1">
      <protection hidden="1"/>
    </xf>
    <xf numFmtId="0" fontId="0" fillId="6" borderId="3" xfId="0" applyFill="1" applyBorder="1" applyAlignment="1" applyProtection="1">
      <alignment vertical="center"/>
      <protection hidden="1"/>
    </xf>
    <xf numFmtId="0" fontId="0" fillId="5" borderId="3" xfId="0" applyFill="1" applyBorder="1" applyAlignment="1" applyProtection="1">
      <alignment horizontal="center" vertical="center"/>
      <protection hidden="1"/>
    </xf>
    <xf numFmtId="0" fontId="0" fillId="6" borderId="3" xfId="0" applyFill="1" applyBorder="1" applyAlignment="1" applyProtection="1">
      <alignment horizontal="center" vertical="center"/>
      <protection hidden="1"/>
    </xf>
    <xf numFmtId="0" fontId="0" fillId="5" borderId="3" xfId="0" applyFill="1" applyBorder="1" applyProtection="1">
      <protection hidden="1"/>
    </xf>
    <xf numFmtId="0" fontId="0" fillId="5" borderId="2" xfId="0" applyFill="1" applyBorder="1" applyProtection="1">
      <protection hidden="1"/>
    </xf>
    <xf numFmtId="14" fontId="0" fillId="6" borderId="2" xfId="0" applyNumberFormat="1" applyFill="1" applyBorder="1" applyProtection="1">
      <protection hidden="1"/>
    </xf>
    <xf numFmtId="14" fontId="0" fillId="6" borderId="0" xfId="0" applyNumberFormat="1" applyFill="1" applyBorder="1" applyProtection="1">
      <protection hidden="1"/>
    </xf>
    <xf numFmtId="0" fontId="0" fillId="10" borderId="0" xfId="0" applyFill="1" applyBorder="1" applyProtection="1">
      <protection hidden="1"/>
    </xf>
    <xf numFmtId="14" fontId="8" fillId="6" borderId="2" xfId="0" applyNumberFormat="1" applyFont="1" applyFill="1" applyBorder="1" applyAlignment="1" applyProtection="1">
      <alignment wrapText="1"/>
      <protection hidden="1"/>
    </xf>
    <xf numFmtId="14" fontId="8" fillId="6" borderId="0" xfId="0" applyNumberFormat="1" applyFont="1" applyFill="1" applyBorder="1" applyAlignment="1" applyProtection="1">
      <alignment wrapText="1"/>
      <protection hidden="1"/>
    </xf>
    <xf numFmtId="14" fontId="8" fillId="0" borderId="1" xfId="0" applyNumberFormat="1" applyFont="1" applyFill="1" applyBorder="1" applyAlignment="1" applyProtection="1">
      <alignment wrapText="1"/>
      <protection hidden="1"/>
    </xf>
    <xf numFmtId="0" fontId="30" fillId="10" borderId="0" xfId="0" applyFont="1" applyFill="1" applyBorder="1" applyAlignment="1" applyProtection="1">
      <alignment vertical="top" wrapText="1"/>
      <protection hidden="1"/>
    </xf>
    <xf numFmtId="0" fontId="0" fillId="7" borderId="3" xfId="0" applyFill="1" applyBorder="1" applyAlignment="1" applyProtection="1">
      <alignment horizontal="center" vertical="center"/>
      <protection hidden="1"/>
    </xf>
    <xf numFmtId="0" fontId="0" fillId="9" borderId="3" xfId="0" applyFill="1" applyBorder="1" applyAlignment="1" applyProtection="1">
      <alignment horizontal="center" vertical="center"/>
      <protection hidden="1"/>
    </xf>
    <xf numFmtId="14" fontId="8" fillId="7" borderId="2" xfId="0" applyNumberFormat="1" applyFont="1" applyFill="1" applyBorder="1" applyAlignment="1" applyProtection="1">
      <alignment wrapText="1"/>
      <protection hidden="1"/>
    </xf>
    <xf numFmtId="14" fontId="8" fillId="7" borderId="0" xfId="0" applyNumberFormat="1" applyFont="1" applyFill="1" applyBorder="1" applyAlignment="1" applyProtection="1">
      <alignment wrapText="1"/>
      <protection hidden="1"/>
    </xf>
    <xf numFmtId="9" fontId="0" fillId="5" borderId="3" xfId="0" applyNumberFormat="1" applyFill="1" applyBorder="1" applyAlignment="1" applyProtection="1">
      <alignment horizontal="center" vertical="center"/>
      <protection hidden="1"/>
    </xf>
    <xf numFmtId="9" fontId="0" fillId="0" borderId="3" xfId="0" applyNumberFormat="1" applyFill="1" applyBorder="1" applyAlignment="1" applyProtection="1">
      <alignment horizontal="center" vertical="center"/>
      <protection hidden="1"/>
    </xf>
    <xf numFmtId="9" fontId="0" fillId="9" borderId="3" xfId="0" applyNumberFormat="1" applyFill="1" applyBorder="1" applyAlignment="1" applyProtection="1">
      <alignment horizontal="center" vertical="center"/>
      <protection hidden="1"/>
    </xf>
    <xf numFmtId="9" fontId="8" fillId="0" borderId="3" xfId="0" applyNumberFormat="1" applyFont="1" applyFill="1" applyBorder="1" applyAlignment="1" applyProtection="1">
      <alignment horizontal="left" vertical="top" wrapText="1"/>
      <protection hidden="1"/>
    </xf>
    <xf numFmtId="9" fontId="8" fillId="0" borderId="0" xfId="0" applyNumberFormat="1" applyFont="1" applyFill="1" applyBorder="1" applyAlignment="1" applyProtection="1">
      <alignment horizontal="left" vertical="top" wrapText="1"/>
      <protection hidden="1"/>
    </xf>
    <xf numFmtId="9" fontId="3" fillId="0" borderId="1" xfId="0" applyNumberFormat="1" applyFont="1" applyFill="1" applyBorder="1" applyAlignment="1" applyProtection="1">
      <alignment horizontal="left" vertical="top" wrapText="1"/>
      <protection hidden="1"/>
    </xf>
    <xf numFmtId="0" fontId="30" fillId="10" borderId="0" xfId="0" applyFont="1" applyFill="1" applyBorder="1" applyAlignment="1" applyProtection="1">
      <alignment horizontal="left" vertical="top"/>
      <protection hidden="1"/>
    </xf>
    <xf numFmtId="0" fontId="0" fillId="4" borderId="0" xfId="0" applyFill="1" applyAlignment="1" applyProtection="1">
      <alignment vertical="center"/>
      <protection hidden="1"/>
    </xf>
    <xf numFmtId="0" fontId="0" fillId="5" borderId="0" xfId="0"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11" fillId="4" borderId="0" xfId="0" applyFont="1" applyFill="1" applyAlignment="1" applyProtection="1">
      <alignment horizontal="center" vertical="center"/>
      <protection hidden="1"/>
    </xf>
    <xf numFmtId="0" fontId="0" fillId="4" borderId="0" xfId="0" applyFill="1" applyAlignment="1" applyProtection="1">
      <alignment horizontal="center" vertical="center"/>
      <protection hidden="1"/>
    </xf>
    <xf numFmtId="0" fontId="0" fillId="5" borderId="0" xfId="0" applyFill="1" applyAlignment="1" applyProtection="1">
      <alignment vertical="center"/>
      <protection hidden="1"/>
    </xf>
    <xf numFmtId="0" fontId="11" fillId="0" borderId="1" xfId="0" applyFont="1" applyFill="1" applyBorder="1" applyAlignment="1" applyProtection="1">
      <alignment vertical="center"/>
      <protection hidden="1"/>
    </xf>
    <xf numFmtId="0" fontId="11" fillId="5" borderId="0" xfId="0" applyFont="1" applyFill="1" applyAlignment="1" applyProtection="1">
      <alignment vertical="center"/>
      <protection hidden="1"/>
    </xf>
    <xf numFmtId="0" fontId="0" fillId="5" borderId="0" xfId="0" applyFill="1" applyProtection="1">
      <protection hidden="1"/>
    </xf>
    <xf numFmtId="0" fontId="0" fillId="0" borderId="1" xfId="0" applyFill="1" applyBorder="1" applyProtection="1">
      <protection hidden="1"/>
    </xf>
    <xf numFmtId="0" fontId="0" fillId="6" borderId="2" xfId="0" applyFill="1" applyBorder="1" applyAlignment="1" applyProtection="1">
      <alignment vertical="center"/>
      <protection hidden="1"/>
    </xf>
    <xf numFmtId="164" fontId="0" fillId="5" borderId="2" xfId="1" applyFont="1" applyFill="1" applyBorder="1" applyAlignment="1" applyProtection="1">
      <alignment horizontal="center" vertical="center"/>
      <protection hidden="1"/>
    </xf>
    <xf numFmtId="0" fontId="0" fillId="6" borderId="2" xfId="0" applyFill="1" applyBorder="1" applyAlignment="1" applyProtection="1">
      <alignment horizontal="center" vertical="center"/>
      <protection hidden="1"/>
    </xf>
    <xf numFmtId="164" fontId="0" fillId="6" borderId="2" xfId="1" applyFont="1" applyFill="1" applyBorder="1" applyAlignment="1" applyProtection="1">
      <alignment horizontal="center" vertical="center"/>
      <protection hidden="1"/>
    </xf>
    <xf numFmtId="0" fontId="8" fillId="6" borderId="2" xfId="0" applyFont="1" applyFill="1" applyBorder="1" applyAlignment="1" applyProtection="1">
      <alignment wrapText="1"/>
      <protection hidden="1"/>
    </xf>
    <xf numFmtId="0" fontId="8" fillId="6" borderId="0" xfId="0" applyFont="1" applyFill="1" applyBorder="1" applyAlignment="1" applyProtection="1">
      <alignment wrapText="1"/>
      <protection hidden="1"/>
    </xf>
    <xf numFmtId="0" fontId="8" fillId="0" borderId="1" xfId="0" applyFont="1" applyFill="1" applyBorder="1" applyAlignment="1" applyProtection="1">
      <alignment wrapText="1"/>
      <protection hidden="1"/>
    </xf>
    <xf numFmtId="0" fontId="30" fillId="10" borderId="0" xfId="0" applyFont="1" applyFill="1" applyBorder="1" applyProtection="1">
      <protection hidden="1"/>
    </xf>
    <xf numFmtId="164" fontId="0" fillId="5" borderId="3" xfId="1" applyFont="1" applyFill="1" applyBorder="1" applyAlignment="1" applyProtection="1">
      <alignment horizontal="center" vertical="center"/>
      <protection hidden="1"/>
    </xf>
    <xf numFmtId="10" fontId="0" fillId="9" borderId="3" xfId="0" applyNumberFormat="1" applyFill="1" applyBorder="1" applyAlignment="1" applyProtection="1">
      <alignment vertical="center"/>
      <protection hidden="1"/>
    </xf>
    <xf numFmtId="164" fontId="0" fillId="6" borderId="3" xfId="1" applyFont="1" applyFill="1" applyBorder="1" applyAlignment="1" applyProtection="1">
      <alignment horizontal="center" vertical="center"/>
      <protection hidden="1"/>
    </xf>
    <xf numFmtId="0" fontId="6" fillId="6" borderId="3" xfId="0" applyFont="1" applyFill="1" applyBorder="1" applyAlignment="1" applyProtection="1">
      <alignment vertical="center" wrapText="1"/>
      <protection hidden="1"/>
    </xf>
    <xf numFmtId="0" fontId="6" fillId="6" borderId="0" xfId="0" applyFont="1" applyFill="1" applyBorder="1" applyAlignment="1" applyProtection="1">
      <alignment vertical="center" wrapText="1"/>
      <protection hidden="1"/>
    </xf>
    <xf numFmtId="0" fontId="3" fillId="0" borderId="1" xfId="0" applyFont="1" applyFill="1" applyBorder="1" applyAlignment="1" applyProtection="1">
      <alignment vertical="center" wrapText="1"/>
      <protection hidden="1"/>
    </xf>
    <xf numFmtId="10" fontId="0" fillId="9" borderId="3" xfId="2" applyNumberFormat="1" applyFont="1" applyFill="1" applyBorder="1" applyAlignment="1" applyProtection="1">
      <alignment vertical="center"/>
      <protection hidden="1"/>
    </xf>
    <xf numFmtId="0" fontId="3" fillId="0" borderId="3" xfId="0" applyFont="1" applyFill="1" applyBorder="1" applyAlignment="1" applyProtection="1">
      <alignment vertical="top" wrapText="1"/>
      <protection hidden="1"/>
    </xf>
    <xf numFmtId="0" fontId="3" fillId="0" borderId="0" xfId="0" applyFont="1" applyFill="1" applyBorder="1" applyAlignment="1" applyProtection="1">
      <alignment vertical="top" wrapText="1"/>
      <protection hidden="1"/>
    </xf>
    <xf numFmtId="0" fontId="3" fillId="0" borderId="1" xfId="0" applyFont="1" applyFill="1" applyBorder="1" applyAlignment="1" applyProtection="1">
      <alignment vertical="top" wrapText="1"/>
      <protection hidden="1"/>
    </xf>
    <xf numFmtId="0" fontId="11" fillId="6" borderId="4" xfId="0" applyFont="1" applyFill="1" applyBorder="1" applyAlignment="1" applyProtection="1">
      <alignment vertical="center"/>
      <protection hidden="1"/>
    </xf>
    <xf numFmtId="164" fontId="11" fillId="5" borderId="4" xfId="0" applyNumberFormat="1" applyFont="1" applyFill="1" applyBorder="1" applyAlignment="1" applyProtection="1">
      <alignment horizontal="center" vertical="center"/>
      <protection hidden="1"/>
    </xf>
    <xf numFmtId="0" fontId="11" fillId="6" borderId="4" xfId="0" applyFont="1" applyFill="1" applyBorder="1" applyAlignment="1" applyProtection="1">
      <alignment horizontal="center" vertical="center"/>
      <protection hidden="1"/>
    </xf>
    <xf numFmtId="10" fontId="11" fillId="6" borderId="4" xfId="0" applyNumberFormat="1" applyFont="1" applyFill="1" applyBorder="1" applyAlignment="1" applyProtection="1">
      <alignment vertical="center"/>
      <protection hidden="1"/>
    </xf>
    <xf numFmtId="164" fontId="11" fillId="6" borderId="4" xfId="0" applyNumberFormat="1" applyFont="1" applyFill="1" applyBorder="1" applyAlignment="1" applyProtection="1">
      <alignment horizontal="center" vertical="center"/>
      <protection hidden="1"/>
    </xf>
    <xf numFmtId="0" fontId="0" fillId="5" borderId="4" xfId="0" applyFill="1" applyBorder="1" applyProtection="1">
      <protection hidden="1"/>
    </xf>
    <xf numFmtId="0" fontId="9" fillId="6" borderId="4" xfId="0" applyFont="1" applyFill="1" applyBorder="1" applyProtection="1">
      <protection hidden="1"/>
    </xf>
    <xf numFmtId="0" fontId="9" fillId="6" borderId="0" xfId="0" applyFont="1" applyFill="1" applyBorder="1" applyProtection="1">
      <protection hidden="1"/>
    </xf>
    <xf numFmtId="0" fontId="9" fillId="0" borderId="6" xfId="0" applyFont="1" applyFill="1" applyBorder="1" applyProtection="1">
      <protection hidden="1"/>
    </xf>
    <xf numFmtId="0" fontId="0" fillId="6" borderId="0" xfId="0" applyFill="1" applyAlignment="1" applyProtection="1">
      <alignment vertical="center"/>
      <protection hidden="1"/>
    </xf>
    <xf numFmtId="0" fontId="0" fillId="6" borderId="0" xfId="0" applyFill="1" applyAlignment="1" applyProtection="1">
      <alignment horizontal="center" vertical="center"/>
      <protection hidden="1"/>
    </xf>
    <xf numFmtId="10" fontId="0" fillId="6" borderId="0" xfId="0" applyNumberFormat="1" applyFill="1" applyAlignment="1" applyProtection="1">
      <alignment vertical="center"/>
      <protection hidden="1"/>
    </xf>
    <xf numFmtId="0" fontId="9" fillId="6" borderId="0" xfId="0" applyFont="1" applyFill="1" applyProtection="1">
      <protection hidden="1"/>
    </xf>
    <xf numFmtId="0" fontId="9" fillId="0" borderId="7" xfId="0" applyFont="1" applyFill="1" applyBorder="1" applyProtection="1">
      <protection hidden="1"/>
    </xf>
    <xf numFmtId="10" fontId="0" fillId="6" borderId="2" xfId="0" applyNumberFormat="1" applyFill="1" applyBorder="1" applyAlignment="1" applyProtection="1">
      <alignment vertical="center"/>
      <protection hidden="1"/>
    </xf>
    <xf numFmtId="0" fontId="9" fillId="6" borderId="2" xfId="0" applyFont="1" applyFill="1" applyBorder="1" applyProtection="1">
      <protection hidden="1"/>
    </xf>
    <xf numFmtId="10" fontId="0" fillId="6" borderId="3" xfId="0" applyNumberFormat="1" applyFill="1" applyBorder="1" applyAlignment="1" applyProtection="1">
      <alignment vertical="center"/>
      <protection hidden="1"/>
    </xf>
    <xf numFmtId="10" fontId="0" fillId="6" borderId="4" xfId="0" applyNumberFormat="1" applyFill="1" applyBorder="1" applyAlignment="1" applyProtection="1">
      <alignment vertical="center"/>
      <protection hidden="1"/>
    </xf>
    <xf numFmtId="10" fontId="30" fillId="6" borderId="2" xfId="2" applyNumberFormat="1" applyFont="1" applyFill="1" applyBorder="1" applyAlignment="1" applyProtection="1">
      <alignment vertical="center"/>
      <protection hidden="1"/>
    </xf>
    <xf numFmtId="0" fontId="36" fillId="6" borderId="2" xfId="0" applyFont="1" applyFill="1" applyBorder="1" applyProtection="1">
      <protection hidden="1"/>
    </xf>
    <xf numFmtId="0" fontId="36" fillId="6" borderId="0" xfId="0" applyFont="1" applyFill="1" applyBorder="1" applyProtection="1">
      <protection hidden="1"/>
    </xf>
    <xf numFmtId="0" fontId="36" fillId="0" borderId="7" xfId="0" applyFont="1" applyFill="1" applyBorder="1" applyProtection="1">
      <protection hidden="1"/>
    </xf>
    <xf numFmtId="10" fontId="30" fillId="6" borderId="3" xfId="2" applyNumberFormat="1" applyFont="1" applyFill="1" applyBorder="1" applyAlignment="1" applyProtection="1">
      <alignment vertical="center"/>
      <protection hidden="1"/>
    </xf>
    <xf numFmtId="0" fontId="36" fillId="10" borderId="0" xfId="0" applyFont="1" applyFill="1" applyBorder="1" applyProtection="1">
      <protection hidden="1"/>
    </xf>
    <xf numFmtId="0" fontId="36" fillId="0" borderId="8" xfId="0" applyFont="1" applyFill="1" applyBorder="1" applyProtection="1">
      <protection hidden="1"/>
    </xf>
    <xf numFmtId="0" fontId="6" fillId="0" borderId="3" xfId="0" applyFont="1" applyFill="1" applyBorder="1" applyAlignment="1" applyProtection="1">
      <alignment vertical="top" wrapText="1"/>
      <protection hidden="1"/>
    </xf>
    <xf numFmtId="0" fontId="6" fillId="10" borderId="0" xfId="0" applyFont="1" applyFill="1" applyBorder="1" applyAlignment="1" applyProtection="1">
      <alignment vertical="top" wrapText="1"/>
      <protection hidden="1"/>
    </xf>
    <xf numFmtId="0" fontId="2" fillId="9" borderId="6" xfId="0" applyFont="1" applyFill="1" applyBorder="1" applyAlignment="1" applyProtection="1">
      <alignment vertical="center" wrapText="1"/>
      <protection hidden="1"/>
    </xf>
    <xf numFmtId="0" fontId="30" fillId="10" borderId="0" xfId="0" applyFont="1" applyFill="1" applyBorder="1" applyAlignment="1" applyProtection="1">
      <alignment wrapText="1"/>
      <protection hidden="1"/>
    </xf>
    <xf numFmtId="10" fontId="0" fillId="7" borderId="3" xfId="2" applyNumberFormat="1" applyFont="1" applyFill="1" applyBorder="1" applyAlignment="1" applyProtection="1">
      <alignment vertical="center"/>
      <protection hidden="1"/>
    </xf>
    <xf numFmtId="0" fontId="9" fillId="7" borderId="3" xfId="0" applyFont="1" applyFill="1" applyBorder="1" applyProtection="1">
      <protection hidden="1"/>
    </xf>
    <xf numFmtId="0" fontId="9" fillId="11" borderId="0" xfId="0" applyFont="1" applyFill="1" applyBorder="1" applyProtection="1">
      <protection hidden="1"/>
    </xf>
    <xf numFmtId="0" fontId="9" fillId="0" borderId="0" xfId="0" applyFont="1" applyFill="1" applyBorder="1" applyProtection="1">
      <protection hidden="1"/>
    </xf>
    <xf numFmtId="10" fontId="11" fillId="6" borderId="4" xfId="2" applyNumberFormat="1"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164" fontId="11" fillId="5"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10" fontId="11" fillId="6" borderId="0" xfId="2" applyNumberFormat="1" applyFont="1" applyFill="1" applyBorder="1" applyAlignment="1" applyProtection="1">
      <alignment vertical="center"/>
      <protection hidden="1"/>
    </xf>
    <xf numFmtId="164" fontId="11" fillId="6" borderId="0" xfId="0" applyNumberFormat="1" applyFont="1" applyFill="1" applyBorder="1" applyAlignment="1" applyProtection="1">
      <alignment horizontal="center" vertical="center"/>
      <protection hidden="1"/>
    </xf>
    <xf numFmtId="0" fontId="0" fillId="5" borderId="0" xfId="0" applyFill="1" applyBorder="1" applyProtection="1">
      <protection hidden="1"/>
    </xf>
    <xf numFmtId="0" fontId="11" fillId="6" borderId="0" xfId="0" applyFont="1" applyFill="1" applyAlignment="1" applyProtection="1">
      <alignment vertical="center"/>
      <protection hidden="1"/>
    </xf>
    <xf numFmtId="164" fontId="11" fillId="5" borderId="0" xfId="0" applyNumberFormat="1" applyFont="1" applyFill="1" applyAlignment="1" applyProtection="1">
      <alignment horizontal="center" vertical="center"/>
      <protection hidden="1"/>
    </xf>
    <xf numFmtId="0" fontId="11" fillId="6" borderId="0" xfId="0" applyFont="1" applyFill="1" applyAlignment="1" applyProtection="1">
      <alignment horizontal="center" vertical="center"/>
      <protection hidden="1"/>
    </xf>
    <xf numFmtId="164" fontId="11" fillId="6" borderId="0" xfId="0" applyNumberFormat="1" applyFont="1" applyFill="1" applyAlignment="1" applyProtection="1">
      <alignment horizontal="center" vertical="center"/>
      <protection hidden="1"/>
    </xf>
    <xf numFmtId="0" fontId="9" fillId="11" borderId="0" xfId="0" applyFont="1" applyFill="1" applyProtection="1">
      <protection hidden="1"/>
    </xf>
    <xf numFmtId="10" fontId="0" fillId="9" borderId="2" xfId="0" applyNumberFormat="1" applyFill="1" applyBorder="1" applyAlignment="1" applyProtection="1">
      <alignment vertical="center"/>
      <protection hidden="1"/>
    </xf>
    <xf numFmtId="0" fontId="3" fillId="0" borderId="0" xfId="0" applyFont="1" applyFill="1" applyBorder="1" applyProtection="1">
      <protection hidden="1"/>
    </xf>
    <xf numFmtId="164" fontId="11" fillId="5" borderId="0" xfId="1" applyFont="1" applyFill="1" applyBorder="1" applyAlignment="1" applyProtection="1">
      <alignment horizontal="center" vertical="center"/>
      <protection hidden="1"/>
    </xf>
    <xf numFmtId="10" fontId="11" fillId="6" borderId="0" xfId="2" applyNumberFormat="1" applyFont="1" applyFill="1" applyBorder="1" applyAlignment="1" applyProtection="1">
      <alignment horizontal="center" vertical="center"/>
      <protection hidden="1"/>
    </xf>
    <xf numFmtId="164" fontId="11" fillId="6" borderId="0" xfId="1" applyFont="1" applyFill="1" applyBorder="1" applyAlignment="1" applyProtection="1">
      <alignment horizontal="center" vertical="center"/>
      <protection hidden="1"/>
    </xf>
    <xf numFmtId="0" fontId="11" fillId="5" borderId="0" xfId="0" applyFont="1" applyFill="1" applyAlignment="1" applyProtection="1">
      <alignment horizontal="center" vertical="center"/>
      <protection hidden="1"/>
    </xf>
    <xf numFmtId="0" fontId="9" fillId="5" borderId="0" xfId="0" applyFont="1" applyFill="1" applyProtection="1">
      <protection hidden="1"/>
    </xf>
    <xf numFmtId="0" fontId="0" fillId="6" borderId="0" xfId="0" applyFill="1" applyBorder="1" applyAlignment="1" applyProtection="1">
      <alignment vertical="center"/>
      <protection hidden="1"/>
    </xf>
    <xf numFmtId="0" fontId="0" fillId="5" borderId="0" xfId="0" applyFill="1" applyBorder="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9" fillId="0" borderId="2" xfId="0" applyFont="1" applyFill="1" applyBorder="1" applyProtection="1">
      <protection hidden="1"/>
    </xf>
    <xf numFmtId="0" fontId="9" fillId="0" borderId="8" xfId="0" applyFont="1" applyFill="1" applyBorder="1" applyProtection="1">
      <protection hidden="1"/>
    </xf>
    <xf numFmtId="0" fontId="0" fillId="10" borderId="0" xfId="0" applyFill="1" applyAlignment="1" applyProtection="1">
      <alignment vertical="top"/>
      <protection hidden="1"/>
    </xf>
    <xf numFmtId="0" fontId="32" fillId="6" borderId="2" xfId="0" applyFont="1" applyFill="1" applyBorder="1" applyAlignment="1" applyProtection="1">
      <alignment vertical="center"/>
      <protection hidden="1"/>
    </xf>
    <xf numFmtId="44" fontId="0" fillId="0" borderId="2" xfId="1" applyNumberFormat="1" applyFont="1" applyFill="1" applyBorder="1" applyAlignment="1" applyProtection="1">
      <alignment horizontal="center" vertical="center"/>
      <protection hidden="1"/>
    </xf>
    <xf numFmtId="0" fontId="0" fillId="5" borderId="2" xfId="0" applyFill="1" applyBorder="1" applyAlignment="1" applyProtection="1">
      <alignment vertical="top"/>
      <protection hidden="1"/>
    </xf>
    <xf numFmtId="0" fontId="9" fillId="0" borderId="2" xfId="0" applyFont="1" applyFill="1" applyBorder="1" applyAlignment="1" applyProtection="1">
      <alignment vertical="top" wrapText="1"/>
      <protection hidden="1"/>
    </xf>
    <xf numFmtId="0" fontId="9" fillId="11" borderId="0" xfId="0" applyFont="1" applyFill="1" applyBorder="1" applyAlignment="1" applyProtection="1">
      <alignment vertical="top" wrapText="1"/>
      <protection hidden="1"/>
    </xf>
    <xf numFmtId="0" fontId="2" fillId="9" borderId="1" xfId="0" applyFont="1" applyFill="1" applyBorder="1" applyAlignment="1" applyProtection="1">
      <alignment vertical="top" wrapText="1"/>
      <protection hidden="1"/>
    </xf>
    <xf numFmtId="0" fontId="0" fillId="6" borderId="0" xfId="0" applyFill="1" applyAlignment="1" applyProtection="1">
      <alignment vertical="top"/>
      <protection hidden="1"/>
    </xf>
    <xf numFmtId="0" fontId="0" fillId="6" borderId="3" xfId="0" applyFont="1" applyFill="1" applyBorder="1" applyAlignment="1" applyProtection="1">
      <alignment vertical="center"/>
      <protection hidden="1"/>
    </xf>
    <xf numFmtId="0" fontId="8" fillId="0" borderId="3" xfId="0" applyFont="1" applyFill="1" applyBorder="1" applyAlignment="1" applyProtection="1">
      <alignment wrapText="1"/>
      <protection hidden="1"/>
    </xf>
    <xf numFmtId="0" fontId="8" fillId="11" borderId="0" xfId="0" applyFont="1" applyFill="1" applyBorder="1" applyAlignment="1" applyProtection="1">
      <alignment wrapText="1"/>
      <protection hidden="1"/>
    </xf>
    <xf numFmtId="0" fontId="2" fillId="9" borderId="1" xfId="0" applyFont="1" applyFill="1" applyBorder="1" applyAlignment="1" applyProtection="1">
      <alignment wrapText="1"/>
      <protection hidden="1"/>
    </xf>
    <xf numFmtId="164" fontId="11" fillId="5" borderId="0" xfId="1" applyFont="1" applyFill="1" applyAlignment="1" applyProtection="1">
      <alignment horizontal="center" vertical="center"/>
      <protection hidden="1"/>
    </xf>
    <xf numFmtId="164" fontId="11" fillId="6" borderId="0" xfId="1" applyFont="1" applyFill="1" applyAlignment="1" applyProtection="1">
      <alignment horizontal="center" vertical="center"/>
      <protection hidden="1"/>
    </xf>
    <xf numFmtId="0" fontId="0" fillId="6" borderId="5" xfId="0" applyFill="1" applyBorder="1" applyAlignment="1" applyProtection="1">
      <alignment vertical="center"/>
      <protection hidden="1"/>
    </xf>
    <xf numFmtId="0" fontId="0" fillId="5"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10" fontId="0" fillId="9" borderId="5" xfId="0" applyNumberFormat="1" applyFill="1" applyBorder="1" applyAlignment="1" applyProtection="1">
      <alignment vertical="center"/>
      <protection hidden="1"/>
    </xf>
    <xf numFmtId="44" fontId="0" fillId="6" borderId="5" xfId="0" applyNumberFormat="1" applyFill="1" applyBorder="1" applyAlignment="1" applyProtection="1">
      <alignment horizontal="center" vertical="center"/>
      <protection hidden="1"/>
    </xf>
    <xf numFmtId="0" fontId="9" fillId="0" borderId="2" xfId="0" applyFont="1" applyFill="1" applyBorder="1" applyAlignment="1" applyProtection="1">
      <alignment wrapText="1"/>
      <protection hidden="1"/>
    </xf>
    <xf numFmtId="0" fontId="9" fillId="11" borderId="0" xfId="0" applyFont="1" applyFill="1" applyBorder="1" applyAlignment="1" applyProtection="1">
      <alignment wrapText="1"/>
      <protection hidden="1"/>
    </xf>
    <xf numFmtId="0" fontId="6" fillId="0" borderId="2" xfId="0" applyFont="1" applyFill="1" applyBorder="1" applyAlignment="1" applyProtection="1">
      <alignment wrapText="1"/>
      <protection hidden="1"/>
    </xf>
    <xf numFmtId="0" fontId="6" fillId="11" borderId="0" xfId="0" applyFont="1" applyFill="1" applyBorder="1" applyAlignment="1" applyProtection="1">
      <alignment wrapText="1"/>
      <protection hidden="1"/>
    </xf>
    <xf numFmtId="0" fontId="7" fillId="0" borderId="2" xfId="0" applyFont="1" applyFill="1" applyBorder="1" applyAlignment="1" applyProtection="1">
      <alignment wrapText="1"/>
      <protection hidden="1"/>
    </xf>
    <xf numFmtId="0" fontId="7" fillId="11" borderId="0" xfId="0" applyFont="1" applyFill="1" applyBorder="1" applyAlignment="1" applyProtection="1">
      <alignment wrapText="1"/>
      <protection hidden="1"/>
    </xf>
    <xf numFmtId="0" fontId="0" fillId="6" borderId="0" xfId="0" applyFont="1" applyFill="1" applyBorder="1" applyAlignment="1" applyProtection="1">
      <alignment vertical="center"/>
      <protection hidden="1"/>
    </xf>
    <xf numFmtId="164" fontId="0" fillId="5" borderId="0" xfId="0" applyNumberFormat="1" applyFill="1" applyBorder="1" applyAlignment="1" applyProtection="1">
      <alignment horizontal="center" vertical="center"/>
      <protection hidden="1"/>
    </xf>
    <xf numFmtId="10" fontId="0" fillId="6" borderId="0" xfId="2" applyNumberFormat="1" applyFont="1" applyFill="1" applyBorder="1" applyAlignment="1" applyProtection="1">
      <alignment vertical="center"/>
      <protection hidden="1"/>
    </xf>
    <xf numFmtId="164" fontId="0" fillId="6" borderId="0" xfId="0" applyNumberFormat="1" applyFill="1" applyBorder="1" applyAlignment="1" applyProtection="1">
      <alignment horizontal="center" vertical="center"/>
      <protection hidden="1"/>
    </xf>
    <xf numFmtId="0" fontId="9" fillId="0" borderId="1" xfId="0" applyFont="1" applyFill="1" applyBorder="1" applyProtection="1">
      <protection hidden="1"/>
    </xf>
    <xf numFmtId="0" fontId="0" fillId="6" borderId="2" xfId="0" applyFont="1" applyFill="1" applyBorder="1" applyAlignment="1" applyProtection="1">
      <alignment vertical="center"/>
      <protection hidden="1"/>
    </xf>
    <xf numFmtId="164" fontId="0" fillId="5" borderId="2" xfId="0" applyNumberFormat="1" applyFill="1" applyBorder="1" applyAlignment="1" applyProtection="1">
      <alignment horizontal="center" vertical="center"/>
      <protection hidden="1"/>
    </xf>
    <xf numFmtId="164" fontId="0" fillId="6" borderId="2" xfId="0" applyNumberFormat="1" applyFill="1" applyBorder="1" applyAlignment="1" applyProtection="1">
      <alignment horizontal="center" vertical="center"/>
      <protection hidden="1"/>
    </xf>
    <xf numFmtId="0" fontId="3" fillId="9" borderId="1" xfId="0" applyFont="1" applyFill="1" applyBorder="1" applyAlignment="1" applyProtection="1">
      <alignment wrapText="1"/>
      <protection hidden="1"/>
    </xf>
    <xf numFmtId="164" fontId="11" fillId="9" borderId="0" xfId="0" applyNumberFormat="1" applyFont="1" applyFill="1" applyAlignment="1" applyProtection="1">
      <alignment horizontal="center" vertical="center"/>
      <protection hidden="1"/>
    </xf>
    <xf numFmtId="164" fontId="18" fillId="4" borderId="0" xfId="0" applyNumberFormat="1" applyFont="1" applyFill="1" applyAlignment="1" applyProtection="1">
      <alignment horizontal="center" vertical="center"/>
      <protection hidden="1"/>
    </xf>
    <xf numFmtId="0" fontId="17" fillId="4" borderId="0" xfId="0" applyFont="1" applyFill="1" applyAlignment="1" applyProtection="1">
      <alignment horizontal="center" vertical="center"/>
      <protection hidden="1"/>
    </xf>
    <xf numFmtId="0" fontId="17" fillId="4" borderId="0" xfId="0" applyFont="1" applyFill="1" applyAlignment="1" applyProtection="1">
      <alignment vertical="center"/>
      <protection hidden="1"/>
    </xf>
    <xf numFmtId="164" fontId="18" fillId="4" borderId="0" xfId="0" applyNumberFormat="1" applyFont="1" applyFill="1" applyAlignment="1" applyProtection="1">
      <alignment vertical="center"/>
      <protection hidden="1"/>
    </xf>
    <xf numFmtId="164" fontId="18" fillId="9" borderId="0" xfId="0" applyNumberFormat="1" applyFont="1" applyFill="1" applyAlignment="1" applyProtection="1">
      <alignment horizontal="center" vertical="center"/>
      <protection hidden="1"/>
    </xf>
    <xf numFmtId="0" fontId="0" fillId="4" borderId="0" xfId="0" applyFill="1" applyProtection="1">
      <protection hidden="1"/>
    </xf>
    <xf numFmtId="164" fontId="18" fillId="4" borderId="0" xfId="0" applyNumberFormat="1" applyFont="1" applyFill="1" applyAlignment="1" applyProtection="1">
      <protection hidden="1"/>
    </xf>
    <xf numFmtId="164" fontId="18" fillId="11" borderId="0" xfId="0" applyNumberFormat="1" applyFont="1" applyFill="1" applyAlignment="1" applyProtection="1">
      <protection hidden="1"/>
    </xf>
    <xf numFmtId="164" fontId="18" fillId="11" borderId="9" xfId="0" applyNumberFormat="1" applyFont="1" applyFill="1" applyBorder="1" applyAlignment="1" applyProtection="1">
      <protection hidden="1"/>
    </xf>
    <xf numFmtId="0" fontId="11" fillId="4" borderId="0" xfId="0" quotePrefix="1" applyFont="1" applyFill="1" applyBorder="1" applyAlignment="1" applyProtection="1">
      <alignment horizontal="left"/>
      <protection hidden="1"/>
    </xf>
    <xf numFmtId="0" fontId="11" fillId="4" borderId="0" xfId="0" quotePrefix="1" applyFont="1" applyFill="1" applyBorder="1" applyAlignment="1" applyProtection="1">
      <alignment horizontal="left"/>
      <protection hidden="1"/>
    </xf>
    <xf numFmtId="0" fontId="15" fillId="6" borderId="0" xfId="0" applyFont="1" applyFill="1" applyBorder="1" applyAlignment="1" applyProtection="1">
      <protection hidden="1"/>
    </xf>
    <xf numFmtId="0" fontId="15" fillId="5" borderId="0" xfId="0" applyFont="1" applyFill="1" applyBorder="1" applyProtection="1">
      <protection hidden="1"/>
    </xf>
    <xf numFmtId="0" fontId="11" fillId="5" borderId="2" xfId="0" applyFont="1" applyFill="1" applyBorder="1" applyAlignment="1" applyProtection="1">
      <alignment horizontal="center"/>
      <protection hidden="1"/>
    </xf>
    <xf numFmtId="0" fontId="9" fillId="6" borderId="3" xfId="0" applyFont="1" applyFill="1" applyBorder="1" applyProtection="1">
      <protection hidden="1"/>
    </xf>
    <xf numFmtId="0" fontId="0" fillId="6" borderId="3" xfId="0" applyFill="1" applyBorder="1" applyAlignment="1" applyProtection="1">
      <alignment horizontal="center"/>
      <protection hidden="1"/>
    </xf>
    <xf numFmtId="0" fontId="9" fillId="6" borderId="2" xfId="0" applyFont="1" applyFill="1" applyBorder="1" applyAlignment="1" applyProtection="1">
      <alignment wrapText="1"/>
      <protection hidden="1"/>
    </xf>
    <xf numFmtId="164" fontId="0" fillId="6" borderId="2" xfId="0" applyNumberFormat="1" applyFill="1" applyBorder="1" applyProtection="1">
      <protection hidden="1"/>
    </xf>
    <xf numFmtId="164" fontId="0" fillId="6" borderId="3" xfId="0" applyNumberFormat="1" applyFill="1" applyBorder="1" applyProtection="1">
      <protection hidden="1"/>
    </xf>
    <xf numFmtId="0" fontId="16" fillId="6" borderId="0" xfId="0" applyFont="1" applyFill="1" applyBorder="1" applyProtection="1">
      <protection hidden="1"/>
    </xf>
    <xf numFmtId="10" fontId="0" fillId="6" borderId="2" xfId="2" applyNumberFormat="1" applyFont="1" applyFill="1" applyBorder="1" applyProtection="1">
      <protection hidden="1"/>
    </xf>
    <xf numFmtId="164" fontId="30" fillId="6" borderId="3" xfId="1" applyFont="1" applyFill="1" applyBorder="1" applyProtection="1">
      <protection hidden="1"/>
    </xf>
    <xf numFmtId="10" fontId="11" fillId="5" borderId="0" xfId="2" applyNumberFormat="1" applyFont="1" applyFill="1" applyProtection="1">
      <protection hidden="1"/>
    </xf>
    <xf numFmtId="10" fontId="30" fillId="6" borderId="2" xfId="0" applyNumberFormat="1" applyFont="1" applyFill="1" applyBorder="1" applyProtection="1">
      <protection hidden="1"/>
    </xf>
    <xf numFmtId="164" fontId="0" fillId="6" borderId="3" xfId="1" applyFont="1" applyFill="1" applyBorder="1" applyProtection="1">
      <protection hidden="1"/>
    </xf>
    <xf numFmtId="0" fontId="15" fillId="4" borderId="0" xfId="0" applyFont="1" applyFill="1" applyBorder="1" applyProtection="1">
      <protection hidden="1"/>
    </xf>
    <xf numFmtId="10" fontId="11" fillId="4" borderId="0" xfId="0" applyNumberFormat="1" applyFont="1" applyFill="1" applyProtection="1">
      <protection hidden="1"/>
    </xf>
    <xf numFmtId="0" fontId="11" fillId="6" borderId="0" xfId="0" quotePrefix="1" applyFont="1" applyFill="1" applyBorder="1" applyAlignment="1" applyProtection="1">
      <protection hidden="1"/>
    </xf>
    <xf numFmtId="0" fontId="28" fillId="6" borderId="0" xfId="30" applyFill="1" applyProtection="1">
      <protection hidden="1"/>
    </xf>
    <xf numFmtId="0" fontId="15" fillId="4" borderId="0" xfId="0" applyFont="1" applyFill="1" applyBorder="1" applyAlignment="1" applyProtection="1">
      <alignment wrapText="1"/>
      <protection hidden="1"/>
    </xf>
    <xf numFmtId="0" fontId="15" fillId="4" borderId="0" xfId="0" applyFont="1" applyFill="1" applyBorder="1" applyAlignment="1" applyProtection="1">
      <alignment horizontal="center" wrapText="1"/>
      <protection hidden="1"/>
    </xf>
    <xf numFmtId="164" fontId="15" fillId="4" borderId="0" xfId="0" applyNumberFormat="1" applyFont="1" applyFill="1" applyBorder="1" applyAlignment="1" applyProtection="1">
      <alignment horizontal="center" wrapText="1"/>
      <protection hidden="1"/>
    </xf>
    <xf numFmtId="164" fontId="15" fillId="4" borderId="0" xfId="0" applyNumberFormat="1" applyFont="1" applyFill="1" applyBorder="1" applyAlignment="1" applyProtection="1">
      <alignment horizontal="left" wrapText="1"/>
      <protection hidden="1"/>
    </xf>
    <xf numFmtId="10" fontId="9" fillId="6" borderId="2" xfId="2" applyNumberFormat="1" applyFont="1" applyFill="1" applyBorder="1" applyAlignment="1" applyProtection="1">
      <alignment horizontal="center" wrapText="1"/>
      <protection hidden="1"/>
    </xf>
    <xf numFmtId="10" fontId="9" fillId="6" borderId="2" xfId="2" applyNumberFormat="1" applyFont="1" applyFill="1" applyBorder="1" applyAlignment="1" applyProtection="1">
      <alignment horizontal="center"/>
      <protection hidden="1"/>
    </xf>
    <xf numFmtId="10" fontId="9" fillId="6" borderId="3" xfId="2" applyNumberFormat="1" applyFont="1" applyFill="1" applyBorder="1" applyAlignment="1" applyProtection="1">
      <alignment horizontal="left" wrapText="1"/>
      <protection hidden="1"/>
    </xf>
    <xf numFmtId="10" fontId="9" fillId="7" borderId="2" xfId="2" applyNumberFormat="1" applyFont="1" applyFill="1" applyBorder="1" applyAlignment="1" applyProtection="1">
      <alignment horizontal="center"/>
      <protection hidden="1"/>
    </xf>
    <xf numFmtId="10" fontId="7" fillId="6" borderId="3" xfId="2" applyNumberFormat="1" applyFont="1" applyFill="1" applyBorder="1" applyAlignment="1" applyProtection="1">
      <alignment horizontal="left" wrapText="1"/>
      <protection hidden="1"/>
    </xf>
    <xf numFmtId="10" fontId="9" fillId="7" borderId="3" xfId="2" applyNumberFormat="1" applyFont="1" applyFill="1" applyBorder="1" applyAlignment="1" applyProtection="1">
      <alignment horizontal="center"/>
      <protection hidden="1"/>
    </xf>
    <xf numFmtId="10" fontId="9" fillId="6" borderId="3" xfId="2" applyNumberFormat="1" applyFont="1" applyFill="1" applyBorder="1" applyAlignment="1" applyProtection="1">
      <alignment horizontal="center"/>
      <protection hidden="1"/>
    </xf>
    <xf numFmtId="10" fontId="3" fillId="6" borderId="3" xfId="2" applyNumberFormat="1" applyFont="1" applyFill="1" applyBorder="1" applyAlignment="1" applyProtection="1">
      <alignment horizontal="left" wrapText="1"/>
      <protection hidden="1"/>
    </xf>
    <xf numFmtId="0" fontId="9" fillId="6" borderId="3" xfId="0" applyFont="1" applyFill="1" applyBorder="1" applyAlignment="1" applyProtection="1">
      <alignment vertical="top"/>
      <protection hidden="1"/>
    </xf>
    <xf numFmtId="10" fontId="9" fillId="7" borderId="3" xfId="2" applyNumberFormat="1" applyFont="1" applyFill="1" applyBorder="1" applyAlignment="1" applyProtection="1">
      <alignment horizontal="center" vertical="top"/>
      <protection hidden="1"/>
    </xf>
    <xf numFmtId="10" fontId="9" fillId="6" borderId="3" xfId="2" applyNumberFormat="1" applyFont="1" applyFill="1" applyBorder="1" applyAlignment="1" applyProtection="1">
      <alignment horizontal="center" vertical="top"/>
      <protection hidden="1"/>
    </xf>
    <xf numFmtId="10" fontId="5" fillId="6" borderId="3" xfId="2" applyNumberFormat="1" applyFont="1" applyFill="1" applyBorder="1" applyAlignment="1" applyProtection="1">
      <alignment horizontal="left" wrapText="1"/>
      <protection hidden="1"/>
    </xf>
    <xf numFmtId="0" fontId="31" fillId="6" borderId="0" xfId="30" applyFont="1" applyFill="1" applyAlignment="1" applyProtection="1">
      <alignment vertical="top" wrapText="1"/>
      <protection hidden="1"/>
    </xf>
    <xf numFmtId="10" fontId="15" fillId="5" borderId="0" xfId="2" applyNumberFormat="1" applyFont="1" applyFill="1" applyBorder="1" applyAlignment="1" applyProtection="1">
      <alignment horizontal="center"/>
      <protection hidden="1"/>
    </xf>
    <xf numFmtId="0" fontId="15" fillId="5" borderId="0" xfId="0" applyFont="1" applyFill="1" applyBorder="1" applyAlignment="1" applyProtection="1">
      <alignment horizontal="center"/>
      <protection hidden="1"/>
    </xf>
    <xf numFmtId="0" fontId="9" fillId="6" borderId="0" xfId="30" applyFont="1" applyFill="1" applyProtection="1">
      <protection hidden="1"/>
    </xf>
    <xf numFmtId="10" fontId="28" fillId="6" borderId="0" xfId="2" applyNumberFormat="1" applyFont="1" applyFill="1" applyProtection="1">
      <protection hidden="1"/>
    </xf>
    <xf numFmtId="2" fontId="28" fillId="6" borderId="0" xfId="30" applyNumberFormat="1" applyFill="1" applyProtection="1">
      <protection hidden="1"/>
    </xf>
    <xf numFmtId="165" fontId="28" fillId="6" borderId="0" xfId="33" applyFont="1" applyFill="1" applyProtection="1">
      <protection hidden="1"/>
    </xf>
    <xf numFmtId="10" fontId="28" fillId="6" borderId="0" xfId="30" applyNumberFormat="1" applyFill="1" applyProtection="1">
      <protection hidden="1"/>
    </xf>
    <xf numFmtId="44" fontId="21" fillId="8" borderId="1" xfId="6" applyFont="1" applyFill="1" applyBorder="1" applyAlignment="1" applyProtection="1">
      <alignment horizontal="left" vertical="top"/>
    </xf>
  </cellXfs>
  <cellStyles count="39">
    <cellStyle name="Hyperlink" xfId="4" builtinId="8"/>
    <cellStyle name="Komma" xfId="33" builtinId="3"/>
    <cellStyle name="Komma 2" xfId="32"/>
    <cellStyle name="Procent" xfId="2" builtinId="5"/>
    <cellStyle name="Procent 2" xfId="7"/>
    <cellStyle name="Procent 2 2" xfId="11"/>
    <cellStyle name="Procent 2 2 2" xfId="12"/>
    <cellStyle name="Procent 2 3" xfId="13"/>
    <cellStyle name="Procent 2 3 2" xfId="14"/>
    <cellStyle name="Procent 2 4" xfId="15"/>
    <cellStyle name="Procent 2 5" xfId="34"/>
    <cellStyle name="Procent 3" xfId="16"/>
    <cellStyle name="Procent 4" xfId="17"/>
    <cellStyle name="Procent 4 2" xfId="36"/>
    <cellStyle name="Stand. 2" xfId="8"/>
    <cellStyle name="Stand. 2 2" xfId="35"/>
    <cellStyle name="Stand. 3" xfId="30"/>
    <cellStyle name="Standaard" xfId="0" builtinId="0"/>
    <cellStyle name="Standaard 2" xfId="3"/>
    <cellStyle name="Standaard 2 2" xfId="18"/>
    <cellStyle name="Standaard 2 2 2" xfId="19"/>
    <cellStyle name="Standaard 2 3" xfId="20"/>
    <cellStyle name="Standaard 2 3 2" xfId="21"/>
    <cellStyle name="Standaard 2 4" xfId="22"/>
    <cellStyle name="Standaard 2 4 2" xfId="23"/>
    <cellStyle name="Standaard 2 5" xfId="24"/>
    <cellStyle name="Standaard 3" xfId="25"/>
    <cellStyle name="Standaard 3 2" xfId="37"/>
    <cellStyle name="Standaard 4" xfId="5"/>
    <cellStyle name="Standaard 5" xfId="9"/>
    <cellStyle name="Valuta" xfId="1" builtinId="4"/>
    <cellStyle name="Valuta 2" xfId="6"/>
    <cellStyle name="Valuta 2 2" xfId="26"/>
    <cellStyle name="Valuta 2 2 2" xfId="27"/>
    <cellStyle name="Valuta 3" xfId="28"/>
    <cellStyle name="Valuta 3 2" xfId="38"/>
    <cellStyle name="Valuta 4" xfId="29"/>
    <cellStyle name="Valuta 5" xfId="10"/>
    <cellStyle name="Valuta 6" xfId="3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142876</xdr:colOff>
      <xdr:row>0</xdr:row>
      <xdr:rowOff>79375</xdr:rowOff>
    </xdr:from>
    <xdr:to>
      <xdr:col>2</xdr:col>
      <xdr:colOff>2114798</xdr:colOff>
      <xdr:row>1</xdr:row>
      <xdr:rowOff>751416</xdr:rowOff>
    </xdr:to>
    <xdr:pic>
      <xdr:nvPicPr>
        <xdr:cNvPr id="4" name="Afbeelding 3">
          <a:extLst>
            <a:ext uri="{FF2B5EF4-FFF2-40B4-BE49-F238E27FC236}">
              <a16:creationId xmlns="" xmlns:a16="http://schemas.microsoft.com/office/drawing/2014/main" id="{579D3C13-E1B5-4973-9472-5464531AA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79375"/>
          <a:ext cx="1971922" cy="1270000"/>
        </a:xfrm>
        <a:prstGeom prst="rect">
          <a:avLst/>
        </a:prstGeom>
      </xdr:spPr>
    </xdr:pic>
    <xdr:clientData/>
  </xdr:twoCellAnchor>
  <xdr:twoCellAnchor editAs="oneCell">
    <xdr:from>
      <xdr:col>12</xdr:col>
      <xdr:colOff>89958</xdr:colOff>
      <xdr:row>0</xdr:row>
      <xdr:rowOff>169339</xdr:rowOff>
    </xdr:from>
    <xdr:to>
      <xdr:col>13</xdr:col>
      <xdr:colOff>608986</xdr:colOff>
      <xdr:row>0</xdr:row>
      <xdr:rowOff>518582</xdr:rowOff>
    </xdr:to>
    <xdr:pic>
      <xdr:nvPicPr>
        <xdr:cNvPr id="6" name="Afbeelding 5">
          <a:extLst>
            <a:ext uri="{FF2B5EF4-FFF2-40B4-BE49-F238E27FC236}">
              <a16:creationId xmlns="" xmlns:a16="http://schemas.microsoft.com/office/drawing/2014/main" id="{07195809-14B7-4AA5-B6BC-735399E20A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0292" y="169339"/>
          <a:ext cx="1323361" cy="349243"/>
        </a:xfrm>
        <a:prstGeom prst="rect">
          <a:avLst/>
        </a:prstGeom>
      </xdr:spPr>
    </xdr:pic>
    <xdr:clientData/>
  </xdr:twoCellAnchor>
  <xdr:twoCellAnchor editAs="oneCell">
    <xdr:from>
      <xdr:col>12</xdr:col>
      <xdr:colOff>164040</xdr:colOff>
      <xdr:row>1</xdr:row>
      <xdr:rowOff>105825</xdr:rowOff>
    </xdr:from>
    <xdr:to>
      <xdr:col>13</xdr:col>
      <xdr:colOff>255644</xdr:colOff>
      <xdr:row>1</xdr:row>
      <xdr:rowOff>634998</xdr:rowOff>
    </xdr:to>
    <xdr:pic>
      <xdr:nvPicPr>
        <xdr:cNvPr id="7" name="Afbeelding 6">
          <a:extLst>
            <a:ext uri="{FF2B5EF4-FFF2-40B4-BE49-F238E27FC236}">
              <a16:creationId xmlns="" xmlns:a16="http://schemas.microsoft.com/office/drawing/2014/main" id="{0F2CCB00-A07C-4A73-8351-4B3E80C70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04374" y="703784"/>
          <a:ext cx="895937" cy="529173"/>
        </a:xfrm>
        <a:prstGeom prst="rect">
          <a:avLst/>
        </a:prstGeom>
      </xdr:spPr>
    </xdr:pic>
    <xdr:clientData/>
  </xdr:twoCellAnchor>
  <xdr:twoCellAnchor editAs="oneCell">
    <xdr:from>
      <xdr:col>13</xdr:col>
      <xdr:colOff>1066991</xdr:colOff>
      <xdr:row>1</xdr:row>
      <xdr:rowOff>322795</xdr:rowOff>
    </xdr:from>
    <xdr:to>
      <xdr:col>17</xdr:col>
      <xdr:colOff>965046</xdr:colOff>
      <xdr:row>1</xdr:row>
      <xdr:rowOff>703792</xdr:rowOff>
    </xdr:to>
    <xdr:pic>
      <xdr:nvPicPr>
        <xdr:cNvPr id="9" name="Afbeelding 8">
          <a:extLst>
            <a:ext uri="{FF2B5EF4-FFF2-40B4-BE49-F238E27FC236}">
              <a16:creationId xmlns="" xmlns:a16="http://schemas.microsoft.com/office/drawing/2014/main" id="{3D992407-6FB3-4C1E-B696-A9486BF121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1657" y="920754"/>
          <a:ext cx="1126100" cy="380997"/>
        </a:xfrm>
        <a:prstGeom prst="rect">
          <a:avLst/>
        </a:prstGeom>
      </xdr:spPr>
    </xdr:pic>
    <xdr:clientData/>
  </xdr:twoCellAnchor>
  <xdr:twoCellAnchor editAs="oneCell">
    <xdr:from>
      <xdr:col>13</xdr:col>
      <xdr:colOff>476251</xdr:colOff>
      <xdr:row>0</xdr:row>
      <xdr:rowOff>0</xdr:rowOff>
    </xdr:from>
    <xdr:to>
      <xdr:col>17</xdr:col>
      <xdr:colOff>444122</xdr:colOff>
      <xdr:row>1</xdr:row>
      <xdr:rowOff>57361</xdr:rowOff>
    </xdr:to>
    <xdr:pic>
      <xdr:nvPicPr>
        <xdr:cNvPr id="11" name="Afbeelding 10">
          <a:extLst>
            <a:ext uri="{FF2B5EF4-FFF2-40B4-BE49-F238E27FC236}">
              <a16:creationId xmlns="" xmlns:a16="http://schemas.microsoft.com/office/drawing/2014/main" id="{64A714AB-44EA-4A6C-BB26-CA5FB4983A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20917" y="0"/>
          <a:ext cx="910166" cy="655320"/>
        </a:xfrm>
        <a:prstGeom prst="rect">
          <a:avLst/>
        </a:prstGeom>
      </xdr:spPr>
    </xdr:pic>
    <xdr:clientData/>
  </xdr:twoCellAnchor>
  <xdr:twoCellAnchor editAs="oneCell">
    <xdr:from>
      <xdr:col>13</xdr:col>
      <xdr:colOff>423113</xdr:colOff>
      <xdr:row>1</xdr:row>
      <xdr:rowOff>63499</xdr:rowOff>
    </xdr:from>
    <xdr:to>
      <xdr:col>17</xdr:col>
      <xdr:colOff>116149</xdr:colOff>
      <xdr:row>1</xdr:row>
      <xdr:rowOff>661457</xdr:rowOff>
    </xdr:to>
    <xdr:pic>
      <xdr:nvPicPr>
        <xdr:cNvPr id="13" name="Afbeelding 12">
          <a:extLst>
            <a:ext uri="{FF2B5EF4-FFF2-40B4-BE49-F238E27FC236}">
              <a16:creationId xmlns="" xmlns:a16="http://schemas.microsoft.com/office/drawing/2014/main" id="{EDC15DC9-B747-4C23-B665-5FFDEAD7E51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67779" y="661458"/>
          <a:ext cx="635331" cy="597958"/>
        </a:xfrm>
        <a:prstGeom prst="rect">
          <a:avLst/>
        </a:prstGeom>
      </xdr:spPr>
    </xdr:pic>
    <xdr:clientData/>
  </xdr:twoCellAnchor>
  <xdr:twoCellAnchor editAs="oneCell">
    <xdr:from>
      <xdr:col>13</xdr:col>
      <xdr:colOff>1434042</xdr:colOff>
      <xdr:row>0</xdr:row>
      <xdr:rowOff>235327</xdr:rowOff>
    </xdr:from>
    <xdr:to>
      <xdr:col>17</xdr:col>
      <xdr:colOff>306366</xdr:colOff>
      <xdr:row>1</xdr:row>
      <xdr:rowOff>204528</xdr:rowOff>
    </xdr:to>
    <xdr:pic>
      <xdr:nvPicPr>
        <xdr:cNvPr id="15" name="Afbeelding 14">
          <a:extLst>
            <a:ext uri="{FF2B5EF4-FFF2-40B4-BE49-F238E27FC236}">
              <a16:creationId xmlns="" xmlns:a16="http://schemas.microsoft.com/office/drawing/2014/main" id="{2AAEF737-88B0-43C3-B03F-C85DE6033F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678708" y="235327"/>
          <a:ext cx="471844" cy="56716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5"/>
  <sheetViews>
    <sheetView zoomScale="90" zoomScaleNormal="90" workbookViewId="0">
      <pane ySplit="3" topLeftCell="A4" activePane="bottomLeft" state="frozen"/>
      <selection pane="bottomLeft" activeCell="L9" sqref="L9"/>
    </sheetView>
  </sheetViews>
  <sheetFormatPr defaultColWidth="10.625" defaultRowHeight="15.75" x14ac:dyDescent="0.25"/>
  <cols>
    <col min="1" max="1" width="10.625" style="117"/>
    <col min="2" max="2" width="1.5" style="117" customWidth="1"/>
    <col min="3" max="3" width="49.125" style="117" customWidth="1"/>
    <col min="4" max="4" width="0.625" style="122" customWidth="1"/>
    <col min="5" max="5" width="14" style="122" customWidth="1"/>
    <col min="6" max="6" width="0.625" style="122" customWidth="1"/>
    <col min="7" max="7" width="7.125" style="117" customWidth="1"/>
    <col min="8" max="8" width="0.625" style="122" customWidth="1"/>
    <col min="9" max="9" width="8.75" style="122" customWidth="1"/>
    <col min="10" max="13" width="10.625" style="122"/>
    <col min="14" max="14" width="10.25" style="122" customWidth="1"/>
    <col min="15" max="17" width="0.625" style="117" customWidth="1"/>
    <col min="18" max="18" width="74.625" style="117" customWidth="1"/>
    <col min="19" max="19" width="0.875" style="117" customWidth="1"/>
    <col min="20" max="20" width="52.625" style="117" customWidth="1"/>
    <col min="21" max="21" width="1.25" style="123" customWidth="1"/>
    <col min="22" max="22" width="0" style="117" hidden="1" customWidth="1"/>
    <col min="23" max="23" width="38" style="117" hidden="1" customWidth="1"/>
    <col min="24" max="24" width="7.625" style="117" hidden="1" customWidth="1"/>
    <col min="25" max="16384" width="10.625" style="117"/>
  </cols>
  <sheetData>
    <row r="1" spans="2:24" ht="47.1" customHeight="1" x14ac:dyDescent="0.25">
      <c r="C1" s="118"/>
      <c r="D1" s="119"/>
      <c r="E1" s="120" t="s">
        <v>150</v>
      </c>
      <c r="F1" s="121"/>
      <c r="G1" s="121"/>
      <c r="H1" s="121"/>
      <c r="I1" s="121"/>
      <c r="J1" s="121"/>
      <c r="K1" s="121"/>
      <c r="L1" s="121"/>
      <c r="V1" s="117" t="s">
        <v>1</v>
      </c>
      <c r="W1" s="117" t="s">
        <v>2</v>
      </c>
      <c r="X1" s="117" t="s">
        <v>3</v>
      </c>
    </row>
    <row r="2" spans="2:24" ht="62.45" customHeight="1" x14ac:dyDescent="0.25">
      <c r="C2" s="124"/>
      <c r="D2" s="119"/>
      <c r="E2" s="121"/>
      <c r="F2" s="121"/>
      <c r="G2" s="121"/>
      <c r="H2" s="121"/>
      <c r="I2" s="121"/>
      <c r="J2" s="121"/>
      <c r="K2" s="121"/>
      <c r="L2" s="121"/>
      <c r="V2" s="117">
        <v>0</v>
      </c>
      <c r="W2" s="117" t="s">
        <v>4</v>
      </c>
      <c r="X2" s="117">
        <v>0</v>
      </c>
    </row>
    <row r="3" spans="2:24" s="132" customFormat="1" ht="18.75" x14ac:dyDescent="0.3">
      <c r="B3" s="125"/>
      <c r="C3" s="126" t="s">
        <v>5</v>
      </c>
      <c r="D3" s="127"/>
      <c r="E3" s="127"/>
      <c r="F3" s="127"/>
      <c r="G3" s="126"/>
      <c r="H3" s="127"/>
      <c r="I3" s="128" t="s">
        <v>6</v>
      </c>
      <c r="J3" s="128"/>
      <c r="K3" s="128"/>
      <c r="L3" s="128"/>
      <c r="M3" s="128"/>
      <c r="N3" s="128"/>
      <c r="O3" s="129"/>
      <c r="P3" s="129"/>
      <c r="Q3" s="129"/>
      <c r="R3" s="130" t="s">
        <v>7</v>
      </c>
      <c r="S3" s="130"/>
      <c r="T3" s="130"/>
      <c r="U3" s="131"/>
      <c r="V3" s="117">
        <v>1</v>
      </c>
      <c r="W3" s="117" t="s">
        <v>8</v>
      </c>
      <c r="X3" s="117">
        <v>1</v>
      </c>
    </row>
    <row r="4" spans="2:24" x14ac:dyDescent="0.25">
      <c r="B4" s="133"/>
      <c r="C4" s="134" t="s">
        <v>9</v>
      </c>
      <c r="D4" s="135"/>
      <c r="E4" s="136"/>
      <c r="F4" s="135"/>
      <c r="G4" s="134"/>
      <c r="H4" s="135"/>
      <c r="I4" s="136"/>
      <c r="J4" s="136"/>
      <c r="K4" s="136"/>
      <c r="L4" s="136"/>
      <c r="M4" s="136"/>
      <c r="N4" s="136"/>
      <c r="O4" s="137"/>
      <c r="P4" s="138"/>
      <c r="Q4" s="138"/>
      <c r="R4" s="139" t="s">
        <v>10</v>
      </c>
      <c r="S4" s="140"/>
      <c r="T4" s="140"/>
      <c r="U4" s="141"/>
      <c r="V4" s="117">
        <v>2</v>
      </c>
      <c r="W4" s="117">
        <v>0</v>
      </c>
      <c r="X4" s="117">
        <v>2</v>
      </c>
    </row>
    <row r="5" spans="2:24" ht="90" x14ac:dyDescent="0.25">
      <c r="B5" s="133"/>
      <c r="C5" s="134" t="s">
        <v>11</v>
      </c>
      <c r="D5" s="135"/>
      <c r="E5" s="136"/>
      <c r="F5" s="135"/>
      <c r="G5" s="134"/>
      <c r="H5" s="135"/>
      <c r="I5" s="136" t="s">
        <v>3</v>
      </c>
      <c r="J5" s="136" t="s">
        <v>3</v>
      </c>
      <c r="K5" s="136" t="s">
        <v>3</v>
      </c>
      <c r="L5" s="136" t="s">
        <v>3</v>
      </c>
      <c r="M5" s="136" t="s">
        <v>3</v>
      </c>
      <c r="N5" s="136" t="s">
        <v>3</v>
      </c>
      <c r="O5" s="137"/>
      <c r="P5" s="138"/>
      <c r="Q5" s="138"/>
      <c r="R5" s="142" t="s">
        <v>138</v>
      </c>
      <c r="S5" s="143"/>
      <c r="T5" s="144"/>
      <c r="U5" s="145"/>
      <c r="V5" s="117">
        <v>3</v>
      </c>
      <c r="W5" s="117">
        <v>1</v>
      </c>
      <c r="X5" s="117">
        <v>3</v>
      </c>
    </row>
    <row r="6" spans="2:24" x14ac:dyDescent="0.25">
      <c r="B6" s="133"/>
      <c r="C6" s="134" t="s">
        <v>12</v>
      </c>
      <c r="D6" s="135"/>
      <c r="E6" s="136"/>
      <c r="F6" s="135"/>
      <c r="G6" s="134"/>
      <c r="H6" s="135"/>
      <c r="I6" s="146">
        <v>0</v>
      </c>
      <c r="J6" s="146">
        <v>1</v>
      </c>
      <c r="K6" s="146">
        <v>2</v>
      </c>
      <c r="L6" s="147">
        <v>3</v>
      </c>
      <c r="M6" s="146">
        <v>4</v>
      </c>
      <c r="N6" s="146">
        <v>5</v>
      </c>
      <c r="O6" s="137"/>
      <c r="P6" s="138"/>
      <c r="Q6" s="138"/>
      <c r="R6" s="148" t="s">
        <v>134</v>
      </c>
      <c r="S6" s="149"/>
      <c r="T6" s="144"/>
      <c r="U6" s="145"/>
      <c r="V6" s="117">
        <v>4</v>
      </c>
      <c r="W6" s="117">
        <v>2</v>
      </c>
      <c r="X6" s="117">
        <v>4</v>
      </c>
    </row>
    <row r="7" spans="2:24" ht="60" x14ac:dyDescent="0.25">
      <c r="B7" s="133"/>
      <c r="C7" s="134" t="s">
        <v>13</v>
      </c>
      <c r="D7" s="150"/>
      <c r="E7" s="136"/>
      <c r="F7" s="150"/>
      <c r="G7" s="134"/>
      <c r="H7" s="150"/>
      <c r="I7" s="151">
        <v>0</v>
      </c>
      <c r="J7" s="151">
        <v>0</v>
      </c>
      <c r="K7" s="151">
        <v>0</v>
      </c>
      <c r="L7" s="152">
        <v>1</v>
      </c>
      <c r="M7" s="151">
        <v>0</v>
      </c>
      <c r="N7" s="151">
        <v>0</v>
      </c>
      <c r="O7" s="137"/>
      <c r="P7" s="137"/>
      <c r="Q7" s="137"/>
      <c r="R7" s="153" t="s">
        <v>136</v>
      </c>
      <c r="S7" s="154"/>
      <c r="T7" s="155" t="s">
        <v>151</v>
      </c>
      <c r="U7" s="156"/>
      <c r="W7" s="117">
        <v>3</v>
      </c>
      <c r="X7" s="117">
        <v>5</v>
      </c>
    </row>
    <row r="8" spans="2:24" ht="47.25" x14ac:dyDescent="0.25">
      <c r="B8" s="133"/>
      <c r="C8" s="157"/>
      <c r="D8" s="158"/>
      <c r="E8" s="159" t="s">
        <v>14</v>
      </c>
      <c r="F8" s="158"/>
      <c r="G8" s="160" t="s">
        <v>15</v>
      </c>
      <c r="H8" s="158"/>
      <c r="I8" s="161"/>
      <c r="J8" s="161"/>
      <c r="K8" s="161"/>
      <c r="L8" s="161"/>
      <c r="M8" s="161"/>
      <c r="N8" s="161"/>
      <c r="O8" s="162"/>
      <c r="P8" s="162"/>
      <c r="Q8" s="162"/>
      <c r="R8" s="130"/>
      <c r="S8" s="130"/>
      <c r="T8" s="163"/>
      <c r="U8" s="141"/>
      <c r="W8" s="117">
        <v>4</v>
      </c>
    </row>
    <row r="9" spans="2:24" x14ac:dyDescent="0.25">
      <c r="B9" s="133"/>
      <c r="C9" s="164" t="s">
        <v>16</v>
      </c>
      <c r="D9" s="158"/>
      <c r="E9" s="158"/>
      <c r="F9" s="158"/>
      <c r="G9" s="162"/>
      <c r="H9" s="158"/>
      <c r="I9" s="158"/>
      <c r="J9" s="158"/>
      <c r="K9" s="158"/>
      <c r="L9" s="158"/>
      <c r="M9" s="158"/>
      <c r="N9" s="158"/>
      <c r="O9" s="165"/>
      <c r="P9" s="165"/>
      <c r="Q9" s="165"/>
      <c r="R9" s="165"/>
      <c r="S9" s="165"/>
      <c r="T9" s="166"/>
      <c r="U9" s="141"/>
      <c r="W9" s="117">
        <v>5</v>
      </c>
    </row>
    <row r="10" spans="2:24" ht="32.25" customHeight="1" x14ac:dyDescent="0.25">
      <c r="B10" s="133"/>
      <c r="C10" s="167" t="s">
        <v>17</v>
      </c>
      <c r="D10" s="168"/>
      <c r="E10" s="169"/>
      <c r="F10" s="168"/>
      <c r="G10" s="167"/>
      <c r="H10" s="168"/>
      <c r="I10" s="170">
        <f>VLOOKUP(I$55,'VVT CAO UURLONEN 2018_2019'!$A:$E,5,FALSE)</f>
        <v>10.76</v>
      </c>
      <c r="J10" s="170">
        <f>VLOOKUP(J$55,'VVT CAO UURLONEN 2018_2019'!$A:$E,5,FALSE)</f>
        <v>11.3</v>
      </c>
      <c r="K10" s="170">
        <f>VLOOKUP(K$55,'VVT CAO UURLONEN 2018_2019'!$A:$E,5,FALSE)</f>
        <v>11.84</v>
      </c>
      <c r="L10" s="170">
        <f>VLOOKUP(L$55,'VVT CAO UURLONEN 2018_2019'!$A:$E,5,FALSE)</f>
        <v>12.38</v>
      </c>
      <c r="M10" s="170">
        <f>VLOOKUP(M$55,'VVT CAO UURLONEN 2018_2019'!$A:$E,5,FALSE)</f>
        <v>12.92</v>
      </c>
      <c r="N10" s="170">
        <f>VLOOKUP(N$55,'VVT CAO UURLONEN 2018_2019'!$A:$E,5,FALSE)</f>
        <v>13.45</v>
      </c>
      <c r="O10" s="138"/>
      <c r="P10" s="138"/>
      <c r="Q10" s="138"/>
      <c r="R10" s="171" t="s">
        <v>137</v>
      </c>
      <c r="S10" s="172"/>
      <c r="T10" s="173"/>
      <c r="U10" s="174"/>
      <c r="W10" s="117">
        <v>6</v>
      </c>
    </row>
    <row r="11" spans="2:24" ht="105" customHeight="1" x14ac:dyDescent="0.25">
      <c r="B11" s="133"/>
      <c r="C11" s="134" t="s">
        <v>18</v>
      </c>
      <c r="D11" s="175"/>
      <c r="E11" s="136" t="s">
        <v>19</v>
      </c>
      <c r="F11" s="175"/>
      <c r="G11" s="176">
        <v>0.08</v>
      </c>
      <c r="H11" s="175"/>
      <c r="I11" s="177">
        <f>IF(I$10=0,0,IF((I$10*$G11)&gt;('VVT CAO UURLONEN 2018_2019'!$F$15/1878),(I$10*$G11),('VVT CAO UURLONEN 2018_2019'!$F$15/1878)))</f>
        <v>1.0302342917997871</v>
      </c>
      <c r="J11" s="177">
        <f>IF(J$10=0,0,IF((J$10*$G11)&gt;('VVT CAO UURLONEN 2018_2019'!$F$15/1878),(J$10*$G11),('VVT CAO UURLONEN 2018_2019'!$F$15/1878)))</f>
        <v>1.0302342917997871</v>
      </c>
      <c r="K11" s="177">
        <f>IF(K$10=0,0,IF((K$10*$G11)&gt;('VVT CAO UURLONEN 2018_2019'!$F$15/1878),(K$10*$G11),('VVT CAO UURLONEN 2018_2019'!$F$15/1878)))</f>
        <v>1.0302342917997871</v>
      </c>
      <c r="L11" s="177">
        <f>IF(L$10=0,0,IF((L$10*$G11)&gt;('VVT CAO UURLONEN 2018_2019'!$F$15/1878),(L$10*$G11),('VVT CAO UURLONEN 2018_2019'!$F$15/1878)))</f>
        <v>1.0302342917997871</v>
      </c>
      <c r="M11" s="177">
        <f>IF(M$10=0,0,IF((M$10*$G11)&gt;('VVT CAO UURLONEN 2018_2019'!$F$15/1878),(M$10*$G11),('VVT CAO UURLONEN 2018_2019'!$F$15/1878)))</f>
        <v>1.0336000000000001</v>
      </c>
      <c r="N11" s="177">
        <f>IF(N$10=0,0,IF((N$10*$G11)&gt;('VVT CAO UURLONEN 2018_2019'!$F$15/1878),(N$10*$G11),('VVT CAO UURLONEN 2018_2019'!$F$15/1878)))</f>
        <v>1.0760000000000001</v>
      </c>
      <c r="O11" s="137"/>
      <c r="P11" s="137"/>
      <c r="Q11" s="137"/>
      <c r="R11" s="178" t="s">
        <v>143</v>
      </c>
      <c r="S11" s="179"/>
      <c r="T11" s="180"/>
      <c r="U11" s="145"/>
      <c r="W11" s="117">
        <v>7</v>
      </c>
    </row>
    <row r="12" spans="2:24" ht="106.5" customHeight="1" x14ac:dyDescent="0.25">
      <c r="B12" s="133"/>
      <c r="C12" s="134" t="s">
        <v>20</v>
      </c>
      <c r="D12" s="175"/>
      <c r="E12" s="136" t="s">
        <v>19</v>
      </c>
      <c r="F12" s="175"/>
      <c r="G12" s="181">
        <v>8.3299999999999999E-2</v>
      </c>
      <c r="H12" s="175"/>
      <c r="I12" s="177">
        <f t="shared" ref="I12:N12" si="0">IF(I$10=0,0,IF((I$10*$G12)&gt;$G12*13.17,(I$10*$G12),$G12*13.17))</f>
        <v>1.0970610000000001</v>
      </c>
      <c r="J12" s="177">
        <f t="shared" si="0"/>
        <v>1.0970610000000001</v>
      </c>
      <c r="K12" s="177">
        <f t="shared" si="0"/>
        <v>1.0970610000000001</v>
      </c>
      <c r="L12" s="177">
        <f t="shared" si="0"/>
        <v>1.0970610000000001</v>
      </c>
      <c r="M12" s="177">
        <f t="shared" si="0"/>
        <v>1.0970610000000001</v>
      </c>
      <c r="N12" s="177">
        <f t="shared" si="0"/>
        <v>1.120385</v>
      </c>
      <c r="O12" s="137"/>
      <c r="P12" s="137"/>
      <c r="Q12" s="137"/>
      <c r="R12" s="182" t="s">
        <v>148</v>
      </c>
      <c r="S12" s="183"/>
      <c r="T12" s="184"/>
      <c r="U12" s="145"/>
      <c r="W12" s="117">
        <v>8</v>
      </c>
    </row>
    <row r="13" spans="2:24" x14ac:dyDescent="0.25">
      <c r="B13" s="133"/>
      <c r="C13" s="185" t="s">
        <v>21</v>
      </c>
      <c r="D13" s="186"/>
      <c r="E13" s="187"/>
      <c r="F13" s="186"/>
      <c r="G13" s="188">
        <v>7.3999999999999996E-2</v>
      </c>
      <c r="H13" s="186"/>
      <c r="I13" s="189">
        <f>SUM(I$10:I$12)</f>
        <v>12.887295291799788</v>
      </c>
      <c r="J13" s="189">
        <f t="shared" ref="J13:N13" si="1">SUM(J$10:J$12)</f>
        <v>13.427295291799787</v>
      </c>
      <c r="K13" s="189">
        <f t="shared" si="1"/>
        <v>13.967295291799786</v>
      </c>
      <c r="L13" s="189">
        <f t="shared" si="1"/>
        <v>14.507295291799789</v>
      </c>
      <c r="M13" s="189">
        <f t="shared" si="1"/>
        <v>15.050661</v>
      </c>
      <c r="N13" s="189">
        <f t="shared" si="1"/>
        <v>15.646385</v>
      </c>
      <c r="O13" s="190"/>
      <c r="P13" s="190"/>
      <c r="Q13" s="190"/>
      <c r="R13" s="191"/>
      <c r="S13" s="192"/>
      <c r="T13" s="193"/>
      <c r="U13" s="174"/>
    </row>
    <row r="14" spans="2:24" ht="8.25" customHeight="1" x14ac:dyDescent="0.25">
      <c r="B14" s="133"/>
      <c r="C14" s="194"/>
      <c r="D14" s="158"/>
      <c r="E14" s="195"/>
      <c r="F14" s="158"/>
      <c r="G14" s="196"/>
      <c r="H14" s="158"/>
      <c r="I14" s="195"/>
      <c r="J14" s="195"/>
      <c r="K14" s="195"/>
      <c r="L14" s="195"/>
      <c r="M14" s="195"/>
      <c r="N14" s="195"/>
      <c r="O14" s="165"/>
      <c r="P14" s="165"/>
      <c r="Q14" s="165"/>
      <c r="R14" s="197"/>
      <c r="S14" s="197"/>
      <c r="T14" s="198"/>
      <c r="U14" s="141"/>
    </row>
    <row r="15" spans="2:24" x14ac:dyDescent="0.25">
      <c r="B15" s="133"/>
      <c r="C15" s="167" t="s">
        <v>22</v>
      </c>
      <c r="D15" s="168"/>
      <c r="E15" s="169" t="s">
        <v>19</v>
      </c>
      <c r="F15" s="168"/>
      <c r="G15" s="199"/>
      <c r="H15" s="168"/>
      <c r="I15" s="170">
        <f>I$13*'Pensioenpremie per loonschaal'!C$18</f>
        <v>0.73680512010915866</v>
      </c>
      <c r="J15" s="170">
        <f>J$13*'Pensioenpremie per loonschaal'!D$18</f>
        <v>0.80025512010915867</v>
      </c>
      <c r="K15" s="170">
        <f>K$13*'Pensioenpremie per loonschaal'!E$18</f>
        <v>0.86370512010915856</v>
      </c>
      <c r="L15" s="170">
        <f>L$13*'Pensioenpremie per loonschaal'!F$18</f>
        <v>0.9271551201091589</v>
      </c>
      <c r="M15" s="170">
        <f>M$13*'Pensioenpremie per loonschaal'!G$18</f>
        <v>0.99100059082268377</v>
      </c>
      <c r="N15" s="170">
        <f>N$13*'Pensioenpremie per loonschaal'!H$18</f>
        <v>1.0609981608226837</v>
      </c>
      <c r="O15" s="138"/>
      <c r="P15" s="138"/>
      <c r="Q15" s="138"/>
      <c r="R15" s="200" t="s">
        <v>23</v>
      </c>
      <c r="S15" s="192"/>
      <c r="T15" s="198"/>
      <c r="U15" s="141"/>
    </row>
    <row r="16" spans="2:24" x14ac:dyDescent="0.25">
      <c r="B16" s="133"/>
      <c r="C16" s="134" t="s">
        <v>24</v>
      </c>
      <c r="D16" s="175"/>
      <c r="E16" s="136" t="s">
        <v>19</v>
      </c>
      <c r="F16" s="175"/>
      <c r="G16" s="201"/>
      <c r="H16" s="175"/>
      <c r="I16" s="177">
        <f>I$13*'Pensioenpremie per loonschaal'!C$26</f>
        <v>5.2114066421725244E-3</v>
      </c>
      <c r="J16" s="177">
        <f>J$13*'Pensioenpremie per loonschaal'!D$26</f>
        <v>6.8314066421725234E-3</v>
      </c>
      <c r="K16" s="177">
        <f>K$13*'Pensioenpremie per loonschaal'!E$26</f>
        <v>8.4514066421725199E-3</v>
      </c>
      <c r="L16" s="177">
        <f>L$13*'Pensioenpremie per loonschaal'!F$26</f>
        <v>1.007140664217253E-2</v>
      </c>
      <c r="M16" s="177">
        <f>M$13*'Pensioenpremie per loonschaal'!G$26</f>
        <v>1.1701503766773164E-2</v>
      </c>
      <c r="N16" s="177">
        <f>N$13*'Pensioenpremie per loonschaal'!H$26</f>
        <v>1.3488675766773164E-2</v>
      </c>
      <c r="O16" s="137"/>
      <c r="P16" s="138"/>
      <c r="Q16" s="138"/>
      <c r="R16" s="200" t="s">
        <v>23</v>
      </c>
      <c r="S16" s="192"/>
      <c r="T16" s="198"/>
      <c r="U16" s="141"/>
    </row>
    <row r="17" spans="2:21" x14ac:dyDescent="0.25">
      <c r="B17" s="133"/>
      <c r="C17" s="185" t="s">
        <v>25</v>
      </c>
      <c r="D17" s="186"/>
      <c r="E17" s="187"/>
      <c r="F17" s="186"/>
      <c r="G17" s="202"/>
      <c r="H17" s="186"/>
      <c r="I17" s="189">
        <f>SUM(I15:I16)</f>
        <v>0.74201652675133123</v>
      </c>
      <c r="J17" s="189">
        <f t="shared" ref="J17:N17" si="2">SUM(J15:J16)</f>
        <v>0.80708652675133119</v>
      </c>
      <c r="K17" s="189">
        <f t="shared" ref="K17:L17" si="3">SUM(K15:K16)</f>
        <v>0.87215652675133104</v>
      </c>
      <c r="L17" s="189">
        <f t="shared" si="3"/>
        <v>0.93722652675133145</v>
      </c>
      <c r="M17" s="189">
        <f t="shared" si="2"/>
        <v>1.0027020945894569</v>
      </c>
      <c r="N17" s="189">
        <f t="shared" si="2"/>
        <v>1.0744868365894569</v>
      </c>
      <c r="O17" s="190"/>
      <c r="P17" s="190"/>
      <c r="Q17" s="190"/>
      <c r="R17" s="191"/>
      <c r="S17" s="192"/>
      <c r="T17" s="198"/>
      <c r="U17" s="141"/>
    </row>
    <row r="18" spans="2:21" ht="8.25" customHeight="1" x14ac:dyDescent="0.25">
      <c r="B18" s="133"/>
      <c r="C18" s="194"/>
      <c r="D18" s="158"/>
      <c r="E18" s="195"/>
      <c r="F18" s="158"/>
      <c r="G18" s="196"/>
      <c r="H18" s="158"/>
      <c r="I18" s="195"/>
      <c r="J18" s="195"/>
      <c r="K18" s="195"/>
      <c r="L18" s="195"/>
      <c r="M18" s="195"/>
      <c r="N18" s="195"/>
      <c r="O18" s="165"/>
      <c r="P18" s="165"/>
      <c r="Q18" s="165"/>
      <c r="R18" s="197"/>
      <c r="S18" s="197"/>
      <c r="T18" s="198"/>
      <c r="U18" s="141"/>
    </row>
    <row r="19" spans="2:21" x14ac:dyDescent="0.25">
      <c r="B19" s="133"/>
      <c r="C19" s="167" t="s">
        <v>26</v>
      </c>
      <c r="D19" s="168"/>
      <c r="E19" s="169" t="s">
        <v>19</v>
      </c>
      <c r="F19" s="168"/>
      <c r="G19" s="203">
        <v>6.9599999999999995E-2</v>
      </c>
      <c r="H19" s="168"/>
      <c r="I19" s="170">
        <f>I$13*$G19</f>
        <v>0.89695575230926516</v>
      </c>
      <c r="J19" s="170">
        <f t="shared" ref="J19:N22" si="4">J$13*$G19</f>
        <v>0.93453975230926511</v>
      </c>
      <c r="K19" s="170">
        <f t="shared" si="4"/>
        <v>0.97212375230926507</v>
      </c>
      <c r="L19" s="170">
        <f t="shared" si="4"/>
        <v>1.0097077523092652</v>
      </c>
      <c r="M19" s="170">
        <f t="shared" si="4"/>
        <v>1.0475260056</v>
      </c>
      <c r="N19" s="170">
        <f t="shared" si="4"/>
        <v>1.088988396</v>
      </c>
      <c r="O19" s="138"/>
      <c r="P19" s="138"/>
      <c r="Q19" s="138"/>
      <c r="R19" s="204" t="s">
        <v>144</v>
      </c>
      <c r="S19" s="205"/>
      <c r="T19" s="206"/>
      <c r="U19" s="141"/>
    </row>
    <row r="20" spans="2:21" x14ac:dyDescent="0.25">
      <c r="B20" s="133"/>
      <c r="C20" s="134" t="s">
        <v>27</v>
      </c>
      <c r="D20" s="175"/>
      <c r="E20" s="136" t="s">
        <v>19</v>
      </c>
      <c r="F20" s="175"/>
      <c r="G20" s="207">
        <v>3.5999999999999997E-2</v>
      </c>
      <c r="H20" s="175"/>
      <c r="I20" s="177">
        <f>I$13*$G20</f>
        <v>0.46394263050479234</v>
      </c>
      <c r="J20" s="177">
        <f t="shared" si="4"/>
        <v>0.4833826305047923</v>
      </c>
      <c r="K20" s="177">
        <f t="shared" si="4"/>
        <v>0.50282263050479226</v>
      </c>
      <c r="L20" s="177">
        <f t="shared" si="4"/>
        <v>0.52226263050479238</v>
      </c>
      <c r="M20" s="177">
        <f t="shared" si="4"/>
        <v>0.54182379599999997</v>
      </c>
      <c r="N20" s="177">
        <f t="shared" si="4"/>
        <v>0.56326986000000001</v>
      </c>
      <c r="O20" s="137"/>
      <c r="P20" s="138"/>
      <c r="Q20" s="138"/>
      <c r="R20" s="204" t="s">
        <v>144</v>
      </c>
      <c r="S20" s="208"/>
      <c r="T20" s="206"/>
      <c r="U20" s="141"/>
    </row>
    <row r="21" spans="2:21" x14ac:dyDescent="0.25">
      <c r="B21" s="133"/>
      <c r="C21" s="134" t="s">
        <v>28</v>
      </c>
      <c r="D21" s="175"/>
      <c r="E21" s="136" t="s">
        <v>19</v>
      </c>
      <c r="F21" s="175"/>
      <c r="G21" s="207">
        <v>4.7000000000000002E-3</v>
      </c>
      <c r="H21" s="175"/>
      <c r="I21" s="177">
        <f t="shared" ref="I21:I22" si="5">I$13*$G21</f>
        <v>6.0570287871459003E-2</v>
      </c>
      <c r="J21" s="177">
        <f t="shared" si="4"/>
        <v>6.3108287871459001E-2</v>
      </c>
      <c r="K21" s="177">
        <f t="shared" si="4"/>
        <v>6.5646287871459E-2</v>
      </c>
      <c r="L21" s="177">
        <f t="shared" si="4"/>
        <v>6.8184287871459012E-2</v>
      </c>
      <c r="M21" s="177">
        <f t="shared" si="4"/>
        <v>7.0738106699999997E-2</v>
      </c>
      <c r="N21" s="177">
        <f t="shared" si="4"/>
        <v>7.3538009500000001E-2</v>
      </c>
      <c r="O21" s="137"/>
      <c r="P21" s="138"/>
      <c r="Q21" s="138"/>
      <c r="R21" s="204" t="s">
        <v>144</v>
      </c>
      <c r="S21" s="208"/>
      <c r="T21" s="206"/>
      <c r="U21" s="141"/>
    </row>
    <row r="22" spans="2:21" x14ac:dyDescent="0.25">
      <c r="B22" s="133"/>
      <c r="C22" s="134" t="s">
        <v>29</v>
      </c>
      <c r="D22" s="175"/>
      <c r="E22" s="136" t="s">
        <v>19</v>
      </c>
      <c r="F22" s="175"/>
      <c r="G22" s="207">
        <v>6.9500000000000006E-2</v>
      </c>
      <c r="H22" s="175"/>
      <c r="I22" s="177">
        <f t="shared" si="5"/>
        <v>0.89566702278008536</v>
      </c>
      <c r="J22" s="177">
        <f t="shared" si="4"/>
        <v>0.93319702278008532</v>
      </c>
      <c r="K22" s="177">
        <f t="shared" si="4"/>
        <v>0.97072702278008527</v>
      </c>
      <c r="L22" s="177">
        <f t="shared" si="4"/>
        <v>1.0082570227800853</v>
      </c>
      <c r="M22" s="177">
        <f t="shared" si="4"/>
        <v>1.0460209395000002</v>
      </c>
      <c r="N22" s="177">
        <f t="shared" si="4"/>
        <v>1.0874237575000001</v>
      </c>
      <c r="O22" s="137"/>
      <c r="P22" s="138"/>
      <c r="Q22" s="138"/>
      <c r="R22" s="204" t="s">
        <v>144</v>
      </c>
      <c r="S22" s="208"/>
      <c r="T22" s="209"/>
      <c r="U22" s="141"/>
    </row>
    <row r="23" spans="2:21" ht="240" x14ac:dyDescent="0.25">
      <c r="B23" s="133"/>
      <c r="C23" s="134" t="s">
        <v>30</v>
      </c>
      <c r="D23" s="175"/>
      <c r="E23" s="136" t="s">
        <v>31</v>
      </c>
      <c r="F23" s="175"/>
      <c r="G23" s="181">
        <v>1.9699999999999999E-2</v>
      </c>
      <c r="H23" s="175"/>
      <c r="I23" s="177">
        <f t="shared" ref="I23:N24" si="6">I$13*$G23</f>
        <v>0.25387971724845582</v>
      </c>
      <c r="J23" s="177">
        <f t="shared" si="6"/>
        <v>0.2645177172484558</v>
      </c>
      <c r="K23" s="177">
        <f t="shared" si="6"/>
        <v>0.27515571724845578</v>
      </c>
      <c r="L23" s="177">
        <f t="shared" si="6"/>
        <v>0.28579371724845581</v>
      </c>
      <c r="M23" s="177">
        <f t="shared" si="6"/>
        <v>0.2964980217</v>
      </c>
      <c r="N23" s="177">
        <f t="shared" si="6"/>
        <v>0.3082337845</v>
      </c>
      <c r="O23" s="137"/>
      <c r="P23" s="137"/>
      <c r="Q23" s="137"/>
      <c r="R23" s="210" t="s">
        <v>145</v>
      </c>
      <c r="S23" s="211"/>
      <c r="T23" s="212" t="s">
        <v>153</v>
      </c>
      <c r="U23" s="213"/>
    </row>
    <row r="24" spans="2:21" x14ac:dyDescent="0.25">
      <c r="B24" s="133"/>
      <c r="C24" s="134" t="s">
        <v>32</v>
      </c>
      <c r="D24" s="175"/>
      <c r="E24" s="136" t="s">
        <v>31</v>
      </c>
      <c r="F24" s="175"/>
      <c r="G24" s="214">
        <v>0</v>
      </c>
      <c r="H24" s="175"/>
      <c r="I24" s="177">
        <f t="shared" si="6"/>
        <v>0</v>
      </c>
      <c r="J24" s="177">
        <f t="shared" si="6"/>
        <v>0</v>
      </c>
      <c r="K24" s="177">
        <f t="shared" si="6"/>
        <v>0</v>
      </c>
      <c r="L24" s="177">
        <f t="shared" si="6"/>
        <v>0</v>
      </c>
      <c r="M24" s="177">
        <f t="shared" si="6"/>
        <v>0</v>
      </c>
      <c r="N24" s="177">
        <f t="shared" si="6"/>
        <v>0</v>
      </c>
      <c r="O24" s="137"/>
      <c r="P24" s="137"/>
      <c r="Q24" s="137"/>
      <c r="R24" s="215" t="s">
        <v>33</v>
      </c>
      <c r="S24" s="216"/>
      <c r="T24" s="217"/>
      <c r="U24" s="141"/>
    </row>
    <row r="25" spans="2:21" x14ac:dyDescent="0.25">
      <c r="B25" s="133"/>
      <c r="C25" s="185" t="s">
        <v>34</v>
      </c>
      <c r="D25" s="186"/>
      <c r="E25" s="187"/>
      <c r="F25" s="186"/>
      <c r="G25" s="218">
        <f>SUM(G$19:G$24)</f>
        <v>0.19950000000000001</v>
      </c>
      <c r="H25" s="186"/>
      <c r="I25" s="189">
        <f>SUM(I$19:I$24)</f>
        <v>2.5710154107140575</v>
      </c>
      <c r="J25" s="189">
        <f t="shared" ref="J25:N25" si="7">SUM(J$19:J$24)</f>
        <v>2.6787454107140576</v>
      </c>
      <c r="K25" s="189">
        <f t="shared" si="7"/>
        <v>2.7864754107140577</v>
      </c>
      <c r="L25" s="189">
        <f t="shared" si="7"/>
        <v>2.8942054107140573</v>
      </c>
      <c r="M25" s="189">
        <f t="shared" si="7"/>
        <v>3.0026068695000006</v>
      </c>
      <c r="N25" s="189">
        <f t="shared" si="7"/>
        <v>3.1214538075000005</v>
      </c>
      <c r="O25" s="190"/>
      <c r="P25" s="190"/>
      <c r="Q25" s="190"/>
      <c r="R25" s="191"/>
      <c r="S25" s="216"/>
      <c r="T25" s="217"/>
      <c r="U25" s="141"/>
    </row>
    <row r="26" spans="2:21" ht="9" customHeight="1" x14ac:dyDescent="0.25">
      <c r="B26" s="133"/>
      <c r="C26" s="219"/>
      <c r="D26" s="220"/>
      <c r="E26" s="221"/>
      <c r="F26" s="220"/>
      <c r="G26" s="222"/>
      <c r="H26" s="220"/>
      <c r="I26" s="223"/>
      <c r="J26" s="223"/>
      <c r="K26" s="223"/>
      <c r="L26" s="223"/>
      <c r="M26" s="223"/>
      <c r="N26" s="223"/>
      <c r="O26" s="224"/>
      <c r="P26" s="224"/>
      <c r="Q26" s="224"/>
      <c r="R26" s="192"/>
      <c r="S26" s="216"/>
      <c r="T26" s="217"/>
      <c r="U26" s="141"/>
    </row>
    <row r="27" spans="2:21" x14ac:dyDescent="0.25">
      <c r="B27" s="133"/>
      <c r="C27" s="225" t="s">
        <v>35</v>
      </c>
      <c r="D27" s="226"/>
      <c r="E27" s="227"/>
      <c r="F27" s="226"/>
      <c r="G27" s="194"/>
      <c r="H27" s="226"/>
      <c r="I27" s="228">
        <f>I$13+I$17+I$25</f>
        <v>16.200327229265177</v>
      </c>
      <c r="J27" s="228">
        <f t="shared" ref="J27:N27" si="8">J$13+J$17+J$25</f>
        <v>16.913127229265175</v>
      </c>
      <c r="K27" s="228">
        <f t="shared" si="8"/>
        <v>17.625927229265173</v>
      </c>
      <c r="L27" s="228">
        <f t="shared" si="8"/>
        <v>18.338727229265178</v>
      </c>
      <c r="M27" s="228">
        <f t="shared" si="8"/>
        <v>19.055969964089456</v>
      </c>
      <c r="N27" s="228">
        <f t="shared" si="8"/>
        <v>19.842325644089456</v>
      </c>
      <c r="O27" s="165"/>
      <c r="P27" s="165"/>
      <c r="Q27" s="165"/>
      <c r="R27" s="197"/>
      <c r="S27" s="229"/>
      <c r="T27" s="217"/>
      <c r="U27" s="141"/>
    </row>
    <row r="28" spans="2:21" ht="9" customHeight="1" x14ac:dyDescent="0.25">
      <c r="B28" s="133"/>
      <c r="C28" s="219"/>
      <c r="D28" s="220"/>
      <c r="E28" s="221"/>
      <c r="F28" s="220"/>
      <c r="G28" s="222"/>
      <c r="H28" s="220"/>
      <c r="I28" s="223"/>
      <c r="J28" s="223"/>
      <c r="K28" s="223"/>
      <c r="L28" s="223"/>
      <c r="M28" s="223"/>
      <c r="N28" s="223"/>
      <c r="O28" s="224"/>
      <c r="P28" s="224"/>
      <c r="Q28" s="224"/>
      <c r="R28" s="192"/>
      <c r="S28" s="216"/>
      <c r="T28" s="217"/>
      <c r="U28" s="141"/>
    </row>
    <row r="29" spans="2:21" x14ac:dyDescent="0.25">
      <c r="B29" s="133"/>
      <c r="C29" s="167" t="s">
        <v>36</v>
      </c>
      <c r="D29" s="168"/>
      <c r="E29" s="169" t="s">
        <v>19</v>
      </c>
      <c r="F29" s="168"/>
      <c r="G29" s="230">
        <v>0.1303</v>
      </c>
      <c r="H29" s="168"/>
      <c r="I29" s="170">
        <f>I$27*$G29</f>
        <v>2.1109026379732527</v>
      </c>
      <c r="J29" s="170">
        <f t="shared" ref="J29:N30" si="9">J$27*$G29</f>
        <v>2.2037804779732522</v>
      </c>
      <c r="K29" s="170">
        <f t="shared" si="9"/>
        <v>2.296658317973252</v>
      </c>
      <c r="L29" s="170">
        <f t="shared" si="9"/>
        <v>2.3895361579732528</v>
      </c>
      <c r="M29" s="170">
        <f t="shared" si="9"/>
        <v>2.4829928863208561</v>
      </c>
      <c r="N29" s="170">
        <f t="shared" si="9"/>
        <v>2.5854550314248561</v>
      </c>
      <c r="O29" s="138"/>
      <c r="P29" s="138"/>
      <c r="Q29" s="138"/>
      <c r="R29" s="200" t="s">
        <v>37</v>
      </c>
      <c r="S29" s="216"/>
      <c r="T29" s="217"/>
      <c r="U29" s="141"/>
    </row>
    <row r="30" spans="2:21" x14ac:dyDescent="0.25">
      <c r="B30" s="133"/>
      <c r="C30" s="134" t="s">
        <v>38</v>
      </c>
      <c r="D30" s="175"/>
      <c r="E30" s="136" t="s">
        <v>19</v>
      </c>
      <c r="F30" s="175"/>
      <c r="G30" s="230">
        <v>0.02</v>
      </c>
      <c r="H30" s="175"/>
      <c r="I30" s="177">
        <f>I$27*$G30</f>
        <v>0.32400654458530354</v>
      </c>
      <c r="J30" s="177">
        <f t="shared" si="9"/>
        <v>0.33826254458530353</v>
      </c>
      <c r="K30" s="177">
        <f t="shared" si="9"/>
        <v>0.35251854458530346</v>
      </c>
      <c r="L30" s="177">
        <f t="shared" si="9"/>
        <v>0.36677454458530356</v>
      </c>
      <c r="M30" s="177">
        <f t="shared" si="9"/>
        <v>0.38111939928178912</v>
      </c>
      <c r="N30" s="177">
        <f t="shared" si="9"/>
        <v>0.39684651288178913</v>
      </c>
      <c r="O30" s="137"/>
      <c r="P30" s="138"/>
      <c r="Q30" s="138"/>
      <c r="R30" s="200" t="s">
        <v>39</v>
      </c>
      <c r="S30" s="216"/>
      <c r="T30" s="231"/>
      <c r="U30" s="141"/>
    </row>
    <row r="31" spans="2:21" x14ac:dyDescent="0.25">
      <c r="B31" s="133"/>
      <c r="C31" s="219" t="s">
        <v>40</v>
      </c>
      <c r="D31" s="232"/>
      <c r="E31" s="221"/>
      <c r="F31" s="232"/>
      <c r="G31" s="233">
        <f>SUM(G$29:G$30)</f>
        <v>0.15029999999999999</v>
      </c>
      <c r="H31" s="232"/>
      <c r="I31" s="234">
        <f>SUM(I$29:I$30)</f>
        <v>2.434909182558556</v>
      </c>
      <c r="J31" s="234">
        <f t="shared" ref="J31:N31" si="10">SUM(J$29:J$30)</f>
        <v>2.5420430225585555</v>
      </c>
      <c r="K31" s="234">
        <f t="shared" si="10"/>
        <v>2.6491768625585554</v>
      </c>
      <c r="L31" s="234">
        <f t="shared" si="10"/>
        <v>2.7563107025585563</v>
      </c>
      <c r="M31" s="234">
        <f t="shared" si="10"/>
        <v>2.8641122856026451</v>
      </c>
      <c r="N31" s="234">
        <f t="shared" si="10"/>
        <v>2.9823015443066452</v>
      </c>
      <c r="O31" s="224"/>
      <c r="P31" s="224"/>
      <c r="Q31" s="224"/>
      <c r="R31" s="192"/>
      <c r="S31" s="216"/>
      <c r="T31" s="217"/>
      <c r="U31" s="141"/>
    </row>
    <row r="32" spans="2:21" x14ac:dyDescent="0.25">
      <c r="B32" s="133"/>
      <c r="C32" s="194"/>
      <c r="D32" s="158"/>
      <c r="E32" s="195"/>
      <c r="F32" s="158"/>
      <c r="G32" s="194"/>
      <c r="H32" s="158"/>
      <c r="I32" s="195"/>
      <c r="J32" s="195"/>
      <c r="K32" s="195"/>
      <c r="L32" s="195"/>
      <c r="M32" s="195"/>
      <c r="N32" s="195"/>
      <c r="O32" s="165"/>
      <c r="P32" s="165"/>
      <c r="Q32" s="165"/>
      <c r="R32" s="197"/>
      <c r="S32" s="229"/>
      <c r="T32" s="217"/>
      <c r="U32" s="141"/>
    </row>
    <row r="33" spans="2:21" x14ac:dyDescent="0.25">
      <c r="B33" s="133"/>
      <c r="C33" s="164" t="s">
        <v>41</v>
      </c>
      <c r="D33" s="158"/>
      <c r="E33" s="235"/>
      <c r="F33" s="158"/>
      <c r="G33" s="162"/>
      <c r="H33" s="158"/>
      <c r="I33" s="158"/>
      <c r="J33" s="158"/>
      <c r="K33" s="158"/>
      <c r="L33" s="158"/>
      <c r="M33" s="158"/>
      <c r="N33" s="158"/>
      <c r="O33" s="165"/>
      <c r="P33" s="165"/>
      <c r="Q33" s="165"/>
      <c r="R33" s="236"/>
      <c r="S33" s="229"/>
      <c r="T33" s="217"/>
      <c r="U33" s="141"/>
    </row>
    <row r="34" spans="2:21" x14ac:dyDescent="0.25">
      <c r="B34" s="133"/>
      <c r="C34" s="237"/>
      <c r="D34" s="238"/>
      <c r="E34" s="239"/>
      <c r="F34" s="238"/>
      <c r="G34" s="237"/>
      <c r="H34" s="238"/>
      <c r="I34" s="239"/>
      <c r="J34" s="239"/>
      <c r="K34" s="239"/>
      <c r="L34" s="239"/>
      <c r="M34" s="239"/>
      <c r="N34" s="239"/>
      <c r="O34" s="224"/>
      <c r="P34" s="224"/>
      <c r="Q34" s="224"/>
      <c r="R34" s="192"/>
      <c r="S34" s="216"/>
      <c r="T34" s="217"/>
      <c r="U34" s="141"/>
    </row>
    <row r="35" spans="2:21" x14ac:dyDescent="0.25">
      <c r="B35" s="133"/>
      <c r="C35" s="167" t="s">
        <v>42</v>
      </c>
      <c r="D35" s="168"/>
      <c r="E35" s="169" t="s">
        <v>31</v>
      </c>
      <c r="F35" s="168"/>
      <c r="G35" s="230">
        <v>7.1199999999999999E-2</v>
      </c>
      <c r="H35" s="168"/>
      <c r="I35" s="170">
        <f t="shared" ref="I35:N35" si="11">IFERROR(I$27*$G35,0)</f>
        <v>1.1534632987236806</v>
      </c>
      <c r="J35" s="170">
        <f t="shared" si="11"/>
        <v>1.2042146587236804</v>
      </c>
      <c r="K35" s="170">
        <f t="shared" si="11"/>
        <v>1.2549660187236804</v>
      </c>
      <c r="L35" s="170">
        <f t="shared" si="11"/>
        <v>1.3057173787236807</v>
      </c>
      <c r="M35" s="170">
        <f t="shared" si="11"/>
        <v>1.3567850614431693</v>
      </c>
      <c r="N35" s="170">
        <f t="shared" si="11"/>
        <v>1.4127735858591692</v>
      </c>
      <c r="O35" s="138"/>
      <c r="P35" s="138"/>
      <c r="Q35" s="138"/>
      <c r="R35" s="240" t="s">
        <v>43</v>
      </c>
      <c r="S35" s="216"/>
      <c r="T35" s="241"/>
      <c r="U35" s="141"/>
    </row>
    <row r="36" spans="2:21" s="249" customFormat="1" x14ac:dyDescent="0.25">
      <c r="B36" s="242"/>
      <c r="C36" s="243" t="s">
        <v>44</v>
      </c>
      <c r="D36" s="168"/>
      <c r="E36" s="169" t="s">
        <v>19</v>
      </c>
      <c r="F36" s="168"/>
      <c r="G36" s="167"/>
      <c r="H36" s="168"/>
      <c r="I36" s="244">
        <v>0</v>
      </c>
      <c r="J36" s="244">
        <v>0</v>
      </c>
      <c r="K36" s="244">
        <v>0</v>
      </c>
      <c r="L36" s="244">
        <v>0</v>
      </c>
      <c r="M36" s="244">
        <v>0</v>
      </c>
      <c r="N36" s="244">
        <v>0</v>
      </c>
      <c r="O36" s="245"/>
      <c r="P36" s="245"/>
      <c r="Q36" s="245"/>
      <c r="R36" s="246" t="s">
        <v>45</v>
      </c>
      <c r="S36" s="247"/>
      <c r="T36" s="248" t="s">
        <v>154</v>
      </c>
      <c r="U36" s="145"/>
    </row>
    <row r="37" spans="2:21" ht="45" x14ac:dyDescent="0.25">
      <c r="B37" s="133"/>
      <c r="C37" s="250" t="s">
        <v>46</v>
      </c>
      <c r="D37" s="175"/>
      <c r="E37" s="136" t="s">
        <v>19</v>
      </c>
      <c r="F37" s="175"/>
      <c r="G37" s="134"/>
      <c r="H37" s="175"/>
      <c r="I37" s="244">
        <v>0.69</v>
      </c>
      <c r="J37" s="244">
        <v>0.69</v>
      </c>
      <c r="K37" s="244">
        <v>0.69</v>
      </c>
      <c r="L37" s="244">
        <v>0.69</v>
      </c>
      <c r="M37" s="244">
        <v>0.69</v>
      </c>
      <c r="N37" s="244">
        <v>0.69</v>
      </c>
      <c r="O37" s="137"/>
      <c r="P37" s="137"/>
      <c r="Q37" s="137"/>
      <c r="R37" s="251" t="s">
        <v>135</v>
      </c>
      <c r="S37" s="252"/>
      <c r="T37" s="253" t="s">
        <v>157</v>
      </c>
      <c r="U37" s="145"/>
    </row>
    <row r="38" spans="2:21" x14ac:dyDescent="0.25">
      <c r="B38" s="133"/>
      <c r="C38" s="225" t="s">
        <v>47</v>
      </c>
      <c r="D38" s="254"/>
      <c r="E38" s="195"/>
      <c r="F38" s="254"/>
      <c r="G38" s="194"/>
      <c r="H38" s="254"/>
      <c r="I38" s="255">
        <f t="shared" ref="I38:N38" si="12">SUM(I35:I37)</f>
        <v>1.8434632987236805</v>
      </c>
      <c r="J38" s="255">
        <f t="shared" si="12"/>
        <v>1.8942146587236803</v>
      </c>
      <c r="K38" s="255">
        <f t="shared" si="12"/>
        <v>1.9449660187236804</v>
      </c>
      <c r="L38" s="255">
        <f t="shared" si="12"/>
        <v>1.9957173787236806</v>
      </c>
      <c r="M38" s="255">
        <f t="shared" si="12"/>
        <v>2.0467850614431695</v>
      </c>
      <c r="N38" s="255">
        <f t="shared" si="12"/>
        <v>2.1027735858591692</v>
      </c>
      <c r="O38" s="165"/>
      <c r="P38" s="165"/>
      <c r="Q38" s="165"/>
      <c r="R38" s="197"/>
      <c r="S38" s="229"/>
      <c r="T38" s="193"/>
      <c r="U38" s="141"/>
    </row>
    <row r="39" spans="2:21" x14ac:dyDescent="0.25">
      <c r="B39" s="133"/>
      <c r="C39" s="225"/>
      <c r="D39" s="254"/>
      <c r="E39" s="195"/>
      <c r="F39" s="254"/>
      <c r="G39" s="194"/>
      <c r="H39" s="254"/>
      <c r="I39" s="255"/>
      <c r="J39" s="255"/>
      <c r="K39" s="255"/>
      <c r="L39" s="255"/>
      <c r="M39" s="255"/>
      <c r="N39" s="255"/>
      <c r="O39" s="165"/>
      <c r="P39" s="165"/>
      <c r="Q39" s="165"/>
      <c r="R39" s="197"/>
      <c r="S39" s="229"/>
      <c r="T39" s="198"/>
      <c r="U39" s="141"/>
    </row>
    <row r="40" spans="2:21" x14ac:dyDescent="0.25">
      <c r="B40" s="133"/>
      <c r="C40" s="225" t="s">
        <v>48</v>
      </c>
      <c r="D40" s="254"/>
      <c r="E40" s="195"/>
      <c r="F40" s="254"/>
      <c r="G40" s="194"/>
      <c r="H40" s="254"/>
      <c r="I40" s="255">
        <f t="shared" ref="I40:N40" si="13">I$27+I$31+I$38</f>
        <v>20.478699710547414</v>
      </c>
      <c r="J40" s="255">
        <f t="shared" si="13"/>
        <v>21.34938491054741</v>
      </c>
      <c r="K40" s="255">
        <f t="shared" si="13"/>
        <v>22.220070110547407</v>
      </c>
      <c r="L40" s="255">
        <f t="shared" si="13"/>
        <v>23.090755310547411</v>
      </c>
      <c r="M40" s="255">
        <f t="shared" si="13"/>
        <v>23.966867311135271</v>
      </c>
      <c r="N40" s="255">
        <f t="shared" si="13"/>
        <v>24.927400774255268</v>
      </c>
      <c r="O40" s="165"/>
      <c r="P40" s="165"/>
      <c r="Q40" s="165"/>
      <c r="R40" s="197"/>
      <c r="S40" s="229"/>
      <c r="T40" s="198"/>
      <c r="U40" s="141"/>
    </row>
    <row r="41" spans="2:21" x14ac:dyDescent="0.25">
      <c r="B41" s="133"/>
      <c r="C41" s="194"/>
      <c r="D41" s="158"/>
      <c r="E41" s="195"/>
      <c r="F41" s="158"/>
      <c r="G41" s="194"/>
      <c r="H41" s="158"/>
      <c r="I41" s="195"/>
      <c r="J41" s="195"/>
      <c r="K41" s="195"/>
      <c r="L41" s="195"/>
      <c r="M41" s="195"/>
      <c r="N41" s="195"/>
      <c r="O41" s="165"/>
      <c r="P41" s="165"/>
      <c r="Q41" s="165"/>
      <c r="R41" s="197"/>
      <c r="S41" s="229"/>
      <c r="T41" s="198"/>
      <c r="U41" s="141"/>
    </row>
    <row r="42" spans="2:21" x14ac:dyDescent="0.25">
      <c r="B42" s="133"/>
      <c r="C42" s="164" t="s">
        <v>49</v>
      </c>
      <c r="D42" s="158"/>
      <c r="E42" s="235"/>
      <c r="F42" s="158"/>
      <c r="G42" s="162"/>
      <c r="H42" s="158"/>
      <c r="I42" s="158"/>
      <c r="J42" s="158"/>
      <c r="K42" s="158"/>
      <c r="L42" s="158"/>
      <c r="M42" s="158"/>
      <c r="N42" s="158"/>
      <c r="O42" s="165"/>
      <c r="P42" s="165"/>
      <c r="Q42" s="165"/>
      <c r="R42" s="236"/>
      <c r="S42" s="229"/>
      <c r="T42" s="198"/>
      <c r="U42" s="141"/>
    </row>
    <row r="43" spans="2:21" x14ac:dyDescent="0.25">
      <c r="B43" s="133"/>
      <c r="C43" s="237"/>
      <c r="D43" s="238"/>
      <c r="E43" s="239"/>
      <c r="F43" s="238"/>
      <c r="G43" s="237"/>
      <c r="H43" s="238"/>
      <c r="I43" s="239"/>
      <c r="J43" s="239"/>
      <c r="K43" s="239"/>
      <c r="L43" s="239"/>
      <c r="M43" s="239"/>
      <c r="N43" s="239"/>
      <c r="O43" s="224"/>
      <c r="P43" s="224"/>
      <c r="Q43" s="224"/>
      <c r="R43" s="192"/>
      <c r="S43" s="216"/>
      <c r="T43" s="241"/>
      <c r="U43" s="141"/>
    </row>
    <row r="44" spans="2:21" ht="30" x14ac:dyDescent="0.25">
      <c r="B44" s="133"/>
      <c r="C44" s="256" t="s">
        <v>50</v>
      </c>
      <c r="D44" s="257"/>
      <c r="E44" s="258" t="s">
        <v>31</v>
      </c>
      <c r="F44" s="257"/>
      <c r="G44" s="259">
        <v>2.1299999999999999E-2</v>
      </c>
      <c r="H44" s="257"/>
      <c r="I44" s="260">
        <f t="shared" ref="I44:N44" si="14">I$27*$G$44</f>
        <v>0.34506696998334829</v>
      </c>
      <c r="J44" s="260">
        <f t="shared" si="14"/>
        <v>0.36024960998334821</v>
      </c>
      <c r="K44" s="260">
        <f t="shared" si="14"/>
        <v>0.37543224998334818</v>
      </c>
      <c r="L44" s="260">
        <f t="shared" si="14"/>
        <v>0.39061488998334826</v>
      </c>
      <c r="M44" s="260">
        <f t="shared" si="14"/>
        <v>0.40589216023510544</v>
      </c>
      <c r="N44" s="260">
        <f t="shared" si="14"/>
        <v>0.42264153621910538</v>
      </c>
      <c r="O44" s="224"/>
      <c r="P44" s="224"/>
      <c r="Q44" s="224"/>
      <c r="R44" s="261" t="s">
        <v>51</v>
      </c>
      <c r="S44" s="262"/>
      <c r="T44" s="253" t="s">
        <v>155</v>
      </c>
      <c r="U44" s="145"/>
    </row>
    <row r="45" spans="2:21" ht="60" x14ac:dyDescent="0.25">
      <c r="B45" s="133"/>
      <c r="C45" s="167" t="s">
        <v>52</v>
      </c>
      <c r="D45" s="168"/>
      <c r="E45" s="169" t="s">
        <v>31</v>
      </c>
      <c r="F45" s="168"/>
      <c r="G45" s="230">
        <v>0.17</v>
      </c>
      <c r="H45" s="168"/>
      <c r="I45" s="170">
        <f>$G$45*I$40</f>
        <v>3.4813789507930606</v>
      </c>
      <c r="J45" s="170">
        <f t="shared" ref="J45:N45" si="15">$G$45*J$40</f>
        <v>3.6293954347930599</v>
      </c>
      <c r="K45" s="170">
        <f t="shared" si="15"/>
        <v>3.7774119187930597</v>
      </c>
      <c r="L45" s="170">
        <f t="shared" si="15"/>
        <v>3.9254284027930604</v>
      </c>
      <c r="M45" s="170">
        <f t="shared" si="15"/>
        <v>4.0743674428929966</v>
      </c>
      <c r="N45" s="170">
        <f t="shared" si="15"/>
        <v>4.2376581316233963</v>
      </c>
      <c r="O45" s="224"/>
      <c r="P45" s="224"/>
      <c r="Q45" s="224"/>
      <c r="R45" s="263" t="s">
        <v>141</v>
      </c>
      <c r="S45" s="264"/>
      <c r="T45" s="253" t="s">
        <v>152</v>
      </c>
      <c r="U45" s="141"/>
    </row>
    <row r="46" spans="2:21" ht="45" x14ac:dyDescent="0.25">
      <c r="B46" s="133"/>
      <c r="C46" s="167" t="s">
        <v>53</v>
      </c>
      <c r="D46" s="168"/>
      <c r="E46" s="169" t="s">
        <v>31</v>
      </c>
      <c r="F46" s="168"/>
      <c r="G46" s="230">
        <v>2.3300000000000001E-2</v>
      </c>
      <c r="H46" s="168"/>
      <c r="I46" s="170">
        <f>$G$46*I$40</f>
        <v>0.47715370325575474</v>
      </c>
      <c r="J46" s="170">
        <f t="shared" ref="J46:N46" si="16">$G$46*J$40</f>
        <v>0.49744066841575468</v>
      </c>
      <c r="K46" s="170">
        <f t="shared" si="16"/>
        <v>0.51772763357575458</v>
      </c>
      <c r="L46" s="170">
        <f t="shared" si="16"/>
        <v>0.53801459873575475</v>
      </c>
      <c r="M46" s="170">
        <f t="shared" si="16"/>
        <v>0.55842800834945183</v>
      </c>
      <c r="N46" s="170">
        <f t="shared" si="16"/>
        <v>0.58080843804014781</v>
      </c>
      <c r="O46" s="224"/>
      <c r="P46" s="224"/>
      <c r="Q46" s="224"/>
      <c r="R46" s="265" t="s">
        <v>54</v>
      </c>
      <c r="S46" s="266"/>
      <c r="T46" s="253" t="s">
        <v>156</v>
      </c>
      <c r="U46" s="141"/>
    </row>
    <row r="47" spans="2:21" x14ac:dyDescent="0.25">
      <c r="B47" s="133"/>
      <c r="C47" s="267"/>
      <c r="D47" s="268"/>
      <c r="E47" s="239"/>
      <c r="F47" s="268"/>
      <c r="G47" s="269"/>
      <c r="H47" s="268"/>
      <c r="I47" s="270"/>
      <c r="J47" s="270"/>
      <c r="K47" s="270"/>
      <c r="L47" s="270"/>
      <c r="M47" s="270"/>
      <c r="N47" s="270"/>
      <c r="O47" s="224"/>
      <c r="P47" s="224"/>
      <c r="Q47" s="224"/>
      <c r="R47" s="192"/>
      <c r="S47" s="216"/>
      <c r="T47" s="271"/>
      <c r="U47" s="141"/>
    </row>
    <row r="48" spans="2:21" x14ac:dyDescent="0.25">
      <c r="B48" s="133"/>
      <c r="C48" s="164" t="s">
        <v>55</v>
      </c>
      <c r="D48" s="158"/>
      <c r="E48" s="235"/>
      <c r="F48" s="158"/>
      <c r="G48" s="162"/>
      <c r="H48" s="158"/>
      <c r="I48" s="158"/>
      <c r="J48" s="158"/>
      <c r="K48" s="158"/>
      <c r="L48" s="158"/>
      <c r="M48" s="158"/>
      <c r="N48" s="158"/>
      <c r="O48" s="165"/>
      <c r="P48" s="165"/>
      <c r="Q48" s="165"/>
      <c r="R48" s="236"/>
      <c r="S48" s="229"/>
      <c r="T48" s="271"/>
      <c r="U48" s="141"/>
    </row>
    <row r="49" spans="2:21" ht="30" x14ac:dyDescent="0.25">
      <c r="B49" s="133"/>
      <c r="C49" s="272" t="s">
        <v>56</v>
      </c>
      <c r="D49" s="273"/>
      <c r="E49" s="169"/>
      <c r="F49" s="273"/>
      <c r="G49" s="230">
        <v>2.52E-2</v>
      </c>
      <c r="H49" s="273"/>
      <c r="I49" s="274"/>
      <c r="J49" s="274"/>
      <c r="K49" s="274"/>
      <c r="L49" s="274"/>
      <c r="M49" s="274"/>
      <c r="N49" s="274"/>
      <c r="O49" s="138"/>
      <c r="P49" s="138"/>
      <c r="Q49" s="138"/>
      <c r="R49" s="200" t="s">
        <v>57</v>
      </c>
      <c r="S49" s="216"/>
      <c r="T49" s="275" t="s">
        <v>149</v>
      </c>
      <c r="U49" s="145"/>
    </row>
    <row r="50" spans="2:21" ht="14.1" customHeight="1" x14ac:dyDescent="0.25">
      <c r="B50" s="133"/>
      <c r="C50" s="194"/>
      <c r="D50" s="158"/>
      <c r="E50" s="195"/>
      <c r="F50" s="158"/>
      <c r="G50" s="194"/>
      <c r="H50" s="158"/>
      <c r="I50" s="195"/>
      <c r="J50" s="195"/>
      <c r="K50" s="195"/>
      <c r="L50" s="195"/>
      <c r="M50" s="195"/>
      <c r="N50" s="195"/>
      <c r="O50" s="165"/>
      <c r="P50" s="165"/>
      <c r="Q50" s="165"/>
      <c r="R50" s="197"/>
      <c r="S50" s="229"/>
      <c r="T50" s="193"/>
      <c r="U50" s="141"/>
    </row>
    <row r="51" spans="2:21" x14ac:dyDescent="0.25">
      <c r="B51" s="133"/>
      <c r="C51" s="225" t="s">
        <v>58</v>
      </c>
      <c r="D51" s="226"/>
      <c r="E51" s="195"/>
      <c r="F51" s="226"/>
      <c r="G51" s="194"/>
      <c r="H51" s="226"/>
      <c r="I51" s="228">
        <f>(I$40+I$44+I$45+I$46)*(1+$G$49)</f>
        <v>25.406813277810983</v>
      </c>
      <c r="J51" s="228">
        <f t="shared" ref="J51:N51" si="17">(J$40+J$44+J$45+J$46)*(1+$G$49)</f>
        <v>26.487549683457811</v>
      </c>
      <c r="K51" s="228">
        <f t="shared" si="17"/>
        <v>27.568286089104639</v>
      </c>
      <c r="L51" s="276">
        <f t="shared" si="17"/>
        <v>28.64902249475147</v>
      </c>
      <c r="M51" s="228">
        <f t="shared" si="17"/>
        <v>29.736494906662664</v>
      </c>
      <c r="N51" s="228">
        <f t="shared" si="17"/>
        <v>30.928755303917388</v>
      </c>
      <c r="O51" s="165"/>
      <c r="P51" s="165"/>
      <c r="Q51" s="165"/>
      <c r="R51" s="197"/>
      <c r="S51" s="229"/>
      <c r="T51" s="198"/>
      <c r="U51" s="141"/>
    </row>
    <row r="52" spans="2:21" x14ac:dyDescent="0.25">
      <c r="B52" s="133"/>
      <c r="C52" s="194"/>
      <c r="D52" s="158"/>
      <c r="E52" s="195"/>
      <c r="F52" s="158"/>
      <c r="G52" s="194"/>
      <c r="H52" s="158"/>
      <c r="I52" s="195"/>
      <c r="J52" s="195"/>
      <c r="K52" s="195"/>
      <c r="L52" s="195"/>
      <c r="M52" s="195"/>
      <c r="N52" s="195"/>
      <c r="O52" s="165"/>
      <c r="P52" s="165"/>
      <c r="Q52" s="165"/>
      <c r="R52" s="197"/>
      <c r="S52" s="229"/>
      <c r="T52" s="198"/>
      <c r="U52" s="141"/>
    </row>
    <row r="53" spans="2:21" ht="18.75" x14ac:dyDescent="0.3">
      <c r="B53" s="133"/>
      <c r="C53" s="126" t="s">
        <v>59</v>
      </c>
      <c r="D53" s="277"/>
      <c r="E53" s="278"/>
      <c r="F53" s="277"/>
      <c r="G53" s="279"/>
      <c r="H53" s="277"/>
      <c r="I53" s="280"/>
      <c r="J53" s="280"/>
      <c r="K53" s="280"/>
      <c r="L53" s="280"/>
      <c r="M53" s="281">
        <f>(I51*I7)+(J51*J7)+(K51*K7)+(L51*L7)+(M51*M7)+(N51*N7)</f>
        <v>28.64902249475147</v>
      </c>
      <c r="N53" s="281"/>
      <c r="O53" s="282"/>
      <c r="P53" s="282"/>
      <c r="Q53" s="282"/>
      <c r="R53" s="283" t="s">
        <v>146</v>
      </c>
      <c r="S53" s="284"/>
      <c r="T53" s="285"/>
      <c r="U53" s="141"/>
    </row>
    <row r="54" spans="2:21" ht="25.5" customHeight="1" x14ac:dyDescent="0.25"/>
    <row r="55" spans="2:21" ht="24" customHeight="1" x14ac:dyDescent="0.25">
      <c r="C55" s="117" t="s">
        <v>60</v>
      </c>
      <c r="I55" s="122" t="str">
        <f>IF(OR(I5="",I6=""),"",IF(I5="HH",I5&amp;I6,"VVT"&amp;I5&amp;I6))</f>
        <v>HH0</v>
      </c>
      <c r="J55" s="122" t="str">
        <f t="shared" ref="J55:N55" si="18">IF(OR(J5="",J6=""),"",IF(J5="HH",J5&amp;J6,"VVT"&amp;J5&amp;J6))</f>
        <v>HH1</v>
      </c>
      <c r="K55" s="122" t="str">
        <f t="shared" si="18"/>
        <v>HH2</v>
      </c>
      <c r="L55" s="122" t="str">
        <f t="shared" si="18"/>
        <v>HH3</v>
      </c>
      <c r="M55" s="122" t="str">
        <f t="shared" si="18"/>
        <v>HH4</v>
      </c>
      <c r="N55" s="122" t="str">
        <f t="shared" si="18"/>
        <v>HH5</v>
      </c>
    </row>
  </sheetData>
  <sheetProtection algorithmName="SHA-512" hashValue="Qybfhb9oa6KucpxppyowDfirGdEmg3ckNioSjx+2QlEnDpGP06eDODkPKrp/RCCYWZDJomt8buRq+VI8t4AjUQ==" saltValue="VFe31s6JcmalZ0cUxEldSQ==" spinCount="100000" sheet="1" objects="1" scenarios="1"/>
  <mergeCells count="4">
    <mergeCell ref="M53:N53"/>
    <mergeCell ref="I3:N3"/>
    <mergeCell ref="C1:C2"/>
    <mergeCell ref="E1:L2"/>
  </mergeCells>
  <dataValidations count="2">
    <dataValidation type="list" allowBlank="1" showInputMessage="1" showErrorMessage="1" sqref="I6:N6">
      <formula1>IF(I5="FWG10",$V$2:$V$6,IF(I5="FWG15",$W$2:$W$12,$X$2:$X$7))</formula1>
    </dataValidation>
    <dataValidation type="list" allowBlank="1" showInputMessage="1" showErrorMessage="1" sqref="I5:N5">
      <formula1>"HH"</formula1>
    </dataValidation>
  </dataValidations>
  <pageMargins left="0.7" right="0.7" top="0.75" bottom="0.75" header="0.3" footer="0.3"/>
  <pageSetup paperSize="9" scale="1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pane ySplit="3" topLeftCell="A4" activePane="bottomLeft" state="frozen"/>
      <selection pane="bottomLeft" activeCell="G28" sqref="G28"/>
    </sheetView>
  </sheetViews>
  <sheetFormatPr defaultColWidth="10.625" defaultRowHeight="15.75" x14ac:dyDescent="0.25"/>
  <cols>
    <col min="1" max="1" width="54.625" style="5" customWidth="1"/>
    <col min="2" max="2" width="0.625" style="6" customWidth="1"/>
    <col min="3" max="3" width="14" style="6" customWidth="1"/>
    <col min="4" max="4" width="0.625" style="6" customWidth="1"/>
    <col min="5" max="5" width="7.125" style="5" customWidth="1"/>
    <col min="6" max="6" width="0.625" style="6" customWidth="1"/>
    <col min="7" max="8" width="10.625" style="6"/>
    <col min="9" max="9" width="0.625" style="6" customWidth="1"/>
    <col min="10" max="11" width="10.625" style="6"/>
    <col min="12" max="12" width="0.625" style="5" customWidth="1"/>
    <col min="13" max="13" width="62.125" style="5" customWidth="1"/>
    <col min="14" max="16384" width="10.625" style="5"/>
  </cols>
  <sheetData>
    <row r="1" spans="1:13" x14ac:dyDescent="0.25">
      <c r="A1" s="72" t="s">
        <v>0</v>
      </c>
      <c r="B1" s="17"/>
      <c r="C1" s="17"/>
      <c r="D1" s="17"/>
      <c r="E1" s="18"/>
    </row>
    <row r="3" spans="1:13" s="19" customFormat="1" ht="18.75" x14ac:dyDescent="0.3">
      <c r="A3" s="38" t="s">
        <v>5</v>
      </c>
      <c r="B3" s="97"/>
      <c r="C3" s="39"/>
      <c r="D3" s="97"/>
      <c r="E3" s="38"/>
      <c r="F3" s="97"/>
      <c r="G3" s="113" t="s">
        <v>61</v>
      </c>
      <c r="H3" s="113"/>
      <c r="I3" s="97"/>
      <c r="J3" s="113" t="s">
        <v>62</v>
      </c>
      <c r="K3" s="113"/>
      <c r="L3" s="40"/>
      <c r="M3" s="40"/>
    </row>
    <row r="4" spans="1:13" x14ac:dyDescent="0.25">
      <c r="A4" s="20" t="s">
        <v>63</v>
      </c>
      <c r="B4" s="86"/>
      <c r="C4" s="59"/>
      <c r="D4" s="86"/>
      <c r="E4" s="20"/>
      <c r="F4" s="86"/>
      <c r="G4" s="114" t="s">
        <v>64</v>
      </c>
      <c r="H4" s="114"/>
      <c r="I4" s="86"/>
      <c r="J4" s="114" t="s">
        <v>64</v>
      </c>
      <c r="K4" s="114"/>
      <c r="L4" s="87"/>
      <c r="M4" s="62" t="s">
        <v>10</v>
      </c>
    </row>
    <row r="5" spans="1:13" x14ac:dyDescent="0.25">
      <c r="A5" s="23" t="s">
        <v>65</v>
      </c>
      <c r="B5" s="73"/>
      <c r="C5" s="24"/>
      <c r="D5" s="73"/>
      <c r="E5" s="23"/>
      <c r="F5" s="73"/>
      <c r="G5" s="60" t="s">
        <v>1</v>
      </c>
      <c r="H5" s="60" t="s">
        <v>2</v>
      </c>
      <c r="I5" s="73"/>
      <c r="J5" s="60" t="s">
        <v>2</v>
      </c>
      <c r="K5" s="60" t="s">
        <v>66</v>
      </c>
      <c r="L5" s="88"/>
      <c r="M5" s="23"/>
    </row>
    <row r="6" spans="1:13" x14ac:dyDescent="0.25">
      <c r="A6" s="23" t="s">
        <v>12</v>
      </c>
      <c r="B6" s="73"/>
      <c r="C6" s="24"/>
      <c r="D6" s="73"/>
      <c r="E6" s="23"/>
      <c r="F6" s="73"/>
      <c r="G6" s="60">
        <v>3</v>
      </c>
      <c r="H6" s="60">
        <v>7</v>
      </c>
      <c r="I6" s="73"/>
      <c r="J6" s="60">
        <v>7</v>
      </c>
      <c r="K6" s="60">
        <v>4</v>
      </c>
      <c r="L6" s="88"/>
      <c r="M6" s="23"/>
    </row>
    <row r="7" spans="1:13" x14ac:dyDescent="0.25">
      <c r="A7" s="23" t="s">
        <v>67</v>
      </c>
      <c r="B7" s="74"/>
      <c r="C7" s="24"/>
      <c r="D7" s="74"/>
      <c r="E7" s="23"/>
      <c r="F7" s="74"/>
      <c r="G7" s="61">
        <v>0.75</v>
      </c>
      <c r="H7" s="61">
        <v>0.25</v>
      </c>
      <c r="I7" s="74"/>
      <c r="J7" s="61">
        <v>0.6</v>
      </c>
      <c r="K7" s="61">
        <v>0.4</v>
      </c>
      <c r="L7" s="88"/>
      <c r="M7" s="23"/>
    </row>
    <row r="8" spans="1:13" x14ac:dyDescent="0.25">
      <c r="B8" s="3"/>
      <c r="D8" s="3"/>
      <c r="F8" s="3"/>
      <c r="I8" s="3"/>
      <c r="L8" s="1"/>
    </row>
    <row r="9" spans="1:13" ht="47.25" x14ac:dyDescent="0.25">
      <c r="A9" s="41"/>
      <c r="B9" s="92"/>
      <c r="C9" s="91" t="s">
        <v>68</v>
      </c>
      <c r="D9" s="92"/>
      <c r="E9" s="90" t="s">
        <v>15</v>
      </c>
      <c r="F9" s="92"/>
      <c r="G9" s="93"/>
      <c r="H9" s="93"/>
      <c r="I9" s="92"/>
      <c r="J9" s="93"/>
      <c r="K9" s="93"/>
      <c r="L9" s="94"/>
      <c r="M9" s="95" t="s">
        <v>69</v>
      </c>
    </row>
    <row r="10" spans="1:13" x14ac:dyDescent="0.25">
      <c r="A10" s="2" t="s">
        <v>16</v>
      </c>
      <c r="B10" s="3"/>
      <c r="C10" s="3"/>
      <c r="D10" s="3"/>
      <c r="E10" s="1"/>
      <c r="F10" s="3"/>
      <c r="G10" s="3"/>
      <c r="H10" s="3"/>
      <c r="I10" s="3"/>
      <c r="J10" s="3"/>
      <c r="K10" s="3"/>
      <c r="L10" s="1"/>
      <c r="M10" s="1"/>
    </row>
    <row r="11" spans="1:13" x14ac:dyDescent="0.25">
      <c r="A11" s="20" t="s">
        <v>17</v>
      </c>
      <c r="B11" s="75"/>
      <c r="C11" s="21"/>
      <c r="D11" s="75"/>
      <c r="E11" s="20"/>
      <c r="F11" s="75"/>
      <c r="G11" s="22" t="e">
        <f>VLOOKUP(G4&amp;G5&amp;G6,'VVT CAO UURLONEN 2018_2019'!$A$1:$F$1,6,0)</f>
        <v>#N/A</v>
      </c>
      <c r="H11" s="22" t="e">
        <f>VLOOKUP(G4&amp;H5&amp;H6,'VVT CAO UURLONEN 2018_2019'!$A$1:$F$1,6,0)</f>
        <v>#N/A</v>
      </c>
      <c r="I11" s="75"/>
      <c r="J11" s="22" t="e">
        <f>VLOOKUP(J4&amp;J5&amp;J6,'VVT CAO UURLONEN 2018_2019'!$A$1:$F$1,6,0)</f>
        <v>#N/A</v>
      </c>
      <c r="K11" s="22" t="e">
        <f>VLOOKUP(J4&amp;K5&amp;K6,'VVT CAO UURLONEN 2018_2019'!$A$1:$F$1,6,0)</f>
        <v>#N/A</v>
      </c>
      <c r="L11" s="87"/>
      <c r="M11" s="20"/>
    </row>
    <row r="12" spans="1:13" x14ac:dyDescent="0.25">
      <c r="A12" s="23" t="s">
        <v>70</v>
      </c>
      <c r="B12" s="76"/>
      <c r="C12" s="24" t="s">
        <v>19</v>
      </c>
      <c r="D12" s="76"/>
      <c r="E12" s="25">
        <v>0.08</v>
      </c>
      <c r="F12" s="76"/>
      <c r="G12" s="26" t="e">
        <f>IF((G$11*$E12)&gt;0.98,(G$11*$E12),0.98)</f>
        <v>#N/A</v>
      </c>
      <c r="H12" s="26" t="e">
        <f t="shared" ref="H12:K12" si="0">IF((H$11*$E12)&gt;0.98,(H$11*$E12),0.98)</f>
        <v>#N/A</v>
      </c>
      <c r="I12" s="76"/>
      <c r="J12" s="26" t="e">
        <f t="shared" si="0"/>
        <v>#N/A</v>
      </c>
      <c r="K12" s="26" t="e">
        <f t="shared" si="0"/>
        <v>#N/A</v>
      </c>
      <c r="L12" s="88"/>
      <c r="M12" s="23"/>
    </row>
    <row r="13" spans="1:13" x14ac:dyDescent="0.25">
      <c r="A13" s="23" t="s">
        <v>71</v>
      </c>
      <c r="B13" s="76"/>
      <c r="C13" s="24" t="s">
        <v>19</v>
      </c>
      <c r="D13" s="76"/>
      <c r="E13" s="27">
        <v>7.3999999999999996E-2</v>
      </c>
      <c r="F13" s="76"/>
      <c r="G13" s="26" t="e">
        <f>IF((G$11*$E13)&gt;0.94,(G$11*$E13),0.94)</f>
        <v>#N/A</v>
      </c>
      <c r="H13" s="26" t="e">
        <f t="shared" ref="H13:K13" si="1">IF((H$11*$E13)&gt;0.94,(H$11*$E13),0.94)</f>
        <v>#N/A</v>
      </c>
      <c r="I13" s="76"/>
      <c r="J13" s="26" t="e">
        <f t="shared" si="1"/>
        <v>#N/A</v>
      </c>
      <c r="K13" s="26" t="e">
        <f t="shared" si="1"/>
        <v>#N/A</v>
      </c>
      <c r="L13" s="88"/>
      <c r="M13" s="23"/>
    </row>
    <row r="14" spans="1:13" x14ac:dyDescent="0.25">
      <c r="A14" s="31" t="s">
        <v>21</v>
      </c>
      <c r="B14" s="77"/>
      <c r="C14" s="32"/>
      <c r="D14" s="77"/>
      <c r="E14" s="37">
        <f>SUM(E12:E13)</f>
        <v>0.154</v>
      </c>
      <c r="F14" s="77"/>
      <c r="G14" s="34" t="e">
        <f>SUM(G11:G13)</f>
        <v>#N/A</v>
      </c>
      <c r="H14" s="34" t="e">
        <f t="shared" ref="H14:K14" si="2">SUM(H11:H13)</f>
        <v>#N/A</v>
      </c>
      <c r="I14" s="77"/>
      <c r="J14" s="34" t="e">
        <f t="shared" si="2"/>
        <v>#N/A</v>
      </c>
      <c r="K14" s="34" t="e">
        <f t="shared" si="2"/>
        <v>#N/A</v>
      </c>
      <c r="L14" s="89"/>
      <c r="M14" s="35"/>
    </row>
    <row r="15" spans="1:13" ht="8.25" customHeight="1" x14ac:dyDescent="0.25">
      <c r="B15" s="3"/>
      <c r="D15" s="3"/>
      <c r="E15" s="13"/>
      <c r="F15" s="3"/>
      <c r="I15" s="3"/>
      <c r="L15" s="1"/>
    </row>
    <row r="16" spans="1:13" x14ac:dyDescent="0.25">
      <c r="A16" s="20" t="s">
        <v>22</v>
      </c>
      <c r="B16" s="75"/>
      <c r="C16" s="21" t="s">
        <v>19</v>
      </c>
      <c r="D16" s="75"/>
      <c r="E16" s="29"/>
      <c r="F16" s="75"/>
      <c r="G16" s="22" t="e">
        <f>G$14*'Pensioenpremie CAO'!B$16</f>
        <v>#N/A</v>
      </c>
      <c r="H16" s="22" t="e">
        <f>H$14*'Pensioenpremie CAO'!C$16</f>
        <v>#N/A</v>
      </c>
      <c r="I16" s="75"/>
      <c r="J16" s="22" t="e">
        <f>J$14*'Pensioenpremie CAO'!D$16</f>
        <v>#N/A</v>
      </c>
      <c r="K16" s="22" t="e">
        <f>K$14*'Pensioenpremie CAO'!E$16</f>
        <v>#N/A</v>
      </c>
      <c r="L16" s="87"/>
      <c r="M16" s="20"/>
    </row>
    <row r="17" spans="1:13" x14ac:dyDescent="0.25">
      <c r="A17" s="23" t="s">
        <v>24</v>
      </c>
      <c r="B17" s="76"/>
      <c r="C17" s="24" t="s">
        <v>19</v>
      </c>
      <c r="D17" s="76"/>
      <c r="E17" s="25"/>
      <c r="F17" s="76"/>
      <c r="G17" s="26" t="e">
        <f>G$14*'Pensioenpremie CAO'!B$24</f>
        <v>#N/A</v>
      </c>
      <c r="H17" s="26" t="e">
        <f>H$14*'Pensioenpremie CAO'!C$24</f>
        <v>#N/A</v>
      </c>
      <c r="I17" s="76"/>
      <c r="J17" s="26" t="e">
        <f>J$14*'Pensioenpremie CAO'!D$24</f>
        <v>#N/A</v>
      </c>
      <c r="K17" s="26" t="e">
        <f>K$14*'Pensioenpremie CAO'!E$24</f>
        <v>#N/A</v>
      </c>
      <c r="L17" s="88"/>
      <c r="M17" s="23"/>
    </row>
    <row r="18" spans="1:13" x14ac:dyDescent="0.25">
      <c r="A18" s="31" t="s">
        <v>25</v>
      </c>
      <c r="B18" s="77"/>
      <c r="C18" s="32"/>
      <c r="D18" s="77"/>
      <c r="E18" s="36"/>
      <c r="F18" s="77"/>
      <c r="G18" s="34" t="e">
        <f>SUM(G16:G17)</f>
        <v>#N/A</v>
      </c>
      <c r="H18" s="34" t="e">
        <f t="shared" ref="H18:K18" si="3">SUM(H16:H17)</f>
        <v>#N/A</v>
      </c>
      <c r="I18" s="77"/>
      <c r="J18" s="34" t="e">
        <f t="shared" si="3"/>
        <v>#N/A</v>
      </c>
      <c r="K18" s="34" t="e">
        <f t="shared" si="3"/>
        <v>#N/A</v>
      </c>
      <c r="L18" s="89"/>
      <c r="M18" s="35"/>
    </row>
    <row r="19" spans="1:13" ht="8.25" customHeight="1" x14ac:dyDescent="0.25">
      <c r="B19" s="3"/>
      <c r="D19" s="3"/>
      <c r="E19" s="13"/>
      <c r="F19" s="3"/>
      <c r="I19" s="3"/>
      <c r="L19" s="1"/>
    </row>
    <row r="20" spans="1:13" x14ac:dyDescent="0.25">
      <c r="A20" s="20" t="s">
        <v>26</v>
      </c>
      <c r="B20" s="75"/>
      <c r="C20" s="21" t="s">
        <v>19</v>
      </c>
      <c r="D20" s="75"/>
      <c r="E20" s="30">
        <v>6.6600000000000006E-2</v>
      </c>
      <c r="F20" s="75"/>
      <c r="G20" s="22" t="e">
        <f>G$14*$E20</f>
        <v>#N/A</v>
      </c>
      <c r="H20" s="22" t="e">
        <f t="shared" ref="H20:K23" si="4">H$14*$E20</f>
        <v>#N/A</v>
      </c>
      <c r="I20" s="75"/>
      <c r="J20" s="22" t="e">
        <f t="shared" si="4"/>
        <v>#N/A</v>
      </c>
      <c r="K20" s="22" t="e">
        <f t="shared" si="4"/>
        <v>#N/A</v>
      </c>
      <c r="L20" s="87"/>
      <c r="M20" s="20"/>
    </row>
    <row r="21" spans="1:13" x14ac:dyDescent="0.25">
      <c r="A21" s="23" t="s">
        <v>27</v>
      </c>
      <c r="B21" s="76"/>
      <c r="C21" s="24" t="s">
        <v>19</v>
      </c>
      <c r="D21" s="76"/>
      <c r="E21" s="27">
        <v>2.64E-2</v>
      </c>
      <c r="F21" s="76"/>
      <c r="G21" s="26" t="e">
        <f>G$14*$E21</f>
        <v>#N/A</v>
      </c>
      <c r="H21" s="26" t="e">
        <f t="shared" si="4"/>
        <v>#N/A</v>
      </c>
      <c r="I21" s="76"/>
      <c r="J21" s="26" t="e">
        <f t="shared" si="4"/>
        <v>#N/A</v>
      </c>
      <c r="K21" s="26" t="e">
        <f t="shared" si="4"/>
        <v>#N/A</v>
      </c>
      <c r="L21" s="88"/>
      <c r="M21" s="23"/>
    </row>
    <row r="22" spans="1:13" x14ac:dyDescent="0.25">
      <c r="A22" s="23" t="s">
        <v>28</v>
      </c>
      <c r="B22" s="76"/>
      <c r="C22" s="24" t="s">
        <v>19</v>
      </c>
      <c r="D22" s="76"/>
      <c r="E22" s="27">
        <v>9.4000000000000004E-3</v>
      </c>
      <c r="F22" s="76"/>
      <c r="G22" s="26" t="e">
        <f t="shared" ref="G22:G23" si="5">G$14*$E22</f>
        <v>#N/A</v>
      </c>
      <c r="H22" s="26" t="e">
        <f t="shared" si="4"/>
        <v>#N/A</v>
      </c>
      <c r="I22" s="76"/>
      <c r="J22" s="26" t="e">
        <f t="shared" si="4"/>
        <v>#N/A</v>
      </c>
      <c r="K22" s="26" t="e">
        <f t="shared" si="4"/>
        <v>#N/A</v>
      </c>
      <c r="L22" s="88"/>
      <c r="M22" s="23"/>
    </row>
    <row r="23" spans="1:13" x14ac:dyDescent="0.25">
      <c r="A23" s="23" t="s">
        <v>29</v>
      </c>
      <c r="B23" s="76"/>
      <c r="C23" s="24" t="s">
        <v>19</v>
      </c>
      <c r="D23" s="76"/>
      <c r="E23" s="27">
        <v>6.6500000000000004E-2</v>
      </c>
      <c r="F23" s="76"/>
      <c r="G23" s="26" t="e">
        <f t="shared" si="5"/>
        <v>#N/A</v>
      </c>
      <c r="H23" s="26" t="e">
        <f t="shared" si="4"/>
        <v>#N/A</v>
      </c>
      <c r="I23" s="76"/>
      <c r="J23" s="26" t="e">
        <f t="shared" si="4"/>
        <v>#N/A</v>
      </c>
      <c r="K23" s="26" t="e">
        <f t="shared" si="4"/>
        <v>#N/A</v>
      </c>
      <c r="L23" s="88"/>
      <c r="M23" s="23"/>
    </row>
    <row r="24" spans="1:13" x14ac:dyDescent="0.25">
      <c r="A24" s="23" t="s">
        <v>30</v>
      </c>
      <c r="B24" s="76"/>
      <c r="C24" s="24" t="s">
        <v>31</v>
      </c>
      <c r="D24" s="76"/>
      <c r="E24" s="64">
        <v>9.1000000000000004E-3</v>
      </c>
      <c r="F24" s="76"/>
      <c r="G24" s="26" t="e">
        <f>G$14*$E24</f>
        <v>#N/A</v>
      </c>
      <c r="H24" s="26" t="e">
        <f>H$14*$E24</f>
        <v>#N/A</v>
      </c>
      <c r="I24" s="76"/>
      <c r="J24" s="26" t="e">
        <f>J$14*$E24</f>
        <v>#N/A</v>
      </c>
      <c r="K24" s="26" t="e">
        <f>K$14*$E24</f>
        <v>#N/A</v>
      </c>
      <c r="L24" s="88"/>
      <c r="M24" s="63" t="s">
        <v>72</v>
      </c>
    </row>
    <row r="25" spans="1:13" x14ac:dyDescent="0.25">
      <c r="A25" s="23" t="s">
        <v>32</v>
      </c>
      <c r="B25" s="76"/>
      <c r="C25" s="24" t="s">
        <v>31</v>
      </c>
      <c r="D25" s="76"/>
      <c r="E25" s="64">
        <v>0</v>
      </c>
      <c r="F25" s="76"/>
      <c r="G25" s="26" t="e">
        <f>G$14*$E25</f>
        <v>#N/A</v>
      </c>
      <c r="H25" s="26" t="e">
        <f>H$14*$E25</f>
        <v>#N/A</v>
      </c>
      <c r="I25" s="76"/>
      <c r="J25" s="26" t="e">
        <f>J$14*$E25</f>
        <v>#N/A</v>
      </c>
      <c r="K25" s="26" t="e">
        <f>K$14*$E25</f>
        <v>#N/A</v>
      </c>
      <c r="L25" s="88"/>
      <c r="M25" s="63" t="s">
        <v>73</v>
      </c>
    </row>
    <row r="26" spans="1:13" x14ac:dyDescent="0.25">
      <c r="A26" s="31" t="s">
        <v>34</v>
      </c>
      <c r="B26" s="77"/>
      <c r="C26" s="32"/>
      <c r="D26" s="77"/>
      <c r="E26" s="33">
        <f>SUM(E20:E25)</f>
        <v>0.17799999999999999</v>
      </c>
      <c r="F26" s="77"/>
      <c r="G26" s="34" t="e">
        <f>SUM(G20:G25)</f>
        <v>#N/A</v>
      </c>
      <c r="H26" s="34" t="e">
        <f t="shared" ref="H26:K26" si="6">SUM(H20:H25)</f>
        <v>#N/A</v>
      </c>
      <c r="I26" s="77"/>
      <c r="J26" s="34" t="e">
        <f t="shared" si="6"/>
        <v>#N/A</v>
      </c>
      <c r="K26" s="34" t="e">
        <f t="shared" si="6"/>
        <v>#N/A</v>
      </c>
      <c r="L26" s="89"/>
      <c r="M26" s="35"/>
    </row>
    <row r="27" spans="1:13" ht="8.25" customHeight="1" x14ac:dyDescent="0.25">
      <c r="B27" s="3"/>
      <c r="D27" s="3"/>
      <c r="F27" s="3"/>
      <c r="I27" s="3"/>
      <c r="L27" s="1"/>
    </row>
    <row r="28" spans="1:13" x14ac:dyDescent="0.25">
      <c r="A28" s="10" t="s">
        <v>35</v>
      </c>
      <c r="B28" s="78"/>
      <c r="C28" s="14"/>
      <c r="D28" s="78"/>
      <c r="F28" s="78"/>
      <c r="G28" s="11" t="e">
        <f>G14+G18+G26</f>
        <v>#N/A</v>
      </c>
      <c r="H28" s="11" t="e">
        <f t="shared" ref="H28:K28" si="7">H14+H18+H26</f>
        <v>#N/A</v>
      </c>
      <c r="I28" s="78"/>
      <c r="J28" s="11" t="e">
        <f t="shared" si="7"/>
        <v>#N/A</v>
      </c>
      <c r="K28" s="11" t="e">
        <f t="shared" si="7"/>
        <v>#N/A</v>
      </c>
      <c r="L28" s="1"/>
    </row>
    <row r="29" spans="1:13" x14ac:dyDescent="0.25">
      <c r="B29" s="3"/>
      <c r="D29" s="3"/>
      <c r="F29" s="3"/>
      <c r="I29" s="3"/>
      <c r="L29" s="1"/>
    </row>
    <row r="30" spans="1:13" x14ac:dyDescent="0.25">
      <c r="A30" s="2" t="s">
        <v>74</v>
      </c>
      <c r="B30" s="3"/>
      <c r="C30" s="4"/>
      <c r="D30" s="3"/>
      <c r="E30" s="1"/>
      <c r="F30" s="3"/>
      <c r="G30" s="3"/>
      <c r="H30" s="3"/>
      <c r="I30" s="3"/>
      <c r="J30" s="3"/>
      <c r="K30" s="3"/>
      <c r="L30" s="1"/>
      <c r="M30" s="1"/>
    </row>
    <row r="31" spans="1:13" ht="8.25" customHeight="1" x14ac:dyDescent="0.25">
      <c r="B31" s="3"/>
      <c r="D31" s="3"/>
      <c r="F31" s="3"/>
      <c r="I31" s="3"/>
      <c r="L31" s="1"/>
    </row>
    <row r="32" spans="1:13" x14ac:dyDescent="0.25">
      <c r="A32" s="20" t="s">
        <v>36</v>
      </c>
      <c r="B32" s="75"/>
      <c r="C32" s="21" t="s">
        <v>19</v>
      </c>
      <c r="D32" s="75"/>
      <c r="E32" s="29">
        <v>0.13589999999999999</v>
      </c>
      <c r="F32" s="75"/>
      <c r="G32" s="22" t="e">
        <f>G$28*$E32</f>
        <v>#N/A</v>
      </c>
      <c r="H32" s="22" t="e">
        <f t="shared" ref="H32:K32" si="8">H$28*$E32</f>
        <v>#N/A</v>
      </c>
      <c r="I32" s="75"/>
      <c r="J32" s="22" t="e">
        <f t="shared" si="8"/>
        <v>#N/A</v>
      </c>
      <c r="K32" s="22" t="e">
        <f t="shared" si="8"/>
        <v>#N/A</v>
      </c>
      <c r="L32" s="87"/>
      <c r="M32" s="20"/>
    </row>
    <row r="33" spans="1:13" x14ac:dyDescent="0.25">
      <c r="A33" s="23" t="s">
        <v>42</v>
      </c>
      <c r="B33" s="76"/>
      <c r="C33" s="24" t="s">
        <v>31</v>
      </c>
      <c r="D33" s="76"/>
      <c r="E33" s="65">
        <v>6.3399999999999998E-2</v>
      </c>
      <c r="F33" s="76"/>
      <c r="G33" s="26" t="e">
        <f>G$28*$E33</f>
        <v>#N/A</v>
      </c>
      <c r="H33" s="26" t="e">
        <f>H$28*$E33</f>
        <v>#N/A</v>
      </c>
      <c r="I33" s="76"/>
      <c r="J33" s="26" t="e">
        <f>J$28*$E33</f>
        <v>#N/A</v>
      </c>
      <c r="K33" s="26" t="e">
        <f>K$28*$E33</f>
        <v>#N/A</v>
      </c>
      <c r="L33" s="88"/>
      <c r="M33" s="63" t="s">
        <v>75</v>
      </c>
    </row>
    <row r="34" spans="1:13" x14ac:dyDescent="0.25">
      <c r="A34" s="23" t="s">
        <v>38</v>
      </c>
      <c r="B34" s="76"/>
      <c r="C34" s="24" t="s">
        <v>19</v>
      </c>
      <c r="D34" s="76"/>
      <c r="E34" s="27">
        <v>0.02</v>
      </c>
      <c r="F34" s="76"/>
      <c r="G34" s="26" t="e">
        <f t="shared" ref="G34:K34" si="9">G$28*$E34</f>
        <v>#N/A</v>
      </c>
      <c r="H34" s="26" t="e">
        <f t="shared" si="9"/>
        <v>#N/A</v>
      </c>
      <c r="I34" s="76"/>
      <c r="J34" s="26" t="e">
        <f t="shared" si="9"/>
        <v>#N/A</v>
      </c>
      <c r="K34" s="26" t="e">
        <f t="shared" si="9"/>
        <v>#N/A</v>
      </c>
      <c r="L34" s="88"/>
      <c r="M34" s="23"/>
    </row>
    <row r="35" spans="1:13" ht="31.5" x14ac:dyDescent="0.25">
      <c r="A35" s="96" t="s">
        <v>76</v>
      </c>
      <c r="B35" s="79"/>
      <c r="C35" s="14"/>
      <c r="D35" s="79"/>
      <c r="E35" s="15">
        <f>SUM(E32:E34)</f>
        <v>0.21929999999999997</v>
      </c>
      <c r="F35" s="79"/>
      <c r="G35" s="16" t="e">
        <f t="shared" ref="G35:K35" si="10">SUM(G32:G34)</f>
        <v>#N/A</v>
      </c>
      <c r="H35" s="16" t="e">
        <f t="shared" si="10"/>
        <v>#N/A</v>
      </c>
      <c r="I35" s="79"/>
      <c r="J35" s="16" t="e">
        <f t="shared" si="10"/>
        <v>#N/A</v>
      </c>
      <c r="K35" s="16" t="e">
        <f t="shared" si="10"/>
        <v>#N/A</v>
      </c>
      <c r="L35" s="1"/>
    </row>
    <row r="36" spans="1:13" x14ac:dyDescent="0.25">
      <c r="B36" s="3"/>
      <c r="D36" s="3"/>
      <c r="F36" s="3"/>
      <c r="I36" s="3"/>
      <c r="L36" s="1"/>
    </row>
    <row r="37" spans="1:13" x14ac:dyDescent="0.25">
      <c r="A37" s="2" t="s">
        <v>77</v>
      </c>
      <c r="B37" s="3"/>
      <c r="C37" s="4"/>
      <c r="D37" s="3"/>
      <c r="E37" s="1"/>
      <c r="F37" s="3"/>
      <c r="G37" s="3"/>
      <c r="H37" s="3"/>
      <c r="I37" s="3"/>
      <c r="J37" s="3"/>
      <c r="K37" s="3"/>
      <c r="L37" s="1"/>
      <c r="M37" s="1"/>
    </row>
    <row r="38" spans="1:13" ht="8.25" customHeight="1" x14ac:dyDescent="0.25">
      <c r="B38" s="3"/>
      <c r="D38" s="3"/>
      <c r="F38" s="3"/>
      <c r="I38" s="3"/>
      <c r="L38" s="1"/>
    </row>
    <row r="39" spans="1:13" x14ac:dyDescent="0.25">
      <c r="A39" s="43" t="s">
        <v>78</v>
      </c>
      <c r="B39" s="80"/>
      <c r="C39" s="44" t="s">
        <v>31</v>
      </c>
      <c r="D39" s="80"/>
      <c r="E39" s="66">
        <v>2.5000000000000001E-2</v>
      </c>
      <c r="F39" s="80"/>
      <c r="G39" s="46" t="e">
        <f>$E39*G$28</f>
        <v>#N/A</v>
      </c>
      <c r="H39" s="46" t="e">
        <f t="shared" ref="H39:K41" si="11">$E39*H$28</f>
        <v>#N/A</v>
      </c>
      <c r="I39" s="80"/>
      <c r="J39" s="46" t="e">
        <f t="shared" si="11"/>
        <v>#N/A</v>
      </c>
      <c r="K39" s="46" t="e">
        <f t="shared" si="11"/>
        <v>#N/A</v>
      </c>
      <c r="L39" s="87"/>
      <c r="M39" s="67"/>
    </row>
    <row r="40" spans="1:13" x14ac:dyDescent="0.25">
      <c r="A40" s="45" t="s">
        <v>79</v>
      </c>
      <c r="B40" s="81"/>
      <c r="C40" s="24" t="s">
        <v>31</v>
      </c>
      <c r="D40" s="81"/>
      <c r="E40" s="64">
        <v>2.5000000000000001E-2</v>
      </c>
      <c r="F40" s="81"/>
      <c r="G40" s="47" t="e">
        <f>$E40*G$28</f>
        <v>#N/A</v>
      </c>
      <c r="H40" s="47" t="e">
        <f t="shared" si="11"/>
        <v>#N/A</v>
      </c>
      <c r="I40" s="81"/>
      <c r="J40" s="47" t="e">
        <f t="shared" si="11"/>
        <v>#N/A</v>
      </c>
      <c r="K40" s="47" t="e">
        <f t="shared" si="11"/>
        <v>#N/A</v>
      </c>
      <c r="L40" s="88"/>
      <c r="M40" s="63" t="s">
        <v>80</v>
      </c>
    </row>
    <row r="41" spans="1:13" x14ac:dyDescent="0.25">
      <c r="A41" s="45" t="s">
        <v>81</v>
      </c>
      <c r="B41" s="81"/>
      <c r="C41" s="24" t="s">
        <v>31</v>
      </c>
      <c r="D41" s="81"/>
      <c r="E41" s="64">
        <v>2.5000000000000001E-2</v>
      </c>
      <c r="F41" s="81"/>
      <c r="G41" s="47" t="e">
        <f>$E41*G$28</f>
        <v>#N/A</v>
      </c>
      <c r="H41" s="47" t="e">
        <f t="shared" si="11"/>
        <v>#N/A</v>
      </c>
      <c r="I41" s="81"/>
      <c r="J41" s="47" t="e">
        <f t="shared" si="11"/>
        <v>#N/A</v>
      </c>
      <c r="K41" s="47" t="e">
        <f t="shared" si="11"/>
        <v>#N/A</v>
      </c>
      <c r="L41" s="88"/>
      <c r="M41" s="63" t="s">
        <v>82</v>
      </c>
    </row>
    <row r="42" spans="1:13" ht="8.25" customHeight="1" x14ac:dyDescent="0.25">
      <c r="A42" s="7"/>
      <c r="B42" s="82"/>
      <c r="D42" s="82"/>
      <c r="E42" s="8"/>
      <c r="F42" s="82"/>
      <c r="G42" s="9"/>
      <c r="H42" s="9"/>
      <c r="I42" s="82"/>
      <c r="J42" s="9"/>
      <c r="K42" s="9"/>
      <c r="L42" s="1"/>
    </row>
    <row r="43" spans="1:13" ht="31.5" x14ac:dyDescent="0.25">
      <c r="A43" s="43" t="s">
        <v>83</v>
      </c>
      <c r="B43" s="83"/>
      <c r="C43" s="21" t="s">
        <v>31</v>
      </c>
      <c r="D43" s="83"/>
      <c r="E43" s="20"/>
      <c r="F43" s="83"/>
      <c r="G43" s="68">
        <v>0.28000000000000003</v>
      </c>
      <c r="H43" s="68">
        <v>0.28000000000000003</v>
      </c>
      <c r="I43" s="83"/>
      <c r="J43" s="68">
        <v>0.28000000000000003</v>
      </c>
      <c r="K43" s="68">
        <v>0.28000000000000003</v>
      </c>
      <c r="L43" s="87"/>
      <c r="M43" s="69" t="s">
        <v>84</v>
      </c>
    </row>
    <row r="44" spans="1:13" x14ac:dyDescent="0.25">
      <c r="A44" s="45" t="s">
        <v>46</v>
      </c>
      <c r="B44" s="84"/>
      <c r="C44" s="24" t="s">
        <v>31</v>
      </c>
      <c r="D44" s="84"/>
      <c r="E44" s="23"/>
      <c r="F44" s="84"/>
      <c r="G44" s="70">
        <v>0.2</v>
      </c>
      <c r="H44" s="70">
        <v>0.2</v>
      </c>
      <c r="I44" s="84"/>
      <c r="J44" s="70">
        <v>0.2</v>
      </c>
      <c r="K44" s="70">
        <v>0.2</v>
      </c>
      <c r="L44" s="88"/>
      <c r="M44" s="63"/>
    </row>
    <row r="45" spans="1:13" x14ac:dyDescent="0.25">
      <c r="A45" s="10" t="s">
        <v>85</v>
      </c>
      <c r="B45" s="85"/>
      <c r="D45" s="85"/>
      <c r="F45" s="85"/>
      <c r="G45" s="12">
        <f>SUM(G43:G44)</f>
        <v>0.48000000000000004</v>
      </c>
      <c r="H45" s="12">
        <f t="shared" ref="H45:K45" si="12">SUM(H43:H44)</f>
        <v>0.48000000000000004</v>
      </c>
      <c r="I45" s="85"/>
      <c r="J45" s="12">
        <f t="shared" si="12"/>
        <v>0.48000000000000004</v>
      </c>
      <c r="K45" s="12">
        <f t="shared" si="12"/>
        <v>0.48000000000000004</v>
      </c>
      <c r="L45" s="1"/>
    </row>
    <row r="46" spans="1:13" ht="8.25" customHeight="1" x14ac:dyDescent="0.25">
      <c r="A46" s="7"/>
      <c r="B46" s="85"/>
      <c r="D46" s="85"/>
      <c r="F46" s="85"/>
      <c r="G46" s="12"/>
      <c r="H46" s="12"/>
      <c r="I46" s="85"/>
      <c r="J46" s="12"/>
      <c r="K46" s="12"/>
      <c r="L46" s="1"/>
    </row>
    <row r="47" spans="1:13" x14ac:dyDescent="0.25">
      <c r="A47" s="43" t="s">
        <v>86</v>
      </c>
      <c r="B47" s="80"/>
      <c r="C47" s="21" t="s">
        <v>31</v>
      </c>
      <c r="D47" s="80"/>
      <c r="E47" s="66">
        <v>0.15</v>
      </c>
      <c r="F47" s="80"/>
      <c r="G47" s="46" t="e">
        <f>$E47*(G$28+G$35+G$39+G$40+G$45)</f>
        <v>#N/A</v>
      </c>
      <c r="H47" s="46" t="e">
        <f>$E47*(H$28+H$35+H$39+H$40+H$45)</f>
        <v>#N/A</v>
      </c>
      <c r="I47" s="80"/>
      <c r="J47" s="46" t="e">
        <f>$E47*(J$28+J$35+J$39+J$40+J$45)</f>
        <v>#N/A</v>
      </c>
      <c r="K47" s="46" t="e">
        <f>$E47*(K$28+K$35+K$39+K$40+K$45)</f>
        <v>#N/A</v>
      </c>
      <c r="L47" s="87"/>
      <c r="M47" s="71" t="s">
        <v>7</v>
      </c>
    </row>
    <row r="48" spans="1:13" x14ac:dyDescent="0.25">
      <c r="A48" s="10" t="s">
        <v>87</v>
      </c>
      <c r="B48" s="78"/>
      <c r="D48" s="78"/>
      <c r="F48" s="78"/>
      <c r="G48" s="11" t="e">
        <f>G$28+G$35+G$39+G$40+G$45+G$47</f>
        <v>#N/A</v>
      </c>
      <c r="H48" s="11" t="e">
        <f t="shared" ref="H48:K48" si="13">H$28+H$35+H$39+H$40+H$45+H$47</f>
        <v>#N/A</v>
      </c>
      <c r="I48" s="78"/>
      <c r="J48" s="11" t="e">
        <f t="shared" si="13"/>
        <v>#N/A</v>
      </c>
      <c r="K48" s="11" t="e">
        <f t="shared" si="13"/>
        <v>#N/A</v>
      </c>
      <c r="L48" s="1"/>
    </row>
    <row r="49" spans="1:13" ht="8.25" customHeight="1" x14ac:dyDescent="0.25">
      <c r="A49" s="10"/>
      <c r="B49" s="78"/>
      <c r="D49" s="78"/>
      <c r="F49" s="78"/>
      <c r="G49" s="11"/>
      <c r="H49" s="11"/>
      <c r="I49" s="78"/>
      <c r="J49" s="11"/>
      <c r="K49" s="11"/>
      <c r="L49" s="1"/>
    </row>
    <row r="50" spans="1:13" x14ac:dyDescent="0.25">
      <c r="A50" s="48" t="s">
        <v>88</v>
      </c>
      <c r="B50" s="80"/>
      <c r="C50" s="21" t="s">
        <v>31</v>
      </c>
      <c r="D50" s="80"/>
      <c r="E50" s="66">
        <v>0</v>
      </c>
      <c r="F50" s="80"/>
      <c r="G50" s="46" t="e">
        <f>$E50*G$48</f>
        <v>#N/A</v>
      </c>
      <c r="H50" s="46" t="e">
        <f t="shared" ref="H50:K50" si="14">$E50*H$48</f>
        <v>#N/A</v>
      </c>
      <c r="I50" s="80"/>
      <c r="J50" s="46" t="e">
        <f t="shared" si="14"/>
        <v>#N/A</v>
      </c>
      <c r="K50" s="46" t="e">
        <f t="shared" si="14"/>
        <v>#N/A</v>
      </c>
      <c r="L50" s="87"/>
      <c r="M50" s="67" t="s">
        <v>89</v>
      </c>
    </row>
    <row r="51" spans="1:13" x14ac:dyDescent="0.25">
      <c r="A51" s="45" t="s">
        <v>90</v>
      </c>
      <c r="B51" s="81"/>
      <c r="C51" s="24" t="s">
        <v>31</v>
      </c>
      <c r="D51" s="81"/>
      <c r="E51" s="64">
        <v>0.05</v>
      </c>
      <c r="F51" s="81"/>
      <c r="G51" s="47" t="e">
        <f>$E51*G$48</f>
        <v>#N/A</v>
      </c>
      <c r="H51" s="47" t="e">
        <f t="shared" ref="H51:K51" si="15">$E51*H$48</f>
        <v>#N/A</v>
      </c>
      <c r="I51" s="81"/>
      <c r="J51" s="47" t="e">
        <f t="shared" si="15"/>
        <v>#N/A</v>
      </c>
      <c r="K51" s="47" t="e">
        <f t="shared" si="15"/>
        <v>#N/A</v>
      </c>
      <c r="L51" s="88"/>
      <c r="M51" s="63"/>
    </row>
    <row r="52" spans="1:13" ht="8.25" customHeight="1" x14ac:dyDescent="0.25">
      <c r="B52" s="3"/>
      <c r="D52" s="3"/>
      <c r="F52" s="3"/>
      <c r="I52" s="3"/>
      <c r="L52" s="1"/>
    </row>
    <row r="53" spans="1:13" x14ac:dyDescent="0.25">
      <c r="A53" s="10" t="s">
        <v>91</v>
      </c>
      <c r="B53" s="78"/>
      <c r="D53" s="78"/>
      <c r="F53" s="78"/>
      <c r="G53" s="11" t="e">
        <f>G$48+G$51</f>
        <v>#N/A</v>
      </c>
      <c r="H53" s="11" t="e">
        <f t="shared" ref="H53:K53" si="16">H$48+H$51</f>
        <v>#N/A</v>
      </c>
      <c r="I53" s="78"/>
      <c r="J53" s="11" t="e">
        <f t="shared" si="16"/>
        <v>#N/A</v>
      </c>
      <c r="K53" s="11" t="e">
        <f t="shared" si="16"/>
        <v>#N/A</v>
      </c>
      <c r="L53" s="1"/>
    </row>
    <row r="54" spans="1:13" x14ac:dyDescent="0.25">
      <c r="B54" s="3"/>
      <c r="D54" s="3"/>
      <c r="F54" s="3"/>
      <c r="I54" s="3"/>
      <c r="L54" s="1"/>
    </row>
    <row r="55" spans="1:13" ht="18.75" x14ac:dyDescent="0.3">
      <c r="A55" s="38" t="s">
        <v>92</v>
      </c>
      <c r="B55" s="98"/>
      <c r="C55" s="42"/>
      <c r="D55" s="98"/>
      <c r="E55" s="40"/>
      <c r="F55" s="98"/>
      <c r="G55" s="115" t="e">
        <f>(G53*G7)+(H53*H7)</f>
        <v>#N/A</v>
      </c>
      <c r="H55" s="115"/>
      <c r="I55" s="98"/>
      <c r="J55" s="115" t="e">
        <f>(J53*J7)+(K53*K7)</f>
        <v>#N/A</v>
      </c>
      <c r="K55" s="115"/>
      <c r="L55" s="41"/>
      <c r="M55" s="38" t="s">
        <v>93</v>
      </c>
    </row>
  </sheetData>
  <mergeCells count="6">
    <mergeCell ref="J3:K3"/>
    <mergeCell ref="G3:H3"/>
    <mergeCell ref="G4:H4"/>
    <mergeCell ref="J4:K4"/>
    <mergeCell ref="G55:H55"/>
    <mergeCell ref="J55:K55"/>
  </mergeCells>
  <phoneticPr fontId="26" type="noConversion"/>
  <dataValidations count="6">
    <dataValidation type="list" showInputMessage="1" showErrorMessage="1" sqref="J5:K5 H5">
      <formula1>"FWG10,FWG15,FWG20,FWG25,FWG30"</formula1>
    </dataValidation>
    <dataValidation type="list" showInputMessage="1" showErrorMessage="1" sqref="G5">
      <formula1>",FWG10,FWG15,FWG20,FWG25,FWG30"</formula1>
    </dataValidation>
    <dataValidation type="list" showInputMessage="1" showErrorMessage="1" sqref="G6">
      <formula1>INDIRECT($G$4&amp;$G$5)</formula1>
    </dataValidation>
    <dataValidation type="list" allowBlank="1" showInputMessage="1" showErrorMessage="1" sqref="H6">
      <formula1>INDIRECT($G$4&amp;$H$5)</formula1>
    </dataValidation>
    <dataValidation type="list" allowBlank="1" showInputMessage="1" showErrorMessage="1" sqref="J6">
      <formula1>INDIRECT($J$4&amp;$J$5)</formula1>
    </dataValidation>
    <dataValidation type="list" allowBlank="1" showInputMessage="1" showErrorMessage="1" sqref="K6">
      <formula1>INDIRECT($J$4&amp;$K$5)</formula1>
    </dataValidation>
  </dataValidations>
  <hyperlinks>
    <hyperlink ref="M47" location="Toelichting!A1" display="Toelichting"/>
  </hyperlinks>
  <pageMargins left="0.7" right="0.7" top="0.75" bottom="0.75" header="0.3" footer="0.3"/>
  <pageSetup paperSize="9" scale="66" fitToHeight="2" orientation="landscape" horizontalDpi="0" verticalDpi="0"/>
  <ignoredErrors>
    <ignoredError sqref="H1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B13" zoomScale="90" zoomScaleNormal="90" workbookViewId="0">
      <selection activeCell="E23" sqref="E23"/>
    </sheetView>
  </sheetViews>
  <sheetFormatPr defaultColWidth="10.625" defaultRowHeight="15.75" x14ac:dyDescent="0.25"/>
  <cols>
    <col min="1" max="1" width="45.5" style="117" customWidth="1"/>
    <col min="2" max="2" width="8.125" style="117" customWidth="1"/>
    <col min="3" max="3" width="12.125" style="117" bestFit="1" customWidth="1"/>
    <col min="4" max="4" width="12.5" style="117" bestFit="1" customWidth="1"/>
    <col min="5" max="5" width="14.125" style="117" customWidth="1"/>
    <col min="6" max="6" width="14.625" style="117" customWidth="1"/>
    <col min="7" max="7" width="14.125" style="117" customWidth="1"/>
    <col min="8" max="8" width="14.625" style="117" customWidth="1"/>
    <col min="9" max="16384" width="10.625" style="117"/>
  </cols>
  <sheetData>
    <row r="1" spans="1:8" x14ac:dyDescent="0.25">
      <c r="A1" s="286" t="s">
        <v>94</v>
      </c>
      <c r="B1" s="286"/>
      <c r="C1" s="286"/>
      <c r="D1" s="286"/>
      <c r="E1" s="286"/>
      <c r="F1" s="286"/>
      <c r="G1" s="287"/>
      <c r="H1" s="287"/>
    </row>
    <row r="2" spans="1:8" x14ac:dyDescent="0.25">
      <c r="A2" s="288"/>
      <c r="B2" s="288"/>
    </row>
    <row r="3" spans="1:8" x14ac:dyDescent="0.25">
      <c r="A3" s="289" t="s">
        <v>95</v>
      </c>
      <c r="B3" s="289"/>
      <c r="C3" s="290" t="str">
        <f>'Invulblad HV schaal'!I3</f>
        <v>Hulp bij Huishouden</v>
      </c>
      <c r="D3" s="290"/>
      <c r="E3" s="290"/>
      <c r="F3" s="290"/>
      <c r="G3" s="290"/>
      <c r="H3" s="290"/>
    </row>
    <row r="4" spans="1:8" x14ac:dyDescent="0.25">
      <c r="A4" s="291" t="s">
        <v>11</v>
      </c>
      <c r="B4" s="291"/>
      <c r="C4" s="292" t="str">
        <f>IF('Invulblad HV schaal'!I5="","",'Invulblad HV schaal'!I5)</f>
        <v>HH</v>
      </c>
      <c r="D4" s="292" t="str">
        <f>IF('Invulblad HV schaal'!J5="","",'Invulblad HV schaal'!J5)</f>
        <v>HH</v>
      </c>
      <c r="E4" s="292" t="str">
        <f>IF('Invulblad HV schaal'!K5="","",'Invulblad HV schaal'!K5)</f>
        <v>HH</v>
      </c>
      <c r="F4" s="292" t="str">
        <f>IF('Invulblad HV schaal'!L5="","",'Invulblad HV schaal'!L5)</f>
        <v>HH</v>
      </c>
      <c r="G4" s="292" t="str">
        <f>IF('Invulblad HV schaal'!M5="","",'Invulblad HV schaal'!M5)</f>
        <v>HH</v>
      </c>
      <c r="H4" s="292" t="str">
        <f>IF('Invulblad HV schaal'!N5="","",'Invulblad HV schaal'!N5)</f>
        <v>HH</v>
      </c>
    </row>
    <row r="5" spans="1:8" x14ac:dyDescent="0.25">
      <c r="A5" s="291" t="s">
        <v>12</v>
      </c>
      <c r="B5" s="291"/>
      <c r="C5" s="292">
        <f>IF('Invulblad HV schaal'!I6="","",'Invulblad HV schaal'!I6)</f>
        <v>0</v>
      </c>
      <c r="D5" s="292">
        <f>IF('Invulblad HV schaal'!J6="","",'Invulblad HV schaal'!J6)</f>
        <v>1</v>
      </c>
      <c r="E5" s="292">
        <f>IF('Invulblad HV schaal'!K6="","",'Invulblad HV schaal'!K6)</f>
        <v>2</v>
      </c>
      <c r="F5" s="292">
        <f>IF('Invulblad HV schaal'!L6="","",'Invulblad HV schaal'!L6)</f>
        <v>3</v>
      </c>
      <c r="G5" s="292">
        <f>IF('Invulblad HV schaal'!M6="","",'Invulblad HV schaal'!M6)</f>
        <v>4</v>
      </c>
      <c r="H5" s="292">
        <f>IF('Invulblad HV schaal'!N6="","",'Invulblad HV schaal'!N6)</f>
        <v>5</v>
      </c>
    </row>
    <row r="6" spans="1:8" x14ac:dyDescent="0.25">
      <c r="A6" s="288"/>
      <c r="B6" s="288"/>
    </row>
    <row r="7" spans="1:8" x14ac:dyDescent="0.25">
      <c r="A7" s="293" t="s">
        <v>96</v>
      </c>
      <c r="B7" s="293"/>
      <c r="C7" s="294">
        <f>'Invulblad HV schaal'!I10</f>
        <v>10.76</v>
      </c>
      <c r="D7" s="294">
        <f>'Invulblad HV schaal'!J10</f>
        <v>11.3</v>
      </c>
      <c r="E7" s="294">
        <f>'Invulblad HV schaal'!K10</f>
        <v>11.84</v>
      </c>
      <c r="F7" s="294">
        <f>'Invulblad HV schaal'!L10</f>
        <v>12.38</v>
      </c>
      <c r="G7" s="294">
        <f>'Invulblad HV schaal'!M10</f>
        <v>12.92</v>
      </c>
      <c r="H7" s="294">
        <f>'Invulblad HV schaal'!N10</f>
        <v>13.45</v>
      </c>
    </row>
    <row r="8" spans="1:8" x14ac:dyDescent="0.25">
      <c r="A8" s="293" t="s">
        <v>97</v>
      </c>
      <c r="B8" s="293"/>
      <c r="C8" s="294">
        <f>C7*1878</f>
        <v>20207.28</v>
      </c>
      <c r="D8" s="294">
        <f t="shared" ref="D8:H8" si="0">D7*1878</f>
        <v>21221.4</v>
      </c>
      <c r="E8" s="294">
        <f t="shared" si="0"/>
        <v>22235.52</v>
      </c>
      <c r="F8" s="294">
        <f t="shared" si="0"/>
        <v>23249.640000000003</v>
      </c>
      <c r="G8" s="294">
        <f t="shared" si="0"/>
        <v>24263.759999999998</v>
      </c>
      <c r="H8" s="294">
        <f t="shared" si="0"/>
        <v>25259.1</v>
      </c>
    </row>
    <row r="9" spans="1:8" x14ac:dyDescent="0.25">
      <c r="A9" s="293" t="s">
        <v>98</v>
      </c>
      <c r="B9" s="293"/>
      <c r="C9" s="294">
        <f>'Invulblad HV schaal'!I13</f>
        <v>12.887295291799788</v>
      </c>
      <c r="D9" s="294">
        <f>'Invulblad HV schaal'!J13</f>
        <v>13.427295291799787</v>
      </c>
      <c r="E9" s="294">
        <f>'Invulblad HV schaal'!K13</f>
        <v>13.967295291799786</v>
      </c>
      <c r="F9" s="294">
        <f>'Invulblad HV schaal'!L13</f>
        <v>14.507295291799789</v>
      </c>
      <c r="G9" s="294">
        <f>'Invulblad HV schaal'!M13</f>
        <v>15.050661</v>
      </c>
      <c r="H9" s="294">
        <f>'Invulblad HV schaal'!N13</f>
        <v>15.646385</v>
      </c>
    </row>
    <row r="10" spans="1:8" x14ac:dyDescent="0.25">
      <c r="A10" s="291" t="s">
        <v>99</v>
      </c>
      <c r="B10" s="291"/>
      <c r="C10" s="295">
        <f>C9*1878</f>
        <v>24202.340558</v>
      </c>
      <c r="D10" s="295">
        <f t="shared" ref="D10:H10" si="1">D9*1878</f>
        <v>25216.460557999999</v>
      </c>
      <c r="E10" s="295">
        <f t="shared" si="1"/>
        <v>26230.580557999998</v>
      </c>
      <c r="F10" s="295">
        <f t="shared" si="1"/>
        <v>27244.700558000004</v>
      </c>
      <c r="G10" s="295">
        <f t="shared" si="1"/>
        <v>28265.141358000001</v>
      </c>
      <c r="H10" s="295">
        <f t="shared" si="1"/>
        <v>29383.911029999999</v>
      </c>
    </row>
    <row r="11" spans="1:8" x14ac:dyDescent="0.25">
      <c r="A11" s="288"/>
      <c r="B11" s="288"/>
    </row>
    <row r="12" spans="1:8" x14ac:dyDescent="0.25">
      <c r="A12" s="296" t="s">
        <v>100</v>
      </c>
      <c r="B12" s="296"/>
    </row>
    <row r="13" spans="1:8" x14ac:dyDescent="0.25">
      <c r="A13" s="200" t="s">
        <v>101</v>
      </c>
      <c r="B13" s="200"/>
      <c r="C13" s="297">
        <v>0.23499999999999999</v>
      </c>
      <c r="D13" s="297">
        <v>0.23499999999999999</v>
      </c>
      <c r="E13" s="297">
        <v>0.23499999999999999</v>
      </c>
      <c r="F13" s="297">
        <v>0.23499999999999999</v>
      </c>
      <c r="G13" s="297">
        <v>0.23499999999999999</v>
      </c>
      <c r="H13" s="297">
        <v>0.23499999999999999</v>
      </c>
    </row>
    <row r="14" spans="1:8" x14ac:dyDescent="0.25">
      <c r="A14" s="291" t="s">
        <v>102</v>
      </c>
      <c r="B14" s="291"/>
      <c r="C14" s="298">
        <v>12426</v>
      </c>
      <c r="D14" s="298">
        <v>12426</v>
      </c>
      <c r="E14" s="298">
        <v>12426</v>
      </c>
      <c r="F14" s="298">
        <v>12426</v>
      </c>
      <c r="G14" s="298">
        <v>12426</v>
      </c>
      <c r="H14" s="298">
        <v>12426</v>
      </c>
    </row>
    <row r="15" spans="1:8" x14ac:dyDescent="0.25">
      <c r="A15" s="291" t="s">
        <v>103</v>
      </c>
      <c r="B15" s="291"/>
      <c r="C15" s="295">
        <f>C10-C14</f>
        <v>11776.340558</v>
      </c>
      <c r="D15" s="295">
        <f t="shared" ref="D15:H15" si="2">D10-D14</f>
        <v>12790.460557999999</v>
      </c>
      <c r="E15" s="295">
        <f t="shared" si="2"/>
        <v>13804.580557999998</v>
      </c>
      <c r="F15" s="295">
        <f t="shared" si="2"/>
        <v>14818.700558000004</v>
      </c>
      <c r="G15" s="295">
        <f t="shared" si="2"/>
        <v>15839.141358000001</v>
      </c>
      <c r="H15" s="295">
        <f t="shared" si="2"/>
        <v>16957.911029999999</v>
      </c>
    </row>
    <row r="16" spans="1:8" x14ac:dyDescent="0.25">
      <c r="A16" s="291" t="s">
        <v>104</v>
      </c>
      <c r="B16" s="291"/>
      <c r="C16" s="295">
        <f>C15*C13</f>
        <v>2767.4400311299996</v>
      </c>
      <c r="D16" s="295">
        <f t="shared" ref="D16:H16" si="3">D15*D13</f>
        <v>3005.7582311299998</v>
      </c>
      <c r="E16" s="295">
        <f t="shared" si="3"/>
        <v>3244.0764311299995</v>
      </c>
      <c r="F16" s="295">
        <f t="shared" si="3"/>
        <v>3482.3946311300006</v>
      </c>
      <c r="G16" s="295">
        <f t="shared" si="3"/>
        <v>3722.1982191299999</v>
      </c>
      <c r="H16" s="295">
        <f t="shared" si="3"/>
        <v>3985.1090920499996</v>
      </c>
    </row>
    <row r="17" spans="1:8" x14ac:dyDescent="0.25">
      <c r="A17" s="288"/>
      <c r="B17" s="288"/>
    </row>
    <row r="18" spans="1:8" x14ac:dyDescent="0.25">
      <c r="A18" s="289" t="s">
        <v>105</v>
      </c>
      <c r="B18" s="289"/>
      <c r="C18" s="299">
        <f>IFERROR((C16/C10)*0.5,0)</f>
        <v>5.7172983424845496E-2</v>
      </c>
      <c r="D18" s="299">
        <f t="shared" ref="D18:H18" si="4">IFERROR((D16/D10)*0.5,0)</f>
        <v>5.9599130183566024E-2</v>
      </c>
      <c r="E18" s="299">
        <f t="shared" si="4"/>
        <v>6.1837678810745894E-2</v>
      </c>
      <c r="F18" s="299">
        <f t="shared" si="4"/>
        <v>6.3909578006124332E-2</v>
      </c>
      <c r="G18" s="299">
        <f t="shared" si="4"/>
        <v>6.5844323436869898E-2</v>
      </c>
      <c r="H18" s="299">
        <f t="shared" si="4"/>
        <v>6.781107334522854E-2</v>
      </c>
    </row>
    <row r="19" spans="1:8" x14ac:dyDescent="0.25">
      <c r="A19" s="288"/>
      <c r="B19" s="288"/>
    </row>
    <row r="20" spans="1:8" x14ac:dyDescent="0.25">
      <c r="A20" s="296" t="s">
        <v>106</v>
      </c>
      <c r="B20" s="296"/>
    </row>
    <row r="21" spans="1:8" x14ac:dyDescent="0.25">
      <c r="A21" s="200" t="s">
        <v>101</v>
      </c>
      <c r="B21" s="200"/>
      <c r="C21" s="300">
        <v>6.0000000000000001E-3</v>
      </c>
      <c r="D21" s="300">
        <v>6.0000000000000001E-3</v>
      </c>
      <c r="E21" s="300">
        <v>6.0000000000000001E-3</v>
      </c>
      <c r="F21" s="300">
        <v>6.0000000000000001E-3</v>
      </c>
      <c r="G21" s="300">
        <v>6.0000000000000001E-3</v>
      </c>
      <c r="H21" s="300">
        <v>6.0000000000000001E-3</v>
      </c>
    </row>
    <row r="22" spans="1:8" x14ac:dyDescent="0.25">
      <c r="A22" s="291" t="s">
        <v>107</v>
      </c>
      <c r="B22" s="291"/>
      <c r="C22" s="298">
        <v>20940</v>
      </c>
      <c r="D22" s="298">
        <v>20940</v>
      </c>
      <c r="E22" s="298">
        <v>20940</v>
      </c>
      <c r="F22" s="298">
        <v>20940</v>
      </c>
      <c r="G22" s="298">
        <v>20940</v>
      </c>
      <c r="H22" s="298">
        <v>20940</v>
      </c>
    </row>
    <row r="23" spans="1:8" x14ac:dyDescent="0.25">
      <c r="A23" s="291" t="s">
        <v>103</v>
      </c>
      <c r="B23" s="291"/>
      <c r="C23" s="295">
        <f>C10-C22</f>
        <v>3262.3405579999999</v>
      </c>
      <c r="D23" s="295">
        <f t="shared" ref="D23:H23" si="5">D10-D22</f>
        <v>4276.4605579999989</v>
      </c>
      <c r="E23" s="295">
        <f t="shared" si="5"/>
        <v>5290.5805579999978</v>
      </c>
      <c r="F23" s="295">
        <f t="shared" si="5"/>
        <v>6304.7005580000041</v>
      </c>
      <c r="G23" s="295">
        <f t="shared" si="5"/>
        <v>7325.1413580000008</v>
      </c>
      <c r="H23" s="295">
        <f t="shared" si="5"/>
        <v>8443.9110299999993</v>
      </c>
    </row>
    <row r="24" spans="1:8" x14ac:dyDescent="0.25">
      <c r="A24" s="291" t="s">
        <v>104</v>
      </c>
      <c r="B24" s="291"/>
      <c r="C24" s="301">
        <f>C21*C23</f>
        <v>19.574043348</v>
      </c>
      <c r="D24" s="301">
        <f t="shared" ref="D24:H24" si="6">D21*D23</f>
        <v>25.658763347999994</v>
      </c>
      <c r="E24" s="301">
        <f t="shared" si="6"/>
        <v>31.743483347999987</v>
      </c>
      <c r="F24" s="301">
        <f t="shared" si="6"/>
        <v>37.828203348000024</v>
      </c>
      <c r="G24" s="301">
        <f t="shared" si="6"/>
        <v>43.950848148000006</v>
      </c>
      <c r="H24" s="301">
        <f t="shared" si="6"/>
        <v>50.66346618</v>
      </c>
    </row>
    <row r="25" spans="1:8" x14ac:dyDescent="0.25">
      <c r="A25" s="288"/>
      <c r="B25" s="288"/>
    </row>
    <row r="26" spans="1:8" x14ac:dyDescent="0.25">
      <c r="A26" s="289" t="s">
        <v>108</v>
      </c>
      <c r="B26" s="289"/>
      <c r="C26" s="299">
        <f>IFERROR(IF(((C24/C10)*0.5)&gt;0,(C24/C10)*0.5,0),0)</f>
        <v>4.043832723758998E-4</v>
      </c>
      <c r="D26" s="299">
        <f t="shared" ref="D26:H26" si="7">IFERROR(IF(((D24/D10)*0.5)&gt;0,(D24/D10)*0.5,0),0)</f>
        <v>5.0877012039383289E-4</v>
      </c>
      <c r="E26" s="299">
        <f t="shared" si="7"/>
        <v>6.0508541314611931E-4</v>
      </c>
      <c r="F26" s="299">
        <f t="shared" si="7"/>
        <v>6.9423048470415897E-4</v>
      </c>
      <c r="G26" s="299">
        <f t="shared" si="7"/>
        <v>7.7747440904908855E-4</v>
      </c>
      <c r="H26" s="299">
        <f t="shared" si="7"/>
        <v>8.6209535089243707E-4</v>
      </c>
    </row>
    <row r="27" spans="1:8" x14ac:dyDescent="0.25">
      <c r="A27" s="288"/>
      <c r="B27" s="288"/>
    </row>
    <row r="28" spans="1:8" x14ac:dyDescent="0.25">
      <c r="A28" s="302" t="s">
        <v>109</v>
      </c>
      <c r="B28" s="302"/>
      <c r="C28" s="303">
        <f>C18+C26</f>
        <v>5.7577366697221397E-2</v>
      </c>
      <c r="D28" s="303">
        <f t="shared" ref="D28:F28" si="8">D18+D26</f>
        <v>6.0107900303959856E-2</v>
      </c>
      <c r="E28" s="303">
        <f t="shared" si="8"/>
        <v>6.2442764223892014E-2</v>
      </c>
      <c r="F28" s="303">
        <f t="shared" si="8"/>
        <v>6.4603808490828488E-2</v>
      </c>
      <c r="G28" s="303">
        <f t="shared" ref="G28:H28" si="9">G18+G26</f>
        <v>6.6621797845918984E-2</v>
      </c>
      <c r="H28" s="303">
        <f t="shared" si="9"/>
        <v>6.8673168696120973E-2</v>
      </c>
    </row>
  </sheetData>
  <sheetProtection algorithmName="SHA-512" hashValue="l/BZP7hvepiPHApr4U58AC+PTEJ+L4CpVA9ZJ3N9UtXIOVX6sfb0imCz25oj/PMzbEAwXl54sR5NRz/sUTO81A==" saltValue="qw0bpQ6DF0n9aeEMs/srFQ==" spinCount="100000" sheet="1" objects="1" scenarios="1"/>
  <mergeCells count="2">
    <mergeCell ref="A1:F1"/>
    <mergeCell ref="C3:H3"/>
  </mergeCells>
  <pageMargins left="0.7" right="0.7" top="0.75" bottom="0.75" header="0.3" footer="0.3"/>
  <pageSetup paperSize="9" orientation="landscape" r:id="rId1"/>
  <ignoredErrors>
    <ignoredError sqref="D9:H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7" sqref="B7"/>
    </sheetView>
  </sheetViews>
  <sheetFormatPr defaultColWidth="10.625" defaultRowHeight="15.75" x14ac:dyDescent="0.25"/>
  <cols>
    <col min="1" max="1" width="45.5" style="5" customWidth="1"/>
    <col min="2" max="2" width="11.625" style="5" bestFit="1" customWidth="1"/>
    <col min="3" max="3" width="11.625" style="5" customWidth="1"/>
    <col min="4" max="4" width="14.125" style="5" customWidth="1"/>
    <col min="5" max="5" width="14.625" style="5" customWidth="1"/>
    <col min="6" max="16384" width="10.625" style="5"/>
  </cols>
  <sheetData>
    <row r="1" spans="1:5" x14ac:dyDescent="0.25">
      <c r="A1" s="116" t="s">
        <v>110</v>
      </c>
      <c r="B1" s="116"/>
      <c r="C1" s="116"/>
      <c r="D1" s="116"/>
      <c r="E1" s="116"/>
    </row>
    <row r="2" spans="1:5" x14ac:dyDescent="0.25">
      <c r="A2" s="49"/>
    </row>
    <row r="3" spans="1:5" x14ac:dyDescent="0.25">
      <c r="A3" s="57" t="s">
        <v>95</v>
      </c>
      <c r="B3" s="4" t="str">
        <f>'Invulblad CAO'!G3</f>
        <v>HH-1</v>
      </c>
      <c r="C3" s="4" t="str">
        <f>'Invulblad CAO'!G3</f>
        <v>HH-1</v>
      </c>
      <c r="D3" s="4" t="str">
        <f>'Invulblad CAO'!J3</f>
        <v>HH-2</v>
      </c>
      <c r="E3" s="4" t="str">
        <f>'Invulblad CAO'!J3</f>
        <v>HH-2</v>
      </c>
    </row>
    <row r="4" spans="1:5" x14ac:dyDescent="0.25">
      <c r="A4" s="56" t="s">
        <v>111</v>
      </c>
      <c r="B4" s="28" t="str">
        <f>'Invulblad CAO'!G4</f>
        <v>VVT</v>
      </c>
      <c r="C4" s="28" t="str">
        <f>'Invulblad CAO'!G4</f>
        <v>VVT</v>
      </c>
      <c r="D4" s="28" t="str">
        <f>'Invulblad CAO'!J4</f>
        <v>VVT</v>
      </c>
      <c r="E4" s="28" t="str">
        <f>'Invulblad CAO'!J4</f>
        <v>VVT</v>
      </c>
    </row>
    <row r="5" spans="1:5" x14ac:dyDescent="0.25">
      <c r="A5" s="101" t="s">
        <v>112</v>
      </c>
      <c r="B5" s="24" t="str">
        <f>'Invulblad CAO'!G5</f>
        <v>FWG10</v>
      </c>
      <c r="C5" s="24" t="str">
        <f>'Invulblad CAO'!H5</f>
        <v>FWG15</v>
      </c>
      <c r="D5" s="24" t="str">
        <f>'Invulblad CAO'!J5</f>
        <v>FWG15</v>
      </c>
      <c r="E5" s="24" t="str">
        <f>'Invulblad CAO'!K5</f>
        <v>FWG20</v>
      </c>
    </row>
    <row r="6" spans="1:5" x14ac:dyDescent="0.25">
      <c r="A6" s="49"/>
    </row>
    <row r="7" spans="1:5" x14ac:dyDescent="0.25">
      <c r="A7" s="99" t="s">
        <v>113</v>
      </c>
      <c r="B7" s="55" t="e">
        <f>'Invulblad CAO'!G14</f>
        <v>#N/A</v>
      </c>
      <c r="C7" s="55" t="e">
        <f>'Invulblad CAO'!H14</f>
        <v>#N/A</v>
      </c>
      <c r="D7" s="55" t="e">
        <f>'Invulblad CAO'!J14</f>
        <v>#N/A</v>
      </c>
      <c r="E7" s="55" t="e">
        <f>'Invulblad CAO'!K14</f>
        <v>#N/A</v>
      </c>
    </row>
    <row r="8" spans="1:5" x14ac:dyDescent="0.25">
      <c r="A8" s="101" t="s">
        <v>99</v>
      </c>
      <c r="B8" s="54" t="e">
        <f>B7*1878</f>
        <v>#N/A</v>
      </c>
      <c r="C8" s="54" t="e">
        <f t="shared" ref="C8:E8" si="0">C7*1878</f>
        <v>#N/A</v>
      </c>
      <c r="D8" s="54" t="e">
        <f t="shared" si="0"/>
        <v>#N/A</v>
      </c>
      <c r="E8" s="54" t="e">
        <f t="shared" si="0"/>
        <v>#N/A</v>
      </c>
    </row>
    <row r="9" spans="1:5" x14ac:dyDescent="0.25">
      <c r="A9" s="49"/>
    </row>
    <row r="10" spans="1:5" x14ac:dyDescent="0.25">
      <c r="A10" s="50" t="s">
        <v>100</v>
      </c>
    </row>
    <row r="11" spans="1:5" x14ac:dyDescent="0.25">
      <c r="A11" s="100" t="s">
        <v>101</v>
      </c>
      <c r="B11" s="30">
        <v>0.23499999999999999</v>
      </c>
      <c r="C11" s="30">
        <v>0.23499999999999999</v>
      </c>
      <c r="D11" s="30">
        <v>0.23499999999999999</v>
      </c>
      <c r="E11" s="30">
        <v>0.23499999999999999</v>
      </c>
    </row>
    <row r="12" spans="1:5" x14ac:dyDescent="0.25">
      <c r="A12" s="101" t="s">
        <v>102</v>
      </c>
      <c r="B12" s="53">
        <v>11829</v>
      </c>
      <c r="C12" s="53">
        <v>11829</v>
      </c>
      <c r="D12" s="53">
        <v>11829</v>
      </c>
      <c r="E12" s="53">
        <v>11829</v>
      </c>
    </row>
    <row r="13" spans="1:5" x14ac:dyDescent="0.25">
      <c r="A13" s="101" t="s">
        <v>103</v>
      </c>
      <c r="B13" s="54" t="e">
        <f>B8-B12</f>
        <v>#N/A</v>
      </c>
      <c r="C13" s="54" t="e">
        <f>C8-C12</f>
        <v>#N/A</v>
      </c>
      <c r="D13" s="54" t="e">
        <f>D8-D12</f>
        <v>#N/A</v>
      </c>
      <c r="E13" s="54" t="e">
        <f>E8-E12</f>
        <v>#N/A</v>
      </c>
    </row>
    <row r="14" spans="1:5" x14ac:dyDescent="0.25">
      <c r="A14" s="101" t="s">
        <v>104</v>
      </c>
      <c r="B14" s="54" t="e">
        <f>B13*B11</f>
        <v>#N/A</v>
      </c>
      <c r="C14" s="54" t="e">
        <f>C13*C11</f>
        <v>#N/A</v>
      </c>
      <c r="D14" s="54" t="e">
        <f>D13*D11</f>
        <v>#N/A</v>
      </c>
      <c r="E14" s="54" t="e">
        <f>E13*E11</f>
        <v>#N/A</v>
      </c>
    </row>
    <row r="15" spans="1:5" x14ac:dyDescent="0.25">
      <c r="A15" s="49"/>
    </row>
    <row r="16" spans="1:5" x14ac:dyDescent="0.25">
      <c r="A16" s="57" t="s">
        <v>105</v>
      </c>
      <c r="B16" s="58" t="e">
        <f>(B14/B8)*0.5</f>
        <v>#N/A</v>
      </c>
      <c r="C16" s="58" t="e">
        <f>(C14/C8)*0.5</f>
        <v>#N/A</v>
      </c>
      <c r="D16" s="58" t="e">
        <f>(D14/D8)*0.5</f>
        <v>#N/A</v>
      </c>
      <c r="E16" s="58" t="e">
        <f>(E14/E8)*0.5</f>
        <v>#N/A</v>
      </c>
    </row>
    <row r="17" spans="1:5" x14ac:dyDescent="0.25">
      <c r="A17" s="49"/>
    </row>
    <row r="18" spans="1:5" x14ac:dyDescent="0.25">
      <c r="A18" s="50" t="s">
        <v>106</v>
      </c>
    </row>
    <row r="19" spans="1:5" x14ac:dyDescent="0.25">
      <c r="A19" s="100" t="s">
        <v>101</v>
      </c>
      <c r="B19" s="29">
        <v>5.0000000000000001E-3</v>
      </c>
      <c r="C19" s="29">
        <v>5.0000000000000001E-3</v>
      </c>
      <c r="D19" s="29">
        <v>5.0000000000000001E-3</v>
      </c>
      <c r="E19" s="29">
        <v>5.0000000000000001E-3</v>
      </c>
    </row>
    <row r="20" spans="1:5" x14ac:dyDescent="0.25">
      <c r="A20" s="101" t="s">
        <v>107</v>
      </c>
      <c r="B20" s="53">
        <v>20108</v>
      </c>
      <c r="C20" s="53">
        <v>20108</v>
      </c>
      <c r="D20" s="53">
        <v>20108</v>
      </c>
      <c r="E20" s="53">
        <v>20108</v>
      </c>
    </row>
    <row r="21" spans="1:5" x14ac:dyDescent="0.25">
      <c r="A21" s="101" t="s">
        <v>103</v>
      </c>
      <c r="B21" s="54" t="e">
        <f>B8-B20</f>
        <v>#N/A</v>
      </c>
      <c r="C21" s="54" t="e">
        <f>C8-C20</f>
        <v>#N/A</v>
      </c>
      <c r="D21" s="54" t="e">
        <f>D8-D20</f>
        <v>#N/A</v>
      </c>
      <c r="E21" s="54" t="e">
        <f>E8-E20</f>
        <v>#N/A</v>
      </c>
    </row>
    <row r="22" spans="1:5" x14ac:dyDescent="0.25">
      <c r="A22" s="101" t="s">
        <v>104</v>
      </c>
      <c r="B22" s="53" t="e">
        <f>B19*B21</f>
        <v>#N/A</v>
      </c>
      <c r="C22" s="53" t="e">
        <f>C19*C21</f>
        <v>#N/A</v>
      </c>
      <c r="D22" s="53" t="e">
        <f>D19*D21</f>
        <v>#N/A</v>
      </c>
      <c r="E22" s="53" t="e">
        <f>E19*E21</f>
        <v>#N/A</v>
      </c>
    </row>
    <row r="23" spans="1:5" x14ac:dyDescent="0.25">
      <c r="A23" s="49"/>
    </row>
    <row r="24" spans="1:5" x14ac:dyDescent="0.25">
      <c r="A24" s="57" t="s">
        <v>108</v>
      </c>
      <c r="B24" s="58" t="e">
        <f>(B22/B8)*0.5</f>
        <v>#N/A</v>
      </c>
      <c r="C24" s="58" t="e">
        <f>(C22/C8)*0.5</f>
        <v>#N/A</v>
      </c>
      <c r="D24" s="58" t="e">
        <f>(D22/D8)*0.5</f>
        <v>#N/A</v>
      </c>
      <c r="E24" s="58" t="e">
        <f>(E22/E8)*0.5</f>
        <v>#N/A</v>
      </c>
    </row>
    <row r="25" spans="1:5" x14ac:dyDescent="0.25">
      <c r="A25" s="49"/>
    </row>
    <row r="26" spans="1:5" x14ac:dyDescent="0.25">
      <c r="A26" s="51" t="s">
        <v>109</v>
      </c>
      <c r="B26" s="52" t="e">
        <f>B16+B24</f>
        <v>#N/A</v>
      </c>
      <c r="C26" s="52" t="e">
        <f t="shared" ref="C26:E26" si="1">C16+C24</f>
        <v>#N/A</v>
      </c>
      <c r="D26" s="52" t="e">
        <f t="shared" si="1"/>
        <v>#N/A</v>
      </c>
      <c r="E26" s="52" t="e">
        <f t="shared" si="1"/>
        <v>#N/A</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E9" sqref="E9"/>
    </sheetView>
  </sheetViews>
  <sheetFormatPr defaultColWidth="8.625" defaultRowHeight="12.75" x14ac:dyDescent="0.2"/>
  <cols>
    <col min="1" max="1" width="56.125" style="305" bestFit="1" customWidth="1"/>
    <col min="2" max="2" width="11.125" style="305" bestFit="1" customWidth="1"/>
    <col min="3" max="3" width="10.625" style="305" customWidth="1"/>
    <col min="4" max="4" width="67.875" style="305" customWidth="1"/>
    <col min="5" max="5" width="41.875" style="305" customWidth="1"/>
    <col min="6" max="16384" width="8.625" style="305"/>
  </cols>
  <sheetData>
    <row r="1" spans="1:6" ht="15.75" x14ac:dyDescent="0.25">
      <c r="A1" s="286" t="s">
        <v>114</v>
      </c>
      <c r="B1" s="286"/>
      <c r="C1" s="286"/>
      <c r="D1" s="286"/>
      <c r="E1" s="304"/>
      <c r="F1" s="304"/>
    </row>
    <row r="3" spans="1:6" ht="30" x14ac:dyDescent="0.25">
      <c r="A3" s="306"/>
      <c r="B3" s="307" t="s">
        <v>115</v>
      </c>
      <c r="C3" s="308" t="s">
        <v>116</v>
      </c>
      <c r="D3" s="309" t="s">
        <v>7</v>
      </c>
    </row>
    <row r="4" spans="1:6" ht="15" x14ac:dyDescent="0.25">
      <c r="A4" s="293" t="s">
        <v>117</v>
      </c>
      <c r="B4" s="310">
        <v>1</v>
      </c>
      <c r="C4" s="311"/>
      <c r="D4" s="312"/>
    </row>
    <row r="5" spans="1:6" ht="120" x14ac:dyDescent="0.25">
      <c r="A5" s="293" t="s">
        <v>36</v>
      </c>
      <c r="B5" s="310">
        <f>(202.4+35+7.2)/(36/7*365)</f>
        <v>0.13030441400304413</v>
      </c>
      <c r="C5" s="313">
        <f>B5/B8</f>
        <v>0.16102956597632051</v>
      </c>
      <c r="D5" s="314" t="s">
        <v>140</v>
      </c>
    </row>
    <row r="6" spans="1:6" ht="60" x14ac:dyDescent="0.25">
      <c r="A6" s="291" t="s">
        <v>38</v>
      </c>
      <c r="B6" s="315">
        <v>0.02</v>
      </c>
      <c r="C6" s="316">
        <f>B6/$B$8</f>
        <v>2.4715903480070689E-2</v>
      </c>
      <c r="D6" s="317" t="s">
        <v>139</v>
      </c>
    </row>
    <row r="7" spans="1:6" ht="75" x14ac:dyDescent="0.25">
      <c r="A7" s="318" t="s">
        <v>42</v>
      </c>
      <c r="B7" s="319">
        <v>4.0500000000000001E-2</v>
      </c>
      <c r="C7" s="320">
        <f>IF(B7="","",B7/$B$8)</f>
        <v>5.0049704547143144E-2</v>
      </c>
      <c r="D7" s="321" t="s">
        <v>147</v>
      </c>
      <c r="E7" s="322"/>
    </row>
    <row r="8" spans="1:6" ht="15" x14ac:dyDescent="0.25">
      <c r="A8" s="289" t="s">
        <v>118</v>
      </c>
      <c r="B8" s="323">
        <f>B4-B5-B6-B7</f>
        <v>0.80919558599695585</v>
      </c>
      <c r="C8" s="324"/>
      <c r="D8" s="324"/>
    </row>
    <row r="10" spans="1:6" ht="15" x14ac:dyDescent="0.25">
      <c r="A10" s="325" t="s">
        <v>119</v>
      </c>
    </row>
    <row r="11" spans="1:6" ht="15" x14ac:dyDescent="0.25">
      <c r="A11" s="325" t="s">
        <v>120</v>
      </c>
    </row>
    <row r="12" spans="1:6" ht="15" x14ac:dyDescent="0.25">
      <c r="A12" s="325" t="s">
        <v>121</v>
      </c>
    </row>
    <row r="13" spans="1:6" ht="15" x14ac:dyDescent="0.25">
      <c r="A13" s="325" t="s">
        <v>122</v>
      </c>
    </row>
    <row r="15" spans="1:6" x14ac:dyDescent="0.2">
      <c r="A15" s="326"/>
    </row>
    <row r="17" spans="1:2" x14ac:dyDescent="0.2">
      <c r="A17" s="327"/>
      <c r="B17" s="326"/>
    </row>
    <row r="21" spans="1:2" x14ac:dyDescent="0.2">
      <c r="A21" s="328"/>
    </row>
    <row r="23" spans="1:2" x14ac:dyDescent="0.2">
      <c r="B23" s="329"/>
    </row>
  </sheetData>
  <sheetProtection algorithmName="SHA-512" hashValue="zIe4wyT+rVQj+cKSNlxw9ChJyrc2p8KLDLyX1gLeCbQnJM56DxlyeSqP45k2BNNXFaDboewUoi+YsUNXKgJJoQ==" saltValue="KjZa1CNc20DPkvD1L0wG9w==" spinCount="100000" sheet="1" objects="1" scenarios="1"/>
  <mergeCells count="1">
    <mergeCell ref="A1:D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Formulas="1" tabSelected="1" topLeftCell="D1" workbookViewId="0">
      <selection activeCell="E27" sqref="E27"/>
    </sheetView>
  </sheetViews>
  <sheetFormatPr defaultColWidth="8" defaultRowHeight="11.25" x14ac:dyDescent="0.25"/>
  <cols>
    <col min="1" max="1" width="25.125" style="102" hidden="1" customWidth="1"/>
    <col min="2" max="2" width="5.625" style="102" hidden="1" customWidth="1"/>
    <col min="3" max="3" width="48.875" style="102" bestFit="1" customWidth="1"/>
    <col min="4" max="4" width="15.125" style="109" bestFit="1" customWidth="1"/>
    <col min="5" max="5" width="15.375" style="103" bestFit="1" customWidth="1"/>
    <col min="6" max="6" width="15.875" style="102" bestFit="1" customWidth="1"/>
    <col min="7" max="7" width="2.125" style="102" customWidth="1"/>
    <col min="8" max="8" width="101.125" style="102" customWidth="1"/>
    <col min="9" max="9" width="26.125" style="102" customWidth="1"/>
    <col min="10" max="10" width="7.5" style="102" customWidth="1"/>
    <col min="11" max="11" width="13.125" style="102" bestFit="1" customWidth="1"/>
    <col min="12" max="12" width="9.625" style="102" customWidth="1"/>
    <col min="13" max="16384" width="8" style="102"/>
  </cols>
  <sheetData>
    <row r="1" spans="1:6" x14ac:dyDescent="0.25">
      <c r="A1" s="102" t="str">
        <f t="shared" ref="A1" si="0">B1&amp;C1&amp;D1</f>
        <v/>
      </c>
      <c r="D1" s="110"/>
      <c r="E1" s="108"/>
      <c r="F1" s="108"/>
    </row>
    <row r="4" spans="1:6" x14ac:dyDescent="0.25">
      <c r="C4" s="104" t="s">
        <v>132</v>
      </c>
    </row>
    <row r="5" spans="1:6" ht="22.5" x14ac:dyDescent="0.25">
      <c r="C5" s="105" t="s">
        <v>123</v>
      </c>
      <c r="D5" s="106" t="s">
        <v>12</v>
      </c>
      <c r="E5" s="112" t="s">
        <v>142</v>
      </c>
    </row>
    <row r="6" spans="1:6" x14ac:dyDescent="0.25">
      <c r="A6" s="102" t="s">
        <v>124</v>
      </c>
      <c r="C6" s="105" t="s">
        <v>133</v>
      </c>
      <c r="D6" s="111">
        <v>0</v>
      </c>
      <c r="E6" s="107">
        <v>10.76</v>
      </c>
    </row>
    <row r="7" spans="1:6" x14ac:dyDescent="0.25">
      <c r="A7" s="102" t="s">
        <v>125</v>
      </c>
      <c r="C7" s="105" t="s">
        <v>133</v>
      </c>
      <c r="D7" s="111">
        <v>1</v>
      </c>
      <c r="E7" s="107">
        <v>11.3</v>
      </c>
    </row>
    <row r="8" spans="1:6" x14ac:dyDescent="0.25">
      <c r="A8" s="102" t="s">
        <v>126</v>
      </c>
      <c r="C8" s="105" t="s">
        <v>133</v>
      </c>
      <c r="D8" s="111">
        <v>2</v>
      </c>
      <c r="E8" s="107">
        <v>11.84</v>
      </c>
    </row>
    <row r="9" spans="1:6" x14ac:dyDescent="0.25">
      <c r="A9" s="102" t="s">
        <v>127</v>
      </c>
      <c r="C9" s="105" t="s">
        <v>133</v>
      </c>
      <c r="D9" s="111">
        <v>3</v>
      </c>
      <c r="E9" s="107">
        <v>12.38</v>
      </c>
    </row>
    <row r="10" spans="1:6" x14ac:dyDescent="0.25">
      <c r="A10" s="102" t="s">
        <v>128</v>
      </c>
      <c r="C10" s="105" t="s">
        <v>133</v>
      </c>
      <c r="D10" s="111">
        <v>4</v>
      </c>
      <c r="E10" s="107">
        <v>12.92</v>
      </c>
    </row>
    <row r="11" spans="1:6" x14ac:dyDescent="0.25">
      <c r="A11" s="102" t="s">
        <v>129</v>
      </c>
      <c r="C11" s="105" t="s">
        <v>133</v>
      </c>
      <c r="D11" s="111">
        <v>5</v>
      </c>
      <c r="E11" s="107">
        <v>13.45</v>
      </c>
    </row>
    <row r="14" spans="1:6" x14ac:dyDescent="0.25">
      <c r="C14" s="104" t="s">
        <v>130</v>
      </c>
    </row>
    <row r="15" spans="1:6" x14ac:dyDescent="0.25">
      <c r="C15" s="102" t="s">
        <v>131</v>
      </c>
      <c r="F15" s="330">
        <v>1934.78</v>
      </c>
    </row>
  </sheetData>
  <sheetProtection algorithmName="SHA-512" hashValue="7Tazx2oJWpjqyHf2w/xpLYGF55Q1GDmipX5oe+qBsVpcUtBBxMbzot4e5jl//xLaTfeG9/Kzc/1y5VupSFdHoA==" saltValue="Daz9b98+H09/G7rHGs4ouA=="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inforayDocInfo>
  <pivottables/>
</inforayDocInfo>
</file>

<file path=customXml/itemProps1.xml><?xml version="1.0" encoding="utf-8"?>
<ds:datastoreItem xmlns:ds="http://schemas.openxmlformats.org/officeDocument/2006/customXml" ds:itemID="{C2A83793-32DF-4BFF-9DFB-14463363F9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Invulblad HV schaal</vt:lpstr>
      <vt:lpstr>Invulblad CAO</vt:lpstr>
      <vt:lpstr>Pensioenpremie per loonschaal</vt:lpstr>
      <vt:lpstr>Pensioenpremie CAO</vt:lpstr>
      <vt:lpstr>Bruto-netto berekening</vt:lpstr>
      <vt:lpstr>VVT CAO UURLONEN 2018_2019</vt:lpstr>
      <vt:lpstr>FWGschaal</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Iris van den Boogaart</cp:lastModifiedBy>
  <cp:revision/>
  <cp:lastPrinted>2018-06-21T14:35:40Z</cp:lastPrinted>
  <dcterms:created xsi:type="dcterms:W3CDTF">2017-08-15T08:53:09Z</dcterms:created>
  <dcterms:modified xsi:type="dcterms:W3CDTF">2019-07-19T09:54:21Z</dcterms:modified>
  <cp:category/>
  <cp:contentStatus/>
</cp:coreProperties>
</file>