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ogas/Schoonmaak 2023/Bestek/"/>
    </mc:Choice>
  </mc:AlternateContent>
  <xr:revisionPtr revIDLastSave="683" documentId="8_{3D944083-F465-4B9D-8A59-2FEF54C981CA}" xr6:coauthVersionLast="47" xr6:coauthVersionMax="47" xr10:uidLastSave="{01425966-0EF3-40C8-AFAD-E9A74BE1EE04}"/>
  <bookViews>
    <workbookView xWindow="-120" yWindow="-120" windowWidth="29040" windowHeight="15720" tabRatio="786" firstSheet="2" activeTab="10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Tariefsopbouw" sheetId="2" r:id="rId4"/>
    <sheet name="Prestatiefactoren" sheetId="11" r:id="rId5"/>
    <sheet name="Ruimtestaat" sheetId="13" r:id="rId6"/>
    <sheet name="Vloeronderhoud" sheetId="25" r:id="rId7"/>
    <sheet name="Glasbewassing" sheetId="29" r:id="rId8"/>
    <sheet name="Extra werkzaamheden" sheetId="26" r:id="rId9"/>
    <sheet name="Regie en afroep" sheetId="24" r:id="rId10"/>
    <sheet name="Totalisatie" sheetId="19" r:id="rId11"/>
  </sheets>
  <externalReferences>
    <externalReference r:id="rId12"/>
    <externalReference r:id="rId13"/>
  </externalReferences>
  <definedNames>
    <definedName name="_1F" localSheetId="8" hidden="1">[1]Psychiatrie!#REF!</definedName>
    <definedName name="_1F" localSheetId="6" hidden="1">[1]Psychiatrie!#REF!</definedName>
    <definedName name="_1F" hidden="1">[1]Psychiatrie!#REF!</definedName>
    <definedName name="_2_0_F" localSheetId="8" hidden="1">[1]Psychiatrie!#REF!</definedName>
    <definedName name="_2_0_F" localSheetId="6" hidden="1">[1]Psychiatrie!#REF!</definedName>
    <definedName name="_2_0_F" hidden="1">[1]Psychiatrie!#REF!</definedName>
    <definedName name="_Dist_Bin" localSheetId="8" hidden="1">#REF!</definedName>
    <definedName name="_Dist_Bin" localSheetId="6" hidden="1">#REF!</definedName>
    <definedName name="_Dist_Bin" hidden="1">#REF!</definedName>
    <definedName name="_Dist_Values" localSheetId="8" hidden="1">#REF!</definedName>
    <definedName name="_Dist_Values" localSheetId="6" hidden="1">#REF!</definedName>
    <definedName name="_Dist_Values" hidden="1">#REF!</definedName>
    <definedName name="_Fill" localSheetId="8" hidden="1">'[2]#REF'!#REF!</definedName>
    <definedName name="_Fill" localSheetId="6" hidden="1">'[2]#REF'!#REF!</definedName>
    <definedName name="_Fill" hidden="1">'[2]#REF'!#REF!</definedName>
    <definedName name="_xlnm._FilterDatabase" localSheetId="5" hidden="1">'Ruimtestaat'!$B$4:$S$231</definedName>
    <definedName name="_xlnm._FilterDatabase" localSheetId="10" hidden="1">Totalisatie!#REF!</definedName>
    <definedName name="_Key1" localSheetId="8" hidden="1">'[2]#REF'!#REF!</definedName>
    <definedName name="_Key1" localSheetId="6" hidden="1">'[2]#REF'!#REF!</definedName>
    <definedName name="_Key1" hidden="1">'[2]#REF'!#REF!</definedName>
    <definedName name="_Order1" hidden="1">255</definedName>
    <definedName name="_Sort" localSheetId="8" hidden="1">#REF!</definedName>
    <definedName name="_Sort" localSheetId="6" hidden="1">#REF!</definedName>
    <definedName name="_Sort" hidden="1">#REF!</definedName>
    <definedName name="_Table1_In1" localSheetId="8" hidden="1">#REF!</definedName>
    <definedName name="_Table1_In1" localSheetId="6" hidden="1">#REF!</definedName>
    <definedName name="_Table1_In1" hidden="1">#REF!</definedName>
    <definedName name="_Table1_Out" localSheetId="8" hidden="1">#REF!</definedName>
    <definedName name="_Table1_Out" localSheetId="6" hidden="1">#REF!</definedName>
    <definedName name="_Table1_Out" hidden="1">#REF!</definedName>
    <definedName name="_Toc233614100" localSheetId="9">'Regie en afroep'!#REF!</definedName>
    <definedName name="_Toc256089721" localSheetId="9">'Regie en afroep'!#REF!</definedName>
    <definedName name="AccessDatabase" hidden="1">"C:\data\excel\BASISWP.mdb"</definedName>
    <definedName name="_xlnm.Print_Area" localSheetId="8">'Extra werkzaamheden'!$A$1:$J$56</definedName>
    <definedName name="_xlnm.Print_Area" localSheetId="1">'Opleverstaat dagelijks'!#REF!</definedName>
    <definedName name="_xlnm.Print_Area" localSheetId="4">Prestatiefactoren!$A$1:$F$50</definedName>
    <definedName name="_xlnm.Print_Area" localSheetId="9">'Regie en afroep'!$A$1:$I$38</definedName>
    <definedName name="_xlnm.Print_Area" localSheetId="5">'Ruimtestaat'!$A$1:$AG$231</definedName>
    <definedName name="_xlnm.Print_Area" localSheetId="3">Tariefsopbouw!$A$1:$Q$42</definedName>
    <definedName name="_xlnm.Print_Area" localSheetId="10">Totalisatie!$A$1:$H$24</definedName>
    <definedName name="_xlnm.Print_Area" localSheetId="6">Vloeronderhoud!$A$1:$J$28</definedName>
    <definedName name="_xlnm.Print_Titles" localSheetId="5">'Ruimtestaat'!$A:$H,'Ruimtestaat'!$2:$4</definedName>
    <definedName name="arbeidsprestatie" localSheetId="8">Prestatiefactoren!#REF!</definedName>
    <definedName name="arbeidsprestatie" localSheetId="6">Prestatiefactoren!#REF!</definedName>
    <definedName name="arbeidsprestatie">Prestatiefactoren!#REF!</definedName>
    <definedName name="freq" localSheetId="8">'Opleverstaat dagelijks'!#REF!</definedName>
    <definedName name="freq" localSheetId="6">'Opleverstaat dagelijks'!#REF!</definedName>
    <definedName name="freq">'Opleverstaat dagelijks'!#REF!</definedName>
    <definedName name="OLE_LINK9" localSheetId="9">'Regie en afroep'!#REF!</definedName>
    <definedName name="programma">#REF!</definedName>
    <definedName name="R_Code" localSheetId="8">Prestatiefactoren!#REF!</definedName>
    <definedName name="R_Code" localSheetId="6">Prestatiefactoren!#REF!</definedName>
    <definedName name="R_Code">Prestatiefactoren!#REF!</definedName>
    <definedName name="Vl_Code" localSheetId="8">Prestatiefactoren!#REF!</definedName>
    <definedName name="Vl_Code" localSheetId="6">Prestatiefactoren!#REF!</definedName>
    <definedName name="Vl_Code">Prestatiefactoren!#REF!</definedName>
    <definedName name="vloer" localSheetId="8">'Opleverstaat dagelijks'!#REF!</definedName>
    <definedName name="vloer" localSheetId="6">'Opleverstaat dagelijks'!#REF!</definedName>
    <definedName name="vloer">'Opleverstaat dagelijks'!#REF!</definedName>
    <definedName name="wk" localSheetId="8">'Opleverstaat dagelijks'!#REF!</definedName>
    <definedName name="wk" localSheetId="6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88" i="13" l="1"/>
  <c r="AB88" i="13" s="1"/>
  <c r="T88" i="13"/>
  <c r="V88" i="13" s="1"/>
  <c r="P88" i="13"/>
  <c r="K88" i="13"/>
  <c r="E88" i="13"/>
  <c r="D88" i="13"/>
  <c r="C88" i="13"/>
  <c r="B88" i="13"/>
  <c r="F26" i="25"/>
  <c r="H26" i="25" s="1"/>
  <c r="D26" i="25"/>
  <c r="B26" i="25"/>
  <c r="H16" i="26"/>
  <c r="E16" i="26"/>
  <c r="D16" i="26"/>
  <c r="B16" i="26"/>
  <c r="F10" i="26"/>
  <c r="G10" i="26" s="1"/>
  <c r="H10" i="26" s="1"/>
  <c r="I10" i="26" s="1"/>
  <c r="J10" i="26" s="1"/>
  <c r="G32" i="29"/>
  <c r="H32" i="29" s="1"/>
  <c r="D32" i="29"/>
  <c r="G36" i="29"/>
  <c r="H36" i="29" s="1"/>
  <c r="D36" i="29"/>
  <c r="G27" i="29"/>
  <c r="H27" i="29" s="1"/>
  <c r="D27" i="29"/>
  <c r="F22" i="25"/>
  <c r="H22" i="25" s="1"/>
  <c r="D22" i="25"/>
  <c r="B22" i="25"/>
  <c r="AC88" i="13" l="1"/>
  <c r="AE88" i="13"/>
  <c r="U88" i="13"/>
  <c r="W88" i="13" s="1"/>
  <c r="X88" i="13" s="1"/>
  <c r="AA88" i="13"/>
  <c r="F14" i="19"/>
  <c r="D14" i="19"/>
  <c r="C14" i="19"/>
  <c r="B14" i="19"/>
  <c r="F13" i="19"/>
  <c r="B13" i="19"/>
  <c r="G7" i="19"/>
  <c r="E7" i="19"/>
  <c r="D7" i="19"/>
  <c r="C7" i="19"/>
  <c r="B7" i="19"/>
  <c r="C6" i="19"/>
  <c r="B6" i="19"/>
  <c r="B40" i="29"/>
  <c r="B39" i="29"/>
  <c r="B38" i="29"/>
  <c r="D40" i="29"/>
  <c r="D39" i="29"/>
  <c r="D38" i="29"/>
  <c r="D37" i="29"/>
  <c r="D35" i="29"/>
  <c r="D34" i="29"/>
  <c r="D33" i="29"/>
  <c r="D31" i="29"/>
  <c r="D30" i="29"/>
  <c r="D29" i="29"/>
  <c r="D28" i="29"/>
  <c r="D26" i="29"/>
  <c r="D25" i="29"/>
  <c r="D24" i="29"/>
  <c r="G39" i="29"/>
  <c r="H39" i="29" s="1"/>
  <c r="G37" i="29"/>
  <c r="H37" i="29" s="1"/>
  <c r="G31" i="29"/>
  <c r="H31" i="29" s="1"/>
  <c r="G30" i="29"/>
  <c r="H30" i="29" s="1"/>
  <c r="AF88" i="13" l="1"/>
  <c r="AD88" i="13"/>
  <c r="AG88" i="13" s="1"/>
  <c r="B37" i="29"/>
  <c r="B36" i="29"/>
  <c r="F7" i="19"/>
  <c r="H7" i="19"/>
  <c r="B34" i="29"/>
  <c r="B33" i="29"/>
  <c r="B35" i="29"/>
  <c r="G29" i="29" l="1"/>
  <c r="H29" i="29" s="1"/>
  <c r="G33" i="29"/>
  <c r="G34" i="29"/>
  <c r="H34" i="29" s="1"/>
  <c r="G35" i="29"/>
  <c r="H35" i="29" s="1"/>
  <c r="G38" i="29"/>
  <c r="F25" i="25"/>
  <c r="H25" i="25" s="1"/>
  <c r="D25" i="25"/>
  <c r="B25" i="25"/>
  <c r="H33" i="29" l="1"/>
  <c r="E13" i="19"/>
  <c r="H38" i="29"/>
  <c r="F14" i="29"/>
  <c r="G14" i="29" s="1"/>
  <c r="H14" i="29" s="1"/>
  <c r="I14" i="29" s="1"/>
  <c r="E9" i="29"/>
  <c r="F9" i="29" s="1"/>
  <c r="G9" i="29" s="1"/>
  <c r="H9" i="29" s="1"/>
  <c r="I9" i="29" s="1"/>
  <c r="E10" i="29"/>
  <c r="F10" i="29" s="1"/>
  <c r="G10" i="29" s="1"/>
  <c r="H10" i="29" s="1"/>
  <c r="I10" i="29" s="1"/>
  <c r="E11" i="29"/>
  <c r="F11" i="29" s="1"/>
  <c r="G11" i="29" s="1"/>
  <c r="H11" i="29" s="1"/>
  <c r="I11" i="29" s="1"/>
  <c r="E12" i="29"/>
  <c r="F12" i="29" s="1"/>
  <c r="G12" i="29" s="1"/>
  <c r="H12" i="29" s="1"/>
  <c r="I12" i="29" s="1"/>
  <c r="E13" i="29"/>
  <c r="F13" i="29" s="1"/>
  <c r="G13" i="29" s="1"/>
  <c r="H13" i="29" s="1"/>
  <c r="I13" i="29" s="1"/>
  <c r="E14" i="29"/>
  <c r="E15" i="29"/>
  <c r="F15" i="29" s="1"/>
  <c r="G15" i="29" s="1"/>
  <c r="H15" i="29" s="1"/>
  <c r="I15" i="29" s="1"/>
  <c r="E16" i="29"/>
  <c r="F16" i="29" s="1"/>
  <c r="G16" i="29" s="1"/>
  <c r="H16" i="29" s="1"/>
  <c r="I16" i="29" s="1"/>
  <c r="E17" i="29"/>
  <c r="F17" i="29" s="1"/>
  <c r="G17" i="29" s="1"/>
  <c r="H17" i="29" s="1"/>
  <c r="I17" i="29" s="1"/>
  <c r="E18" i="29"/>
  <c r="F18" i="29" s="1"/>
  <c r="G18" i="29" s="1"/>
  <c r="H18" i="29" s="1"/>
  <c r="I18" i="29" s="1"/>
  <c r="E19" i="29"/>
  <c r="F19" i="29" s="1"/>
  <c r="G19" i="29" s="1"/>
  <c r="H19" i="29" s="1"/>
  <c r="I19" i="29" s="1"/>
  <c r="E20" i="29"/>
  <c r="F20" i="29" s="1"/>
  <c r="G20" i="29" s="1"/>
  <c r="H20" i="29" s="1"/>
  <c r="I20" i="29" s="1"/>
  <c r="E21" i="29"/>
  <c r="F21" i="29" s="1"/>
  <c r="G21" i="29" s="1"/>
  <c r="H21" i="29" s="1"/>
  <c r="I21" i="29" s="1"/>
  <c r="G40" i="29"/>
  <c r="H40" i="29" s="1"/>
  <c r="G28" i="29"/>
  <c r="H28" i="29" s="1"/>
  <c r="G26" i="29"/>
  <c r="H26" i="29" s="1"/>
  <c r="G25" i="29"/>
  <c r="H25" i="29" s="1"/>
  <c r="G24" i="29"/>
  <c r="E14" i="19" l="1"/>
  <c r="G14" i="19" s="1"/>
  <c r="E12" i="19"/>
  <c r="G41" i="29"/>
  <c r="E15" i="19" s="1"/>
  <c r="H24" i="29"/>
  <c r="H41" i="29" s="1"/>
  <c r="E9" i="24" l="1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F12" i="24" s="1"/>
  <c r="G12" i="24" s="1"/>
  <c r="H12" i="24" s="1"/>
  <c r="I12" i="24" s="1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F15" i="24" s="1"/>
  <c r="G15" i="24" s="1"/>
  <c r="H15" i="24" s="1"/>
  <c r="I15" i="24" s="1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F18" i="24" s="1"/>
  <c r="G18" i="24" s="1"/>
  <c r="H18" i="24" s="1"/>
  <c r="I18" i="24" s="1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F21" i="24" s="1"/>
  <c r="G21" i="24" s="1"/>
  <c r="H21" i="24" s="1"/>
  <c r="I21" i="24" s="1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F24" i="24" s="1"/>
  <c r="G24" i="24" s="1"/>
  <c r="H24" i="24" s="1"/>
  <c r="I24" i="24" s="1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F27" i="24" s="1"/>
  <c r="G27" i="24" s="1"/>
  <c r="H27" i="24" s="1"/>
  <c r="I27" i="24" s="1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F30" i="24" s="1"/>
  <c r="G30" i="24" s="1"/>
  <c r="H30" i="24" s="1"/>
  <c r="I30" i="24" s="1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F33" i="24" s="1"/>
  <c r="G33" i="24" s="1"/>
  <c r="H33" i="24" s="1"/>
  <c r="I33" i="24" s="1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F36" i="24" s="1"/>
  <c r="G36" i="24" s="1"/>
  <c r="H36" i="24" s="1"/>
  <c r="I36" i="24" s="1"/>
  <c r="F9" i="26"/>
  <c r="G9" i="26" s="1"/>
  <c r="H9" i="26" s="1"/>
  <c r="I9" i="26" s="1"/>
  <c r="J9" i="26" s="1"/>
  <c r="F11" i="26"/>
  <c r="G11" i="26" s="1"/>
  <c r="H11" i="26" s="1"/>
  <c r="I11" i="26" s="1"/>
  <c r="J11" i="26" s="1"/>
  <c r="E9" i="25"/>
  <c r="F9" i="25" s="1"/>
  <c r="G9" i="25" s="1"/>
  <c r="H9" i="25" s="1"/>
  <c r="I9" i="25" s="1"/>
  <c r="E10" i="25"/>
  <c r="F10" i="25" s="1"/>
  <c r="G10" i="25" s="1"/>
  <c r="H10" i="25" s="1"/>
  <c r="I10" i="25" s="1"/>
  <c r="E11" i="25"/>
  <c r="F11" i="25" s="1"/>
  <c r="G11" i="25" s="1"/>
  <c r="H11" i="25" s="1"/>
  <c r="I11" i="25" s="1"/>
  <c r="E12" i="25"/>
  <c r="F12" i="25" s="1"/>
  <c r="G12" i="25" s="1"/>
  <c r="H12" i="25" s="1"/>
  <c r="I12" i="25" s="1"/>
  <c r="E13" i="25"/>
  <c r="F13" i="25" s="1"/>
  <c r="G13" i="25" s="1"/>
  <c r="H13" i="25" s="1"/>
  <c r="I13" i="25" s="1"/>
  <c r="E14" i="25"/>
  <c r="F14" i="25" s="1"/>
  <c r="G14" i="25" s="1"/>
  <c r="H14" i="25" s="1"/>
  <c r="I14" i="25" s="1"/>
  <c r="E15" i="25"/>
  <c r="F15" i="25" s="1"/>
  <c r="G15" i="25" s="1"/>
  <c r="H15" i="25" s="1"/>
  <c r="I15" i="25" s="1"/>
  <c r="E16" i="25"/>
  <c r="F16" i="25" s="1"/>
  <c r="G16" i="25" s="1"/>
  <c r="H16" i="25" s="1"/>
  <c r="I16" i="25" s="1"/>
  <c r="E17" i="25"/>
  <c r="F17" i="25" s="1"/>
  <c r="G17" i="25" s="1"/>
  <c r="H17" i="25" s="1"/>
  <c r="I17" i="25" s="1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24" i="25" l="1"/>
  <c r="H24" i="25" s="1"/>
  <c r="D24" i="25"/>
  <c r="B24" i="25"/>
  <c r="Z90" i="13"/>
  <c r="AA90" i="13" s="1"/>
  <c r="T90" i="13"/>
  <c r="U90" i="13" s="1"/>
  <c r="P90" i="13"/>
  <c r="K90" i="13"/>
  <c r="E90" i="13"/>
  <c r="D90" i="13"/>
  <c r="C90" i="13"/>
  <c r="B90" i="13"/>
  <c r="V90" i="13" l="1"/>
  <c r="W90" i="13" s="1"/>
  <c r="X90" i="13" s="1"/>
  <c r="AB90" i="13"/>
  <c r="AE90" i="13" l="1"/>
  <c r="AC90" i="13"/>
  <c r="AD90" i="13" s="1"/>
  <c r="AF90" i="13" l="1"/>
  <c r="Z173" i="13"/>
  <c r="AB173" i="13" s="1"/>
  <c r="AC173" i="13" s="1"/>
  <c r="AD173" i="13" s="1"/>
  <c r="T173" i="13"/>
  <c r="V173" i="13" s="1"/>
  <c r="P173" i="13"/>
  <c r="K173" i="13"/>
  <c r="E173" i="13"/>
  <c r="D173" i="13"/>
  <c r="C173" i="13"/>
  <c r="B173" i="13"/>
  <c r="Z172" i="13"/>
  <c r="AB172" i="13" s="1"/>
  <c r="T172" i="13"/>
  <c r="V172" i="13" s="1"/>
  <c r="P172" i="13"/>
  <c r="K172" i="13"/>
  <c r="E172" i="13"/>
  <c r="D172" i="13"/>
  <c r="C172" i="13"/>
  <c r="B172" i="13"/>
  <c r="Z171" i="13"/>
  <c r="AB171" i="13" s="1"/>
  <c r="T171" i="13"/>
  <c r="V171" i="13" s="1"/>
  <c r="P171" i="13"/>
  <c r="K171" i="13"/>
  <c r="E171" i="13"/>
  <c r="D171" i="13"/>
  <c r="C171" i="13"/>
  <c r="B171" i="13"/>
  <c r="Z170" i="13"/>
  <c r="AA170" i="13" s="1"/>
  <c r="T170" i="13"/>
  <c r="V170" i="13" s="1"/>
  <c r="P170" i="13"/>
  <c r="K170" i="13"/>
  <c r="E170" i="13"/>
  <c r="D170" i="13"/>
  <c r="C170" i="13"/>
  <c r="B170" i="13"/>
  <c r="Z169" i="13"/>
  <c r="AB169" i="13" s="1"/>
  <c r="T169" i="13"/>
  <c r="U169" i="13" s="1"/>
  <c r="W169" i="13" s="1"/>
  <c r="X169" i="13" s="1"/>
  <c r="P169" i="13"/>
  <c r="K169" i="13"/>
  <c r="E169" i="13"/>
  <c r="D169" i="13"/>
  <c r="C169" i="13"/>
  <c r="B169" i="13"/>
  <c r="Z168" i="13"/>
  <c r="AB168" i="13" s="1"/>
  <c r="AC168" i="13" s="1"/>
  <c r="AD168" i="13" s="1"/>
  <c r="T168" i="13"/>
  <c r="V168" i="13" s="1"/>
  <c r="P168" i="13"/>
  <c r="K168" i="13"/>
  <c r="E168" i="13"/>
  <c r="D168" i="13"/>
  <c r="C168" i="13"/>
  <c r="B168" i="13"/>
  <c r="Z167" i="13"/>
  <c r="AB167" i="13" s="1"/>
  <c r="AC167" i="13" s="1"/>
  <c r="AD167" i="13" s="1"/>
  <c r="T167" i="13"/>
  <c r="U167" i="13" s="1"/>
  <c r="W167" i="13" s="1"/>
  <c r="X167" i="13" s="1"/>
  <c r="P167" i="13"/>
  <c r="K167" i="13"/>
  <c r="E167" i="13"/>
  <c r="D167" i="13"/>
  <c r="C167" i="13"/>
  <c r="B167" i="13"/>
  <c r="Z166" i="13"/>
  <c r="AB166" i="13" s="1"/>
  <c r="T166" i="13"/>
  <c r="V166" i="13" s="1"/>
  <c r="P166" i="13"/>
  <c r="K166" i="13"/>
  <c r="E166" i="13"/>
  <c r="D166" i="13"/>
  <c r="C166" i="13"/>
  <c r="B166" i="13"/>
  <c r="Z165" i="13"/>
  <c r="AA165" i="13" s="1"/>
  <c r="T165" i="13"/>
  <c r="V165" i="13" s="1"/>
  <c r="P165" i="13"/>
  <c r="K165" i="13"/>
  <c r="E165" i="13"/>
  <c r="D165" i="13"/>
  <c r="C165" i="13"/>
  <c r="B165" i="13"/>
  <c r="Z164" i="13"/>
  <c r="AB164" i="13" s="1"/>
  <c r="AC164" i="13" s="1"/>
  <c r="AD164" i="13" s="1"/>
  <c r="T164" i="13"/>
  <c r="U164" i="13" s="1"/>
  <c r="W164" i="13" s="1"/>
  <c r="X164" i="13" s="1"/>
  <c r="P164" i="13"/>
  <c r="K164" i="13"/>
  <c r="E164" i="13"/>
  <c r="D164" i="13"/>
  <c r="C164" i="13"/>
  <c r="B164" i="13"/>
  <c r="Z163" i="13"/>
  <c r="AB163" i="13" s="1"/>
  <c r="T163" i="13"/>
  <c r="U163" i="13" s="1"/>
  <c r="W163" i="13" s="1"/>
  <c r="X163" i="13" s="1"/>
  <c r="P163" i="13"/>
  <c r="K163" i="13"/>
  <c r="E163" i="13"/>
  <c r="D163" i="13"/>
  <c r="C163" i="13"/>
  <c r="B163" i="13"/>
  <c r="Z162" i="13"/>
  <c r="AB162" i="13" s="1"/>
  <c r="AC162" i="13" s="1"/>
  <c r="AD162" i="13" s="1"/>
  <c r="T162" i="13"/>
  <c r="V162" i="13" s="1"/>
  <c r="P162" i="13"/>
  <c r="K162" i="13"/>
  <c r="E162" i="13"/>
  <c r="D162" i="13"/>
  <c r="C162" i="13"/>
  <c r="B162" i="13"/>
  <c r="Z161" i="13"/>
  <c r="AA161" i="13" s="1"/>
  <c r="T161" i="13"/>
  <c r="V161" i="13" s="1"/>
  <c r="P161" i="13"/>
  <c r="K161" i="13"/>
  <c r="E161" i="13"/>
  <c r="D161" i="13"/>
  <c r="C161" i="13"/>
  <c r="B161" i="13"/>
  <c r="Z160" i="13"/>
  <c r="AB160" i="13" s="1"/>
  <c r="T160" i="13"/>
  <c r="V160" i="13" s="1"/>
  <c r="P160" i="13"/>
  <c r="K160" i="13"/>
  <c r="E160" i="13"/>
  <c r="D160" i="13"/>
  <c r="C160" i="13"/>
  <c r="B160" i="13"/>
  <c r="Z159" i="13"/>
  <c r="AB159" i="13" s="1"/>
  <c r="T159" i="13"/>
  <c r="V159" i="13" s="1"/>
  <c r="P159" i="13"/>
  <c r="K159" i="13"/>
  <c r="E159" i="13"/>
  <c r="D159" i="13"/>
  <c r="C159" i="13"/>
  <c r="B159" i="13"/>
  <c r="Z158" i="13"/>
  <c r="AB158" i="13" s="1"/>
  <c r="AC158" i="13" s="1"/>
  <c r="AD158" i="13" s="1"/>
  <c r="T158" i="13"/>
  <c r="U158" i="13" s="1"/>
  <c r="P158" i="13"/>
  <c r="K158" i="13"/>
  <c r="E158" i="13"/>
  <c r="D158" i="13"/>
  <c r="C158" i="13"/>
  <c r="B158" i="13"/>
  <c r="Z157" i="13"/>
  <c r="AB157" i="13" s="1"/>
  <c r="T157" i="13"/>
  <c r="V157" i="13" s="1"/>
  <c r="P157" i="13"/>
  <c r="K157" i="13"/>
  <c r="E157" i="13"/>
  <c r="D157" i="13"/>
  <c r="C157" i="13"/>
  <c r="B157" i="13"/>
  <c r="Z156" i="13"/>
  <c r="AB156" i="13" s="1"/>
  <c r="AC156" i="13" s="1"/>
  <c r="AD156" i="13" s="1"/>
  <c r="T156" i="13"/>
  <c r="U156" i="13" s="1"/>
  <c r="P156" i="13"/>
  <c r="K156" i="13"/>
  <c r="E156" i="13"/>
  <c r="D156" i="13"/>
  <c r="C156" i="13"/>
  <c r="B156" i="13"/>
  <c r="Z155" i="13"/>
  <c r="AB155" i="13" s="1"/>
  <c r="AC155" i="13" s="1"/>
  <c r="AD155" i="13" s="1"/>
  <c r="T155" i="13"/>
  <c r="V155" i="13" s="1"/>
  <c r="P155" i="13"/>
  <c r="K155" i="13"/>
  <c r="E155" i="13"/>
  <c r="D155" i="13"/>
  <c r="C155" i="13"/>
  <c r="B155" i="13"/>
  <c r="Z154" i="13"/>
  <c r="AB154" i="13" s="1"/>
  <c r="T154" i="13"/>
  <c r="V154" i="13" s="1"/>
  <c r="P154" i="13"/>
  <c r="K154" i="13"/>
  <c r="E154" i="13"/>
  <c r="D154" i="13"/>
  <c r="C154" i="13"/>
  <c r="B154" i="13"/>
  <c r="Z152" i="13"/>
  <c r="AA152" i="13" s="1"/>
  <c r="T152" i="13"/>
  <c r="V152" i="13" s="1"/>
  <c r="P152" i="13"/>
  <c r="K152" i="13"/>
  <c r="E152" i="13"/>
  <c r="D152" i="13"/>
  <c r="C152" i="13"/>
  <c r="B152" i="13"/>
  <c r="Z151" i="13"/>
  <c r="AB151" i="13" s="1"/>
  <c r="T151" i="13"/>
  <c r="U151" i="13" s="1"/>
  <c r="P151" i="13"/>
  <c r="K151" i="13"/>
  <c r="E151" i="13"/>
  <c r="D151" i="13"/>
  <c r="C151" i="13"/>
  <c r="B151" i="13"/>
  <c r="Z150" i="13"/>
  <c r="AB150" i="13" s="1"/>
  <c r="T150" i="13"/>
  <c r="V150" i="13" s="1"/>
  <c r="P150" i="13"/>
  <c r="K150" i="13"/>
  <c r="E150" i="13"/>
  <c r="D150" i="13"/>
  <c r="C150" i="13"/>
  <c r="B150" i="13"/>
  <c r="Z149" i="13"/>
  <c r="AB149" i="13" s="1"/>
  <c r="AC149" i="13" s="1"/>
  <c r="AD149" i="13" s="1"/>
  <c r="T149" i="13"/>
  <c r="V149" i="13" s="1"/>
  <c r="P149" i="13"/>
  <c r="K149" i="13"/>
  <c r="E149" i="13"/>
  <c r="D149" i="13"/>
  <c r="C149" i="13"/>
  <c r="B149" i="13"/>
  <c r="Z148" i="13"/>
  <c r="AA148" i="13" s="1"/>
  <c r="T148" i="13"/>
  <c r="V148" i="13" s="1"/>
  <c r="P148" i="13"/>
  <c r="K148" i="13"/>
  <c r="E148" i="13"/>
  <c r="D148" i="13"/>
  <c r="C148" i="13"/>
  <c r="B148" i="13"/>
  <c r="Z147" i="13"/>
  <c r="AB147" i="13" s="1"/>
  <c r="AC147" i="13" s="1"/>
  <c r="AD147" i="13" s="1"/>
  <c r="T147" i="13"/>
  <c r="U147" i="13" s="1"/>
  <c r="P147" i="13"/>
  <c r="K147" i="13"/>
  <c r="E147" i="13"/>
  <c r="D147" i="13"/>
  <c r="C147" i="13"/>
  <c r="B147" i="13"/>
  <c r="Z146" i="13"/>
  <c r="AA146" i="13" s="1"/>
  <c r="T146" i="13"/>
  <c r="V146" i="13" s="1"/>
  <c r="P146" i="13"/>
  <c r="K146" i="13"/>
  <c r="E146" i="13"/>
  <c r="D146" i="13"/>
  <c r="C146" i="13"/>
  <c r="B146" i="13"/>
  <c r="Z145" i="13"/>
  <c r="AB145" i="13" s="1"/>
  <c r="T145" i="13"/>
  <c r="U145" i="13" s="1"/>
  <c r="P145" i="13"/>
  <c r="K145" i="13"/>
  <c r="E145" i="13"/>
  <c r="D145" i="13"/>
  <c r="C145" i="13"/>
  <c r="B145" i="13"/>
  <c r="Z144" i="13"/>
  <c r="AB144" i="13" s="1"/>
  <c r="T144" i="13"/>
  <c r="V144" i="13" s="1"/>
  <c r="P144" i="13"/>
  <c r="K144" i="13"/>
  <c r="E144" i="13"/>
  <c r="D144" i="13"/>
  <c r="C144" i="13"/>
  <c r="B144" i="13"/>
  <c r="Z143" i="13"/>
  <c r="AB143" i="13" s="1"/>
  <c r="AC143" i="13" s="1"/>
  <c r="AD143" i="13" s="1"/>
  <c r="T143" i="13"/>
  <c r="V143" i="13" s="1"/>
  <c r="P143" i="13"/>
  <c r="K143" i="13"/>
  <c r="E143" i="13"/>
  <c r="D143" i="13"/>
  <c r="C143" i="13"/>
  <c r="B143" i="13"/>
  <c r="Z142" i="13"/>
  <c r="AA142" i="13" s="1"/>
  <c r="T142" i="13"/>
  <c r="V142" i="13" s="1"/>
  <c r="P142" i="13"/>
  <c r="K142" i="13"/>
  <c r="E142" i="13"/>
  <c r="D142" i="13"/>
  <c r="C142" i="13"/>
  <c r="B142" i="13"/>
  <c r="Z141" i="13"/>
  <c r="AB141" i="13" s="1"/>
  <c r="AC141" i="13" s="1"/>
  <c r="AD141" i="13" s="1"/>
  <c r="T141" i="13"/>
  <c r="U141" i="13" s="1"/>
  <c r="P141" i="13"/>
  <c r="K141" i="13"/>
  <c r="E141" i="13"/>
  <c r="D141" i="13"/>
  <c r="C141" i="13"/>
  <c r="B141" i="13"/>
  <c r="Z140" i="13"/>
  <c r="AA140" i="13" s="1"/>
  <c r="T140" i="13"/>
  <c r="V140" i="13" s="1"/>
  <c r="P140" i="13"/>
  <c r="K140" i="13"/>
  <c r="E140" i="13"/>
  <c r="D140" i="13"/>
  <c r="C140" i="13"/>
  <c r="B140" i="13"/>
  <c r="Z139" i="13"/>
  <c r="AB139" i="13" s="1"/>
  <c r="T139" i="13"/>
  <c r="U139" i="13" s="1"/>
  <c r="P139" i="13"/>
  <c r="K139" i="13"/>
  <c r="E139" i="13"/>
  <c r="D139" i="13"/>
  <c r="C139" i="13"/>
  <c r="B139" i="13"/>
  <c r="Z138" i="13"/>
  <c r="AA138" i="13" s="1"/>
  <c r="T138" i="13"/>
  <c r="V138" i="13" s="1"/>
  <c r="P138" i="13"/>
  <c r="K138" i="13"/>
  <c r="E138" i="13"/>
  <c r="D138" i="13"/>
  <c r="C138" i="13"/>
  <c r="B138" i="13"/>
  <c r="Z137" i="13"/>
  <c r="AB137" i="13" s="1"/>
  <c r="AC137" i="13" s="1"/>
  <c r="AD137" i="13" s="1"/>
  <c r="T137" i="13"/>
  <c r="U137" i="13" s="1"/>
  <c r="P137" i="13"/>
  <c r="K137" i="13"/>
  <c r="E137" i="13"/>
  <c r="D137" i="13"/>
  <c r="C137" i="13"/>
  <c r="B137" i="13"/>
  <c r="Z136" i="13"/>
  <c r="AA136" i="13" s="1"/>
  <c r="T136" i="13"/>
  <c r="U136" i="13" s="1"/>
  <c r="W136" i="13" s="1"/>
  <c r="X136" i="13" s="1"/>
  <c r="P136" i="13"/>
  <c r="K136" i="13"/>
  <c r="E136" i="13"/>
  <c r="D136" i="13"/>
  <c r="C136" i="13"/>
  <c r="B136" i="13"/>
  <c r="Z135" i="13"/>
  <c r="AA135" i="13" s="1"/>
  <c r="T135" i="13"/>
  <c r="U135" i="13" s="1"/>
  <c r="P135" i="13"/>
  <c r="K135" i="13"/>
  <c r="E135" i="13"/>
  <c r="D135" i="13"/>
  <c r="C135" i="13"/>
  <c r="B135" i="13"/>
  <c r="Z134" i="13"/>
  <c r="AA134" i="13" s="1"/>
  <c r="T134" i="13"/>
  <c r="V134" i="13" s="1"/>
  <c r="P134" i="13"/>
  <c r="K134" i="13"/>
  <c r="E134" i="13"/>
  <c r="D134" i="13"/>
  <c r="C134" i="13"/>
  <c r="B134" i="13"/>
  <c r="Z133" i="13"/>
  <c r="AB133" i="13" s="1"/>
  <c r="T133" i="13"/>
  <c r="U133" i="13" s="1"/>
  <c r="P133" i="13"/>
  <c r="K133" i="13"/>
  <c r="E133" i="13"/>
  <c r="D133" i="13"/>
  <c r="C133" i="13"/>
  <c r="B133" i="13"/>
  <c r="Z132" i="13"/>
  <c r="AB132" i="13" s="1"/>
  <c r="T132" i="13"/>
  <c r="V132" i="13" s="1"/>
  <c r="P132" i="13"/>
  <c r="K132" i="13"/>
  <c r="E132" i="13"/>
  <c r="D132" i="13"/>
  <c r="C132" i="13"/>
  <c r="B132" i="13"/>
  <c r="Z131" i="13"/>
  <c r="AB131" i="13" s="1"/>
  <c r="AC131" i="13" s="1"/>
  <c r="AD131" i="13" s="1"/>
  <c r="T131" i="13"/>
  <c r="V131" i="13" s="1"/>
  <c r="P131" i="13"/>
  <c r="K131" i="13"/>
  <c r="E131" i="13"/>
  <c r="D131" i="13"/>
  <c r="C131" i="13"/>
  <c r="B131" i="13"/>
  <c r="Z130" i="13"/>
  <c r="AB130" i="13" s="1"/>
  <c r="T130" i="13"/>
  <c r="V130" i="13" s="1"/>
  <c r="P130" i="13"/>
  <c r="K130" i="13"/>
  <c r="E130" i="13"/>
  <c r="D130" i="13"/>
  <c r="C130" i="13"/>
  <c r="B130" i="13"/>
  <c r="Z129" i="13"/>
  <c r="AA129" i="13" s="1"/>
  <c r="T129" i="13"/>
  <c r="V129" i="13" s="1"/>
  <c r="P129" i="13"/>
  <c r="K129" i="13"/>
  <c r="E129" i="13"/>
  <c r="D129" i="13"/>
  <c r="C129" i="13"/>
  <c r="B129" i="13"/>
  <c r="Z128" i="13"/>
  <c r="AA128" i="13" s="1"/>
  <c r="T128" i="13"/>
  <c r="U128" i="13" s="1"/>
  <c r="P128" i="13"/>
  <c r="K128" i="13"/>
  <c r="E128" i="13"/>
  <c r="D128" i="13"/>
  <c r="C128" i="13"/>
  <c r="B128" i="13"/>
  <c r="K127" i="13"/>
  <c r="V163" i="13" l="1"/>
  <c r="AE163" i="13" s="1"/>
  <c r="AB136" i="13"/>
  <c r="AC136" i="13" s="1"/>
  <c r="AD136" i="13" s="1"/>
  <c r="AB135" i="13"/>
  <c r="AC135" i="13" s="1"/>
  <c r="AD135" i="13" s="1"/>
  <c r="AB146" i="13"/>
  <c r="AC146" i="13" s="1"/>
  <c r="AD146" i="13" s="1"/>
  <c r="AB161" i="13"/>
  <c r="AC161" i="13" s="1"/>
  <c r="AD161" i="13" s="1"/>
  <c r="V145" i="13"/>
  <c r="W145" i="13" s="1"/>
  <c r="X145" i="13" s="1"/>
  <c r="V133" i="13"/>
  <c r="W133" i="13" s="1"/>
  <c r="X133" i="13" s="1"/>
  <c r="U149" i="13"/>
  <c r="W149" i="13" s="1"/>
  <c r="X149" i="13" s="1"/>
  <c r="AB142" i="13"/>
  <c r="AE142" i="13" s="1"/>
  <c r="V167" i="13"/>
  <c r="AE167" i="13" s="1"/>
  <c r="U154" i="13"/>
  <c r="W154" i="13" s="1"/>
  <c r="X154" i="13" s="1"/>
  <c r="V128" i="13"/>
  <c r="W128" i="13" s="1"/>
  <c r="X128" i="13" s="1"/>
  <c r="AB148" i="13"/>
  <c r="AC148" i="13" s="1"/>
  <c r="AD148" i="13" s="1"/>
  <c r="AA167" i="13"/>
  <c r="V141" i="13"/>
  <c r="AE141" i="13" s="1"/>
  <c r="AA171" i="13"/>
  <c r="AA137" i="13"/>
  <c r="AA141" i="13"/>
  <c r="U146" i="13"/>
  <c r="W146" i="13" s="1"/>
  <c r="X146" i="13" s="1"/>
  <c r="AA147" i="13"/>
  <c r="U152" i="13"/>
  <c r="W152" i="13" s="1"/>
  <c r="X152" i="13" s="1"/>
  <c r="AB129" i="13"/>
  <c r="AC129" i="13" s="1"/>
  <c r="AD129" i="13" s="1"/>
  <c r="V136" i="13"/>
  <c r="U140" i="13"/>
  <c r="W140" i="13" s="1"/>
  <c r="X140" i="13" s="1"/>
  <c r="AA158" i="13"/>
  <c r="U161" i="13"/>
  <c r="W161" i="13" s="1"/>
  <c r="X161" i="13" s="1"/>
  <c r="AB170" i="13"/>
  <c r="AC170" i="13" s="1"/>
  <c r="AD170" i="13" s="1"/>
  <c r="AA162" i="13"/>
  <c r="AB140" i="13"/>
  <c r="AE140" i="13" s="1"/>
  <c r="AA149" i="13"/>
  <c r="AA155" i="13"/>
  <c r="U160" i="13"/>
  <c r="W160" i="13" s="1"/>
  <c r="X160" i="13" s="1"/>
  <c r="U172" i="13"/>
  <c r="W172" i="13" s="1"/>
  <c r="X172" i="13" s="1"/>
  <c r="AA173" i="13"/>
  <c r="U130" i="13"/>
  <c r="W130" i="13" s="1"/>
  <c r="X130" i="13" s="1"/>
  <c r="V147" i="13"/>
  <c r="W147" i="13" s="1"/>
  <c r="X147" i="13" s="1"/>
  <c r="AB152" i="13"/>
  <c r="AE152" i="13" s="1"/>
  <c r="U155" i="13"/>
  <c r="W155" i="13" s="1"/>
  <c r="X155" i="13" s="1"/>
  <c r="U166" i="13"/>
  <c r="W166" i="13" s="1"/>
  <c r="X166" i="13" s="1"/>
  <c r="V169" i="13"/>
  <c r="AE169" i="13" s="1"/>
  <c r="AB128" i="13"/>
  <c r="AA131" i="13"/>
  <c r="AB134" i="13"/>
  <c r="AE134" i="13" s="1"/>
  <c r="V139" i="13"/>
  <c r="AE139" i="13" s="1"/>
  <c r="U157" i="13"/>
  <c r="W157" i="13" s="1"/>
  <c r="X157" i="13" s="1"/>
  <c r="U134" i="13"/>
  <c r="W134" i="13" s="1"/>
  <c r="X134" i="13" s="1"/>
  <c r="V135" i="13"/>
  <c r="W135" i="13" s="1"/>
  <c r="X135" i="13" s="1"/>
  <c r="U142" i="13"/>
  <c r="W142" i="13" s="1"/>
  <c r="X142" i="13" s="1"/>
  <c r="AA143" i="13"/>
  <c r="U148" i="13"/>
  <c r="W148" i="13" s="1"/>
  <c r="X148" i="13" s="1"/>
  <c r="V151" i="13"/>
  <c r="AE151" i="13" s="1"/>
  <c r="AA156" i="13"/>
  <c r="AA164" i="13"/>
  <c r="AA168" i="13"/>
  <c r="U170" i="13"/>
  <c r="W170" i="13" s="1"/>
  <c r="X170" i="13" s="1"/>
  <c r="U173" i="13"/>
  <c r="W173" i="13" s="1"/>
  <c r="X173" i="13" s="1"/>
  <c r="AE131" i="13"/>
  <c r="AE157" i="13"/>
  <c r="AC157" i="13"/>
  <c r="AD157" i="13" s="1"/>
  <c r="AE160" i="13"/>
  <c r="AC160" i="13"/>
  <c r="AD160" i="13" s="1"/>
  <c r="AF164" i="13"/>
  <c r="AC163" i="13"/>
  <c r="AD163" i="13" s="1"/>
  <c r="AE166" i="13"/>
  <c r="AC166" i="13"/>
  <c r="AD166" i="13" s="1"/>
  <c r="AE162" i="13"/>
  <c r="AC169" i="13"/>
  <c r="AD169" i="13" s="1"/>
  <c r="AE171" i="13"/>
  <c r="AC171" i="13"/>
  <c r="AD171" i="13" s="1"/>
  <c r="AE172" i="13"/>
  <c r="AC172" i="13"/>
  <c r="AD172" i="13" s="1"/>
  <c r="AE159" i="13"/>
  <c r="AC159" i="13"/>
  <c r="AD159" i="13" s="1"/>
  <c r="AC154" i="13"/>
  <c r="AD154" i="13" s="1"/>
  <c r="AE154" i="13"/>
  <c r="AF167" i="13"/>
  <c r="V156" i="13"/>
  <c r="AE156" i="13" s="1"/>
  <c r="AE155" i="13"/>
  <c r="AA159" i="13"/>
  <c r="AA154" i="13"/>
  <c r="V158" i="13"/>
  <c r="AE158" i="13" s="1"/>
  <c r="U159" i="13"/>
  <c r="W159" i="13" s="1"/>
  <c r="X159" i="13" s="1"/>
  <c r="AA160" i="13"/>
  <c r="V164" i="13"/>
  <c r="AE164" i="13" s="1"/>
  <c r="U165" i="13"/>
  <c r="W165" i="13" s="1"/>
  <c r="X165" i="13" s="1"/>
  <c r="AB165" i="13"/>
  <c r="AA166" i="13"/>
  <c r="AE168" i="13"/>
  <c r="U171" i="13"/>
  <c r="W171" i="13" s="1"/>
  <c r="X171" i="13" s="1"/>
  <c r="AA172" i="13"/>
  <c r="AE173" i="13"/>
  <c r="AA157" i="13"/>
  <c r="U162" i="13"/>
  <c r="W162" i="13" s="1"/>
  <c r="X162" i="13" s="1"/>
  <c r="AA163" i="13"/>
  <c r="U168" i="13"/>
  <c r="W168" i="13" s="1"/>
  <c r="X168" i="13" s="1"/>
  <c r="AA169" i="13"/>
  <c r="AC139" i="13"/>
  <c r="AD139" i="13" s="1"/>
  <c r="AE130" i="13"/>
  <c r="AC130" i="13"/>
  <c r="AD130" i="13" s="1"/>
  <c r="AC132" i="13"/>
  <c r="AD132" i="13" s="1"/>
  <c r="AE132" i="13"/>
  <c r="AC151" i="13"/>
  <c r="AD151" i="13" s="1"/>
  <c r="AC145" i="13"/>
  <c r="AD145" i="13" s="1"/>
  <c r="AC133" i="13"/>
  <c r="AD133" i="13" s="1"/>
  <c r="AC150" i="13"/>
  <c r="AD150" i="13" s="1"/>
  <c r="AE150" i="13"/>
  <c r="AC144" i="13"/>
  <c r="AD144" i="13" s="1"/>
  <c r="AE144" i="13"/>
  <c r="AE143" i="13"/>
  <c r="AE149" i="13"/>
  <c r="U129" i="13"/>
  <c r="W129" i="13" s="1"/>
  <c r="X129" i="13" s="1"/>
  <c r="AA130" i="13"/>
  <c r="U131" i="13"/>
  <c r="W131" i="13" s="1"/>
  <c r="X131" i="13" s="1"/>
  <c r="AA132" i="13"/>
  <c r="U143" i="13"/>
  <c r="W143" i="13" s="1"/>
  <c r="X143" i="13" s="1"/>
  <c r="AA144" i="13"/>
  <c r="AA150" i="13"/>
  <c r="U132" i="13"/>
  <c r="W132" i="13" s="1"/>
  <c r="X132" i="13" s="1"/>
  <c r="AA133" i="13"/>
  <c r="V137" i="13"/>
  <c r="AE137" i="13" s="1"/>
  <c r="U138" i="13"/>
  <c r="W138" i="13" s="1"/>
  <c r="X138" i="13" s="1"/>
  <c r="AB138" i="13"/>
  <c r="AA139" i="13"/>
  <c r="U144" i="13"/>
  <c r="W144" i="13" s="1"/>
  <c r="X144" i="13" s="1"/>
  <c r="AA145" i="13"/>
  <c r="U150" i="13"/>
  <c r="W150" i="13" s="1"/>
  <c r="X150" i="13" s="1"/>
  <c r="AA151" i="13"/>
  <c r="Z20" i="13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W141" i="13" l="1"/>
  <c r="X141" i="13" s="1"/>
  <c r="W137" i="13"/>
  <c r="X137" i="13" s="1"/>
  <c r="W139" i="13"/>
  <c r="X139" i="13" s="1"/>
  <c r="AC142" i="13"/>
  <c r="AD142" i="13" s="1"/>
  <c r="W156" i="13"/>
  <c r="X156" i="13" s="1"/>
  <c r="AE136" i="13"/>
  <c r="AC152" i="13"/>
  <c r="AD152" i="13" s="1"/>
  <c r="AE146" i="13"/>
  <c r="AE147" i="13"/>
  <c r="AF135" i="13"/>
  <c r="AC140" i="13"/>
  <c r="AE161" i="13"/>
  <c r="AE133" i="13"/>
  <c r="AE145" i="13"/>
  <c r="AF149" i="13"/>
  <c r="AE135" i="13"/>
  <c r="W151" i="13"/>
  <c r="X151" i="13" s="1"/>
  <c r="AF170" i="13"/>
  <c r="W158" i="13"/>
  <c r="X158" i="13" s="1"/>
  <c r="AE170" i="13"/>
  <c r="AF147" i="13"/>
  <c r="AE148" i="13"/>
  <c r="AF146" i="13"/>
  <c r="AE128" i="13"/>
  <c r="AF162" i="13"/>
  <c r="AC128" i="13"/>
  <c r="AF161" i="13"/>
  <c r="AE129" i="13"/>
  <c r="AF173" i="13"/>
  <c r="AF155" i="13"/>
  <c r="AC134" i="13"/>
  <c r="AD134" i="13" s="1"/>
  <c r="AF148" i="13"/>
  <c r="AF159" i="13"/>
  <c r="AF166" i="13"/>
  <c r="AE165" i="13"/>
  <c r="AC165" i="13"/>
  <c r="AD165" i="13" s="1"/>
  <c r="AF171" i="13"/>
  <c r="AF154" i="13"/>
  <c r="AF169" i="13"/>
  <c r="AF163" i="13"/>
  <c r="AF160" i="13"/>
  <c r="AF172" i="13"/>
  <c r="AF157" i="13"/>
  <c r="AF168" i="13"/>
  <c r="AF136" i="13"/>
  <c r="AF150" i="13"/>
  <c r="AF133" i="13"/>
  <c r="AF145" i="13"/>
  <c r="AF143" i="13"/>
  <c r="AC138" i="13"/>
  <c r="AD138" i="13" s="1"/>
  <c r="AE138" i="13"/>
  <c r="AF142" i="13"/>
  <c r="AF144" i="13"/>
  <c r="AF132" i="13"/>
  <c r="AF152" i="13"/>
  <c r="AF131" i="13"/>
  <c r="AF130" i="13"/>
  <c r="AF129" i="13"/>
  <c r="AC20" i="13"/>
  <c r="AD20" i="13" s="1"/>
  <c r="AE20" i="13"/>
  <c r="U20" i="13"/>
  <c r="W20" i="13" s="1"/>
  <c r="X20" i="13" s="1"/>
  <c r="AA20" i="13"/>
  <c r="U5" i="13"/>
  <c r="W5" i="13" s="1"/>
  <c r="X5" i="13" s="1"/>
  <c r="AB5" i="13"/>
  <c r="AF140" i="13" l="1"/>
  <c r="AD140" i="13"/>
  <c r="AF128" i="13"/>
  <c r="AD128" i="13"/>
  <c r="AF137" i="13"/>
  <c r="AF139" i="13"/>
  <c r="AF141" i="13"/>
  <c r="AF156" i="13"/>
  <c r="AF134" i="13"/>
  <c r="AF151" i="13"/>
  <c r="AF158" i="13"/>
  <c r="AF165" i="13"/>
  <c r="AF138" i="13"/>
  <c r="AF20" i="13"/>
  <c r="AC5" i="13"/>
  <c r="AD5" i="13" s="1"/>
  <c r="AE5" i="13"/>
  <c r="K9" i="13"/>
  <c r="AF5" i="13" l="1"/>
  <c r="Z108" i="13" l="1"/>
  <c r="AB108" i="13" s="1"/>
  <c r="T108" i="13"/>
  <c r="V108" i="13" s="1"/>
  <c r="P108" i="13"/>
  <c r="K108" i="13"/>
  <c r="E108" i="13"/>
  <c r="D108" i="13"/>
  <c r="C108" i="13"/>
  <c r="B108" i="13"/>
  <c r="Z119" i="13"/>
  <c r="AB119" i="13" s="1"/>
  <c r="T119" i="13"/>
  <c r="V119" i="13" s="1"/>
  <c r="P119" i="13"/>
  <c r="K119" i="13"/>
  <c r="E119" i="13"/>
  <c r="D119" i="13"/>
  <c r="C119" i="13"/>
  <c r="B119" i="13"/>
  <c r="Z102" i="13"/>
  <c r="AB102" i="13" s="1"/>
  <c r="T102" i="13"/>
  <c r="V102" i="13" s="1"/>
  <c r="P102" i="13"/>
  <c r="K102" i="13"/>
  <c r="E102" i="13"/>
  <c r="D102" i="13"/>
  <c r="C102" i="13"/>
  <c r="B102" i="13"/>
  <c r="Z101" i="13"/>
  <c r="AB101" i="13" s="1"/>
  <c r="T101" i="13"/>
  <c r="V101" i="13" s="1"/>
  <c r="P101" i="13"/>
  <c r="K101" i="13"/>
  <c r="E101" i="13"/>
  <c r="D101" i="13"/>
  <c r="C101" i="13"/>
  <c r="B101" i="13"/>
  <c r="Z153" i="13"/>
  <c r="T153" i="13"/>
  <c r="V153" i="13" s="1"/>
  <c r="P153" i="13"/>
  <c r="K153" i="13"/>
  <c r="E153" i="13"/>
  <c r="D153" i="13"/>
  <c r="C153" i="13"/>
  <c r="B153" i="13"/>
  <c r="Z127" i="13"/>
  <c r="AA127" i="13" s="1"/>
  <c r="T127" i="13"/>
  <c r="P127" i="13"/>
  <c r="E127" i="13"/>
  <c r="D127" i="13"/>
  <c r="C127" i="13"/>
  <c r="B127" i="13"/>
  <c r="Z126" i="13"/>
  <c r="AA126" i="13" s="1"/>
  <c r="T126" i="13"/>
  <c r="V126" i="13" s="1"/>
  <c r="P126" i="13"/>
  <c r="K126" i="13"/>
  <c r="E126" i="13"/>
  <c r="D126" i="13"/>
  <c r="C126" i="13"/>
  <c r="B126" i="13"/>
  <c r="Z125" i="13"/>
  <c r="AB125" i="13" s="1"/>
  <c r="AC125" i="13" s="1"/>
  <c r="AD125" i="13" s="1"/>
  <c r="T125" i="13"/>
  <c r="V125" i="13" s="1"/>
  <c r="P125" i="13"/>
  <c r="K125" i="13"/>
  <c r="E125" i="13"/>
  <c r="D125" i="13"/>
  <c r="C125" i="13"/>
  <c r="B125" i="13"/>
  <c r="Z124" i="13"/>
  <c r="T124" i="13"/>
  <c r="V124" i="13" s="1"/>
  <c r="P124" i="13"/>
  <c r="K124" i="13"/>
  <c r="E124" i="13"/>
  <c r="D124" i="13"/>
  <c r="C124" i="13"/>
  <c r="B124" i="13"/>
  <c r="Z123" i="13"/>
  <c r="AA123" i="13" s="1"/>
  <c r="T123" i="13"/>
  <c r="P123" i="13"/>
  <c r="K123" i="13"/>
  <c r="E123" i="13"/>
  <c r="D123" i="13"/>
  <c r="C123" i="13"/>
  <c r="B123" i="13"/>
  <c r="Z122" i="13"/>
  <c r="AB122" i="13" s="1"/>
  <c r="T122" i="13"/>
  <c r="V122" i="13" s="1"/>
  <c r="P122" i="13"/>
  <c r="K122" i="13"/>
  <c r="E122" i="13"/>
  <c r="D122" i="13"/>
  <c r="C122" i="13"/>
  <c r="B122" i="13"/>
  <c r="Z121" i="13"/>
  <c r="AB121" i="13" s="1"/>
  <c r="AC121" i="13" s="1"/>
  <c r="AD121" i="13" s="1"/>
  <c r="T121" i="13"/>
  <c r="U121" i="13" s="1"/>
  <c r="P121" i="13"/>
  <c r="K121" i="13"/>
  <c r="E121" i="13"/>
  <c r="D121" i="13"/>
  <c r="C121" i="13"/>
  <c r="B121" i="13"/>
  <c r="Z120" i="13"/>
  <c r="AB120" i="13" s="1"/>
  <c r="T120" i="13"/>
  <c r="U120" i="13" s="1"/>
  <c r="P120" i="13"/>
  <c r="K120" i="13"/>
  <c r="E120" i="13"/>
  <c r="D120" i="13"/>
  <c r="C120" i="13"/>
  <c r="B120" i="13"/>
  <c r="Z118" i="13"/>
  <c r="AB118" i="13" s="1"/>
  <c r="T118" i="13"/>
  <c r="V118" i="13" s="1"/>
  <c r="P118" i="13"/>
  <c r="K118" i="13"/>
  <c r="E118" i="13"/>
  <c r="D118" i="13"/>
  <c r="C118" i="13"/>
  <c r="B118" i="13"/>
  <c r="Z117" i="13"/>
  <c r="AA117" i="13" s="1"/>
  <c r="T117" i="13"/>
  <c r="V117" i="13" s="1"/>
  <c r="P117" i="13"/>
  <c r="K117" i="13"/>
  <c r="E117" i="13"/>
  <c r="D117" i="13"/>
  <c r="C117" i="13"/>
  <c r="B117" i="13"/>
  <c r="Z116" i="13"/>
  <c r="AB116" i="13" s="1"/>
  <c r="AC116" i="13" s="1"/>
  <c r="AD116" i="13" s="1"/>
  <c r="T116" i="13"/>
  <c r="U116" i="13" s="1"/>
  <c r="P116" i="13"/>
  <c r="K116" i="13"/>
  <c r="E116" i="13"/>
  <c r="D116" i="13"/>
  <c r="C116" i="13"/>
  <c r="B116" i="13"/>
  <c r="Z115" i="13"/>
  <c r="AB115" i="13" s="1"/>
  <c r="T115" i="13"/>
  <c r="V115" i="13" s="1"/>
  <c r="P115" i="13"/>
  <c r="K115" i="13"/>
  <c r="E115" i="13"/>
  <c r="D115" i="13"/>
  <c r="C115" i="13"/>
  <c r="B115" i="13"/>
  <c r="Z114" i="13"/>
  <c r="AB114" i="13" s="1"/>
  <c r="T114" i="13"/>
  <c r="V114" i="13" s="1"/>
  <c r="P114" i="13"/>
  <c r="K114" i="13"/>
  <c r="E114" i="13"/>
  <c r="D114" i="13"/>
  <c r="C114" i="13"/>
  <c r="B114" i="13"/>
  <c r="Z113" i="13"/>
  <c r="AA113" i="13" s="1"/>
  <c r="T113" i="13"/>
  <c r="V113" i="13" s="1"/>
  <c r="P113" i="13"/>
  <c r="K113" i="13"/>
  <c r="E113" i="13"/>
  <c r="D113" i="13"/>
  <c r="C113" i="13"/>
  <c r="B113" i="13"/>
  <c r="Z112" i="13"/>
  <c r="AB112" i="13" s="1"/>
  <c r="AC112" i="13" s="1"/>
  <c r="AD112" i="13" s="1"/>
  <c r="T112" i="13"/>
  <c r="U112" i="13" s="1"/>
  <c r="P112" i="13"/>
  <c r="K112" i="13"/>
  <c r="E112" i="13"/>
  <c r="D112" i="13"/>
  <c r="C112" i="13"/>
  <c r="B112" i="13"/>
  <c r="Z111" i="13"/>
  <c r="AB111" i="13" s="1"/>
  <c r="T111" i="13"/>
  <c r="V111" i="13" s="1"/>
  <c r="P111" i="13"/>
  <c r="K111" i="13"/>
  <c r="E111" i="13"/>
  <c r="D111" i="13"/>
  <c r="C111" i="13"/>
  <c r="B111" i="13"/>
  <c r="Z110" i="13"/>
  <c r="AB110" i="13" s="1"/>
  <c r="T110" i="13"/>
  <c r="V110" i="13" s="1"/>
  <c r="P110" i="13"/>
  <c r="K110" i="13"/>
  <c r="E110" i="13"/>
  <c r="D110" i="13"/>
  <c r="C110" i="13"/>
  <c r="B110" i="13"/>
  <c r="Z109" i="13"/>
  <c r="AA109" i="13" s="1"/>
  <c r="T109" i="13"/>
  <c r="V109" i="13" s="1"/>
  <c r="P109" i="13"/>
  <c r="K109" i="13"/>
  <c r="E109" i="13"/>
  <c r="D109" i="13"/>
  <c r="C109" i="13"/>
  <c r="B109" i="13"/>
  <c r="Z60" i="13"/>
  <c r="AB60" i="13" s="1"/>
  <c r="T60" i="13"/>
  <c r="V60" i="13" s="1"/>
  <c r="P60" i="13"/>
  <c r="K60" i="13"/>
  <c r="E60" i="13"/>
  <c r="D60" i="13"/>
  <c r="C60" i="13"/>
  <c r="B60" i="13"/>
  <c r="Z59" i="13"/>
  <c r="AA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U58" i="13" s="1"/>
  <c r="P58" i="13"/>
  <c r="K58" i="13"/>
  <c r="E58" i="13"/>
  <c r="D58" i="13"/>
  <c r="C58" i="13"/>
  <c r="B58" i="13"/>
  <c r="Z57" i="13"/>
  <c r="AB57" i="13" s="1"/>
  <c r="T57" i="13"/>
  <c r="V57" i="13" s="1"/>
  <c r="P57" i="13"/>
  <c r="K57" i="13"/>
  <c r="E57" i="13"/>
  <c r="D57" i="13"/>
  <c r="C57" i="13"/>
  <c r="B57" i="13"/>
  <c r="Z61" i="13"/>
  <c r="AB61" i="13" s="1"/>
  <c r="T61" i="13"/>
  <c r="V61" i="13" s="1"/>
  <c r="P61" i="13"/>
  <c r="K61" i="13"/>
  <c r="E61" i="13"/>
  <c r="D61" i="13"/>
  <c r="C61" i="13"/>
  <c r="B61" i="13"/>
  <c r="U126" i="13" l="1"/>
  <c r="W126" i="13" s="1"/>
  <c r="X126" i="13" s="1"/>
  <c r="AA112" i="13"/>
  <c r="U108" i="13"/>
  <c r="W108" i="13" s="1"/>
  <c r="X108" i="13" s="1"/>
  <c r="AC108" i="13"/>
  <c r="AD108" i="13" s="1"/>
  <c r="AE108" i="13"/>
  <c r="AA108" i="13"/>
  <c r="U101" i="13"/>
  <c r="W101" i="13" s="1"/>
  <c r="X101" i="13" s="1"/>
  <c r="U102" i="13"/>
  <c r="W102" i="13" s="1"/>
  <c r="X102" i="13" s="1"/>
  <c r="U119" i="13"/>
  <c r="W119" i="13" s="1"/>
  <c r="X119" i="13" s="1"/>
  <c r="AC119" i="13"/>
  <c r="AD119" i="13" s="1"/>
  <c r="AE119" i="13"/>
  <c r="AA119" i="13"/>
  <c r="V116" i="13"/>
  <c r="W116" i="13" s="1"/>
  <c r="X116" i="13" s="1"/>
  <c r="AB126" i="13"/>
  <c r="AE126" i="13" s="1"/>
  <c r="AB109" i="13"/>
  <c r="AE109" i="13" s="1"/>
  <c r="U111" i="13"/>
  <c r="W111" i="13" s="1"/>
  <c r="X111" i="13" s="1"/>
  <c r="V120" i="13"/>
  <c r="AE120" i="13" s="1"/>
  <c r="AE125" i="13"/>
  <c r="AC102" i="13"/>
  <c r="AD102" i="13" s="1"/>
  <c r="AE102" i="13"/>
  <c r="AA102" i="13"/>
  <c r="AA121" i="13"/>
  <c r="AB117" i="13"/>
  <c r="AE117" i="13" s="1"/>
  <c r="U125" i="13"/>
  <c r="W125" i="13" s="1"/>
  <c r="X125" i="13" s="1"/>
  <c r="AC101" i="13"/>
  <c r="AD101" i="13" s="1"/>
  <c r="AE101" i="13"/>
  <c r="AA101" i="13"/>
  <c r="V112" i="13"/>
  <c r="AE112" i="13" s="1"/>
  <c r="AB113" i="13"/>
  <c r="AC113" i="13" s="1"/>
  <c r="AD113" i="13" s="1"/>
  <c r="U115" i="13"/>
  <c r="W115" i="13" s="1"/>
  <c r="X115" i="13" s="1"/>
  <c r="AA116" i="13"/>
  <c r="V121" i="13"/>
  <c r="AE121" i="13" s="1"/>
  <c r="AB123" i="13"/>
  <c r="AC123" i="13" s="1"/>
  <c r="AD123" i="13" s="1"/>
  <c r="AB127" i="13"/>
  <c r="AC127" i="13" s="1"/>
  <c r="AD127" i="13" s="1"/>
  <c r="U124" i="13"/>
  <c r="W124" i="13" s="1"/>
  <c r="X124" i="13" s="1"/>
  <c r="AA125" i="13"/>
  <c r="U153" i="13"/>
  <c r="W153" i="13" s="1"/>
  <c r="X153" i="13" s="1"/>
  <c r="AE118" i="13"/>
  <c r="AC118" i="13"/>
  <c r="AD118" i="13" s="1"/>
  <c r="AC122" i="13"/>
  <c r="AD122" i="13" s="1"/>
  <c r="AE122" i="13"/>
  <c r="AC110" i="13"/>
  <c r="AD110" i="13" s="1"/>
  <c r="AE110" i="13"/>
  <c r="AC115" i="13"/>
  <c r="AD115" i="13" s="1"/>
  <c r="AE115" i="13"/>
  <c r="AC111" i="13"/>
  <c r="AD111" i="13" s="1"/>
  <c r="AE111" i="13"/>
  <c r="AC114" i="13"/>
  <c r="AD114" i="13" s="1"/>
  <c r="AE114" i="13"/>
  <c r="AC120" i="13"/>
  <c r="AD120" i="13" s="1"/>
  <c r="U110" i="13"/>
  <c r="W110" i="13" s="1"/>
  <c r="X110" i="13" s="1"/>
  <c r="AA111" i="13"/>
  <c r="AA115" i="13"/>
  <c r="U118" i="13"/>
  <c r="W118" i="13" s="1"/>
  <c r="X118" i="13" s="1"/>
  <c r="AA120" i="13"/>
  <c r="V123" i="13"/>
  <c r="U123" i="13"/>
  <c r="W123" i="13" s="1"/>
  <c r="X123" i="13" s="1"/>
  <c r="V127" i="13"/>
  <c r="U127" i="13"/>
  <c r="U113" i="13"/>
  <c r="W113" i="13" s="1"/>
  <c r="X113" i="13" s="1"/>
  <c r="U117" i="13"/>
  <c r="W117" i="13" s="1"/>
  <c r="X117" i="13" s="1"/>
  <c r="AA118" i="13"/>
  <c r="U122" i="13"/>
  <c r="W122" i="13" s="1"/>
  <c r="X122" i="13" s="1"/>
  <c r="AA122" i="13"/>
  <c r="U114" i="13"/>
  <c r="W114" i="13" s="1"/>
  <c r="X114" i="13" s="1"/>
  <c r="U109" i="13"/>
  <c r="W109" i="13" s="1"/>
  <c r="X109" i="13" s="1"/>
  <c r="AA110" i="13"/>
  <c r="AA114" i="13"/>
  <c r="AB124" i="13"/>
  <c r="AA124" i="13"/>
  <c r="AB153" i="13"/>
  <c r="AA153" i="13"/>
  <c r="U57" i="13"/>
  <c r="W57" i="13" s="1"/>
  <c r="X57" i="13" s="1"/>
  <c r="U60" i="13"/>
  <c r="W60" i="13" s="1"/>
  <c r="X60" i="13" s="1"/>
  <c r="AB58" i="13"/>
  <c r="AC58" i="13" s="1"/>
  <c r="AD58" i="13" s="1"/>
  <c r="AA57" i="13"/>
  <c r="V58" i="13"/>
  <c r="W58" i="13" s="1"/>
  <c r="X58" i="13" s="1"/>
  <c r="AB59" i="13"/>
  <c r="AC59" i="13" s="1"/>
  <c r="AD59" i="13" s="1"/>
  <c r="AC57" i="13"/>
  <c r="AD57" i="13" s="1"/>
  <c r="AE57" i="13"/>
  <c r="AC60" i="13"/>
  <c r="AD60" i="13" s="1"/>
  <c r="AE60" i="13"/>
  <c r="U59" i="13"/>
  <c r="W59" i="13" s="1"/>
  <c r="X59" i="13" s="1"/>
  <c r="AA60" i="13"/>
  <c r="U61" i="13"/>
  <c r="W61" i="13" s="1"/>
  <c r="X61" i="13" s="1"/>
  <c r="AC61" i="13"/>
  <c r="AD61" i="13" s="1"/>
  <c r="AE61" i="13"/>
  <c r="AA61" i="13"/>
  <c r="Z47" i="13"/>
  <c r="AA47" i="13" s="1"/>
  <c r="T47" i="13"/>
  <c r="V47" i="13" s="1"/>
  <c r="P47" i="13"/>
  <c r="K47" i="13"/>
  <c r="E47" i="13"/>
  <c r="D47" i="13"/>
  <c r="C47" i="13"/>
  <c r="B47" i="13"/>
  <c r="Z46" i="13"/>
  <c r="AB46" i="13" s="1"/>
  <c r="T46" i="13"/>
  <c r="V46" i="13" s="1"/>
  <c r="P46" i="13"/>
  <c r="K46" i="13"/>
  <c r="E46" i="13"/>
  <c r="D46" i="13"/>
  <c r="C46" i="13"/>
  <c r="B46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W127" i="13" l="1"/>
  <c r="X127" i="13" s="1"/>
  <c r="W120" i="13"/>
  <c r="W121" i="13"/>
  <c r="X121" i="13" s="1"/>
  <c r="AE116" i="13"/>
  <c r="AF116" i="13"/>
  <c r="W112" i="13"/>
  <c r="X112" i="13" s="1"/>
  <c r="AE127" i="13"/>
  <c r="AC126" i="13"/>
  <c r="AD126" i="13" s="1"/>
  <c r="AE113" i="13"/>
  <c r="AC109" i="13"/>
  <c r="AD109" i="13" s="1"/>
  <c r="AF108" i="13"/>
  <c r="AE123" i="13"/>
  <c r="AF125" i="13"/>
  <c r="AF119" i="13"/>
  <c r="AF123" i="13"/>
  <c r="AF102" i="13"/>
  <c r="AE59" i="13"/>
  <c r="AC117" i="13"/>
  <c r="AF101" i="13"/>
  <c r="AF113" i="13"/>
  <c r="AC153" i="13"/>
  <c r="AD153" i="13" s="1"/>
  <c r="AE153" i="13"/>
  <c r="AF111" i="13"/>
  <c r="AF110" i="13"/>
  <c r="AF122" i="13"/>
  <c r="AF114" i="13"/>
  <c r="AF118" i="13"/>
  <c r="AC124" i="13"/>
  <c r="AD124" i="13" s="1"/>
  <c r="AE124" i="13"/>
  <c r="AF115" i="13"/>
  <c r="AE58" i="13"/>
  <c r="AF59" i="13"/>
  <c r="AF58" i="13"/>
  <c r="AF60" i="13"/>
  <c r="AF57" i="13"/>
  <c r="AF61" i="13"/>
  <c r="U47" i="13"/>
  <c r="W47" i="13" s="1"/>
  <c r="X47" i="13" s="1"/>
  <c r="AB47" i="13"/>
  <c r="AA29" i="13"/>
  <c r="AE46" i="13"/>
  <c r="AC46" i="13"/>
  <c r="AD46" i="13" s="1"/>
  <c r="U46" i="13"/>
  <c r="W46" i="13" s="1"/>
  <c r="X46" i="13" s="1"/>
  <c r="AA46" i="13"/>
  <c r="V29" i="13"/>
  <c r="AE29" i="13" s="1"/>
  <c r="D15" i="26"/>
  <c r="D17" i="26"/>
  <c r="AF117" i="13" l="1"/>
  <c r="AD117" i="13"/>
  <c r="AF120" i="13"/>
  <c r="X120" i="13"/>
  <c r="AF127" i="13"/>
  <c r="AF121" i="13"/>
  <c r="W29" i="13"/>
  <c r="X29" i="13" s="1"/>
  <c r="AF126" i="13"/>
  <c r="AF112" i="13"/>
  <c r="AF109" i="13"/>
  <c r="AF153" i="13"/>
  <c r="AF124" i="13"/>
  <c r="AC47" i="13"/>
  <c r="AD47" i="13" s="1"/>
  <c r="AE47" i="13"/>
  <c r="AF46" i="13"/>
  <c r="T38" i="13"/>
  <c r="U38" i="13" s="1"/>
  <c r="Z38" i="13"/>
  <c r="T39" i="13"/>
  <c r="Z39" i="13"/>
  <c r="T40" i="13"/>
  <c r="Z40" i="13"/>
  <c r="T41" i="13"/>
  <c r="Z41" i="13"/>
  <c r="AB41" i="13" s="1"/>
  <c r="T42" i="13"/>
  <c r="U42" i="13" s="1"/>
  <c r="Z42" i="13"/>
  <c r="T43" i="13"/>
  <c r="V43" i="13" s="1"/>
  <c r="Z43" i="13"/>
  <c r="AB43" i="13" s="1"/>
  <c r="T44" i="13"/>
  <c r="Z44" i="13"/>
  <c r="T45" i="13"/>
  <c r="Z45" i="13"/>
  <c r="T48" i="13"/>
  <c r="V48" i="13" s="1"/>
  <c r="Z48" i="13"/>
  <c r="T49" i="13"/>
  <c r="Z49" i="13"/>
  <c r="T50" i="13"/>
  <c r="Z50" i="13"/>
  <c r="T51" i="13"/>
  <c r="Z51" i="13"/>
  <c r="AB51" i="13" s="1"/>
  <c r="T52" i="13"/>
  <c r="V52" i="13" s="1"/>
  <c r="Z52" i="13"/>
  <c r="AB52" i="13" s="1"/>
  <c r="AC52" i="13" s="1"/>
  <c r="AD52" i="13" s="1"/>
  <c r="T53" i="13"/>
  <c r="V53" i="13" s="1"/>
  <c r="Z53" i="13"/>
  <c r="T54" i="13"/>
  <c r="Z54" i="13"/>
  <c r="T55" i="13"/>
  <c r="U55" i="13" s="1"/>
  <c r="Z55" i="13"/>
  <c r="T56" i="13"/>
  <c r="Z56" i="13"/>
  <c r="AB56" i="13" s="1"/>
  <c r="T62" i="13"/>
  <c r="Z62" i="13"/>
  <c r="T63" i="13"/>
  <c r="Z63" i="13"/>
  <c r="T64" i="13"/>
  <c r="U64" i="13" s="1"/>
  <c r="W64" i="13" s="1"/>
  <c r="X64" i="13" s="1"/>
  <c r="Z64" i="13"/>
  <c r="AB64" i="13" s="1"/>
  <c r="T65" i="13"/>
  <c r="U65" i="13" s="1"/>
  <c r="Z65" i="13"/>
  <c r="AB65" i="13" s="1"/>
  <c r="AC65" i="13" s="1"/>
  <c r="AD65" i="13" s="1"/>
  <c r="T66" i="13"/>
  <c r="V66" i="13" s="1"/>
  <c r="Z66" i="13"/>
  <c r="T67" i="13"/>
  <c r="Z67" i="13"/>
  <c r="AB67" i="13" s="1"/>
  <c r="AC67" i="13" s="1"/>
  <c r="AD67" i="13" s="1"/>
  <c r="T68" i="13"/>
  <c r="U68" i="13" s="1"/>
  <c r="Z68" i="13"/>
  <c r="AA68" i="13" s="1"/>
  <c r="T69" i="13"/>
  <c r="U69" i="13" s="1"/>
  <c r="Z69" i="13"/>
  <c r="T70" i="13"/>
  <c r="Z70" i="13"/>
  <c r="T71" i="13"/>
  <c r="Z71" i="13"/>
  <c r="AA71" i="13" s="1"/>
  <c r="T72" i="13"/>
  <c r="Z72" i="13"/>
  <c r="AB72" i="13" s="1"/>
  <c r="T73" i="13"/>
  <c r="V73" i="13" s="1"/>
  <c r="Z73" i="13"/>
  <c r="T74" i="13"/>
  <c r="Z74" i="13"/>
  <c r="T75" i="13"/>
  <c r="Z75" i="13"/>
  <c r="AA75" i="13" s="1"/>
  <c r="T76" i="13"/>
  <c r="V76" i="13" s="1"/>
  <c r="Z76" i="13"/>
  <c r="T77" i="13"/>
  <c r="Z77" i="13"/>
  <c r="T78" i="13"/>
  <c r="Z78" i="13"/>
  <c r="AA78" i="13" s="1"/>
  <c r="T79" i="13"/>
  <c r="U79" i="13" s="1"/>
  <c r="Z79" i="13"/>
  <c r="AB79" i="13" s="1"/>
  <c r="AC79" i="13" s="1"/>
  <c r="AD79" i="13" s="1"/>
  <c r="T80" i="13"/>
  <c r="U80" i="13" s="1"/>
  <c r="Z80" i="13"/>
  <c r="AB80" i="13" s="1"/>
  <c r="T81" i="13"/>
  <c r="V81" i="13" s="1"/>
  <c r="Z81" i="13"/>
  <c r="T82" i="13"/>
  <c r="Z82" i="13"/>
  <c r="T83" i="13"/>
  <c r="U83" i="13" s="1"/>
  <c r="Z83" i="13"/>
  <c r="AA83" i="13" s="1"/>
  <c r="T84" i="13"/>
  <c r="Z84" i="13"/>
  <c r="AB84" i="13" s="1"/>
  <c r="T85" i="13"/>
  <c r="U85" i="13" s="1"/>
  <c r="Z85" i="13"/>
  <c r="T86" i="13"/>
  <c r="Z86" i="13"/>
  <c r="T87" i="13"/>
  <c r="Z87" i="13"/>
  <c r="AB87" i="13" s="1"/>
  <c r="AC87" i="13" s="1"/>
  <c r="AD87" i="13" s="1"/>
  <c r="T89" i="13"/>
  <c r="V89" i="13" s="1"/>
  <c r="Z89" i="13"/>
  <c r="T91" i="13"/>
  <c r="Z91" i="13"/>
  <c r="AB91" i="13" s="1"/>
  <c r="AC91" i="13" s="1"/>
  <c r="AD91" i="13" s="1"/>
  <c r="T92" i="13"/>
  <c r="Z92" i="13"/>
  <c r="AA92" i="13" s="1"/>
  <c r="T93" i="13"/>
  <c r="U93" i="13" s="1"/>
  <c r="Z93" i="13"/>
  <c r="T94" i="13"/>
  <c r="Z94" i="13"/>
  <c r="T95" i="13"/>
  <c r="Z95" i="13"/>
  <c r="AA95" i="13" s="1"/>
  <c r="T96" i="13"/>
  <c r="Z96" i="13"/>
  <c r="T97" i="13"/>
  <c r="Z97" i="13"/>
  <c r="T98" i="13"/>
  <c r="Z98" i="13"/>
  <c r="T99" i="13"/>
  <c r="Z99" i="13"/>
  <c r="T100" i="13"/>
  <c r="V100" i="13" s="1"/>
  <c r="Z100" i="13"/>
  <c r="AB100" i="13" s="1"/>
  <c r="T103" i="13"/>
  <c r="V103" i="13" s="1"/>
  <c r="Z103" i="13"/>
  <c r="AB103" i="13" s="1"/>
  <c r="AC103" i="13" s="1"/>
  <c r="AD103" i="13" s="1"/>
  <c r="T104" i="13"/>
  <c r="V104" i="13" s="1"/>
  <c r="Z104" i="13"/>
  <c r="AA104" i="13" s="1"/>
  <c r="T105" i="13"/>
  <c r="U105" i="13" s="1"/>
  <c r="Z105" i="13"/>
  <c r="AB105" i="13" s="1"/>
  <c r="T106" i="13"/>
  <c r="V106" i="13" s="1"/>
  <c r="Z106" i="13"/>
  <c r="T107" i="13"/>
  <c r="V107" i="13" s="1"/>
  <c r="Z107" i="13"/>
  <c r="AB107" i="13" s="1"/>
  <c r="AC107" i="13" s="1"/>
  <c r="AD107" i="13" s="1"/>
  <c r="T174" i="13"/>
  <c r="Z174" i="13"/>
  <c r="AA174" i="13" s="1"/>
  <c r="T175" i="13"/>
  <c r="U175" i="13" s="1"/>
  <c r="Z175" i="13"/>
  <c r="AA175" i="13" s="1"/>
  <c r="T176" i="13"/>
  <c r="V176" i="13" s="1"/>
  <c r="Z176" i="13"/>
  <c r="AB176" i="13" s="1"/>
  <c r="T177" i="13"/>
  <c r="Z177" i="13"/>
  <c r="T178" i="13"/>
  <c r="Z178" i="13"/>
  <c r="T179" i="13"/>
  <c r="Z179" i="13"/>
  <c r="T180" i="13"/>
  <c r="Z180" i="13"/>
  <c r="T181" i="13"/>
  <c r="Z181" i="13"/>
  <c r="T182" i="13"/>
  <c r="Z182" i="13"/>
  <c r="AA182" i="13" s="1"/>
  <c r="T183" i="13"/>
  <c r="Z183" i="13"/>
  <c r="AA183" i="13" s="1"/>
  <c r="T184" i="13"/>
  <c r="Z184" i="13"/>
  <c r="AB184" i="13" s="1"/>
  <c r="T185" i="13"/>
  <c r="V185" i="13" s="1"/>
  <c r="Z185" i="13"/>
  <c r="T186" i="13"/>
  <c r="Z186" i="13"/>
  <c r="AA186" i="13" s="1"/>
  <c r="T187" i="13"/>
  <c r="U187" i="13" s="1"/>
  <c r="W187" i="13" s="1"/>
  <c r="X187" i="13" s="1"/>
  <c r="Z187" i="13"/>
  <c r="AA187" i="13" s="1"/>
  <c r="T188" i="13"/>
  <c r="U188" i="13" s="1"/>
  <c r="W188" i="13" s="1"/>
  <c r="X188" i="13" s="1"/>
  <c r="Z188" i="13"/>
  <c r="T189" i="13"/>
  <c r="Z189" i="13"/>
  <c r="T190" i="13"/>
  <c r="Z190" i="13"/>
  <c r="T191" i="13"/>
  <c r="Z191" i="13"/>
  <c r="AA191" i="13" s="1"/>
  <c r="T192" i="13"/>
  <c r="U192" i="13" s="1"/>
  <c r="Z192" i="13"/>
  <c r="AB192" i="13" s="1"/>
  <c r="T193" i="13"/>
  <c r="V193" i="13" s="1"/>
  <c r="Z193" i="13"/>
  <c r="T194" i="13"/>
  <c r="Z194" i="13"/>
  <c r="T195" i="13"/>
  <c r="U195" i="13" s="1"/>
  <c r="Z195" i="13"/>
  <c r="AA195" i="13" s="1"/>
  <c r="T196" i="13"/>
  <c r="U196" i="13" s="1"/>
  <c r="W196" i="13" s="1"/>
  <c r="X196" i="13" s="1"/>
  <c r="Z196" i="13"/>
  <c r="T197" i="13"/>
  <c r="Z197" i="13"/>
  <c r="T198" i="13"/>
  <c r="Z198" i="13"/>
  <c r="AA198" i="13" s="1"/>
  <c r="T199" i="13"/>
  <c r="U199" i="13" s="1"/>
  <c r="Z199" i="13"/>
  <c r="AB199" i="13" s="1"/>
  <c r="T200" i="13"/>
  <c r="Z200" i="13"/>
  <c r="AB200" i="13" s="1"/>
  <c r="AC200" i="13" s="1"/>
  <c r="AD200" i="13" s="1"/>
  <c r="T201" i="13"/>
  <c r="V201" i="13" s="1"/>
  <c r="Z201" i="13"/>
  <c r="T202" i="13"/>
  <c r="Z202" i="13"/>
  <c r="T203" i="13"/>
  <c r="U203" i="13" s="1"/>
  <c r="Z203" i="13"/>
  <c r="AB203" i="13" s="1"/>
  <c r="AC203" i="13" s="1"/>
  <c r="AD203" i="13" s="1"/>
  <c r="T204" i="13"/>
  <c r="V204" i="13" s="1"/>
  <c r="Z204" i="13"/>
  <c r="T205" i="13"/>
  <c r="V205" i="13" s="1"/>
  <c r="Z205" i="13"/>
  <c r="T206" i="13"/>
  <c r="V206" i="13" s="1"/>
  <c r="Z206" i="13"/>
  <c r="AA206" i="13" s="1"/>
  <c r="T207" i="13"/>
  <c r="Z207" i="13"/>
  <c r="AB207" i="13" s="1"/>
  <c r="T208" i="13"/>
  <c r="U208" i="13" s="1"/>
  <c r="Z208" i="13"/>
  <c r="AB208" i="13" s="1"/>
  <c r="T209" i="13"/>
  <c r="Z209" i="13"/>
  <c r="T210" i="13"/>
  <c r="V210" i="13" s="1"/>
  <c r="Z210" i="13"/>
  <c r="AA210" i="13" s="1"/>
  <c r="T211" i="13"/>
  <c r="Z211" i="13"/>
  <c r="T212" i="13"/>
  <c r="U212" i="13" s="1"/>
  <c r="Z212" i="13"/>
  <c r="AB212" i="13" s="1"/>
  <c r="T213" i="13"/>
  <c r="Z213" i="13"/>
  <c r="AA213" i="13" s="1"/>
  <c r="T214" i="13"/>
  <c r="Z214" i="13"/>
  <c r="AB214" i="13" s="1"/>
  <c r="T215" i="13"/>
  <c r="U215" i="13" s="1"/>
  <c r="W215" i="13" s="1"/>
  <c r="X215" i="13" s="1"/>
  <c r="Z215" i="13"/>
  <c r="T216" i="13"/>
  <c r="Z216" i="13"/>
  <c r="T217" i="13"/>
  <c r="Z217" i="13"/>
  <c r="AA217" i="13" s="1"/>
  <c r="T218" i="13"/>
  <c r="U218" i="13" s="1"/>
  <c r="Z218" i="13"/>
  <c r="AA218" i="13" s="1"/>
  <c r="T219" i="13"/>
  <c r="Z219" i="13"/>
  <c r="AB219" i="13" s="1"/>
  <c r="AC219" i="13" s="1"/>
  <c r="AD219" i="13" s="1"/>
  <c r="T220" i="13"/>
  <c r="V220" i="13" s="1"/>
  <c r="Z220" i="13"/>
  <c r="T221" i="13"/>
  <c r="Z221" i="13"/>
  <c r="AA221" i="13" s="1"/>
  <c r="T222" i="13"/>
  <c r="U222" i="13" s="1"/>
  <c r="Z222" i="13"/>
  <c r="AA222" i="13" s="1"/>
  <c r="T223" i="13"/>
  <c r="V223" i="13" s="1"/>
  <c r="Z223" i="13"/>
  <c r="T224" i="13"/>
  <c r="Z224" i="13"/>
  <c r="T225" i="13"/>
  <c r="Z225" i="13"/>
  <c r="AA225" i="13" s="1"/>
  <c r="T226" i="13"/>
  <c r="Z226" i="13"/>
  <c r="AB226" i="13" s="1"/>
  <c r="T227" i="13"/>
  <c r="U227" i="13" s="1"/>
  <c r="Z227" i="13"/>
  <c r="T228" i="13"/>
  <c r="V228" i="13" s="1"/>
  <c r="Z228" i="13"/>
  <c r="T229" i="13"/>
  <c r="Z229" i="13"/>
  <c r="T230" i="13"/>
  <c r="U230" i="13" s="1"/>
  <c r="Z230" i="13"/>
  <c r="AB230" i="13" s="1"/>
  <c r="T231" i="13"/>
  <c r="V231" i="13" s="1"/>
  <c r="Z231" i="13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5" i="13" l="1"/>
  <c r="AF29" i="13"/>
  <c r="AF47" i="13"/>
  <c r="AA64" i="13"/>
  <c r="AB33" i="13"/>
  <c r="AC33" i="13" s="1"/>
  <c r="AD33" i="13" s="1"/>
  <c r="AB186" i="13"/>
  <c r="AC186" i="13" s="1"/>
  <c r="AD186" i="13" s="1"/>
  <c r="AA35" i="13"/>
  <c r="V34" i="13"/>
  <c r="AE34" i="13" s="1"/>
  <c r="V16" i="13"/>
  <c r="W16" i="13" s="1"/>
  <c r="X16" i="13" s="1"/>
  <c r="AB210" i="13"/>
  <c r="AE210" i="13" s="1"/>
  <c r="AA100" i="13"/>
  <c r="AA67" i="13"/>
  <c r="AB23" i="13"/>
  <c r="AC23" i="13" s="1"/>
  <c r="AD23" i="13" s="1"/>
  <c r="V19" i="13"/>
  <c r="W19" i="13" s="1"/>
  <c r="X19" i="13" s="1"/>
  <c r="AB198" i="13"/>
  <c r="AC198" i="13" s="1"/>
  <c r="AD198" i="13" s="1"/>
  <c r="AB78" i="13"/>
  <c r="AC78" i="13" s="1"/>
  <c r="AD78" i="13" s="1"/>
  <c r="AB7" i="13"/>
  <c r="AC7" i="13" s="1"/>
  <c r="AD7" i="13" s="1"/>
  <c r="AB195" i="13"/>
  <c r="AC195" i="13" s="1"/>
  <c r="AD195" i="13" s="1"/>
  <c r="AA24" i="13"/>
  <c r="AA203" i="13"/>
  <c r="AB183" i="13"/>
  <c r="AC183" i="13" s="1"/>
  <c r="AD183" i="13" s="1"/>
  <c r="AB83" i="13"/>
  <c r="AC83" i="13" s="1"/>
  <c r="AD83" i="13" s="1"/>
  <c r="U73" i="13"/>
  <c r="W73" i="13" s="1"/>
  <c r="X73" i="13" s="1"/>
  <c r="AB71" i="13"/>
  <c r="AC71" i="13" s="1"/>
  <c r="AD71" i="13" s="1"/>
  <c r="AA25" i="13"/>
  <c r="U223" i="13"/>
  <c r="W223" i="13" s="1"/>
  <c r="X223" i="13" s="1"/>
  <c r="AB221" i="13"/>
  <c r="AC221" i="13" s="1"/>
  <c r="AD221" i="13" s="1"/>
  <c r="U220" i="13"/>
  <c r="W220" i="13" s="1"/>
  <c r="X220" i="13" s="1"/>
  <c r="AB218" i="13"/>
  <c r="AC218" i="13" s="1"/>
  <c r="AD218" i="13" s="1"/>
  <c r="U204" i="13"/>
  <c r="W204" i="13" s="1"/>
  <c r="X204" i="13" s="1"/>
  <c r="AB182" i="13"/>
  <c r="AC182" i="13" s="1"/>
  <c r="AD182" i="13" s="1"/>
  <c r="U100" i="13"/>
  <c r="W100" i="13" s="1"/>
  <c r="X100" i="13" s="1"/>
  <c r="U76" i="13"/>
  <c r="W76" i="13" s="1"/>
  <c r="X76" i="13" s="1"/>
  <c r="U43" i="13"/>
  <c r="W43" i="13" s="1"/>
  <c r="X43" i="13" s="1"/>
  <c r="AA43" i="13"/>
  <c r="AA230" i="13"/>
  <c r="V227" i="13"/>
  <c r="W227" i="13" s="1"/>
  <c r="X227" i="13" s="1"/>
  <c r="AA199" i="13"/>
  <c r="U193" i="13"/>
  <c r="W193" i="13" s="1"/>
  <c r="X193" i="13" s="1"/>
  <c r="AB191" i="13"/>
  <c r="AC191" i="13" s="1"/>
  <c r="AD191" i="13" s="1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AA226" i="13"/>
  <c r="AA208" i="13"/>
  <c r="AA200" i="13"/>
  <c r="AB187" i="13"/>
  <c r="AC187" i="13" s="1"/>
  <c r="AD187" i="13" s="1"/>
  <c r="U107" i="13"/>
  <c r="W107" i="13" s="1"/>
  <c r="U106" i="13"/>
  <c r="W106" i="13" s="1"/>
  <c r="X106" i="13" s="1"/>
  <c r="U103" i="13"/>
  <c r="W103" i="13" s="1"/>
  <c r="X103" i="13" s="1"/>
  <c r="V93" i="13"/>
  <c r="W93" i="13" s="1"/>
  <c r="X93" i="13" s="1"/>
  <c r="AA87" i="13"/>
  <c r="AA79" i="13"/>
  <c r="AA72" i="13"/>
  <c r="V68" i="13"/>
  <c r="W68" i="13" s="1"/>
  <c r="X68" i="13" s="1"/>
  <c r="V55" i="13"/>
  <c r="W55" i="13" s="1"/>
  <c r="X55" i="13" s="1"/>
  <c r="U48" i="13"/>
  <c r="W48" i="13" s="1"/>
  <c r="X48" i="13" s="1"/>
  <c r="V42" i="13"/>
  <c r="AE52" i="13"/>
  <c r="AE103" i="13"/>
  <c r="AA51" i="13"/>
  <c r="AB11" i="13"/>
  <c r="AC11" i="13" s="1"/>
  <c r="AD11" i="13" s="1"/>
  <c r="U228" i="13"/>
  <c r="W228" i="13" s="1"/>
  <c r="X228" i="13" s="1"/>
  <c r="V222" i="13"/>
  <c r="W222" i="13" s="1"/>
  <c r="X222" i="13" s="1"/>
  <c r="V218" i="13"/>
  <c r="W218" i="13" s="1"/>
  <c r="X218" i="13" s="1"/>
  <c r="AA214" i="13"/>
  <c r="AB213" i="13"/>
  <c r="AC213" i="13" s="1"/>
  <c r="AD213" i="13" s="1"/>
  <c r="V208" i="13"/>
  <c r="AE208" i="13" s="1"/>
  <c r="V203" i="13"/>
  <c r="AE203" i="13" s="1"/>
  <c r="V199" i="13"/>
  <c r="AE199" i="13" s="1"/>
  <c r="V196" i="13"/>
  <c r="AA192" i="13"/>
  <c r="V188" i="13"/>
  <c r="AA184" i="13"/>
  <c r="U176" i="13"/>
  <c r="W176" i="13" s="1"/>
  <c r="X176" i="13" s="1"/>
  <c r="AE107" i="13"/>
  <c r="AB95" i="13"/>
  <c r="AC95" i="13" s="1"/>
  <c r="AD95" i="13" s="1"/>
  <c r="V80" i="13"/>
  <c r="AE80" i="13" s="1"/>
  <c r="V69" i="13"/>
  <c r="W69" i="13" s="1"/>
  <c r="X69" i="13" s="1"/>
  <c r="AB68" i="13"/>
  <c r="V65" i="13"/>
  <c r="AE65" i="13" s="1"/>
  <c r="AA37" i="13"/>
  <c r="AB18" i="13"/>
  <c r="AC18" i="13" s="1"/>
  <c r="AD18" i="13" s="1"/>
  <c r="AB14" i="13"/>
  <c r="AC14" i="13" s="1"/>
  <c r="AD14" i="13" s="1"/>
  <c r="V7" i="13"/>
  <c r="AB222" i="13"/>
  <c r="AC222" i="13" s="1"/>
  <c r="AD222" i="13" s="1"/>
  <c r="U210" i="13"/>
  <c r="W210" i="13" s="1"/>
  <c r="X210" i="13" s="1"/>
  <c r="V187" i="13"/>
  <c r="AA107" i="13"/>
  <c r="AB92" i="13"/>
  <c r="AC92" i="13" s="1"/>
  <c r="AD92" i="13" s="1"/>
  <c r="AA91" i="13"/>
  <c r="AA41" i="13"/>
  <c r="V17" i="13"/>
  <c r="U17" i="13"/>
  <c r="AC230" i="13"/>
  <c r="AD230" i="13" s="1"/>
  <c r="AC207" i="13"/>
  <c r="AD207" i="13" s="1"/>
  <c r="AB205" i="13"/>
  <c r="AC205" i="13" s="1"/>
  <c r="AD205" i="13" s="1"/>
  <c r="AA205" i="13"/>
  <c r="U200" i="13"/>
  <c r="W200" i="13" s="1"/>
  <c r="V200" i="13"/>
  <c r="AE200" i="13" s="1"/>
  <c r="U96" i="13"/>
  <c r="V96" i="13"/>
  <c r="U28" i="13"/>
  <c r="V28" i="13"/>
  <c r="AE28" i="13" s="1"/>
  <c r="U180" i="13"/>
  <c r="V180" i="13"/>
  <c r="V91" i="13"/>
  <c r="AE91" i="13" s="1"/>
  <c r="U91" i="13"/>
  <c r="AB76" i="13"/>
  <c r="AA76" i="13"/>
  <c r="AB48" i="13"/>
  <c r="AA48" i="13"/>
  <c r="V44" i="13"/>
  <c r="U44" i="13"/>
  <c r="AA38" i="13"/>
  <c r="AB38" i="13"/>
  <c r="V35" i="13"/>
  <c r="AE35" i="13" s="1"/>
  <c r="V33" i="13"/>
  <c r="W33" i="13" s="1"/>
  <c r="X33" i="13" s="1"/>
  <c r="V30" i="13"/>
  <c r="AE30" i="13" s="1"/>
  <c r="AA28" i="13"/>
  <c r="AB19" i="13"/>
  <c r="U12" i="13"/>
  <c r="W12" i="13" s="1"/>
  <c r="X12" i="13" s="1"/>
  <c r="U231" i="13"/>
  <c r="W231" i="13" s="1"/>
  <c r="X231" i="13" s="1"/>
  <c r="AB227" i="13"/>
  <c r="AC227" i="13" s="1"/>
  <c r="AD227" i="13" s="1"/>
  <c r="AA227" i="13"/>
  <c r="AC214" i="13"/>
  <c r="AD214" i="13" s="1"/>
  <c r="V212" i="13"/>
  <c r="W212" i="13" s="1"/>
  <c r="X212" i="13" s="1"/>
  <c r="AA204" i="13"/>
  <c r="AB204" i="13"/>
  <c r="AC204" i="13" s="1"/>
  <c r="AD204" i="13" s="1"/>
  <c r="V195" i="13"/>
  <c r="AC192" i="13"/>
  <c r="AD192" i="13" s="1"/>
  <c r="U183" i="13"/>
  <c r="V183" i="13"/>
  <c r="AA178" i="13"/>
  <c r="AB178" i="13"/>
  <c r="AC178" i="13" s="1"/>
  <c r="AD178" i="13" s="1"/>
  <c r="AC100" i="13"/>
  <c r="AD100" i="13" s="1"/>
  <c r="AE100" i="13"/>
  <c r="V94" i="13"/>
  <c r="U94" i="13"/>
  <c r="AA82" i="13"/>
  <c r="AB82" i="13"/>
  <c r="AC82" i="13" s="1"/>
  <c r="AD82" i="13" s="1"/>
  <c r="V79" i="13"/>
  <c r="AE79" i="13" s="1"/>
  <c r="V74" i="13"/>
  <c r="U74" i="13"/>
  <c r="AA55" i="13"/>
  <c r="AB55" i="13"/>
  <c r="AC55" i="13" s="1"/>
  <c r="AD55" i="13" s="1"/>
  <c r="AC51" i="13"/>
  <c r="AD51" i="13" s="1"/>
  <c r="U226" i="13"/>
  <c r="V226" i="13"/>
  <c r="AE226" i="13" s="1"/>
  <c r="AA211" i="13"/>
  <c r="AB211" i="13"/>
  <c r="AC211" i="13" s="1"/>
  <c r="AD211" i="13" s="1"/>
  <c r="AB99" i="13"/>
  <c r="AC99" i="13" s="1"/>
  <c r="AD99" i="13" s="1"/>
  <c r="AA99" i="13"/>
  <c r="AC84" i="13"/>
  <c r="AD84" i="13" s="1"/>
  <c r="AA50" i="13"/>
  <c r="AB50" i="13"/>
  <c r="AC50" i="13" s="1"/>
  <c r="AD50" i="13" s="1"/>
  <c r="AA229" i="13"/>
  <c r="AB229" i="13"/>
  <c r="AC229" i="13" s="1"/>
  <c r="AD229" i="13" s="1"/>
  <c r="U219" i="13"/>
  <c r="V219" i="13"/>
  <c r="AE219" i="13" s="1"/>
  <c r="V177" i="13"/>
  <c r="U177" i="13"/>
  <c r="U97" i="13"/>
  <c r="V97" i="13"/>
  <c r="V37" i="13"/>
  <c r="W37" i="13" s="1"/>
  <c r="X37" i="13" s="1"/>
  <c r="AA34" i="13"/>
  <c r="U21" i="13"/>
  <c r="AB16" i="13"/>
  <c r="AA16" i="13"/>
  <c r="V11" i="13"/>
  <c r="W11" i="13" s="1"/>
  <c r="X11" i="13" s="1"/>
  <c r="U8" i="13"/>
  <c r="V8" i="13"/>
  <c r="AE8" i="13" s="1"/>
  <c r="V230" i="13"/>
  <c r="AE230" i="13" s="1"/>
  <c r="AA219" i="13"/>
  <c r="V215" i="13"/>
  <c r="U213" i="13"/>
  <c r="V213" i="13"/>
  <c r="AA207" i="13"/>
  <c r="U191" i="13"/>
  <c r="V191" i="13"/>
  <c r="V184" i="13"/>
  <c r="AE184" i="13" s="1"/>
  <c r="U184" i="13"/>
  <c r="AB179" i="13"/>
  <c r="AA179" i="13"/>
  <c r="V175" i="13"/>
  <c r="W175" i="13" s="1"/>
  <c r="X175" i="13" s="1"/>
  <c r="AA93" i="13"/>
  <c r="AB93" i="13"/>
  <c r="AC93" i="13" s="1"/>
  <c r="AD93" i="13" s="1"/>
  <c r="AA84" i="13"/>
  <c r="AA63" i="13"/>
  <c r="AB63" i="13"/>
  <c r="AC63" i="13" s="1"/>
  <c r="AD63" i="13" s="1"/>
  <c r="AA56" i="13"/>
  <c r="V15" i="13"/>
  <c r="W15" i="13" s="1"/>
  <c r="X15" i="13" s="1"/>
  <c r="AB10" i="13"/>
  <c r="AC10" i="13" s="1"/>
  <c r="AD10" i="13" s="1"/>
  <c r="U9" i="13"/>
  <c r="W9" i="13" s="1"/>
  <c r="X9" i="13" s="1"/>
  <c r="AB225" i="13"/>
  <c r="AC225" i="13" s="1"/>
  <c r="AD225" i="13" s="1"/>
  <c r="AB217" i="13"/>
  <c r="AC217" i="13" s="1"/>
  <c r="AD217" i="13" s="1"/>
  <c r="AA212" i="13"/>
  <c r="U207" i="13"/>
  <c r="V207" i="13"/>
  <c r="AE207" i="13" s="1"/>
  <c r="U205" i="13"/>
  <c r="W205" i="13" s="1"/>
  <c r="X205" i="13" s="1"/>
  <c r="U201" i="13"/>
  <c r="W201" i="13" s="1"/>
  <c r="X201" i="13" s="1"/>
  <c r="AA194" i="13"/>
  <c r="AB194" i="13"/>
  <c r="AC194" i="13" s="1"/>
  <c r="AD194" i="13" s="1"/>
  <c r="V192" i="13"/>
  <c r="AE192" i="13" s="1"/>
  <c r="AA190" i="13"/>
  <c r="AB190" i="13"/>
  <c r="AC190" i="13" s="1"/>
  <c r="AD190" i="13" s="1"/>
  <c r="U185" i="13"/>
  <c r="W185" i="13" s="1"/>
  <c r="X185" i="13" s="1"/>
  <c r="AC184" i="13"/>
  <c r="AD184" i="13" s="1"/>
  <c r="U179" i="13"/>
  <c r="V179" i="13"/>
  <c r="AA176" i="13"/>
  <c r="AB175" i="13"/>
  <c r="AC175" i="13" s="1"/>
  <c r="AD175" i="13" s="1"/>
  <c r="AB174" i="13"/>
  <c r="AC174" i="13" s="1"/>
  <c r="AD174" i="13" s="1"/>
  <c r="AA105" i="13"/>
  <c r="U89" i="13"/>
  <c r="W89" i="13" s="1"/>
  <c r="X89" i="13" s="1"/>
  <c r="U84" i="13"/>
  <c r="V84" i="13"/>
  <c r="AE84" i="13" s="1"/>
  <c r="V83" i="13"/>
  <c r="W83" i="13" s="1"/>
  <c r="X83" i="13" s="1"/>
  <c r="V77" i="13"/>
  <c r="U77" i="13"/>
  <c r="U72" i="13"/>
  <c r="V72" i="13"/>
  <c r="AE72" i="13" s="1"/>
  <c r="V64" i="13"/>
  <c r="AE64" i="13" s="1"/>
  <c r="U56" i="13"/>
  <c r="V56" i="13"/>
  <c r="AE56" i="13" s="1"/>
  <c r="U52" i="13"/>
  <c r="W52" i="13" s="1"/>
  <c r="U51" i="13"/>
  <c r="V51" i="13"/>
  <c r="AE51" i="13" s="1"/>
  <c r="AA45" i="13"/>
  <c r="AB45" i="13"/>
  <c r="AC45" i="13" s="1"/>
  <c r="AD45" i="13" s="1"/>
  <c r="AA42" i="13"/>
  <c r="AB42" i="13"/>
  <c r="AC42" i="13" s="1"/>
  <c r="AD42" i="13" s="1"/>
  <c r="U214" i="13"/>
  <c r="V214" i="13"/>
  <c r="AE214" i="13" s="1"/>
  <c r="AC212" i="13"/>
  <c r="AD212" i="13" s="1"/>
  <c r="AA202" i="13"/>
  <c r="AB202" i="13"/>
  <c r="AC202" i="13" s="1"/>
  <c r="AD202" i="13" s="1"/>
  <c r="AC176" i="13"/>
  <c r="AD176" i="13" s="1"/>
  <c r="AE176" i="13"/>
  <c r="AA96" i="13"/>
  <c r="AB96" i="13"/>
  <c r="AA86" i="13"/>
  <c r="AB86" i="13"/>
  <c r="AC86" i="13" s="1"/>
  <c r="AD86" i="13" s="1"/>
  <c r="U75" i="13"/>
  <c r="AB73" i="13"/>
  <c r="AA73" i="13"/>
  <c r="AC64" i="13"/>
  <c r="AA54" i="13"/>
  <c r="AB54" i="13"/>
  <c r="AC54" i="13" s="1"/>
  <c r="AD54" i="13" s="1"/>
  <c r="V49" i="13"/>
  <c r="U49" i="13"/>
  <c r="U39" i="13"/>
  <c r="V39" i="13"/>
  <c r="W42" i="13"/>
  <c r="X42" i="13" s="1"/>
  <c r="V38" i="13"/>
  <c r="W38" i="13" s="1"/>
  <c r="X38" i="13" s="1"/>
  <c r="AB215" i="13"/>
  <c r="AA215" i="13"/>
  <c r="AB231" i="13"/>
  <c r="AA231" i="13"/>
  <c r="AC226" i="13"/>
  <c r="AD226" i="13" s="1"/>
  <c r="V224" i="13"/>
  <c r="U224" i="13"/>
  <c r="AB223" i="13"/>
  <c r="AA223" i="13"/>
  <c r="V216" i="13"/>
  <c r="U216" i="13"/>
  <c r="U190" i="13"/>
  <c r="W190" i="13" s="1"/>
  <c r="X190" i="13" s="1"/>
  <c r="V190" i="13"/>
  <c r="V95" i="13"/>
  <c r="U95" i="13"/>
  <c r="U225" i="13"/>
  <c r="V225" i="13"/>
  <c r="AA216" i="13"/>
  <c r="AB216" i="13"/>
  <c r="U211" i="13"/>
  <c r="V211" i="13"/>
  <c r="AA106" i="13"/>
  <c r="AB106" i="13"/>
  <c r="V70" i="13"/>
  <c r="U70" i="13"/>
  <c r="U229" i="13"/>
  <c r="V229" i="13"/>
  <c r="AA228" i="13"/>
  <c r="AB228" i="13"/>
  <c r="U221" i="13"/>
  <c r="V221" i="13"/>
  <c r="AA220" i="13"/>
  <c r="AB220" i="13"/>
  <c r="AB209" i="13"/>
  <c r="AA209" i="13"/>
  <c r="AC208" i="13"/>
  <c r="AD208" i="13" s="1"/>
  <c r="U198" i="13"/>
  <c r="V198" i="13"/>
  <c r="V189" i="13"/>
  <c r="U189" i="13"/>
  <c r="AA181" i="13"/>
  <c r="AB181" i="13"/>
  <c r="AB104" i="13"/>
  <c r="V98" i="13"/>
  <c r="U98" i="13"/>
  <c r="V40" i="13"/>
  <c r="U40" i="13"/>
  <c r="AB196" i="13"/>
  <c r="AA196" i="13"/>
  <c r="V181" i="13"/>
  <c r="U181" i="13"/>
  <c r="W181" i="13" s="1"/>
  <c r="X181" i="13" s="1"/>
  <c r="V92" i="13"/>
  <c r="U92" i="13"/>
  <c r="AA224" i="13"/>
  <c r="AB224" i="13"/>
  <c r="U217" i="13"/>
  <c r="V217" i="13"/>
  <c r="U209" i="13"/>
  <c r="V209" i="13"/>
  <c r="AA197" i="13"/>
  <c r="AB197" i="13"/>
  <c r="AB188" i="13"/>
  <c r="AA188" i="13"/>
  <c r="U182" i="13"/>
  <c r="V182" i="13"/>
  <c r="V99" i="13"/>
  <c r="U99" i="13"/>
  <c r="U78" i="13"/>
  <c r="V78" i="13"/>
  <c r="AC199" i="13"/>
  <c r="AD199" i="13" s="1"/>
  <c r="V197" i="13"/>
  <c r="U197" i="13"/>
  <c r="AA189" i="13"/>
  <c r="AB189" i="13"/>
  <c r="AB180" i="13"/>
  <c r="AA180" i="13"/>
  <c r="U174" i="13"/>
  <c r="V174" i="13"/>
  <c r="AC105" i="13"/>
  <c r="AD105" i="13" s="1"/>
  <c r="AA85" i="13"/>
  <c r="AC72" i="13"/>
  <c r="AD72" i="13" s="1"/>
  <c r="AB206" i="13"/>
  <c r="U206" i="13"/>
  <c r="W206" i="13" s="1"/>
  <c r="X206" i="13" s="1"/>
  <c r="U104" i="13"/>
  <c r="W104" i="13" s="1"/>
  <c r="X104" i="13" s="1"/>
  <c r="AB97" i="13"/>
  <c r="AA97" i="13"/>
  <c r="AB94" i="13"/>
  <c r="AA94" i="13"/>
  <c r="AB89" i="13"/>
  <c r="AA89" i="13"/>
  <c r="U81" i="13"/>
  <c r="W81" i="13" s="1"/>
  <c r="X81" i="13" s="1"/>
  <c r="U202" i="13"/>
  <c r="V202" i="13"/>
  <c r="AA201" i="13"/>
  <c r="AB201" i="13"/>
  <c r="U194" i="13"/>
  <c r="V194" i="13"/>
  <c r="AA193" i="13"/>
  <c r="AB193" i="13"/>
  <c r="U186" i="13"/>
  <c r="V186" i="13"/>
  <c r="AA185" i="13"/>
  <c r="AB185" i="13"/>
  <c r="U178" i="13"/>
  <c r="V178" i="13"/>
  <c r="AA177" i="13"/>
  <c r="AB177" i="13"/>
  <c r="AB98" i="13"/>
  <c r="AA98" i="13"/>
  <c r="AA53" i="13"/>
  <c r="AB53" i="13"/>
  <c r="V105" i="13"/>
  <c r="W105" i="13" s="1"/>
  <c r="X105" i="13" s="1"/>
  <c r="AA103" i="13"/>
  <c r="U87" i="13"/>
  <c r="V87" i="13"/>
  <c r="AE87" i="13" s="1"/>
  <c r="U86" i="13"/>
  <c r="V86" i="13"/>
  <c r="AA80" i="13"/>
  <c r="U71" i="13"/>
  <c r="V71" i="13"/>
  <c r="AC80" i="13"/>
  <c r="AD80" i="13" s="1"/>
  <c r="AA77" i="13"/>
  <c r="AB77" i="13"/>
  <c r="AA66" i="13"/>
  <c r="AB66" i="13"/>
  <c r="V62" i="13"/>
  <c r="U62" i="13"/>
  <c r="AA40" i="13"/>
  <c r="AB40" i="13"/>
  <c r="AA70" i="13"/>
  <c r="AB70" i="13"/>
  <c r="U67" i="13"/>
  <c r="V67" i="13"/>
  <c r="AE67" i="13" s="1"/>
  <c r="U54" i="13"/>
  <c r="V54" i="13"/>
  <c r="AC43" i="13"/>
  <c r="AD43" i="13" s="1"/>
  <c r="AE43" i="13"/>
  <c r="AB39" i="13"/>
  <c r="AA39" i="13"/>
  <c r="U82" i="13"/>
  <c r="V82" i="13"/>
  <c r="AA81" i="13"/>
  <c r="AB81" i="13"/>
  <c r="AB69" i="13"/>
  <c r="AA69" i="13"/>
  <c r="AC56" i="13"/>
  <c r="AD56" i="13" s="1"/>
  <c r="AC41" i="13"/>
  <c r="AD41" i="13" s="1"/>
  <c r="U41" i="13"/>
  <c r="V41" i="13"/>
  <c r="AE41" i="13" s="1"/>
  <c r="U66" i="13"/>
  <c r="W66" i="13" s="1"/>
  <c r="X66" i="13" s="1"/>
  <c r="AA65" i="13"/>
  <c r="U63" i="13"/>
  <c r="V63" i="13"/>
  <c r="AA62" i="13"/>
  <c r="AB62" i="13"/>
  <c r="U53" i="13"/>
  <c r="W53" i="13" s="1"/>
  <c r="X53" i="13" s="1"/>
  <c r="AA52" i="13"/>
  <c r="U45" i="13"/>
  <c r="V45" i="13"/>
  <c r="AA44" i="13"/>
  <c r="AB44" i="13"/>
  <c r="AA74" i="13"/>
  <c r="AB74" i="13"/>
  <c r="U50" i="13"/>
  <c r="V50" i="13"/>
  <c r="AA49" i="13"/>
  <c r="AB49" i="13"/>
  <c r="AA9" i="13"/>
  <c r="AB9" i="13"/>
  <c r="U32" i="13"/>
  <c r="W32" i="13" s="1"/>
  <c r="X32" i="13" s="1"/>
  <c r="V32" i="13"/>
  <c r="AA31" i="13"/>
  <c r="AB31" i="13"/>
  <c r="AA22" i="13"/>
  <c r="AB22" i="13"/>
  <c r="AA13" i="13"/>
  <c r="AB13" i="13"/>
  <c r="W30" i="13"/>
  <c r="X30" i="13" s="1"/>
  <c r="U10" i="13"/>
  <c r="V10" i="13"/>
  <c r="U23" i="13"/>
  <c r="V23" i="13"/>
  <c r="U14" i="13"/>
  <c r="V14" i="13"/>
  <c r="AE12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8" i="13"/>
  <c r="V18" i="13"/>
  <c r="AA17" i="13"/>
  <c r="AB17" i="13"/>
  <c r="U13" i="13"/>
  <c r="W13" i="13" s="1"/>
  <c r="X13" i="13" s="1"/>
  <c r="AA12" i="13"/>
  <c r="E95" i="13"/>
  <c r="D95" i="13"/>
  <c r="C95" i="13"/>
  <c r="B95" i="13"/>
  <c r="K95" i="13"/>
  <c r="P95" i="13"/>
  <c r="K104" i="13"/>
  <c r="AF52" i="13" l="1"/>
  <c r="X52" i="13"/>
  <c r="AF200" i="13"/>
  <c r="X200" i="13"/>
  <c r="AF64" i="13"/>
  <c r="AD64" i="13"/>
  <c r="AF107" i="13"/>
  <c r="X107" i="13"/>
  <c r="W34" i="13"/>
  <c r="W8" i="13"/>
  <c r="W78" i="13"/>
  <c r="X78" i="13" s="1"/>
  <c r="W67" i="13"/>
  <c r="X67" i="13" s="1"/>
  <c r="W79" i="13"/>
  <c r="W24" i="13"/>
  <c r="W80" i="13"/>
  <c r="W40" i="13"/>
  <c r="X40" i="13" s="1"/>
  <c r="AE45" i="13"/>
  <c r="AF33" i="13"/>
  <c r="AE186" i="13"/>
  <c r="W199" i="13"/>
  <c r="AE229" i="13"/>
  <c r="W65" i="13"/>
  <c r="AE83" i="13"/>
  <c r="AE190" i="13"/>
  <c r="AE191" i="13"/>
  <c r="W208" i="13"/>
  <c r="AC210" i="13"/>
  <c r="W35" i="13"/>
  <c r="AE7" i="13"/>
  <c r="AE50" i="13"/>
  <c r="AE23" i="13"/>
  <c r="W49" i="13"/>
  <c r="X49" i="13" s="1"/>
  <c r="AE99" i="13"/>
  <c r="W194" i="13"/>
  <c r="W217" i="13"/>
  <c r="W74" i="13"/>
  <c r="X74" i="13" s="1"/>
  <c r="W184" i="13"/>
  <c r="AE213" i="13"/>
  <c r="AE183" i="13"/>
  <c r="AE18" i="13"/>
  <c r="W98" i="13"/>
  <c r="X98" i="13" s="1"/>
  <c r="W39" i="13"/>
  <c r="X39" i="13" s="1"/>
  <c r="W84" i="13"/>
  <c r="W191" i="13"/>
  <c r="W177" i="13"/>
  <c r="X177" i="13" s="1"/>
  <c r="W91" i="13"/>
  <c r="W17" i="13"/>
  <c r="X17" i="13" s="1"/>
  <c r="AF222" i="13"/>
  <c r="AF227" i="13"/>
  <c r="AE198" i="13"/>
  <c r="W207" i="13"/>
  <c r="W226" i="13"/>
  <c r="W203" i="13"/>
  <c r="W25" i="13"/>
  <c r="AE33" i="13"/>
  <c r="AE225" i="13"/>
  <c r="W213" i="13"/>
  <c r="W97" i="13"/>
  <c r="X97" i="13" s="1"/>
  <c r="W230" i="13"/>
  <c r="W7" i="13"/>
  <c r="AE212" i="13"/>
  <c r="AE54" i="13"/>
  <c r="AE202" i="13"/>
  <c r="AE218" i="13"/>
  <c r="AE221" i="13"/>
  <c r="AE222" i="13"/>
  <c r="AE182" i="13"/>
  <c r="AE78" i="13"/>
  <c r="AE204" i="13"/>
  <c r="AF32" i="13"/>
  <c r="AF176" i="13"/>
  <c r="AE63" i="13"/>
  <c r="AE71" i="13"/>
  <c r="AE195" i="13"/>
  <c r="AE227" i="13"/>
  <c r="AE194" i="13"/>
  <c r="AE175" i="13"/>
  <c r="AE10" i="13"/>
  <c r="AE178" i="13"/>
  <c r="AE211" i="13"/>
  <c r="AE14" i="13"/>
  <c r="AE174" i="13"/>
  <c r="AE95" i="13"/>
  <c r="AE187" i="13"/>
  <c r="AE86" i="13"/>
  <c r="AE92" i="13"/>
  <c r="AF42" i="13"/>
  <c r="AE37" i="13"/>
  <c r="AE32" i="13"/>
  <c r="AE55" i="13"/>
  <c r="AE93" i="13"/>
  <c r="AE11" i="13"/>
  <c r="AC68" i="13"/>
  <c r="AE68" i="13"/>
  <c r="AF100" i="13"/>
  <c r="W180" i="13"/>
  <c r="X180" i="13" s="1"/>
  <c r="AF205" i="13"/>
  <c r="AF15" i="13"/>
  <c r="AF37" i="13"/>
  <c r="AF12" i="13"/>
  <c r="AC96" i="13"/>
  <c r="AD96" i="13" s="1"/>
  <c r="AE96" i="13"/>
  <c r="W192" i="13"/>
  <c r="AF212" i="13"/>
  <c r="AC179" i="13"/>
  <c r="AD179" i="13" s="1"/>
  <c r="AE179" i="13"/>
  <c r="W219" i="13"/>
  <c r="X219" i="13" s="1"/>
  <c r="AF11" i="13"/>
  <c r="AC38" i="13"/>
  <c r="AD38" i="13" s="1"/>
  <c r="AE38" i="13"/>
  <c r="AC76" i="13"/>
  <c r="AD76" i="13" s="1"/>
  <c r="AE76" i="13"/>
  <c r="W96" i="13"/>
  <c r="X96" i="13" s="1"/>
  <c r="AE15" i="13"/>
  <c r="W18" i="13"/>
  <c r="W10" i="13"/>
  <c r="X10" i="13" s="1"/>
  <c r="AE42" i="13"/>
  <c r="W63" i="13"/>
  <c r="W41" i="13"/>
  <c r="X41" i="13" s="1"/>
  <c r="AE82" i="13"/>
  <c r="AE105" i="13"/>
  <c r="W197" i="13"/>
  <c r="X197" i="13" s="1"/>
  <c r="W189" i="13"/>
  <c r="X189" i="13" s="1"/>
  <c r="AE217" i="13"/>
  <c r="W51" i="13"/>
  <c r="X51" i="13" s="1"/>
  <c r="W72" i="13"/>
  <c r="X72" i="13" s="1"/>
  <c r="W179" i="13"/>
  <c r="X179" i="13" s="1"/>
  <c r="W195" i="13"/>
  <c r="AF55" i="13"/>
  <c r="W183" i="13"/>
  <c r="AC19" i="13"/>
  <c r="AD19" i="13" s="1"/>
  <c r="AE19" i="13"/>
  <c r="AC48" i="13"/>
  <c r="AD48" i="13" s="1"/>
  <c r="AE48" i="13"/>
  <c r="W28" i="13"/>
  <c r="X28" i="13" s="1"/>
  <c r="W14" i="13"/>
  <c r="W87" i="13"/>
  <c r="W56" i="13"/>
  <c r="X56" i="13" s="1"/>
  <c r="AC16" i="13"/>
  <c r="AD16" i="13" s="1"/>
  <c r="AE16" i="13"/>
  <c r="W62" i="13"/>
  <c r="X62" i="13" s="1"/>
  <c r="W92" i="13"/>
  <c r="AF190" i="13"/>
  <c r="AF103" i="13"/>
  <c r="AE205" i="13"/>
  <c r="W224" i="13"/>
  <c r="X224" i="13" s="1"/>
  <c r="AC73" i="13"/>
  <c r="AD73" i="13" s="1"/>
  <c r="AE73" i="13"/>
  <c r="W214" i="13"/>
  <c r="W77" i="13"/>
  <c r="X77" i="13" s="1"/>
  <c r="AF187" i="13"/>
  <c r="W94" i="13"/>
  <c r="X94" i="13" s="1"/>
  <c r="W44" i="13"/>
  <c r="X44" i="13" s="1"/>
  <c r="AE44" i="13"/>
  <c r="AC44" i="13"/>
  <c r="AD44" i="13" s="1"/>
  <c r="AF93" i="13"/>
  <c r="AE94" i="13"/>
  <c r="AC94" i="13"/>
  <c r="AD94" i="13" s="1"/>
  <c r="AE189" i="13"/>
  <c r="AC189" i="13"/>
  <c r="AD189" i="13" s="1"/>
  <c r="AF175" i="13"/>
  <c r="AC231" i="13"/>
  <c r="AD231" i="13" s="1"/>
  <c r="AE231" i="13"/>
  <c r="AF83" i="13"/>
  <c r="W202" i="13"/>
  <c r="X202" i="13" s="1"/>
  <c r="AC209" i="13"/>
  <c r="AD209" i="13" s="1"/>
  <c r="AE209" i="13"/>
  <c r="W50" i="13"/>
  <c r="X50" i="13" s="1"/>
  <c r="AC69" i="13"/>
  <c r="AD69" i="13" s="1"/>
  <c r="AE69" i="13"/>
  <c r="AE49" i="13"/>
  <c r="AC49" i="13"/>
  <c r="AD49" i="13" s="1"/>
  <c r="AC74" i="13"/>
  <c r="AD74" i="13" s="1"/>
  <c r="AE74" i="13"/>
  <c r="W45" i="13"/>
  <c r="X45" i="13" s="1"/>
  <c r="W82" i="13"/>
  <c r="X82" i="13" s="1"/>
  <c r="AC39" i="13"/>
  <c r="AD39" i="13" s="1"/>
  <c r="AE39" i="13"/>
  <c r="AE70" i="13"/>
  <c r="AC70" i="13"/>
  <c r="AD70" i="13" s="1"/>
  <c r="W71" i="13"/>
  <c r="X71" i="13" s="1"/>
  <c r="AE98" i="13"/>
  <c r="AC98" i="13"/>
  <c r="AD98" i="13" s="1"/>
  <c r="AE177" i="13"/>
  <c r="AC177" i="13"/>
  <c r="AD177" i="13" s="1"/>
  <c r="W186" i="13"/>
  <c r="X186" i="13" s="1"/>
  <c r="AC97" i="13"/>
  <c r="AD97" i="13" s="1"/>
  <c r="AE97" i="13"/>
  <c r="AE206" i="13"/>
  <c r="AC206" i="13"/>
  <c r="AD206" i="13" s="1"/>
  <c r="AF105" i="13"/>
  <c r="W99" i="13"/>
  <c r="X99" i="13" s="1"/>
  <c r="AE197" i="13"/>
  <c r="AC197" i="13"/>
  <c r="AD197" i="13" s="1"/>
  <c r="AE181" i="13"/>
  <c r="AC181" i="13"/>
  <c r="AD181" i="13" s="1"/>
  <c r="W198" i="13"/>
  <c r="X198" i="13" s="1"/>
  <c r="W229" i="13"/>
  <c r="X229" i="13" s="1"/>
  <c r="W70" i="13"/>
  <c r="X70" i="13" s="1"/>
  <c r="AE216" i="13"/>
  <c r="AC216" i="13"/>
  <c r="AD216" i="13" s="1"/>
  <c r="W225" i="13"/>
  <c r="X225" i="13" s="1"/>
  <c r="W95" i="13"/>
  <c r="W216" i="13"/>
  <c r="X216" i="13" s="1"/>
  <c r="AC215" i="13"/>
  <c r="AD215" i="13" s="1"/>
  <c r="AE215" i="13"/>
  <c r="AE81" i="13"/>
  <c r="AC81" i="13"/>
  <c r="AD81" i="13" s="1"/>
  <c r="AE40" i="13"/>
  <c r="AC40" i="13"/>
  <c r="AD40" i="13" s="1"/>
  <c r="AE66" i="13"/>
  <c r="AC66" i="13"/>
  <c r="AD66" i="13" s="1"/>
  <c r="AE77" i="13"/>
  <c r="AC77" i="13"/>
  <c r="AD77" i="13" s="1"/>
  <c r="AE185" i="13"/>
  <c r="AC185" i="13"/>
  <c r="AD185" i="13" s="1"/>
  <c r="AC89" i="13"/>
  <c r="AD89" i="13" s="1"/>
  <c r="AE89" i="13"/>
  <c r="AE228" i="13"/>
  <c r="AC228" i="13"/>
  <c r="AD228" i="13" s="1"/>
  <c r="AC223" i="13"/>
  <c r="AD223" i="13" s="1"/>
  <c r="AE223" i="13"/>
  <c r="AE62" i="13"/>
  <c r="AC62" i="13"/>
  <c r="AD62" i="13" s="1"/>
  <c r="AF43" i="13"/>
  <c r="AE193" i="13"/>
  <c r="AC193" i="13"/>
  <c r="AD193" i="13" s="1"/>
  <c r="AE224" i="13"/>
  <c r="AC224" i="13"/>
  <c r="AD224" i="13" s="1"/>
  <c r="AC196" i="13"/>
  <c r="AD196" i="13" s="1"/>
  <c r="AE196" i="13"/>
  <c r="AE104" i="13"/>
  <c r="AC104" i="13"/>
  <c r="AD104" i="13" s="1"/>
  <c r="W221" i="13"/>
  <c r="X221" i="13" s="1"/>
  <c r="W54" i="13"/>
  <c r="X54" i="13" s="1"/>
  <c r="W86" i="13"/>
  <c r="AE53" i="13"/>
  <c r="AC53" i="13"/>
  <c r="AD53" i="13" s="1"/>
  <c r="W178" i="13"/>
  <c r="X178" i="13" s="1"/>
  <c r="AE201" i="13"/>
  <c r="AC201" i="13"/>
  <c r="AD201" i="13" s="1"/>
  <c r="W174" i="13"/>
  <c r="X174" i="13" s="1"/>
  <c r="AC180" i="13"/>
  <c r="AD180" i="13" s="1"/>
  <c r="AE180" i="13"/>
  <c r="W182" i="13"/>
  <c r="X182" i="13" s="1"/>
  <c r="AC188" i="13"/>
  <c r="AD188" i="13" s="1"/>
  <c r="AE188" i="13"/>
  <c r="AF204" i="13"/>
  <c r="W209" i="13"/>
  <c r="X209" i="13" s="1"/>
  <c r="AE220" i="13"/>
  <c r="AC220" i="13"/>
  <c r="AD220" i="13" s="1"/>
  <c r="AC106" i="13"/>
  <c r="AD106" i="13" s="1"/>
  <c r="AE106" i="13"/>
  <c r="W211" i="13"/>
  <c r="X211" i="13" s="1"/>
  <c r="AF218" i="13"/>
  <c r="AE36" i="13"/>
  <c r="AC36" i="13"/>
  <c r="AD36" i="13" s="1"/>
  <c r="AE26" i="13"/>
  <c r="AC26" i="13"/>
  <c r="AD26" i="13" s="1"/>
  <c r="W23" i="13"/>
  <c r="X23" i="13" s="1"/>
  <c r="AE13" i="13"/>
  <c r="AC13" i="13"/>
  <c r="AD13" i="13" s="1"/>
  <c r="AE22" i="13"/>
  <c r="AC22" i="13"/>
  <c r="AD22" i="13" s="1"/>
  <c r="AE31" i="13"/>
  <c r="AC31" i="13"/>
  <c r="AD31" i="13" s="1"/>
  <c r="AF30" i="13"/>
  <c r="AE17" i="13"/>
  <c r="AC17" i="13"/>
  <c r="AD17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P96" i="13"/>
  <c r="K96" i="13"/>
  <c r="E96" i="13"/>
  <c r="D96" i="13"/>
  <c r="C96" i="13"/>
  <c r="B96" i="13"/>
  <c r="P82" i="13"/>
  <c r="K82" i="13"/>
  <c r="E82" i="13"/>
  <c r="D82" i="13"/>
  <c r="C82" i="13"/>
  <c r="B82" i="13"/>
  <c r="D6" i="19" l="1"/>
  <c r="AF78" i="13"/>
  <c r="AF67" i="13"/>
  <c r="AF18" i="13"/>
  <c r="X18" i="13"/>
  <c r="AF207" i="13"/>
  <c r="X207" i="13"/>
  <c r="AF217" i="13"/>
  <c r="X217" i="13"/>
  <c r="AF199" i="13"/>
  <c r="X199" i="13"/>
  <c r="AF80" i="13"/>
  <c r="X80" i="13"/>
  <c r="AF8" i="13"/>
  <c r="X8" i="13"/>
  <c r="AF86" i="13"/>
  <c r="X86" i="13"/>
  <c r="AF7" i="13"/>
  <c r="X7" i="13"/>
  <c r="AF191" i="13"/>
  <c r="X191" i="13"/>
  <c r="AF194" i="13"/>
  <c r="X194" i="13"/>
  <c r="AF34" i="13"/>
  <c r="X34" i="13"/>
  <c r="AF183" i="13"/>
  <c r="X183" i="13"/>
  <c r="AF192" i="13"/>
  <c r="X192" i="13"/>
  <c r="AF68" i="13"/>
  <c r="AD68" i="13"/>
  <c r="AF25" i="13"/>
  <c r="X25" i="13"/>
  <c r="AF84" i="13"/>
  <c r="X84" i="13"/>
  <c r="AF184" i="13"/>
  <c r="X184" i="13"/>
  <c r="AF24" i="13"/>
  <c r="X24" i="13"/>
  <c r="AF92" i="13"/>
  <c r="X92" i="13"/>
  <c r="AF87" i="13"/>
  <c r="X87" i="13"/>
  <c r="AF63" i="13"/>
  <c r="X63" i="13"/>
  <c r="AF230" i="13"/>
  <c r="X230" i="13"/>
  <c r="AF203" i="13"/>
  <c r="X203" i="13"/>
  <c r="AF35" i="13"/>
  <c r="X35" i="13"/>
  <c r="AF65" i="13"/>
  <c r="X65" i="13"/>
  <c r="AF79" i="13"/>
  <c r="X79" i="13"/>
  <c r="AF95" i="13"/>
  <c r="X95" i="13"/>
  <c r="AF14" i="13"/>
  <c r="X14" i="13"/>
  <c r="AF210" i="13"/>
  <c r="AD210" i="13"/>
  <c r="AF214" i="13"/>
  <c r="X214" i="13"/>
  <c r="AF195" i="13"/>
  <c r="X195" i="13"/>
  <c r="AF213" i="13"/>
  <c r="X213" i="13"/>
  <c r="AF226" i="13"/>
  <c r="X226" i="13"/>
  <c r="AF91" i="13"/>
  <c r="X91" i="13"/>
  <c r="AF208" i="13"/>
  <c r="E6" i="19" s="1"/>
  <c r="F6" i="19" s="1"/>
  <c r="X208" i="13"/>
  <c r="AF96" i="13"/>
  <c r="AF73" i="13"/>
  <c r="AF19" i="13"/>
  <c r="AF219" i="13"/>
  <c r="AF10" i="13"/>
  <c r="AF41" i="13"/>
  <c r="AF51" i="13"/>
  <c r="AF76" i="13"/>
  <c r="AF38" i="13"/>
  <c r="AF56" i="13"/>
  <c r="AF72" i="13"/>
  <c r="AF198" i="13"/>
  <c r="AF16" i="13"/>
  <c r="AF28" i="13"/>
  <c r="AF48" i="13"/>
  <c r="AF179" i="13"/>
  <c r="AF220" i="13"/>
  <c r="AF104" i="13"/>
  <c r="AF223" i="13"/>
  <c r="AF216" i="13"/>
  <c r="AF181" i="13"/>
  <c r="AF206" i="13"/>
  <c r="AF74" i="13"/>
  <c r="AF209" i="13"/>
  <c r="AF202" i="13"/>
  <c r="AF211" i="13"/>
  <c r="AF77" i="13"/>
  <c r="AF40" i="13"/>
  <c r="AF177" i="13"/>
  <c r="AF49" i="13"/>
  <c r="AF99" i="13"/>
  <c r="AF44" i="13"/>
  <c r="AF180" i="13"/>
  <c r="AF178" i="13"/>
  <c r="AF89" i="13"/>
  <c r="AF106" i="13"/>
  <c r="AF174" i="13"/>
  <c r="AF196" i="13"/>
  <c r="AF62" i="13"/>
  <c r="AF228" i="13"/>
  <c r="AF54" i="13"/>
  <c r="AF185" i="13"/>
  <c r="AF66" i="13"/>
  <c r="AF81" i="13"/>
  <c r="AF225" i="13"/>
  <c r="AF197" i="13"/>
  <c r="AF97" i="13"/>
  <c r="AF98" i="13"/>
  <c r="AF70" i="13"/>
  <c r="AF82" i="13"/>
  <c r="AF50" i="13"/>
  <c r="AF231" i="13"/>
  <c r="AF94" i="13"/>
  <c r="AF201" i="13"/>
  <c r="AF53" i="13"/>
  <c r="AF229" i="13"/>
  <c r="AF186" i="13"/>
  <c r="AF189" i="13"/>
  <c r="AF188" i="13"/>
  <c r="AF221" i="13"/>
  <c r="AF224" i="13"/>
  <c r="AF193" i="13"/>
  <c r="AF215" i="13"/>
  <c r="AF182" i="13"/>
  <c r="AF71" i="13"/>
  <c r="AF39" i="13"/>
  <c r="AF45" i="13"/>
  <c r="AF69" i="13"/>
  <c r="AF31" i="13"/>
  <c r="AF13" i="13"/>
  <c r="AF26" i="13"/>
  <c r="AF9" i="13"/>
  <c r="AF22" i="13"/>
  <c r="AF17" i="13"/>
  <c r="AF23" i="13"/>
  <c r="AF36" i="13"/>
  <c r="AB27" i="13" l="1"/>
  <c r="V27" i="13"/>
  <c r="W27" i="13" s="1"/>
  <c r="X27" i="13" s="1"/>
  <c r="AB75" i="13"/>
  <c r="V75" i="13"/>
  <c r="W75" i="13" s="1"/>
  <c r="X75" i="13" s="1"/>
  <c r="AB85" i="13"/>
  <c r="V85" i="13"/>
  <c r="W85" i="13" s="1"/>
  <c r="X85" i="13" s="1"/>
  <c r="AB21" i="13"/>
  <c r="V21" i="13"/>
  <c r="W21" i="13" s="1"/>
  <c r="X21" i="13" s="1"/>
  <c r="AC21" i="13" l="1"/>
  <c r="AD21" i="13" s="1"/>
  <c r="AE21" i="13"/>
  <c r="AC75" i="13"/>
  <c r="AD75" i="13" s="1"/>
  <c r="AE75" i="13"/>
  <c r="AC85" i="13"/>
  <c r="AD85" i="13" s="1"/>
  <c r="AE85" i="13"/>
  <c r="AC27" i="13"/>
  <c r="AD27" i="13" s="1"/>
  <c r="AE27" i="13"/>
  <c r="F21" i="25"/>
  <c r="F23" i="25"/>
  <c r="F27" i="25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AF27" i="13" l="1"/>
  <c r="AF21" i="13"/>
  <c r="AF85" i="13"/>
  <c r="AF75" i="13"/>
  <c r="P217" i="13"/>
  <c r="K217" i="13"/>
  <c r="E217" i="13"/>
  <c r="D217" i="13"/>
  <c r="C217" i="13"/>
  <c r="P216" i="13"/>
  <c r="K216" i="13"/>
  <c r="E216" i="13"/>
  <c r="D216" i="13"/>
  <c r="C216" i="13"/>
  <c r="P214" i="13"/>
  <c r="K214" i="13"/>
  <c r="E214" i="13"/>
  <c r="D214" i="13"/>
  <c r="C214" i="13"/>
  <c r="P213" i="13"/>
  <c r="K213" i="13"/>
  <c r="E213" i="13"/>
  <c r="D213" i="13"/>
  <c r="C213" i="13"/>
  <c r="P212" i="13"/>
  <c r="K212" i="13"/>
  <c r="E212" i="13"/>
  <c r="D212" i="13"/>
  <c r="C212" i="13"/>
  <c r="P211" i="13"/>
  <c r="K211" i="13"/>
  <c r="E211" i="13"/>
  <c r="D211" i="13"/>
  <c r="C211" i="13"/>
  <c r="P210" i="13"/>
  <c r="K210" i="13"/>
  <c r="E210" i="13"/>
  <c r="D210" i="13"/>
  <c r="C210" i="13"/>
  <c r="P209" i="13"/>
  <c r="K209" i="13"/>
  <c r="E209" i="13"/>
  <c r="D209" i="13"/>
  <c r="C209" i="13"/>
  <c r="P208" i="13"/>
  <c r="K208" i="13"/>
  <c r="E208" i="13"/>
  <c r="D208" i="13"/>
  <c r="C208" i="13"/>
  <c r="P207" i="13"/>
  <c r="K207" i="13"/>
  <c r="E207" i="13"/>
  <c r="D207" i="13"/>
  <c r="C207" i="13"/>
  <c r="P206" i="13"/>
  <c r="K206" i="13"/>
  <c r="E206" i="13"/>
  <c r="D206" i="13"/>
  <c r="C206" i="13"/>
  <c r="P205" i="13"/>
  <c r="K205" i="13"/>
  <c r="E205" i="13"/>
  <c r="D205" i="13"/>
  <c r="C205" i="13"/>
  <c r="P204" i="13"/>
  <c r="K204" i="13"/>
  <c r="E204" i="13"/>
  <c r="D204" i="13"/>
  <c r="C204" i="13"/>
  <c r="P203" i="13"/>
  <c r="K203" i="13"/>
  <c r="E203" i="13"/>
  <c r="D203" i="13"/>
  <c r="C203" i="13"/>
  <c r="P202" i="13"/>
  <c r="K202" i="13"/>
  <c r="E202" i="13"/>
  <c r="D202" i="13"/>
  <c r="C202" i="13"/>
  <c r="P201" i="13"/>
  <c r="K201" i="13"/>
  <c r="E201" i="13"/>
  <c r="D201" i="13"/>
  <c r="C201" i="13"/>
  <c r="P200" i="13"/>
  <c r="K200" i="13"/>
  <c r="E200" i="13"/>
  <c r="D200" i="13"/>
  <c r="C200" i="13"/>
  <c r="P199" i="13"/>
  <c r="K199" i="13"/>
  <c r="E199" i="13"/>
  <c r="D199" i="13"/>
  <c r="C199" i="13"/>
  <c r="P198" i="13"/>
  <c r="K198" i="13"/>
  <c r="E198" i="13"/>
  <c r="D198" i="13"/>
  <c r="C198" i="13"/>
  <c r="P197" i="13"/>
  <c r="K197" i="13"/>
  <c r="E197" i="13"/>
  <c r="D197" i="13"/>
  <c r="C197" i="13"/>
  <c r="P196" i="13"/>
  <c r="K196" i="13"/>
  <c r="E196" i="13"/>
  <c r="D196" i="13"/>
  <c r="C196" i="13"/>
  <c r="P195" i="13"/>
  <c r="K195" i="13"/>
  <c r="E195" i="13"/>
  <c r="D195" i="13"/>
  <c r="C195" i="13"/>
  <c r="P194" i="13"/>
  <c r="K194" i="13"/>
  <c r="E194" i="13"/>
  <c r="D194" i="13"/>
  <c r="C194" i="13"/>
  <c r="P193" i="13"/>
  <c r="K193" i="13"/>
  <c r="E193" i="13"/>
  <c r="D193" i="13"/>
  <c r="C193" i="13"/>
  <c r="P192" i="13"/>
  <c r="K192" i="13"/>
  <c r="E192" i="13"/>
  <c r="D192" i="13"/>
  <c r="C192" i="13"/>
  <c r="P191" i="13"/>
  <c r="K191" i="13"/>
  <c r="E191" i="13"/>
  <c r="D191" i="13"/>
  <c r="C191" i="13"/>
  <c r="P190" i="13"/>
  <c r="K190" i="13"/>
  <c r="E190" i="13"/>
  <c r="D190" i="13"/>
  <c r="C190" i="13"/>
  <c r="P189" i="13"/>
  <c r="K189" i="13"/>
  <c r="E189" i="13"/>
  <c r="D189" i="13"/>
  <c r="C189" i="13"/>
  <c r="P188" i="13"/>
  <c r="K188" i="13"/>
  <c r="E188" i="13"/>
  <c r="D188" i="13"/>
  <c r="C188" i="13"/>
  <c r="P187" i="13"/>
  <c r="K187" i="13"/>
  <c r="E187" i="13"/>
  <c r="D187" i="13"/>
  <c r="C187" i="13"/>
  <c r="P186" i="13"/>
  <c r="K186" i="13"/>
  <c r="E186" i="13"/>
  <c r="D186" i="13"/>
  <c r="C186" i="13"/>
  <c r="P185" i="13"/>
  <c r="K185" i="13"/>
  <c r="E185" i="13"/>
  <c r="D185" i="13"/>
  <c r="C185" i="13"/>
  <c r="P184" i="13"/>
  <c r="K184" i="13"/>
  <c r="E184" i="13"/>
  <c r="D184" i="13"/>
  <c r="C184" i="13"/>
  <c r="P183" i="13"/>
  <c r="K183" i="13"/>
  <c r="E183" i="13"/>
  <c r="D183" i="13"/>
  <c r="C183" i="13"/>
  <c r="P182" i="13"/>
  <c r="K182" i="13"/>
  <c r="E182" i="13"/>
  <c r="D182" i="13"/>
  <c r="C182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8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3" i="13"/>
  <c r="E84" i="13"/>
  <c r="E85" i="13"/>
  <c r="E86" i="13"/>
  <c r="E87" i="13"/>
  <c r="E89" i="13"/>
  <c r="E91" i="13"/>
  <c r="E92" i="13"/>
  <c r="E93" i="13"/>
  <c r="E94" i="13"/>
  <c r="E97" i="13"/>
  <c r="E98" i="13"/>
  <c r="E99" i="13"/>
  <c r="E100" i="13"/>
  <c r="E103" i="13"/>
  <c r="E104" i="13"/>
  <c r="E105" i="13"/>
  <c r="E106" i="13"/>
  <c r="E107" i="13"/>
  <c r="E174" i="13"/>
  <c r="E175" i="13"/>
  <c r="E176" i="13"/>
  <c r="E177" i="13"/>
  <c r="E178" i="13"/>
  <c r="E179" i="13"/>
  <c r="E180" i="13"/>
  <c r="E181" i="13"/>
  <c r="E215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8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3" i="13"/>
  <c r="D84" i="13"/>
  <c r="D85" i="13"/>
  <c r="D86" i="13"/>
  <c r="D87" i="13"/>
  <c r="D89" i="13"/>
  <c r="D91" i="13"/>
  <c r="D92" i="13"/>
  <c r="D93" i="13"/>
  <c r="D94" i="13"/>
  <c r="D97" i="13"/>
  <c r="D98" i="13"/>
  <c r="D99" i="13"/>
  <c r="D100" i="13"/>
  <c r="D103" i="13"/>
  <c r="D104" i="13"/>
  <c r="D105" i="13"/>
  <c r="D106" i="13"/>
  <c r="D107" i="13"/>
  <c r="D174" i="13"/>
  <c r="D175" i="13"/>
  <c r="D176" i="13"/>
  <c r="D177" i="13"/>
  <c r="D178" i="13"/>
  <c r="D179" i="13"/>
  <c r="D180" i="13"/>
  <c r="D181" i="13"/>
  <c r="D215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8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3" i="13"/>
  <c r="C84" i="13"/>
  <c r="C85" i="13"/>
  <c r="C86" i="13"/>
  <c r="C87" i="13"/>
  <c r="C89" i="13"/>
  <c r="C91" i="13"/>
  <c r="C92" i="13"/>
  <c r="C93" i="13"/>
  <c r="C94" i="13"/>
  <c r="C97" i="13"/>
  <c r="C98" i="13"/>
  <c r="C99" i="13"/>
  <c r="C100" i="13"/>
  <c r="C103" i="13"/>
  <c r="C104" i="13"/>
  <c r="C105" i="13"/>
  <c r="C106" i="13"/>
  <c r="C107" i="13"/>
  <c r="C174" i="13"/>
  <c r="C175" i="13"/>
  <c r="C176" i="13"/>
  <c r="C177" i="13"/>
  <c r="C178" i="13"/>
  <c r="C179" i="13"/>
  <c r="C180" i="13"/>
  <c r="C181" i="13"/>
  <c r="C215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H15" i="26" l="1"/>
  <c r="H17" i="26"/>
  <c r="B12" i="19" l="1"/>
  <c r="T6" i="13" l="1"/>
  <c r="B27" i="25"/>
  <c r="B23" i="25"/>
  <c r="B21" i="25"/>
  <c r="C5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8" i="13"/>
  <c r="P49" i="13"/>
  <c r="P50" i="13"/>
  <c r="P51" i="13"/>
  <c r="P52" i="13"/>
  <c r="P53" i="13"/>
  <c r="P54" i="13"/>
  <c r="P55" i="13"/>
  <c r="P56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3" i="13"/>
  <c r="P84" i="13"/>
  <c r="P85" i="13"/>
  <c r="P86" i="13"/>
  <c r="P87" i="13"/>
  <c r="P89" i="13"/>
  <c r="P91" i="13"/>
  <c r="P92" i="13"/>
  <c r="P93" i="13"/>
  <c r="P94" i="13"/>
  <c r="P97" i="13"/>
  <c r="P98" i="13"/>
  <c r="P99" i="13"/>
  <c r="P100" i="13"/>
  <c r="P103" i="13"/>
  <c r="P104" i="13"/>
  <c r="P105" i="13"/>
  <c r="P106" i="13"/>
  <c r="P107" i="13"/>
  <c r="P174" i="13"/>
  <c r="P175" i="13"/>
  <c r="P176" i="13"/>
  <c r="P177" i="13"/>
  <c r="P178" i="13"/>
  <c r="P179" i="13"/>
  <c r="P180" i="13"/>
  <c r="P181" i="13"/>
  <c r="P215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P231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8" i="13"/>
  <c r="K49" i="13"/>
  <c r="K50" i="13"/>
  <c r="K51" i="13"/>
  <c r="K52" i="13"/>
  <c r="K53" i="13"/>
  <c r="K54" i="13"/>
  <c r="K55" i="13"/>
  <c r="K56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3" i="13"/>
  <c r="K84" i="13"/>
  <c r="K85" i="13"/>
  <c r="K86" i="13"/>
  <c r="K87" i="13"/>
  <c r="K89" i="13"/>
  <c r="K91" i="13"/>
  <c r="K92" i="13"/>
  <c r="K93" i="13"/>
  <c r="K94" i="13"/>
  <c r="K97" i="13"/>
  <c r="K98" i="13"/>
  <c r="K99" i="13"/>
  <c r="K100" i="13"/>
  <c r="K103" i="13"/>
  <c r="K105" i="13"/>
  <c r="K106" i="13"/>
  <c r="K107" i="13"/>
  <c r="K174" i="13"/>
  <c r="K175" i="13"/>
  <c r="K176" i="13"/>
  <c r="K177" i="13"/>
  <c r="K178" i="13"/>
  <c r="K179" i="13"/>
  <c r="K180" i="13"/>
  <c r="K181" i="13"/>
  <c r="K215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B5" i="19" l="1"/>
  <c r="H21" i="25"/>
  <c r="H23" i="25"/>
  <c r="H27" i="25"/>
  <c r="E17" i="26"/>
  <c r="E15" i="26"/>
  <c r="B15" i="26"/>
  <c r="B17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8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3" i="13"/>
  <c r="B84" i="13"/>
  <c r="B85" i="13"/>
  <c r="B86" i="13"/>
  <c r="B87" i="13"/>
  <c r="B89" i="13"/>
  <c r="B91" i="13"/>
  <c r="B92" i="13"/>
  <c r="B93" i="13"/>
  <c r="B94" i="13"/>
  <c r="B97" i="13"/>
  <c r="B98" i="13"/>
  <c r="B99" i="13"/>
  <c r="B100" i="13"/>
  <c r="B103" i="13"/>
  <c r="B104" i="13"/>
  <c r="B105" i="13"/>
  <c r="B106" i="13"/>
  <c r="B107" i="13"/>
  <c r="B174" i="13"/>
  <c r="B175" i="13"/>
  <c r="B176" i="13"/>
  <c r="B177" i="13"/>
  <c r="B178" i="13"/>
  <c r="B179" i="13"/>
  <c r="B180" i="13"/>
  <c r="B181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6" i="13"/>
  <c r="B27" i="29" l="1"/>
  <c r="B32" i="29"/>
  <c r="D13" i="19"/>
  <c r="B25" i="29"/>
  <c r="B31" i="29"/>
  <c r="B30" i="29"/>
  <c r="B26" i="29"/>
  <c r="B29" i="29"/>
  <c r="B24" i="29"/>
  <c r="B28" i="29"/>
  <c r="D12" i="19"/>
  <c r="H28" i="25"/>
  <c r="D15" i="19" l="1"/>
  <c r="D27" i="25"/>
  <c r="D23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K6" i="13"/>
  <c r="C8" i="19" l="1"/>
  <c r="AB6" i="13"/>
  <c r="AC6" i="13" l="1"/>
  <c r="AD6" i="13" s="1"/>
  <c r="AG99" i="13" l="1"/>
  <c r="AG202" i="13"/>
  <c r="AG209" i="13"/>
  <c r="AG231" i="13"/>
  <c r="AG96" i="13"/>
  <c r="AG56" i="13"/>
  <c r="AG195" i="13"/>
  <c r="AG224" i="13"/>
  <c r="AG227" i="13"/>
  <c r="AG204" i="13"/>
  <c r="AG19" i="13"/>
  <c r="AG48" i="13"/>
  <c r="AG187" i="13"/>
  <c r="AG205" i="13"/>
  <c r="AG97" i="13"/>
  <c r="AG158" i="13"/>
  <c r="AG141" i="13"/>
  <c r="AG121" i="13"/>
  <c r="AG127" i="13"/>
  <c r="AG29" i="13"/>
  <c r="AG28" i="13"/>
  <c r="AG85" i="13"/>
  <c r="AG27" i="13"/>
  <c r="AG189" i="13"/>
  <c r="AG197" i="13"/>
  <c r="AG77" i="13"/>
  <c r="AG49" i="13"/>
  <c r="AG11" i="13"/>
  <c r="AG199" i="13"/>
  <c r="AG198" i="13"/>
  <c r="AG72" i="13"/>
  <c r="AG183" i="13"/>
  <c r="AG71" i="13"/>
  <c r="AG8" i="13"/>
  <c r="AG174" i="13"/>
  <c r="AG221" i="13"/>
  <c r="AG12" i="13"/>
  <c r="AG68" i="13"/>
  <c r="AG64" i="13"/>
  <c r="AG217" i="13"/>
  <c r="AG190" i="13"/>
  <c r="AG67" i="13"/>
  <c r="AG87" i="13"/>
  <c r="AG63" i="13"/>
  <c r="AG178" i="13"/>
  <c r="AG82" i="13"/>
  <c r="AG194" i="13"/>
  <c r="AG50" i="13"/>
  <c r="AG218" i="13"/>
  <c r="AG7" i="13"/>
  <c r="AG95" i="13"/>
  <c r="AG229" i="13"/>
  <c r="AG41" i="13"/>
  <c r="AG92" i="13"/>
  <c r="AG51" i="13"/>
  <c r="AG226" i="13"/>
  <c r="AG42" i="13"/>
  <c r="AG214" i="13"/>
  <c r="AG98" i="13"/>
  <c r="AG62" i="13"/>
  <c r="AG76" i="13"/>
  <c r="AG94" i="13"/>
  <c r="AG179" i="13"/>
  <c r="AG36" i="13"/>
  <c r="AG74" i="13"/>
  <c r="AG177" i="13"/>
  <c r="AG16" i="13"/>
  <c r="AG188" i="13"/>
  <c r="AG38" i="13"/>
  <c r="AG70" i="13"/>
  <c r="AG39" i="13"/>
  <c r="AG219" i="13"/>
  <c r="AG182" i="13"/>
  <c r="AG33" i="13"/>
  <c r="AG14" i="13"/>
  <c r="AG107" i="13"/>
  <c r="AG203" i="13"/>
  <c r="AG23" i="13"/>
  <c r="AG52" i="13"/>
  <c r="F12" i="19"/>
  <c r="F15" i="19" s="1"/>
  <c r="H18" i="26"/>
  <c r="AG17" i="13"/>
  <c r="AG21" i="13"/>
  <c r="AG24" i="13"/>
  <c r="V6" i="13"/>
  <c r="AE6" i="13" s="1"/>
  <c r="U6" i="13"/>
  <c r="AG73" i="13" l="1"/>
  <c r="AG222" i="13"/>
  <c r="AG180" i="13"/>
  <c r="AG228" i="13"/>
  <c r="AG184" i="13"/>
  <c r="AG181" i="13"/>
  <c r="AG176" i="13"/>
  <c r="AG15" i="13"/>
  <c r="AG213" i="13"/>
  <c r="AG225" i="13"/>
  <c r="AG44" i="13"/>
  <c r="AG192" i="13"/>
  <c r="AG65" i="13"/>
  <c r="AG156" i="13"/>
  <c r="AG83" i="13"/>
  <c r="AG223" i="13"/>
  <c r="AG186" i="13"/>
  <c r="AG193" i="13"/>
  <c r="AG31" i="13"/>
  <c r="AG18" i="13"/>
  <c r="AG175" i="13"/>
  <c r="AG105" i="13"/>
  <c r="AG75" i="13"/>
  <c r="AG32" i="13"/>
  <c r="AG89" i="13"/>
  <c r="AG208" i="13"/>
  <c r="AG200" i="13"/>
  <c r="AG216" i="13"/>
  <c r="AG66" i="13"/>
  <c r="AG37" i="13"/>
  <c r="AG10" i="13"/>
  <c r="AG86" i="13"/>
  <c r="AG53" i="13"/>
  <c r="AG196" i="13"/>
  <c r="AG69" i="13"/>
  <c r="AG54" i="13"/>
  <c r="AG191" i="13"/>
  <c r="AG22" i="13"/>
  <c r="AG84" i="13"/>
  <c r="AG211" i="13"/>
  <c r="AG45" i="13"/>
  <c r="AG201" i="13"/>
  <c r="AG25" i="13"/>
  <c r="AG30" i="13"/>
  <c r="AG101" i="13"/>
  <c r="AG60" i="13"/>
  <c r="AG113" i="13"/>
  <c r="AG134" i="13"/>
  <c r="AG159" i="13"/>
  <c r="AG146" i="13"/>
  <c r="AG145" i="13"/>
  <c r="AG131" i="13"/>
  <c r="AG137" i="13"/>
  <c r="AG112" i="13"/>
  <c r="AG220" i="13"/>
  <c r="AG153" i="13"/>
  <c r="AG150" i="13"/>
  <c r="AG143" i="13"/>
  <c r="AG116" i="13"/>
  <c r="AG128" i="13"/>
  <c r="AG109" i="13"/>
  <c r="AG61" i="13"/>
  <c r="AG108" i="13"/>
  <c r="AG123" i="13"/>
  <c r="AG152" i="13"/>
  <c r="AG157" i="13"/>
  <c r="AG154" i="13"/>
  <c r="AG148" i="13"/>
  <c r="AG171" i="13"/>
  <c r="AG170" i="13"/>
  <c r="AG173" i="13"/>
  <c r="AG167" i="13"/>
  <c r="AG119" i="13"/>
  <c r="AG117" i="13"/>
  <c r="AG102" i="13"/>
  <c r="AG57" i="13"/>
  <c r="AG20" i="13"/>
  <c r="AG166" i="13"/>
  <c r="AG139" i="13"/>
  <c r="AG130" i="13"/>
  <c r="AG135" i="13"/>
  <c r="AG164" i="13"/>
  <c r="AG155" i="13"/>
  <c r="AG93" i="13"/>
  <c r="AG126" i="13"/>
  <c r="AG59" i="13"/>
  <c r="AG118" i="13"/>
  <c r="AG115" i="13"/>
  <c r="AG125" i="13"/>
  <c r="AG138" i="13"/>
  <c r="AG161" i="13"/>
  <c r="AG132" i="13"/>
  <c r="AG172" i="13"/>
  <c r="AG133" i="13"/>
  <c r="AG162" i="13"/>
  <c r="AG168" i="13"/>
  <c r="AG47" i="13"/>
  <c r="AG124" i="13"/>
  <c r="AG122" i="13"/>
  <c r="AG120" i="13"/>
  <c r="AG114" i="13"/>
  <c r="AG165" i="13"/>
  <c r="AG163" i="13"/>
  <c r="AG136" i="13"/>
  <c r="AG129" i="13"/>
  <c r="AG151" i="13"/>
  <c r="AG149" i="13"/>
  <c r="AG147" i="13"/>
  <c r="AG90" i="13"/>
  <c r="AG46" i="13"/>
  <c r="AG110" i="13"/>
  <c r="AG58" i="13"/>
  <c r="AG111" i="13"/>
  <c r="AG5" i="13"/>
  <c r="AG140" i="13"/>
  <c r="AG142" i="13"/>
  <c r="AG169" i="13"/>
  <c r="AG160" i="13"/>
  <c r="AG144" i="13"/>
  <c r="AG100" i="13"/>
  <c r="AG78" i="13"/>
  <c r="AG81" i="13"/>
  <c r="AG215" i="13"/>
  <c r="AG35" i="13"/>
  <c r="AG207" i="13"/>
  <c r="AG79" i="13"/>
  <c r="AG34" i="13"/>
  <c r="AG103" i="13"/>
  <c r="AG212" i="13"/>
  <c r="AG91" i="13"/>
  <c r="AG13" i="13"/>
  <c r="AG185" i="13"/>
  <c r="AG55" i="13"/>
  <c r="AG80" i="13"/>
  <c r="AG206" i="13"/>
  <c r="AG230" i="13"/>
  <c r="AG9" i="13"/>
  <c r="AG40" i="13"/>
  <c r="AG104" i="13"/>
  <c r="AG43" i="13"/>
  <c r="AG210" i="13"/>
  <c r="AG26" i="13"/>
  <c r="AG106" i="13"/>
  <c r="W6" i="13"/>
  <c r="G6" i="19" l="1"/>
  <c r="H6" i="19" s="1"/>
  <c r="C13" i="19"/>
  <c r="G13" i="19" s="1"/>
  <c r="X6" i="13"/>
  <c r="AG6" i="13" s="1"/>
  <c r="AF6" i="13"/>
  <c r="D5" i="19" l="1"/>
  <c r="D8" i="19" s="1"/>
  <c r="G5" i="19" l="1"/>
  <c r="E5" i="19" l="1"/>
  <c r="E8" i="19" s="1"/>
  <c r="C12" i="19"/>
  <c r="G12" i="19" s="1"/>
  <c r="G15" i="19" s="1"/>
  <c r="G8" i="19"/>
  <c r="H5" i="19"/>
  <c r="F8" i="19" l="1"/>
  <c r="H8" i="19"/>
  <c r="C15" i="19"/>
  <c r="F5" i="19"/>
</calcChain>
</file>

<file path=xl/sharedStrings.xml><?xml version="1.0" encoding="utf-8"?>
<sst xmlns="http://schemas.openxmlformats.org/spreadsheetml/2006/main" count="2310" uniqueCount="803">
  <si>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</si>
  <si>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</si>
  <si>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</si>
  <si>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</si>
  <si>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</si>
  <si>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</si>
  <si>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</si>
  <si>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</si>
  <si>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</si>
  <si>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</si>
  <si>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</si>
  <si>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</si>
  <si>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</si>
  <si>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</si>
  <si>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</si>
  <si>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</si>
  <si>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</si>
  <si>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</si>
  <si>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</si>
  <si>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</si>
  <si>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</si>
  <si>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</si>
  <si>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</si>
  <si>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</si>
  <si>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</si>
  <si>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</si>
  <si>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</si>
  <si>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</si>
  <si>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</si>
  <si>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</si>
  <si>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</si>
  <si>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</si>
  <si>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</si>
  <si>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</si>
  <si>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</si>
  <si>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</si>
  <si>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</si>
  <si>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</si>
  <si>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</si>
  <si>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</si>
  <si>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</si>
  <si>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</si>
  <si>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</si>
  <si>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</si>
  <si>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</si>
  <si>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</si>
  <si>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</si>
  <si>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</si>
  <si>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</si>
  <si>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</si>
  <si>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</si>
  <si>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</si>
  <si>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</si>
  <si>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</si>
  <si>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</si>
  <si>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</si>
  <si>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</si>
  <si>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</si>
  <si>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</si>
  <si>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</si>
  <si>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</si>
  <si>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</si>
  <si>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Postcode</t>
  </si>
  <si>
    <t>Adres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</si>
  <si>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</si>
  <si>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</si>
  <si>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</si>
  <si>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</si>
  <si>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</si>
  <si>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</si>
  <si>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</si>
  <si>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</si>
  <si>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</si>
  <si>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</si>
  <si>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</si>
  <si>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</si>
  <si>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</si>
  <si>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</si>
  <si>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</si>
  <si>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</si>
  <si>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</si>
  <si>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</si>
  <si>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</si>
  <si>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</si>
  <si>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</si>
  <si>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</si>
  <si>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</si>
  <si>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</si>
  <si>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</si>
  <si>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</si>
  <si>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</si>
  <si>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</si>
  <si>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</si>
  <si>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</si>
  <si>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</si>
  <si>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</si>
  <si>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</si>
  <si>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</si>
  <si>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</si>
  <si>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</si>
  <si>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</si>
  <si>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</si>
  <si>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</si>
  <si>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</si>
  <si>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</si>
  <si>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</si>
  <si>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</si>
  <si>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</si>
  <si>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</si>
  <si>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</si>
  <si>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</si>
  <si>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</si>
  <si>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</si>
  <si>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</si>
  <si>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</si>
  <si>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</si>
  <si>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</si>
  <si>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</si>
  <si>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</si>
  <si>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</si>
  <si>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</si>
  <si>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</si>
  <si>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</si>
  <si>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</si>
  <si>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</si>
  <si>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</si>
  <si>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</si>
  <si>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</si>
  <si>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</si>
  <si>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</si>
  <si>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</si>
  <si>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</si>
  <si>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</si>
  <si>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</si>
  <si>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</si>
  <si>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</si>
  <si>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</si>
  <si>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</si>
  <si>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</si>
  <si>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</si>
  <si>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</si>
  <si>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</si>
  <si>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</si>
  <si>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</si>
  <si>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</si>
  <si>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</si>
  <si>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</si>
  <si>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</si>
  <si>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</si>
  <si>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</si>
  <si>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</si>
  <si>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</si>
  <si>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</si>
  <si>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</si>
  <si>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Topstrippen en conserveren</t>
  </si>
  <si>
    <t>Diepstrippen, sealen en conserveren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</si>
  <si>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</si>
  <si>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</si>
  <si>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</si>
  <si>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</si>
  <si>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</si>
  <si>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</si>
  <si>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</si>
  <si>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</si>
  <si>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</si>
  <si>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</si>
  <si>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</si>
  <si>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</si>
  <si>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</si>
  <si>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</si>
  <si>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</si>
  <si>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</si>
  <si>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</si>
  <si>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</si>
  <si>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</si>
  <si>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</si>
  <si>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</si>
  <si>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</si>
  <si>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</si>
  <si>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</si>
  <si>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</si>
  <si>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</si>
  <si>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</si>
  <si>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</si>
  <si>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</si>
  <si>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</si>
  <si>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</si>
  <si>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</si>
  <si>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</si>
  <si>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</si>
  <si>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</si>
  <si>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</si>
  <si>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</si>
  <si>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</si>
  <si>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</si>
  <si>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</si>
  <si>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</si>
  <si>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</si>
  <si>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</si>
  <si>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</si>
  <si>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</si>
  <si>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</si>
  <si>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</si>
  <si>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</si>
  <si>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Aantal per uitvoering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</si>
  <si>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</si>
  <si>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</si>
  <si>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</si>
  <si>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</si>
  <si>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</si>
  <si>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</si>
  <si>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</si>
  <si>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</si>
  <si>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</si>
  <si>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</si>
  <si>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</si>
  <si>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</si>
  <si>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</si>
  <si>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</si>
  <si>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</si>
  <si>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</si>
  <si>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</si>
  <si>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</si>
  <si>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</si>
  <si>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* zie tabblad Werkprogramma voor definities</t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</si>
  <si>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</si>
  <si>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</si>
  <si>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</si>
  <si>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</si>
  <si>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</si>
  <si>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</si>
  <si>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</si>
  <si>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</si>
  <si>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</si>
  <si>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</si>
  <si>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</si>
  <si>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</si>
  <si>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</si>
  <si>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</si>
  <si>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</si>
  <si>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</si>
  <si>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</si>
  <si>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</si>
  <si>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</si>
  <si>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</si>
  <si>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</si>
  <si>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</si>
  <si>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</si>
  <si>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</si>
  <si>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</si>
  <si>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</si>
  <si>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</si>
  <si>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</si>
  <si>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</si>
  <si>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</si>
  <si>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</si>
  <si>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</si>
  <si>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</si>
  <si>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</si>
  <si>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</si>
  <si>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</si>
  <si>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</si>
  <si>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</si>
  <si>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</si>
  <si>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</si>
  <si>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</si>
  <si>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</si>
  <si>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</si>
  <si>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</si>
  <si>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</si>
  <si>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</si>
  <si>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</si>
  <si>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</si>
  <si>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</si>
  <si>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</si>
  <si>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</si>
  <si>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</si>
  <si>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</si>
  <si>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</si>
  <si>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</si>
  <si>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</si>
  <si>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</si>
  <si>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</si>
  <si>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</si>
  <si>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</si>
  <si>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</si>
  <si>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</si>
  <si>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</si>
  <si>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</si>
  <si>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</si>
  <si>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</si>
  <si>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</si>
  <si>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</si>
  <si>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</si>
  <si>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</si>
  <si>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</si>
  <si>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</si>
  <si>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</si>
  <si>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</si>
  <si>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</si>
  <si>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</si>
  <si>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</si>
  <si>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</si>
  <si>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</si>
  <si>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</si>
  <si>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</si>
  <si>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</si>
  <si>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</si>
  <si>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</si>
  <si>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</si>
  <si>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</si>
  <si>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</si>
  <si>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</si>
  <si>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</si>
  <si>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</si>
  <si>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</si>
  <si>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</si>
  <si>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</si>
  <si>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</si>
  <si>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</si>
  <si>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</si>
  <si>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</si>
  <si>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</si>
  <si>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</si>
  <si>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</si>
  <si>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</si>
  <si>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</si>
  <si>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</si>
  <si>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</si>
  <si>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</si>
  <si>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</si>
  <si>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</si>
  <si>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</si>
  <si>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</si>
  <si>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</si>
  <si>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</si>
  <si>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</si>
  <si>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</si>
  <si>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</si>
  <si>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</si>
  <si>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</si>
  <si>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</si>
  <si>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</si>
  <si>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</si>
  <si>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</si>
  <si>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</si>
  <si>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</si>
  <si>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</si>
  <si>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</si>
  <si>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</si>
  <si>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</si>
  <si>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</si>
  <si>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</si>
  <si>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</si>
  <si>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</si>
  <si>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</si>
  <si>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</si>
  <si>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</si>
  <si>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</si>
  <si>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</si>
  <si>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</si>
  <si>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</si>
  <si>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</si>
  <si>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</si>
  <si>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</si>
  <si>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</si>
  <si>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</si>
  <si>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</si>
  <si>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Opleverstaat schoonmaak periodiek (tijdens vakanties uitvoeren) 2 x per jaar</t>
  </si>
  <si>
    <t>Handeling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</si>
  <si>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</si>
  <si>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</si>
  <si>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</si>
  <si>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</si>
  <si>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</si>
  <si>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</si>
  <si>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</si>
  <si>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</si>
  <si>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</si>
  <si>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</si>
  <si>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</si>
  <si>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</si>
  <si>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</si>
  <si>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</si>
  <si>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</si>
  <si>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</si>
  <si>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</si>
  <si>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</si>
  <si>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</si>
  <si>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</si>
  <si>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</si>
  <si>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</si>
  <si>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</si>
  <si>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</si>
  <si>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</si>
  <si>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</si>
  <si>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</si>
  <si>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</si>
  <si>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</si>
  <si>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</si>
  <si>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</si>
  <si>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</si>
  <si>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</si>
  <si>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</si>
  <si>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</si>
  <si>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</si>
  <si>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</si>
  <si>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</si>
  <si>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Oppervlakte of dagen</t>
  </si>
  <si>
    <t>Frequentie</t>
  </si>
  <si>
    <t>Kosten/jaar incl. BTW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</si>
  <si>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</si>
  <si>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</si>
  <si>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</si>
  <si>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</si>
  <si>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</si>
  <si>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</si>
  <si>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</si>
  <si>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</si>
  <si>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</si>
  <si>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</si>
  <si>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</si>
  <si>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</si>
  <si>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</si>
  <si>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</si>
  <si>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</si>
  <si>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2029</t>
  </si>
  <si>
    <t>Opmerkingen</t>
  </si>
  <si>
    <t>Glasbewassing
Kosten / jaar</t>
  </si>
  <si>
    <t>Hoofdgebouw</t>
  </si>
  <si>
    <t>Magazijn</t>
  </si>
  <si>
    <t>Werkplaats</t>
  </si>
  <si>
    <t>Rohofstraat 83</t>
  </si>
  <si>
    <t>7605 AT</t>
  </si>
  <si>
    <t>Almelo</t>
  </si>
  <si>
    <t>Bg</t>
  </si>
  <si>
    <t>A0.01</t>
  </si>
  <si>
    <t>entree</t>
  </si>
  <si>
    <t>A0.02</t>
  </si>
  <si>
    <t>gang, linkerzijde</t>
  </si>
  <si>
    <t>A0.03</t>
  </si>
  <si>
    <t>huiskamer</t>
  </si>
  <si>
    <t>A0.04</t>
  </si>
  <si>
    <t>vergaderruimte</t>
  </si>
  <si>
    <t>A0.05</t>
  </si>
  <si>
    <t>A0.06</t>
  </si>
  <si>
    <t>A0.07</t>
  </si>
  <si>
    <t>A0.08</t>
  </si>
  <si>
    <t>A0.09</t>
  </si>
  <si>
    <t>kantoor</t>
  </si>
  <si>
    <t>A0.10</t>
  </si>
  <si>
    <t>open werkruimte</t>
  </si>
  <si>
    <t>A0.11</t>
  </si>
  <si>
    <t>aanlanden</t>
  </si>
  <si>
    <t>A0.12</t>
  </si>
  <si>
    <t>A0.13</t>
  </si>
  <si>
    <t>conc. ruimte</t>
  </si>
  <si>
    <t>A0.14</t>
  </si>
  <si>
    <t>A0.15</t>
  </si>
  <si>
    <t>A0.16</t>
  </si>
  <si>
    <t>A0.17</t>
  </si>
  <si>
    <t>A0.18</t>
  </si>
  <si>
    <t>A0.19</t>
  </si>
  <si>
    <t>vluchttrap</t>
  </si>
  <si>
    <t>A0.20</t>
  </si>
  <si>
    <t>A0.21</t>
  </si>
  <si>
    <t>gang, treincoupes</t>
  </si>
  <si>
    <t>A0.22</t>
  </si>
  <si>
    <t>gang, rechterzijde</t>
  </si>
  <si>
    <t>A0.23</t>
  </si>
  <si>
    <t>gang, concentratieruimtes</t>
  </si>
  <si>
    <t>A0.24</t>
  </si>
  <si>
    <t>gang</t>
  </si>
  <si>
    <t>A0.25</t>
  </si>
  <si>
    <t>toiletten</t>
  </si>
  <si>
    <t>A0.26</t>
  </si>
  <si>
    <t>A0.27</t>
  </si>
  <si>
    <t>spreekkamer</t>
  </si>
  <si>
    <t>A0.28</t>
  </si>
  <si>
    <t>schacht</t>
  </si>
  <si>
    <t>A0.29</t>
  </si>
  <si>
    <t>techniek</t>
  </si>
  <si>
    <t>A0.30</t>
  </si>
  <si>
    <t>trap</t>
  </si>
  <si>
    <t>B0.01</t>
  </si>
  <si>
    <t>B0.02</t>
  </si>
  <si>
    <t>kantoor ict</t>
  </si>
  <si>
    <t>B0.03</t>
  </si>
  <si>
    <t>woonkamer</t>
  </si>
  <si>
    <t>B0.04</t>
  </si>
  <si>
    <t>B0.05</t>
  </si>
  <si>
    <t>B0.06</t>
  </si>
  <si>
    <t>treinbanken</t>
  </si>
  <si>
    <t>B0.07</t>
  </si>
  <si>
    <t>conc. rm</t>
  </si>
  <si>
    <t>B0.08</t>
  </si>
  <si>
    <t>vergaderr.</t>
  </si>
  <si>
    <t>B0.09</t>
  </si>
  <si>
    <t>B0.10</t>
  </si>
  <si>
    <t>B0.11</t>
  </si>
  <si>
    <t>B0.12</t>
  </si>
  <si>
    <t>B0.13</t>
  </si>
  <si>
    <t>repro</t>
  </si>
  <si>
    <t>B0.14</t>
  </si>
  <si>
    <t>B0.15</t>
  </si>
  <si>
    <t>werkruimte</t>
  </si>
  <si>
    <t>B0.16</t>
  </si>
  <si>
    <t>B0.17</t>
  </si>
  <si>
    <t>kantoor receptie</t>
  </si>
  <si>
    <t>B0.18</t>
  </si>
  <si>
    <t>B0.19</t>
  </si>
  <si>
    <t>B0.20</t>
  </si>
  <si>
    <t>B0.21</t>
  </si>
  <si>
    <t>B0.22</t>
  </si>
  <si>
    <t>B0.23</t>
  </si>
  <si>
    <t>trappenhuis</t>
  </si>
  <si>
    <t>B0.24</t>
  </si>
  <si>
    <t>lift</t>
  </si>
  <si>
    <t>B0.25</t>
  </si>
  <si>
    <t>mivatoilet</t>
  </si>
  <si>
    <t>B0.26</t>
  </si>
  <si>
    <t>werkkast</t>
  </si>
  <si>
    <t>B0.27</t>
  </si>
  <si>
    <t>B0.28</t>
  </si>
  <si>
    <t>B0.29</t>
  </si>
  <si>
    <t>patchkast</t>
  </si>
  <si>
    <t>C0.01</t>
  </si>
  <si>
    <t>C0.02</t>
  </si>
  <si>
    <t>C0.03</t>
  </si>
  <si>
    <t>C0.04</t>
  </si>
  <si>
    <t>standup</t>
  </si>
  <si>
    <t>C0.05</t>
  </si>
  <si>
    <t>C0.06</t>
  </si>
  <si>
    <t>C0.07</t>
  </si>
  <si>
    <t>C0.08</t>
  </si>
  <si>
    <t>C0.09</t>
  </si>
  <si>
    <t>C0.10</t>
  </si>
  <si>
    <t>C0.11</t>
  </si>
  <si>
    <t>C0.12</t>
  </si>
  <si>
    <t>C0.13</t>
  </si>
  <si>
    <t>D0.01</t>
  </si>
  <si>
    <t>D0.02</t>
  </si>
  <si>
    <t>D0.03</t>
  </si>
  <si>
    <t>D0.04</t>
  </si>
  <si>
    <t>D0.05</t>
  </si>
  <si>
    <t>D0.06</t>
  </si>
  <si>
    <t>trainingsruimte</t>
  </si>
  <si>
    <t>D0.07</t>
  </si>
  <si>
    <t>D0.08</t>
  </si>
  <si>
    <t>D0.09</t>
  </si>
  <si>
    <t>D0.10</t>
  </si>
  <si>
    <t>berging</t>
  </si>
  <si>
    <t>D0.11</t>
  </si>
  <si>
    <t>bedrijfsrestaurant</t>
  </si>
  <si>
    <t>D0.12</t>
  </si>
  <si>
    <t>D0.13</t>
  </si>
  <si>
    <t>E0.01</t>
  </si>
  <si>
    <t>E0.02</t>
  </si>
  <si>
    <t>E0.03</t>
  </si>
  <si>
    <t>buitenberging</t>
  </si>
  <si>
    <t>E0.04</t>
  </si>
  <si>
    <t>E0.05</t>
  </si>
  <si>
    <t>E0.06</t>
  </si>
  <si>
    <t>F0.01</t>
  </si>
  <si>
    <t>F0.02</t>
  </si>
  <si>
    <t>atrium</t>
  </si>
  <si>
    <t>F0.03</t>
  </si>
  <si>
    <t>receptie</t>
  </si>
  <si>
    <t>F0.04</t>
  </si>
  <si>
    <t>F0.05</t>
  </si>
  <si>
    <t>F0.06</t>
  </si>
  <si>
    <t>F0.07</t>
  </si>
  <si>
    <t>F0.08</t>
  </si>
  <si>
    <t>F0.09</t>
  </si>
  <si>
    <t>1e</t>
  </si>
  <si>
    <t>A1.01</t>
  </si>
  <si>
    <t>A1.02</t>
  </si>
  <si>
    <t>ontmoeten</t>
  </si>
  <si>
    <t>A1.03</t>
  </si>
  <si>
    <t>wandbank</t>
  </si>
  <si>
    <t>A1.04</t>
  </si>
  <si>
    <t>werken</t>
  </si>
  <si>
    <t>A1.05</t>
  </si>
  <si>
    <t>A1.06</t>
  </si>
  <si>
    <t>A1.07</t>
  </si>
  <si>
    <t>A1.08</t>
  </si>
  <si>
    <t>A1.09</t>
  </si>
  <si>
    <t>personeel</t>
  </si>
  <si>
    <t>A1.10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</si>
  <si>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</si>
  <si>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</si>
  <si>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</si>
  <si>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</si>
  <si>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</si>
  <si>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</si>
  <si>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</si>
  <si>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</si>
  <si>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</si>
  <si>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</si>
  <si>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</si>
  <si>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</si>
  <si>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</si>
  <si>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</si>
  <si>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A1.25</t>
  </si>
  <si>
    <t>B1.01</t>
  </si>
  <si>
    <t>ontvangstruimte</t>
  </si>
  <si>
    <t>B1.02</t>
  </si>
  <si>
    <t>B1.03</t>
  </si>
  <si>
    <t>B1.04</t>
  </si>
  <si>
    <t>conferentie</t>
  </si>
  <si>
    <t>B1.05</t>
  </si>
  <si>
    <t>calamiteitenruimte</t>
  </si>
  <si>
    <t>B1.06</t>
  </si>
  <si>
    <t>B1.07</t>
  </si>
  <si>
    <t>B1.08</t>
  </si>
  <si>
    <t>B1.09</t>
  </si>
  <si>
    <t>B1.10</t>
  </si>
  <si>
    <t>B1.11</t>
  </si>
  <si>
    <t>B1.12</t>
  </si>
  <si>
    <t>B1.13</t>
  </si>
  <si>
    <t>B1.14</t>
  </si>
  <si>
    <t>instructieruimte</t>
  </si>
  <si>
    <t>B1.15</t>
  </si>
  <si>
    <t>wachtruimte, laag zitten</t>
  </si>
  <si>
    <t>B1.16</t>
  </si>
  <si>
    <t>B1.17</t>
  </si>
  <si>
    <t>B1.18</t>
  </si>
  <si>
    <t>B1.19</t>
  </si>
  <si>
    <t>B1.20</t>
  </si>
  <si>
    <t>B1.21</t>
  </si>
  <si>
    <t>damestoilet</t>
  </si>
  <si>
    <t>B1.22</t>
  </si>
  <si>
    <t>heren toilet</t>
  </si>
  <si>
    <t>B1.23</t>
  </si>
  <si>
    <t>B1.24</t>
  </si>
  <si>
    <t>B1.26</t>
  </si>
  <si>
    <t>B1.27</t>
  </si>
  <si>
    <t>B1.28</t>
  </si>
  <si>
    <t>B1.29</t>
  </si>
  <si>
    <t>B1.30</t>
  </si>
  <si>
    <t>B1.31</t>
  </si>
  <si>
    <t>pantry</t>
  </si>
  <si>
    <t>B1.32</t>
  </si>
  <si>
    <t>C1.01</t>
  </si>
  <si>
    <t>C1.02</t>
  </si>
  <si>
    <t>C1.03</t>
  </si>
  <si>
    <t>C1.04</t>
  </si>
  <si>
    <t>C1.05</t>
  </si>
  <si>
    <t>C1.06</t>
  </si>
  <si>
    <t>C1.07</t>
  </si>
  <si>
    <t>C1.08</t>
  </si>
  <si>
    <t>C1.09</t>
  </si>
  <si>
    <t>C1.10</t>
  </si>
  <si>
    <t>C1.11</t>
  </si>
  <si>
    <t>C1.12</t>
  </si>
  <si>
    <t>D1.01</t>
  </si>
  <si>
    <t>D1.02</t>
  </si>
  <si>
    <t>D1.03</t>
  </si>
  <si>
    <t>D1.04</t>
  </si>
  <si>
    <t>D1.05</t>
  </si>
  <si>
    <t>D1.06</t>
  </si>
  <si>
    <t>D1.07</t>
  </si>
  <si>
    <t>D1.08</t>
  </si>
  <si>
    <t>D1.09</t>
  </si>
  <si>
    <t>D1.10</t>
  </si>
  <si>
    <t>D1.11</t>
  </si>
  <si>
    <t>D1.12</t>
  </si>
  <si>
    <t>D1.14</t>
  </si>
  <si>
    <t>D1.15</t>
  </si>
  <si>
    <t>toilet</t>
  </si>
  <si>
    <t>D1.16</t>
  </si>
  <si>
    <t>D1.17</t>
  </si>
  <si>
    <t>D1.18</t>
  </si>
  <si>
    <t>F1.01</t>
  </si>
  <si>
    <t>loopbrug</t>
  </si>
  <si>
    <t>F1.02</t>
  </si>
  <si>
    <t>F1.03</t>
  </si>
  <si>
    <t>F1.04</t>
  </si>
  <si>
    <t>F1.05</t>
  </si>
  <si>
    <t>F1.06</t>
  </si>
  <si>
    <t>2e</t>
  </si>
  <si>
    <t>C2.01</t>
  </si>
  <si>
    <t>C2.02</t>
  </si>
  <si>
    <t>cogas café</t>
  </si>
  <si>
    <t>C2.03</t>
  </si>
  <si>
    <t>ict serverruimte</t>
  </si>
  <si>
    <t>C2.04</t>
  </si>
  <si>
    <t>C2.05</t>
  </si>
  <si>
    <t>C2.06</t>
  </si>
  <si>
    <t>kast</t>
  </si>
  <si>
    <t>C2.07</t>
  </si>
  <si>
    <t>experience room</t>
  </si>
  <si>
    <t>C2.08</t>
  </si>
  <si>
    <t>repro/berging</t>
  </si>
  <si>
    <t>F2.01</t>
  </si>
  <si>
    <t>F2.02</t>
  </si>
  <si>
    <t>F2.03</t>
  </si>
  <si>
    <t>Kantoortuin</t>
  </si>
  <si>
    <t>Woonkamer/aanland</t>
  </si>
  <si>
    <t>Garderobe</t>
  </si>
  <si>
    <t>Receptie</t>
  </si>
  <si>
    <t>Instructieruimte</t>
  </si>
  <si>
    <t>Tegels</t>
  </si>
  <si>
    <t>0.01</t>
  </si>
  <si>
    <t>0.02</t>
  </si>
  <si>
    <t>Hal</t>
  </si>
  <si>
    <t>Trap</t>
  </si>
  <si>
    <t>0.04</t>
  </si>
  <si>
    <t>magazijnmedewerkers</t>
  </si>
  <si>
    <t>0.05</t>
  </si>
  <si>
    <t>Uitgifte balie</t>
  </si>
  <si>
    <t>0.06</t>
  </si>
  <si>
    <t>Toilet heren</t>
  </si>
  <si>
    <t>0.07</t>
  </si>
  <si>
    <t>Toilet Dames</t>
  </si>
  <si>
    <t>0.03</t>
  </si>
  <si>
    <t>1.10</t>
  </si>
  <si>
    <t>Gang</t>
  </si>
  <si>
    <t>1.03</t>
  </si>
  <si>
    <t>1.04</t>
  </si>
  <si>
    <t>1.02</t>
  </si>
  <si>
    <t>Toilet</t>
  </si>
  <si>
    <t>1.02c</t>
  </si>
  <si>
    <t>1.01</t>
  </si>
  <si>
    <t>1.05</t>
  </si>
  <si>
    <t>1.06</t>
  </si>
  <si>
    <t>1.07a</t>
  </si>
  <si>
    <t>1.06a</t>
  </si>
  <si>
    <t>Copy/koffiehoek</t>
  </si>
  <si>
    <t>1.06b</t>
  </si>
  <si>
    <t>1.07</t>
  </si>
  <si>
    <t>l</t>
  </si>
  <si>
    <t>Glazen bouwstenen</t>
  </si>
  <si>
    <t>Ve</t>
  </si>
  <si>
    <t>Bu</t>
  </si>
  <si>
    <t>Sa</t>
  </si>
  <si>
    <t>Garderobes</t>
  </si>
  <si>
    <t>Kantine/Aula</t>
  </si>
  <si>
    <t>Keuken/pantry</t>
  </si>
  <si>
    <t>Niet in Onderhoud</t>
  </si>
  <si>
    <t>Dieptereiniging keuken conform HACCP</t>
  </si>
  <si>
    <t>Vochtig afnemen</t>
  </si>
  <si>
    <t>Periodiek vloeronderhoud conform afspraak</t>
  </si>
  <si>
    <t xml:space="preserve">onbepaalde tijd </t>
  </si>
  <si>
    <t xml:space="preserve">ja </t>
  </si>
  <si>
    <t>Algemeen Schoonmaker</t>
  </si>
  <si>
    <t xml:space="preserve">nvt </t>
  </si>
  <si>
    <t>nvt</t>
  </si>
  <si>
    <t>ja</t>
  </si>
  <si>
    <t>Cogas incl. huurdersdeel</t>
  </si>
  <si>
    <t>nee</t>
  </si>
  <si>
    <t>Gevelbeplating wassen</t>
  </si>
  <si>
    <t>Whiteboard</t>
  </si>
  <si>
    <t>Per beurt</t>
  </si>
  <si>
    <t>Per stuk</t>
  </si>
  <si>
    <t>Met perslucht en ontsmettingsalcohol</t>
  </si>
  <si>
    <t>h4</t>
  </si>
  <si>
    <t>Spinhoogwerker - binnen</t>
  </si>
  <si>
    <t>Onderdeel/Keukendeel</t>
  </si>
  <si>
    <t>Aantal</t>
  </si>
  <si>
    <t>Apparatuur</t>
  </si>
  <si>
    <t>Spoelkeuken</t>
  </si>
  <si>
    <t>1 st.</t>
  </si>
  <si>
    <t>Vaatwasser (voorlader of per sectie transport)</t>
  </si>
  <si>
    <t>10 m2</t>
  </si>
  <si>
    <t>Vloeren</t>
  </si>
  <si>
    <t>2,5 m.</t>
  </si>
  <si>
    <t>Aan-aflooptafel</t>
  </si>
  <si>
    <t>Spoelbak</t>
  </si>
  <si>
    <t>20 m2</t>
  </si>
  <si>
    <t>2 m.</t>
  </si>
  <si>
    <t>Koelvitrine</t>
  </si>
  <si>
    <t>2 st.</t>
  </si>
  <si>
    <t>Bravilor koffieautomaten</t>
  </si>
  <si>
    <t>Aanrecht</t>
  </si>
  <si>
    <t>Elektrische kookplaat 4 pits</t>
  </si>
  <si>
    <t>Frituur (electrisch)</t>
  </si>
  <si>
    <t>Werkblad</t>
  </si>
  <si>
    <t>Afzetstuk</t>
  </si>
  <si>
    <t>Bain Marie</t>
  </si>
  <si>
    <t>Soep</t>
  </si>
  <si>
    <t>11 m.</t>
  </si>
  <si>
    <t>Koelbak</t>
  </si>
  <si>
    <t>Afzuigkap (afzuigkap en afzuigventilator)</t>
  </si>
  <si>
    <t>Opdrachtnemer dient na gunning de m2 van de gevelbeplating op te meten</t>
  </si>
  <si>
    <t>Keuken/uitgifte</t>
  </si>
  <si>
    <t>Natuursteen</t>
  </si>
  <si>
    <t>Toetsenborden en muizen reinigen</t>
  </si>
  <si>
    <t>Zie onderstaande inventarisatielijst 'keuken'</t>
  </si>
  <si>
    <t>Zie onderstaande handelingen mbt 'sanitair'</t>
  </si>
  <si>
    <t>Per unit</t>
  </si>
  <si>
    <t>hout</t>
  </si>
  <si>
    <t>H</t>
  </si>
  <si>
    <t>Hout</t>
  </si>
  <si>
    <t>Vloeren zonder beschermlaag, die wel behandeling nodig hebben, zoals hout e.d.</t>
  </si>
  <si>
    <t>Oliën houten vloer</t>
  </si>
  <si>
    <t>Gietvloer</t>
  </si>
  <si>
    <t>D0.11a</t>
  </si>
  <si>
    <t>Keuken - bedrijfsrestaurant</t>
  </si>
  <si>
    <t>s</t>
  </si>
  <si>
    <t>Inloopmat</t>
  </si>
  <si>
    <t>Inventarisatielijst 'keuken' (zie ook eis u-21 en u-22):</t>
  </si>
  <si>
    <t>Handelingen dieptereiniging sanitair (zie ook eis u-20 en u-22)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</si>
</sst>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9"/>
      <color rgb="FFFFFFFF"/>
      <name val="Verdana"/>
      <family val="2"/>
    </font>
    <font>
      <sz val="9"/>
      <color rgb="FF222222"/>
      <name val="Verdana"/>
      <family val="2"/>
    </font>
    <font>
      <b/>
      <sz val="1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1" fillId="0" borderId="0"/>
    <xf numFmtId="17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6" fillId="0" borderId="0">
      <alignment horizontal="center" vertical="center" textRotation="90" wrapText="1"/>
    </xf>
    <xf numFmtId="0" fontId="13" fillId="2" borderId="1"/>
    <xf numFmtId="174" fontId="7" fillId="0" borderId="0"/>
    <xf numFmtId="0" fontId="14" fillId="0" borderId="0" applyNumberFormat="0" applyBorder="0">
      <protection locked="0"/>
    </xf>
    <xf numFmtId="0" fontId="15" fillId="0" borderId="0"/>
    <xf numFmtId="0" fontId="16" fillId="3" borderId="2" applyNumberFormat="0" applyFont="0" applyFill="0" applyBorder="0" applyAlignment="0">
      <alignment horizontal="right"/>
    </xf>
    <xf numFmtId="0" fontId="13" fillId="4" borderId="3" applyNumberFormat="0" applyFont="0" applyBorder="0">
      <alignment horizontal="center"/>
    </xf>
    <xf numFmtId="0" fontId="9" fillId="0" borderId="0"/>
    <xf numFmtId="0" fontId="20" fillId="0" borderId="0"/>
    <xf numFmtId="0" fontId="3" fillId="0" borderId="0"/>
    <xf numFmtId="167" fontId="3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2" borderId="1"/>
    <xf numFmtId="0" fontId="3" fillId="0" borderId="0"/>
    <xf numFmtId="0" fontId="2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3" fillId="0" borderId="0"/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55">
    <xf numFmtId="0" fontId="0" fillId="0" borderId="0" xfId="0"/>
    <xf numFmtId="0" fontId="23" fillId="0" borderId="0" xfId="0" applyFont="1" applyAlignment="1">
      <alignment horizontal="center"/>
    </xf>
    <xf numFmtId="0" fontId="23" fillId="0" borderId="0" xfId="0" applyFont="1"/>
    <xf numFmtId="0" fontId="29" fillId="0" borderId="0" xfId="29" applyFont="1"/>
    <xf numFmtId="0" fontId="23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2" fontId="23" fillId="0" borderId="0" xfId="0" applyNumberFormat="1" applyFont="1"/>
    <xf numFmtId="0" fontId="23" fillId="0" borderId="0" xfId="30" applyFont="1" applyAlignment="1">
      <alignment vertical="center"/>
    </xf>
    <xf numFmtId="164" fontId="23" fillId="5" borderId="9" xfId="0" applyNumberFormat="1" applyFont="1" applyFill="1" applyBorder="1" applyAlignment="1">
      <alignment horizontal="left" vertical="center"/>
    </xf>
    <xf numFmtId="10" fontId="23" fillId="5" borderId="9" xfId="0" applyNumberFormat="1" applyFont="1" applyFill="1" applyBorder="1" applyAlignment="1">
      <alignment horizontal="center" vertical="center"/>
    </xf>
    <xf numFmtId="10" fontId="23" fillId="0" borderId="9" xfId="0" applyNumberFormat="1" applyFont="1" applyBorder="1" applyAlignment="1">
      <alignment horizontal="center" vertical="center"/>
    </xf>
    <xf numFmtId="173" fontId="23" fillId="0" borderId="9" xfId="0" applyNumberFormat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9" fontId="23" fillId="0" borderId="9" xfId="0" applyNumberFormat="1" applyFont="1" applyBorder="1" applyAlignment="1">
      <alignment horizontal="center" vertical="center"/>
    </xf>
    <xf numFmtId="173" fontId="23" fillId="0" borderId="9" xfId="0" applyNumberFormat="1" applyFont="1" applyBorder="1" applyAlignment="1" applyProtection="1">
      <alignment vertical="center"/>
      <protection locked="0"/>
    </xf>
    <xf numFmtId="173" fontId="23" fillId="0" borderId="9" xfId="2" applyNumberFormat="1" applyFont="1" applyBorder="1" applyAlignment="1" applyProtection="1">
      <alignment horizontal="left" vertical="center"/>
      <protection hidden="1"/>
    </xf>
    <xf numFmtId="0" fontId="23" fillId="0" borderId="9" xfId="0" applyFont="1" applyBorder="1" applyAlignment="1">
      <alignment horizontal="left" vertical="center"/>
    </xf>
    <xf numFmtId="0" fontId="23" fillId="0" borderId="0" xfId="30" applyFont="1" applyAlignment="1">
      <alignment vertical="center" wrapText="1"/>
    </xf>
    <xf numFmtId="0" fontId="23" fillId="0" borderId="0" xfId="3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2" fontId="23" fillId="0" borderId="0" xfId="0" applyNumberFormat="1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164" fontId="23" fillId="0" borderId="0" xfId="8" applyFont="1" applyAlignment="1">
      <alignment vertical="center"/>
    </xf>
    <xf numFmtId="0" fontId="25" fillId="0" borderId="0" xfId="0" applyFont="1" applyAlignment="1">
      <alignment vertical="center"/>
    </xf>
    <xf numFmtId="3" fontId="23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horizontal="left" vertical="center"/>
    </xf>
    <xf numFmtId="164" fontId="23" fillId="6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23" fillId="0" borderId="0" xfId="8" applyNumberFormat="1" applyFont="1" applyAlignment="1">
      <alignment vertical="center"/>
    </xf>
    <xf numFmtId="0" fontId="30" fillId="0" borderId="0" xfId="29" applyFont="1"/>
    <xf numFmtId="0" fontId="29" fillId="0" borderId="0" xfId="29" applyFont="1" applyAlignment="1">
      <alignment horizontal="center" vertical="center"/>
    </xf>
    <xf numFmtId="173" fontId="33" fillId="9" borderId="13" xfId="0" applyNumberFormat="1" applyFont="1" applyFill="1" applyBorder="1" applyAlignment="1">
      <alignment horizontal="center" vertical="center" wrapText="1"/>
    </xf>
    <xf numFmtId="1" fontId="34" fillId="8" borderId="0" xfId="30" applyNumberFormat="1" applyFont="1" applyFill="1" applyAlignment="1">
      <alignment horizontal="center" vertical="center"/>
    </xf>
    <xf numFmtId="0" fontId="34" fillId="8" borderId="0" xfId="30" applyFont="1" applyFill="1" applyAlignment="1">
      <alignment horizontal="left" vertical="center"/>
    </xf>
    <xf numFmtId="1" fontId="34" fillId="7" borderId="0" xfId="30" applyNumberFormat="1" applyFont="1" applyFill="1" applyAlignment="1">
      <alignment horizontal="center" vertical="center"/>
    </xf>
    <xf numFmtId="0" fontId="34" fillId="7" borderId="0" xfId="30" applyFont="1" applyFill="1" applyAlignment="1">
      <alignment horizontal="left" vertical="center"/>
    </xf>
    <xf numFmtId="0" fontId="33" fillId="9" borderId="0" xfId="0" applyFont="1" applyFill="1" applyAlignment="1">
      <alignment horizontal="center" vertical="center" wrapText="1"/>
    </xf>
    <xf numFmtId="0" fontId="33" fillId="9" borderId="0" xfId="0" applyFont="1" applyFill="1" applyAlignment="1">
      <alignment vertical="center" wrapText="1"/>
    </xf>
    <xf numFmtId="164" fontId="33" fillId="9" borderId="0" xfId="0" applyNumberFormat="1" applyFont="1" applyFill="1" applyAlignment="1">
      <alignment horizontal="center" vertical="center" wrapText="1"/>
    </xf>
    <xf numFmtId="0" fontId="34" fillId="8" borderId="0" xfId="0" applyFont="1" applyFill="1" applyAlignment="1">
      <alignment horizontal="center" vertical="center"/>
    </xf>
    <xf numFmtId="0" fontId="34" fillId="8" borderId="0" xfId="0" applyFont="1" applyFill="1" applyAlignment="1">
      <alignment vertical="center"/>
    </xf>
    <xf numFmtId="164" fontId="34" fillId="5" borderId="0" xfId="0" applyNumberFormat="1" applyFont="1" applyFill="1" applyAlignment="1">
      <alignment horizontal="center" vertical="center"/>
    </xf>
    <xf numFmtId="0" fontId="34" fillId="7" borderId="0" xfId="0" applyFont="1" applyFill="1" applyAlignment="1">
      <alignment horizontal="center" vertical="center"/>
    </xf>
    <xf numFmtId="0" fontId="34" fillId="7" borderId="0" xfId="0" applyFont="1" applyFill="1" applyAlignment="1">
      <alignment vertical="center"/>
    </xf>
    <xf numFmtId="0" fontId="34" fillId="8" borderId="0" xfId="0" applyFont="1" applyFill="1" applyAlignment="1">
      <alignment horizontal="left" vertical="center"/>
    </xf>
    <xf numFmtId="4" fontId="34" fillId="7" borderId="0" xfId="0" applyNumberFormat="1" applyFont="1" applyFill="1" applyAlignment="1">
      <alignment horizontal="left" vertical="center"/>
    </xf>
    <xf numFmtId="4" fontId="34" fillId="8" borderId="0" xfId="0" applyNumberFormat="1" applyFont="1" applyFill="1" applyAlignment="1">
      <alignment horizontal="left" vertical="center"/>
    </xf>
    <xf numFmtId="0" fontId="34" fillId="7" borderId="0" xfId="0" applyFont="1" applyFill="1" applyAlignment="1">
      <alignment horizontal="left" vertical="center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Border="1" applyAlignment="1">
      <alignment horizontal="center" vertical="center" wrapText="1"/>
    </xf>
    <xf numFmtId="0" fontId="23" fillId="6" borderId="0" xfId="0" applyFont="1" applyFill="1"/>
    <xf numFmtId="0" fontId="23" fillId="6" borderId="0" xfId="0" applyFont="1" applyFill="1" applyAlignment="1">
      <alignment horizontal="center"/>
    </xf>
    <xf numFmtId="0" fontId="23" fillId="6" borderId="0" xfId="0" applyFont="1" applyFill="1" applyAlignment="1">
      <alignment wrapText="1"/>
    </xf>
    <xf numFmtId="0" fontId="23" fillId="0" borderId="0" xfId="0" applyFont="1" applyAlignment="1">
      <alignment horizontal="center" vertical="center" textRotation="90"/>
    </xf>
    <xf numFmtId="0" fontId="31" fillId="0" borderId="0" xfId="3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textRotation="90" wrapText="1"/>
    </xf>
    <xf numFmtId="173" fontId="23" fillId="5" borderId="0" xfId="0" applyNumberFormat="1" applyFont="1" applyFill="1" applyAlignment="1">
      <alignment vertical="center"/>
    </xf>
    <xf numFmtId="0" fontId="23" fillId="6" borderId="0" xfId="0" applyFont="1" applyFill="1" applyAlignment="1">
      <alignment horizontal="center" vertical="center" textRotation="90"/>
    </xf>
    <xf numFmtId="0" fontId="23" fillId="6" borderId="0" xfId="0" applyFont="1" applyFill="1" applyAlignment="1">
      <alignment vertical="center"/>
    </xf>
    <xf numFmtId="168" fontId="23" fillId="0" borderId="0" xfId="19" applyFont="1" applyFill="1" applyBorder="1" applyAlignment="1">
      <alignment horizontal="center" vertical="center" wrapText="1"/>
    </xf>
    <xf numFmtId="173" fontId="23" fillId="0" borderId="0" xfId="0" applyNumberFormat="1" applyFont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0" xfId="0" applyFont="1" applyFill="1" applyAlignment="1">
      <alignment vertical="center" wrapText="1"/>
    </xf>
    <xf numFmtId="2" fontId="23" fillId="6" borderId="0" xfId="0" applyNumberFormat="1" applyFont="1" applyFill="1"/>
    <xf numFmtId="2" fontId="25" fillId="6" borderId="0" xfId="0" applyNumberFormat="1" applyFont="1" applyFill="1" applyAlignment="1">
      <alignment vertical="center"/>
    </xf>
    <xf numFmtId="0" fontId="23" fillId="6" borderId="0" xfId="0" applyFont="1" applyFill="1" applyAlignment="1">
      <alignment horizontal="center" vertical="center"/>
    </xf>
    <xf numFmtId="0" fontId="33" fillId="10" borderId="9" xfId="0" applyFont="1" applyFill="1" applyBorder="1" applyAlignment="1">
      <alignment horizontal="center" vertical="center" wrapText="1"/>
    </xf>
    <xf numFmtId="170" fontId="33" fillId="10" borderId="9" xfId="0" applyNumberFormat="1" applyFont="1" applyFill="1" applyBorder="1" applyAlignment="1">
      <alignment horizontal="center" vertical="center" wrapText="1"/>
    </xf>
    <xf numFmtId="0" fontId="32" fillId="10" borderId="7" xfId="0" applyFont="1" applyFill="1" applyBorder="1" applyAlignment="1">
      <alignment vertical="center" wrapText="1"/>
    </xf>
    <xf numFmtId="0" fontId="32" fillId="10" borderId="4" xfId="0" applyFont="1" applyFill="1" applyBorder="1" applyAlignment="1">
      <alignment vertical="center" wrapText="1"/>
    </xf>
    <xf numFmtId="0" fontId="23" fillId="0" borderId="0" xfId="30" applyFont="1" applyAlignment="1">
      <alignment horizontal="center" vertical="center" wrapText="1"/>
    </xf>
    <xf numFmtId="0" fontId="25" fillId="6" borderId="0" xfId="0" applyFont="1" applyFill="1" applyAlignment="1">
      <alignment horizontal="left" vertical="center"/>
    </xf>
    <xf numFmtId="2" fontId="25" fillId="6" borderId="0" xfId="0" applyNumberFormat="1" applyFont="1" applyFill="1" applyAlignment="1">
      <alignment horizontal="center" vertical="center"/>
    </xf>
    <xf numFmtId="0" fontId="24" fillId="0" borderId="0" xfId="30" applyFont="1" applyAlignment="1">
      <alignment horizontal="center" vertical="center"/>
    </xf>
    <xf numFmtId="9" fontId="25" fillId="5" borderId="0" xfId="38" applyFont="1" applyFill="1" applyBorder="1" applyAlignment="1">
      <alignment horizontal="center" vertical="center"/>
    </xf>
    <xf numFmtId="2" fontId="23" fillId="6" borderId="0" xfId="0" applyNumberFormat="1" applyFont="1" applyFill="1" applyAlignment="1">
      <alignment vertical="center"/>
    </xf>
    <xf numFmtId="17" fontId="23" fillId="6" borderId="0" xfId="0" applyNumberFormat="1" applyFont="1" applyFill="1" applyAlignment="1">
      <alignment horizontal="center" vertical="center"/>
    </xf>
    <xf numFmtId="177" fontId="23" fillId="6" borderId="0" xfId="0" applyNumberFormat="1" applyFont="1" applyFill="1" applyAlignment="1">
      <alignment vertical="center"/>
    </xf>
    <xf numFmtId="177" fontId="23" fillId="6" borderId="0" xfId="0" applyNumberFormat="1" applyFont="1" applyFill="1" applyAlignment="1">
      <alignment horizontal="center" vertical="center"/>
    </xf>
    <xf numFmtId="178" fontId="23" fillId="0" borderId="0" xfId="0" applyNumberFormat="1" applyFont="1" applyAlignment="1">
      <alignment vertical="center"/>
    </xf>
    <xf numFmtId="0" fontId="23" fillId="0" borderId="0" xfId="0" applyFont="1" applyAlignment="1" applyProtection="1">
      <alignment horizontal="center" vertical="center"/>
      <protection hidden="1"/>
    </xf>
    <xf numFmtId="1" fontId="23" fillId="0" borderId="0" xfId="0" applyNumberFormat="1" applyFont="1" applyAlignment="1">
      <alignment horizontal="center" vertical="center"/>
    </xf>
    <xf numFmtId="179" fontId="23" fillId="0" borderId="0" xfId="19" applyNumberFormat="1" applyFont="1" applyFill="1" applyBorder="1" applyAlignment="1" applyProtection="1">
      <alignment horizontal="center" vertical="center"/>
      <protection hidden="1"/>
    </xf>
    <xf numFmtId="2" fontId="23" fillId="0" borderId="0" xfId="0" applyNumberFormat="1" applyFont="1" applyAlignment="1" applyProtection="1">
      <alignment horizontal="center" vertical="center"/>
      <protection hidden="1"/>
    </xf>
    <xf numFmtId="164" fontId="23" fillId="0" borderId="0" xfId="0" applyNumberFormat="1" applyFont="1" applyAlignment="1" applyProtection="1">
      <alignment horizontal="right" vertical="center"/>
      <protection hidden="1"/>
    </xf>
    <xf numFmtId="169" fontId="23" fillId="0" borderId="0" xfId="0" applyNumberFormat="1" applyFont="1" applyAlignment="1" applyProtection="1">
      <alignment horizontal="center" vertical="center"/>
      <protection hidden="1"/>
    </xf>
    <xf numFmtId="168" fontId="23" fillId="0" borderId="0" xfId="19" applyFont="1" applyFill="1" applyBorder="1" applyAlignment="1" applyProtection="1">
      <alignment horizontal="right" vertical="center"/>
      <protection hidden="1"/>
    </xf>
    <xf numFmtId="164" fontId="23" fillId="0" borderId="0" xfId="0" applyNumberFormat="1" applyFont="1" applyAlignment="1">
      <alignment vertical="center"/>
    </xf>
    <xf numFmtId="2" fontId="23" fillId="6" borderId="0" xfId="0" applyNumberFormat="1" applyFont="1" applyFill="1" applyAlignment="1" applyProtection="1">
      <alignment vertical="center"/>
      <protection hidden="1"/>
    </xf>
    <xf numFmtId="178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 applyAlignment="1" applyProtection="1">
      <alignment vertical="center"/>
      <protection hidden="1"/>
    </xf>
    <xf numFmtId="169" fontId="23" fillId="0" borderId="0" xfId="0" applyNumberFormat="1" applyFont="1" applyAlignment="1" applyProtection="1">
      <alignment vertical="center"/>
      <protection hidden="1"/>
    </xf>
    <xf numFmtId="2" fontId="23" fillId="0" borderId="0" xfId="0" applyNumberFormat="1" applyFont="1" applyAlignment="1" applyProtection="1">
      <alignment vertical="center"/>
      <protection hidden="1"/>
    </xf>
    <xf numFmtId="168" fontId="23" fillId="0" borderId="0" xfId="19" applyFont="1" applyFill="1" applyBorder="1" applyAlignment="1">
      <alignment vertical="center"/>
    </xf>
    <xf numFmtId="173" fontId="23" fillId="0" borderId="0" xfId="0" applyNumberFormat="1" applyFont="1" applyAlignment="1">
      <alignment vertical="center"/>
    </xf>
    <xf numFmtId="0" fontId="32" fillId="9" borderId="17" xfId="0" applyFont="1" applyFill="1" applyBorder="1" applyAlignment="1">
      <alignment horizontal="center" vertical="center" wrapText="1"/>
    </xf>
    <xf numFmtId="9" fontId="36" fillId="5" borderId="20" xfId="38" applyFont="1" applyFill="1" applyBorder="1" applyAlignment="1">
      <alignment horizontal="center" vertical="center"/>
    </xf>
    <xf numFmtId="2" fontId="32" fillId="0" borderId="15" xfId="0" applyNumberFormat="1" applyFont="1" applyBorder="1" applyAlignment="1">
      <alignment vertical="center" wrapText="1"/>
    </xf>
    <xf numFmtId="2" fontId="32" fillId="0" borderId="16" xfId="0" applyNumberFormat="1" applyFont="1" applyBorder="1" applyAlignment="1">
      <alignment vertical="center" wrapText="1"/>
    </xf>
    <xf numFmtId="0" fontId="32" fillId="0" borderId="16" xfId="0" applyFont="1" applyBorder="1" applyAlignment="1">
      <alignment vertical="center" wrapText="1"/>
    </xf>
    <xf numFmtId="169" fontId="23" fillId="0" borderId="0" xfId="0" applyNumberFormat="1" applyFont="1" applyAlignment="1">
      <alignment vertical="center"/>
    </xf>
    <xf numFmtId="0" fontId="34" fillId="0" borderId="19" xfId="30" applyFont="1" applyBorder="1" applyAlignment="1">
      <alignment vertical="center"/>
    </xf>
    <xf numFmtId="0" fontId="34" fillId="0" borderId="18" xfId="30" applyFont="1" applyBorder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23" fillId="6" borderId="0" xfId="0" applyFont="1" applyFill="1" applyAlignment="1">
      <alignment horizontal="left" vertical="center"/>
    </xf>
    <xf numFmtId="0" fontId="23" fillId="6" borderId="0" xfId="0" applyFont="1" applyFill="1" applyAlignment="1">
      <alignment horizontal="center" wrapText="1"/>
    </xf>
    <xf numFmtId="169" fontId="23" fillId="6" borderId="0" xfId="0" applyNumberFormat="1" applyFont="1" applyFill="1"/>
    <xf numFmtId="0" fontId="25" fillId="6" borderId="0" xfId="0" applyFont="1" applyFill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wrapText="1"/>
    </xf>
    <xf numFmtId="173" fontId="26" fillId="0" borderId="0" xfId="0" applyNumberFormat="1" applyFont="1" applyAlignment="1">
      <alignment horizontal="left" vertical="center"/>
    </xf>
    <xf numFmtId="173" fontId="23" fillId="6" borderId="0" xfId="0" applyNumberFormat="1" applyFont="1" applyFill="1" applyAlignment="1">
      <alignment horizontal="center" vertical="center"/>
    </xf>
    <xf numFmtId="173" fontId="33" fillId="9" borderId="0" xfId="8" applyNumberFormat="1" applyFont="1" applyFill="1" applyBorder="1" applyAlignment="1">
      <alignment horizontal="center" vertical="center" wrapText="1"/>
    </xf>
    <xf numFmtId="4" fontId="33" fillId="9" borderId="5" xfId="0" applyNumberFormat="1" applyFont="1" applyFill="1" applyBorder="1" applyAlignment="1">
      <alignment horizontal="center" vertical="center" wrapText="1"/>
    </xf>
    <xf numFmtId="0" fontId="33" fillId="9" borderId="9" xfId="0" applyFont="1" applyFill="1" applyBorder="1" applyAlignment="1">
      <alignment horizontal="center" vertical="center" wrapText="1"/>
    </xf>
    <xf numFmtId="0" fontId="33" fillId="9" borderId="9" xfId="0" applyFont="1" applyFill="1" applyBorder="1" applyAlignment="1">
      <alignment horizontal="left" vertical="center" wrapText="1"/>
    </xf>
    <xf numFmtId="168" fontId="33" fillId="9" borderId="9" xfId="19" applyFont="1" applyFill="1" applyBorder="1" applyAlignment="1">
      <alignment horizontal="center" vertical="center" wrapText="1"/>
    </xf>
    <xf numFmtId="173" fontId="33" fillId="9" borderId="9" xfId="0" applyNumberFormat="1" applyFont="1" applyFill="1" applyBorder="1" applyAlignment="1">
      <alignment horizontal="center" vertical="center" wrapText="1"/>
    </xf>
    <xf numFmtId="0" fontId="29" fillId="0" borderId="0" xfId="29" applyFont="1" applyAlignment="1">
      <alignment horizontal="center"/>
    </xf>
    <xf numFmtId="0" fontId="34" fillId="7" borderId="9" xfId="0" applyFont="1" applyFill="1" applyBorder="1" applyAlignment="1">
      <alignment horizontal="left" vertical="center"/>
    </xf>
    <xf numFmtId="0" fontId="34" fillId="8" borderId="9" xfId="0" applyFont="1" applyFill="1" applyBorder="1" applyAlignment="1">
      <alignment horizontal="left" vertical="center"/>
    </xf>
    <xf numFmtId="0" fontId="23" fillId="7" borderId="9" xfId="0" applyFont="1" applyFill="1" applyBorder="1" applyAlignment="1">
      <alignment vertical="center"/>
    </xf>
    <xf numFmtId="183" fontId="23" fillId="7" borderId="9" xfId="0" applyNumberFormat="1" applyFont="1" applyFill="1" applyBorder="1" applyAlignment="1">
      <alignment horizontal="center" vertical="center"/>
    </xf>
    <xf numFmtId="0" fontId="23" fillId="7" borderId="7" xfId="0" applyFont="1" applyFill="1" applyBorder="1" applyAlignment="1">
      <alignment vertical="center"/>
    </xf>
    <xf numFmtId="0" fontId="23" fillId="7" borderId="4" xfId="0" applyFont="1" applyFill="1" applyBorder="1" applyAlignment="1">
      <alignment vertical="center"/>
    </xf>
    <xf numFmtId="0" fontId="23" fillId="7" borderId="14" xfId="0" applyFont="1" applyFill="1" applyBorder="1" applyAlignment="1">
      <alignment vertical="center"/>
    </xf>
    <xf numFmtId="0" fontId="34" fillId="0" borderId="0" xfId="0" applyFont="1" applyAlignment="1">
      <alignment horizontal="center" vertical="center" textRotation="90"/>
    </xf>
    <xf numFmtId="0" fontId="34" fillId="0" borderId="0" xfId="0" applyFont="1"/>
    <xf numFmtId="173" fontId="36" fillId="13" borderId="9" xfId="0" applyNumberFormat="1" applyFont="1" applyFill="1" applyBorder="1" applyAlignment="1">
      <alignment vertical="center"/>
    </xf>
    <xf numFmtId="170" fontId="34" fillId="13" borderId="9" xfId="0" applyNumberFormat="1" applyFont="1" applyFill="1" applyBorder="1" applyAlignment="1">
      <alignment horizontal="center" vertical="center"/>
    </xf>
    <xf numFmtId="171" fontId="34" fillId="13" borderId="9" xfId="2" applyFont="1" applyFill="1" applyBorder="1" applyAlignment="1" applyProtection="1">
      <alignment horizontal="left" vertical="center"/>
      <protection locked="0"/>
    </xf>
    <xf numFmtId="172" fontId="34" fillId="13" borderId="9" xfId="31" applyNumberFormat="1" applyFont="1" applyFill="1" applyBorder="1" applyAlignment="1" applyProtection="1">
      <alignment horizontal="left" vertical="center"/>
      <protection hidden="1"/>
    </xf>
    <xf numFmtId="170" fontId="34" fillId="13" borderId="9" xfId="0" applyNumberFormat="1" applyFont="1" applyFill="1" applyBorder="1" applyAlignment="1" applyProtection="1">
      <alignment horizontal="center" vertical="center"/>
      <protection locked="0"/>
    </xf>
    <xf numFmtId="172" fontId="34" fillId="13" borderId="9" xfId="2" applyNumberFormat="1" applyFont="1" applyFill="1" applyBorder="1" applyAlignment="1" applyProtection="1">
      <alignment horizontal="left" vertical="center"/>
      <protection hidden="1"/>
    </xf>
    <xf numFmtId="0" fontId="38" fillId="0" borderId="0" xfId="0" applyFont="1" applyAlignment="1">
      <alignment vertical="center"/>
    </xf>
    <xf numFmtId="2" fontId="23" fillId="0" borderId="0" xfId="0" applyNumberFormat="1" applyFont="1" applyAlignment="1">
      <alignment horizontal="center" vertical="center"/>
    </xf>
    <xf numFmtId="0" fontId="39" fillId="13" borderId="9" xfId="0" applyFont="1" applyFill="1" applyBorder="1" applyAlignment="1">
      <alignment horizontal="center" vertical="center"/>
    </xf>
    <xf numFmtId="0" fontId="39" fillId="13" borderId="9" xfId="0" applyFont="1" applyFill="1" applyBorder="1" applyAlignment="1">
      <alignment vertical="center"/>
    </xf>
    <xf numFmtId="173" fontId="39" fillId="13" borderId="9" xfId="0" applyNumberFormat="1" applyFont="1" applyFill="1" applyBorder="1" applyAlignment="1">
      <alignment vertical="center"/>
    </xf>
    <xf numFmtId="0" fontId="34" fillId="0" borderId="0" xfId="0" applyFont="1" applyAlignment="1">
      <alignment horizontal="left" vertical="center"/>
    </xf>
    <xf numFmtId="3" fontId="3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164" fontId="23" fillId="0" borderId="0" xfId="8" applyFont="1" applyAlignment="1">
      <alignment horizontal="right" vertical="center"/>
    </xf>
    <xf numFmtId="2" fontId="26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33" fillId="9" borderId="0" xfId="0" applyNumberFormat="1" applyFont="1" applyFill="1" applyAlignment="1">
      <alignment horizontal="right" vertical="center" wrapText="1"/>
    </xf>
    <xf numFmtId="4" fontId="34" fillId="0" borderId="0" xfId="0" applyNumberFormat="1" applyFont="1" applyAlignment="1">
      <alignment horizontal="right" vertical="center"/>
    </xf>
    <xf numFmtId="177" fontId="40" fillId="0" borderId="0" xfId="0" applyNumberFormat="1" applyFont="1" applyAlignment="1">
      <alignment vertical="center"/>
    </xf>
    <xf numFmtId="178" fontId="40" fillId="0" borderId="0" xfId="0" applyNumberFormat="1" applyFont="1" applyAlignment="1">
      <alignment horizontal="center" vertical="center"/>
    </xf>
    <xf numFmtId="177" fontId="40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173" fontId="29" fillId="0" borderId="0" xfId="29" applyNumberFormat="1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177" fontId="41" fillId="0" borderId="0" xfId="0" applyNumberFormat="1" applyFont="1" applyAlignment="1">
      <alignment vertical="center"/>
    </xf>
    <xf numFmtId="177" fontId="41" fillId="0" borderId="0" xfId="0" applyNumberFormat="1" applyFont="1" applyAlignment="1">
      <alignment horizontal="center" vertical="center"/>
    </xf>
    <xf numFmtId="1" fontId="42" fillId="0" borderId="0" xfId="0" applyNumberFormat="1" applyFont="1" applyAlignment="1">
      <alignment horizontal="center" vertical="center"/>
    </xf>
    <xf numFmtId="0" fontId="23" fillId="0" borderId="9" xfId="0" applyFont="1" applyBorder="1" applyAlignment="1">
      <alignment vertical="center"/>
    </xf>
    <xf numFmtId="170" fontId="23" fillId="5" borderId="9" xfId="0" applyNumberFormat="1" applyFont="1" applyFill="1" applyBorder="1" applyAlignment="1">
      <alignment horizontal="center" vertical="center"/>
    </xf>
    <xf numFmtId="0" fontId="34" fillId="12" borderId="0" xfId="0" applyFont="1" applyFill="1" applyAlignment="1">
      <alignment horizontal="center" vertical="center"/>
    </xf>
    <xf numFmtId="0" fontId="34" fillId="12" borderId="0" xfId="0" applyFont="1" applyFill="1" applyAlignment="1">
      <alignment horizontal="left" vertical="center"/>
    </xf>
    <xf numFmtId="0" fontId="34" fillId="12" borderId="0" xfId="0" applyFont="1" applyFill="1" applyAlignment="1">
      <alignment vertical="center"/>
    </xf>
    <xf numFmtId="0" fontId="34" fillId="12" borderId="0" xfId="0" applyFont="1" applyFill="1" applyAlignment="1">
      <alignment horizontal="right" vertical="center"/>
    </xf>
    <xf numFmtId="173" fontId="34" fillId="12" borderId="0" xfId="0" applyNumberFormat="1" applyFont="1" applyFill="1" applyAlignment="1">
      <alignment horizontal="center" vertical="center"/>
    </xf>
    <xf numFmtId="0" fontId="32" fillId="10" borderId="9" xfId="0" applyFont="1" applyFill="1" applyBorder="1" applyAlignment="1">
      <alignment vertical="center" wrapText="1"/>
    </xf>
    <xf numFmtId="9" fontId="23" fillId="0" borderId="9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170" fontId="23" fillId="0" borderId="0" xfId="0" applyNumberFormat="1" applyFont="1" applyAlignment="1">
      <alignment vertical="center"/>
    </xf>
    <xf numFmtId="172" fontId="23" fillId="0" borderId="9" xfId="31" applyNumberFormat="1" applyFont="1" applyBorder="1" applyAlignment="1" applyProtection="1">
      <alignment horizontal="left" vertical="center"/>
      <protection hidden="1"/>
    </xf>
    <xf numFmtId="183" fontId="23" fillId="0" borderId="9" xfId="0" applyNumberFormat="1" applyFont="1" applyBorder="1" applyAlignment="1">
      <alignment vertical="center"/>
    </xf>
    <xf numFmtId="9" fontId="23" fillId="0" borderId="9" xfId="44" applyFont="1" applyBorder="1" applyAlignment="1">
      <alignment vertical="center"/>
    </xf>
    <xf numFmtId="170" fontId="23" fillId="0" borderId="0" xfId="0" applyNumberFormat="1" applyFont="1" applyAlignment="1" applyProtection="1">
      <alignment horizontal="center" vertical="center"/>
      <protection locked="0"/>
    </xf>
    <xf numFmtId="166" fontId="23" fillId="0" borderId="0" xfId="0" applyNumberFormat="1" applyFont="1" applyAlignment="1" applyProtection="1">
      <alignment horizontal="left" vertical="center"/>
      <protection hidden="1"/>
    </xf>
    <xf numFmtId="170" fontId="23" fillId="0" borderId="9" xfId="0" applyNumberFormat="1" applyFont="1" applyBorder="1" applyAlignment="1">
      <alignment horizontal="center" vertical="center"/>
    </xf>
    <xf numFmtId="44" fontId="23" fillId="5" borderId="9" xfId="45" applyFont="1" applyFill="1" applyBorder="1" applyAlignment="1">
      <alignment horizontal="center" vertical="center"/>
    </xf>
    <xf numFmtId="171" fontId="23" fillId="0" borderId="9" xfId="0" applyNumberFormat="1" applyFont="1" applyBorder="1" applyAlignment="1">
      <alignment vertical="center"/>
    </xf>
    <xf numFmtId="171" fontId="23" fillId="0" borderId="9" xfId="2" applyFont="1" applyBorder="1" applyAlignment="1" applyProtection="1">
      <alignment horizontal="left" vertical="center"/>
      <protection locked="0"/>
    </xf>
    <xf numFmtId="170" fontId="23" fillId="0" borderId="0" xfId="0" applyNumberFormat="1" applyFont="1" applyAlignment="1">
      <alignment horizontal="center" vertical="center"/>
    </xf>
    <xf numFmtId="172" fontId="23" fillId="0" borderId="0" xfId="31" applyNumberFormat="1" applyFont="1" applyAlignment="1" applyProtection="1">
      <alignment horizontal="left" vertical="center"/>
      <protection hidden="1"/>
    </xf>
    <xf numFmtId="170" fontId="23" fillId="0" borderId="9" xfId="44" applyNumberFormat="1" applyFont="1" applyFill="1" applyBorder="1" applyAlignment="1">
      <alignment horizontal="center" vertical="center"/>
    </xf>
    <xf numFmtId="171" fontId="23" fillId="0" borderId="0" xfId="2" applyFont="1" applyAlignment="1" applyProtection="1">
      <alignment horizontal="left" vertical="center"/>
      <protection locked="0"/>
    </xf>
    <xf numFmtId="10" fontId="33" fillId="10" borderId="9" xfId="0" applyNumberFormat="1" applyFont="1" applyFill="1" applyBorder="1" applyAlignment="1">
      <alignment horizontal="center" vertical="center" wrapText="1"/>
    </xf>
    <xf numFmtId="44" fontId="34" fillId="0" borderId="20" xfId="45" applyFont="1" applyFill="1" applyBorder="1" applyAlignment="1">
      <alignment horizontal="left" vertical="center"/>
    </xf>
    <xf numFmtId="44" fontId="34" fillId="8" borderId="20" xfId="0" applyNumberFormat="1" applyFont="1" applyFill="1" applyBorder="1" applyAlignment="1">
      <alignment horizontal="left" vertical="center"/>
    </xf>
    <xf numFmtId="44" fontId="34" fillId="7" borderId="20" xfId="45" applyFont="1" applyFill="1" applyBorder="1" applyAlignment="1">
      <alignment horizontal="left" vertical="center"/>
    </xf>
    <xf numFmtId="44" fontId="34" fillId="8" borderId="20" xfId="45" applyFont="1" applyFill="1" applyBorder="1" applyAlignment="1">
      <alignment horizontal="left" vertical="center"/>
    </xf>
    <xf numFmtId="44" fontId="23" fillId="0" borderId="0" xfId="0" applyNumberFormat="1" applyFont="1" applyAlignment="1">
      <alignment vertical="center"/>
    </xf>
    <xf numFmtId="44" fontId="23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4" fontId="34" fillId="0" borderId="0" xfId="0" applyNumberFormat="1" applyFont="1" applyAlignment="1">
      <alignment vertical="center"/>
    </xf>
    <xf numFmtId="173" fontId="34" fillId="0" borderId="0" xfId="0" applyNumberFormat="1" applyFont="1" applyAlignment="1">
      <alignment horizontal="center" vertical="center"/>
    </xf>
    <xf numFmtId="0" fontId="34" fillId="13" borderId="0" xfId="0" applyFont="1" applyFill="1" applyAlignment="1">
      <alignment horizontal="left" vertical="center" wrapText="1"/>
    </xf>
    <xf numFmtId="44" fontId="23" fillId="0" borderId="20" xfId="45" applyFont="1" applyFill="1" applyBorder="1" applyAlignment="1">
      <alignment horizontal="left" vertical="center"/>
    </xf>
    <xf numFmtId="44" fontId="23" fillId="0" borderId="20" xfId="0" applyNumberFormat="1" applyFont="1" applyBorder="1" applyAlignment="1">
      <alignment horizontal="left" vertical="center"/>
    </xf>
    <xf numFmtId="173" fontId="23" fillId="0" borderId="0" xfId="0" applyNumberFormat="1" applyFont="1" applyAlignment="1">
      <alignment horizontal="left" vertical="center"/>
    </xf>
    <xf numFmtId="44" fontId="23" fillId="0" borderId="0" xfId="0" applyNumberFormat="1" applyFont="1" applyAlignment="1">
      <alignment horizontal="left"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44" fontId="34" fillId="0" borderId="23" xfId="45" applyFont="1" applyFill="1" applyBorder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40" applyFont="1" applyFill="1" applyAlignment="1">
      <alignment horizontal="center" vertical="center" wrapText="1"/>
    </xf>
    <xf numFmtId="4" fontId="32" fillId="9" borderId="5" xfId="40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34" fillId="11" borderId="0" xfId="0" applyFont="1" applyFill="1" applyAlignment="1">
      <alignment horizontal="center" vertical="center"/>
    </xf>
    <xf numFmtId="0" fontId="34" fillId="11" borderId="0" xfId="0" applyFont="1" applyFill="1" applyAlignment="1">
      <alignment horizontal="left" vertical="center"/>
    </xf>
    <xf numFmtId="0" fontId="34" fillId="11" borderId="0" xfId="0" applyFont="1" applyFill="1" applyAlignment="1">
      <alignment vertical="center"/>
    </xf>
    <xf numFmtId="173" fontId="34" fillId="11" borderId="0" xfId="0" applyNumberFormat="1" applyFont="1" applyFill="1" applyAlignment="1">
      <alignment horizontal="center" vertical="center"/>
    </xf>
    <xf numFmtId="0" fontId="46" fillId="15" borderId="9" xfId="0" applyFont="1" applyFill="1" applyBorder="1" applyAlignment="1">
      <alignment horizontal="left" vertical="center" wrapText="1"/>
    </xf>
    <xf numFmtId="0" fontId="34" fillId="0" borderId="9" xfId="0" applyFont="1" applyBorder="1" applyAlignment="1">
      <alignment horizontal="right" vertical="center"/>
    </xf>
    <xf numFmtId="0" fontId="34" fillId="0" borderId="9" xfId="0" applyFont="1" applyBorder="1" applyAlignment="1">
      <alignment vertical="center"/>
    </xf>
    <xf numFmtId="0" fontId="34" fillId="0" borderId="9" xfId="0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3" fillId="5" borderId="0" xfId="0" applyFont="1" applyFill="1" applyAlignment="1">
      <alignment horizontal="center" vertical="center"/>
    </xf>
    <xf numFmtId="181" fontId="39" fillId="13" borderId="9" xfId="0" applyNumberFormat="1" applyFont="1" applyFill="1" applyBorder="1" applyAlignment="1">
      <alignment vertical="center"/>
    </xf>
    <xf numFmtId="182" fontId="39" fillId="13" borderId="9" xfId="0" applyNumberFormat="1" applyFont="1" applyFill="1" applyBorder="1" applyAlignment="1">
      <alignment vertical="center"/>
    </xf>
    <xf numFmtId="173" fontId="39" fillId="13" borderId="0" xfId="0" applyNumberFormat="1" applyFont="1" applyFill="1" applyAlignment="1">
      <alignment vertical="center"/>
    </xf>
    <xf numFmtId="3" fontId="34" fillId="0" borderId="9" xfId="0" applyNumberFormat="1" applyFont="1" applyBorder="1" applyAlignment="1">
      <alignment vertical="center"/>
    </xf>
    <xf numFmtId="180" fontId="34" fillId="0" borderId="9" xfId="0" applyNumberFormat="1" applyFont="1" applyBorder="1" applyAlignment="1">
      <alignment vertical="center"/>
    </xf>
    <xf numFmtId="1" fontId="34" fillId="0" borderId="9" xfId="0" applyNumberFormat="1" applyFont="1" applyBorder="1" applyAlignment="1">
      <alignment vertical="center"/>
    </xf>
    <xf numFmtId="173" fontId="34" fillId="0" borderId="9" xfId="0" applyNumberFormat="1" applyFont="1" applyBorder="1" applyAlignment="1">
      <alignment vertical="center"/>
    </xf>
    <xf numFmtId="173" fontId="34" fillId="0" borderId="14" xfId="0" applyNumberFormat="1" applyFont="1" applyBorder="1" applyAlignment="1">
      <alignment vertical="center"/>
    </xf>
    <xf numFmtId="1" fontId="25" fillId="5" borderId="0" xfId="0" applyNumberFormat="1" applyFont="1" applyFill="1" applyAlignment="1">
      <alignment horizontal="center" vertical="center"/>
    </xf>
    <xf numFmtId="0" fontId="23" fillId="0" borderId="0" xfId="42" applyFont="1" applyAlignment="1">
      <alignment wrapText="1"/>
    </xf>
    <xf numFmtId="0" fontId="23" fillId="0" borderId="9" xfId="46" applyFont="1" applyBorder="1" applyAlignment="1">
      <alignment horizontal="left" vertical="center" wrapText="1"/>
    </xf>
    <xf numFmtId="49" fontId="29" fillId="0" borderId="9" xfId="46" applyNumberFormat="1" applyFont="1" applyBorder="1" applyAlignment="1" applyProtection="1">
      <alignment horizontal="left" vertical="center" wrapText="1"/>
      <protection hidden="1"/>
    </xf>
    <xf numFmtId="0" fontId="23" fillId="6" borderId="9" xfId="46" applyFont="1" applyFill="1" applyBorder="1" applyAlignment="1">
      <alignment horizontal="left" vertical="center" wrapText="1"/>
    </xf>
    <xf numFmtId="49" fontId="29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23" fillId="0" borderId="0" xfId="42" applyFont="1" applyAlignment="1">
      <alignment horizontal="left" vertical="center" wrapText="1"/>
    </xf>
    <xf numFmtId="0" fontId="29" fillId="0" borderId="9" xfId="46" applyFont="1" applyBorder="1" applyAlignment="1">
      <alignment horizontal="left" vertical="center" wrapText="1"/>
    </xf>
    <xf numFmtId="14" fontId="34" fillId="0" borderId="9" xfId="47" applyNumberFormat="1" applyFont="1" applyBorder="1" applyAlignment="1">
      <alignment vertical="center"/>
    </xf>
    <xf numFmtId="0" fontId="34" fillId="0" borderId="9" xfId="47" applyFont="1" applyBorder="1" applyAlignment="1">
      <alignment vertical="center"/>
    </xf>
    <xf numFmtId="43" fontId="34" fillId="0" borderId="9" xfId="48" applyFont="1" applyBorder="1" applyAlignment="1">
      <alignment horizontal="right" vertical="center"/>
    </xf>
    <xf numFmtId="0" fontId="34" fillId="0" borderId="9" xfId="47" applyFont="1" applyBorder="1" applyAlignment="1">
      <alignment horizontal="center" vertical="center"/>
    </xf>
    <xf numFmtId="184" fontId="34" fillId="0" borderId="9" xfId="49" applyNumberFormat="1" applyFont="1" applyBorder="1" applyAlignment="1">
      <alignment horizontal="center" vertical="center"/>
    </xf>
    <xf numFmtId="44" fontId="34" fillId="0" borderId="9" xfId="49" applyFont="1" applyBorder="1" applyAlignment="1">
      <alignment vertical="center"/>
    </xf>
    <xf numFmtId="185" fontId="34" fillId="0" borderId="9" xfId="48" applyNumberFormat="1" applyFont="1" applyBorder="1" applyAlignment="1">
      <alignment vertical="center"/>
    </xf>
    <xf numFmtId="43" fontId="34" fillId="0" borderId="9" xfId="48" applyFont="1" applyFill="1" applyBorder="1" applyAlignment="1">
      <alignment horizontal="right" vertical="center"/>
    </xf>
    <xf numFmtId="0" fontId="34" fillId="0" borderId="0" xfId="0" applyFont="1" applyAlignment="1">
      <alignment horizontal="left" vertical="center" wrapText="1"/>
    </xf>
    <xf numFmtId="0" fontId="47" fillId="0" borderId="0" xfId="0" applyFont="1" applyAlignment="1">
      <alignment vertical="center"/>
    </xf>
    <xf numFmtId="0" fontId="23" fillId="0" borderId="8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32" fillId="10" borderId="7" xfId="0" applyFont="1" applyFill="1" applyBorder="1" applyAlignment="1">
      <alignment horizontal="center" vertical="center" wrapText="1"/>
    </xf>
    <xf numFmtId="0" fontId="32" fillId="10" borderId="4" xfId="0" applyFont="1" applyFill="1" applyBorder="1" applyAlignment="1">
      <alignment horizontal="center" vertical="center" wrapText="1"/>
    </xf>
    <xf numFmtId="0" fontId="32" fillId="10" borderId="14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3" fillId="0" borderId="9" xfId="0" applyFont="1" applyBorder="1" applyAlignment="1">
      <alignment vertical="center"/>
    </xf>
    <xf numFmtId="0" fontId="36" fillId="13" borderId="7" xfId="0" applyFont="1" applyFill="1" applyBorder="1" applyAlignment="1">
      <alignment horizontal="left" vertical="center"/>
    </xf>
    <xf numFmtId="0" fontId="36" fillId="13" borderId="4" xfId="0" applyFont="1" applyFill="1" applyBorder="1" applyAlignment="1">
      <alignment horizontal="left" vertical="center"/>
    </xf>
    <xf numFmtId="0" fontId="36" fillId="13" borderId="14" xfId="0" applyFont="1" applyFill="1" applyBorder="1" applyAlignment="1">
      <alignment horizontal="left" vertical="center"/>
    </xf>
    <xf numFmtId="0" fontId="32" fillId="10" borderId="7" xfId="0" applyFont="1" applyFill="1" applyBorder="1" applyAlignment="1">
      <alignment horizontal="left" vertical="center" wrapText="1"/>
    </xf>
    <xf numFmtId="0" fontId="32" fillId="10" borderId="4" xfId="0" applyFont="1" applyFill="1" applyBorder="1" applyAlignment="1">
      <alignment horizontal="left" vertical="center" wrapText="1"/>
    </xf>
    <xf numFmtId="0" fontId="32" fillId="10" borderId="14" xfId="0" applyFont="1" applyFill="1" applyBorder="1" applyAlignment="1">
      <alignment horizontal="left" vertical="center" wrapText="1"/>
    </xf>
    <xf numFmtId="10" fontId="23" fillId="5" borderId="7" xfId="0" applyNumberFormat="1" applyFont="1" applyFill="1" applyBorder="1" applyAlignment="1">
      <alignment horizontal="left" vertical="center"/>
    </xf>
    <xf numFmtId="10" fontId="23" fillId="5" borderId="4" xfId="0" applyNumberFormat="1" applyFont="1" applyFill="1" applyBorder="1" applyAlignment="1">
      <alignment horizontal="left" vertical="center"/>
    </xf>
    <xf numFmtId="10" fontId="23" fillId="5" borderId="14" xfId="0" applyNumberFormat="1" applyFont="1" applyFill="1" applyBorder="1" applyAlignment="1">
      <alignment horizontal="left" vertical="center"/>
    </xf>
    <xf numFmtId="0" fontId="36" fillId="13" borderId="9" xfId="0" applyFont="1" applyFill="1" applyBorder="1" applyAlignment="1">
      <alignment horizontal="center" vertical="center"/>
    </xf>
    <xf numFmtId="9" fontId="23" fillId="0" borderId="7" xfId="0" applyNumberFormat="1" applyFont="1" applyBorder="1" applyAlignment="1">
      <alignment horizontal="left" vertical="center" wrapText="1"/>
    </xf>
    <xf numFmtId="9" fontId="23" fillId="0" borderId="14" xfId="0" applyNumberFormat="1" applyFont="1" applyBorder="1" applyAlignment="1">
      <alignment horizontal="left" vertical="center" wrapText="1"/>
    </xf>
    <xf numFmtId="0" fontId="31" fillId="0" borderId="0" xfId="30" applyFont="1" applyAlignment="1">
      <alignment horizontal="center" vertical="center"/>
    </xf>
    <xf numFmtId="170" fontId="23" fillId="5" borderId="9" xfId="0" applyNumberFormat="1" applyFont="1" applyFill="1" applyBorder="1" applyAlignment="1">
      <alignment horizontal="center" vertical="center"/>
    </xf>
    <xf numFmtId="9" fontId="23" fillId="0" borderId="7" xfId="0" applyNumberFormat="1" applyFont="1" applyBorder="1" applyAlignment="1">
      <alignment horizontal="left" vertical="center"/>
    </xf>
    <xf numFmtId="9" fontId="23" fillId="0" borderId="4" xfId="0" applyNumberFormat="1" applyFont="1" applyBorder="1" applyAlignment="1">
      <alignment horizontal="left" vertical="center"/>
    </xf>
    <xf numFmtId="9" fontId="23" fillId="0" borderId="14" xfId="0" applyNumberFormat="1" applyFont="1" applyBorder="1" applyAlignment="1">
      <alignment horizontal="left" vertical="center"/>
    </xf>
    <xf numFmtId="0" fontId="25" fillId="0" borderId="9" xfId="30" applyFont="1" applyBorder="1" applyAlignment="1">
      <alignment horizontal="center" vertical="center"/>
    </xf>
    <xf numFmtId="0" fontId="32" fillId="10" borderId="10" xfId="0" applyFont="1" applyFill="1" applyBorder="1" applyAlignment="1">
      <alignment horizontal="center" vertical="center" wrapText="1"/>
    </xf>
    <xf numFmtId="0" fontId="32" fillId="10" borderId="12" xfId="0" applyFont="1" applyFill="1" applyBorder="1" applyAlignment="1">
      <alignment horizontal="center" vertical="center" wrapText="1"/>
    </xf>
    <xf numFmtId="0" fontId="32" fillId="10" borderId="13" xfId="0" applyFont="1" applyFill="1" applyBorder="1" applyAlignment="1">
      <alignment horizontal="center" vertical="center" wrapText="1"/>
    </xf>
    <xf numFmtId="170" fontId="25" fillId="5" borderId="7" xfId="0" applyNumberFormat="1" applyFont="1" applyFill="1" applyBorder="1" applyAlignment="1">
      <alignment horizontal="center" vertical="center"/>
    </xf>
    <xf numFmtId="170" fontId="23" fillId="5" borderId="4" xfId="0" applyNumberFormat="1" applyFont="1" applyFill="1" applyBorder="1" applyAlignment="1">
      <alignment horizontal="center" vertical="center"/>
    </xf>
    <xf numFmtId="0" fontId="31" fillId="0" borderId="6" xfId="30" applyFont="1" applyBorder="1" applyAlignment="1">
      <alignment horizontal="center" vertical="center"/>
    </xf>
    <xf numFmtId="0" fontId="25" fillId="13" borderId="7" xfId="0" applyFont="1" applyFill="1" applyBorder="1" applyAlignment="1">
      <alignment horizontal="center" vertical="center"/>
    </xf>
    <xf numFmtId="0" fontId="25" fillId="13" borderId="4" xfId="0" applyFont="1" applyFill="1" applyBorder="1" applyAlignment="1">
      <alignment horizontal="center" vertical="center"/>
    </xf>
    <xf numFmtId="0" fontId="25" fillId="13" borderId="14" xfId="0" applyFont="1" applyFill="1" applyBorder="1" applyAlignment="1">
      <alignment horizontal="center" vertical="center"/>
    </xf>
    <xf numFmtId="0" fontId="25" fillId="14" borderId="8" xfId="0" applyFont="1" applyFill="1" applyBorder="1" applyAlignment="1">
      <alignment horizontal="center" vertical="center"/>
    </xf>
    <xf numFmtId="0" fontId="25" fillId="14" borderId="21" xfId="0" applyFont="1" applyFill="1" applyBorder="1" applyAlignment="1">
      <alignment horizontal="center" vertical="center"/>
    </xf>
    <xf numFmtId="0" fontId="25" fillId="14" borderId="22" xfId="0" applyFont="1" applyFill="1" applyBorder="1" applyAlignment="1">
      <alignment horizontal="center" vertical="center"/>
    </xf>
    <xf numFmtId="0" fontId="25" fillId="13" borderId="8" xfId="0" applyFont="1" applyFill="1" applyBorder="1" applyAlignment="1">
      <alignment horizontal="center" vertical="center"/>
    </xf>
    <xf numFmtId="0" fontId="25" fillId="13" borderId="21" xfId="0" applyFont="1" applyFill="1" applyBorder="1" applyAlignment="1">
      <alignment horizontal="center" vertical="center"/>
    </xf>
    <xf numFmtId="0" fontId="25" fillId="13" borderId="22" xfId="0" applyFont="1" applyFill="1" applyBorder="1" applyAlignment="1">
      <alignment horizontal="center" vertical="center"/>
    </xf>
    <xf numFmtId="170" fontId="25" fillId="5" borderId="9" xfId="0" applyNumberFormat="1" applyFont="1" applyFill="1" applyBorder="1" applyAlignment="1">
      <alignment horizontal="center" vertical="center"/>
    </xf>
    <xf numFmtId="4" fontId="23" fillId="0" borderId="9" xfId="0" applyNumberFormat="1" applyFont="1" applyBorder="1" applyAlignment="1">
      <alignment horizontal="center" vertical="center"/>
    </xf>
    <xf numFmtId="170" fontId="25" fillId="5" borderId="4" xfId="0" applyNumberFormat="1" applyFont="1" applyFill="1" applyBorder="1" applyAlignment="1">
      <alignment horizontal="center" vertical="center"/>
    </xf>
    <xf numFmtId="170" fontId="25" fillId="5" borderId="14" xfId="0" applyNumberFormat="1" applyFont="1" applyFill="1" applyBorder="1" applyAlignment="1">
      <alignment horizontal="center" vertical="center"/>
    </xf>
    <xf numFmtId="170" fontId="23" fillId="5" borderId="7" xfId="0" applyNumberFormat="1" applyFont="1" applyFill="1" applyBorder="1" applyAlignment="1">
      <alignment horizontal="center" vertical="center"/>
    </xf>
    <xf numFmtId="170" fontId="23" fillId="5" borderId="14" xfId="0" applyNumberFormat="1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 textRotation="90"/>
    </xf>
    <xf numFmtId="0" fontId="23" fillId="0" borderId="11" xfId="0" applyFont="1" applyBorder="1" applyAlignment="1">
      <alignment horizontal="center" vertical="center" textRotation="90"/>
    </xf>
    <xf numFmtId="0" fontId="23" fillId="0" borderId="12" xfId="0" applyFont="1" applyBorder="1" applyAlignment="1">
      <alignment horizontal="center" vertical="center" textRotation="90"/>
    </xf>
    <xf numFmtId="49" fontId="23" fillId="7" borderId="7" xfId="0" applyNumberFormat="1" applyFont="1" applyFill="1" applyBorder="1" applyAlignment="1">
      <alignment horizontal="center" vertical="center"/>
    </xf>
    <xf numFmtId="49" fontId="23" fillId="7" borderId="4" xfId="0" applyNumberFormat="1" applyFont="1" applyFill="1" applyBorder="1" applyAlignment="1">
      <alignment horizontal="center" vertical="center"/>
    </xf>
    <xf numFmtId="49" fontId="23" fillId="7" borderId="14" xfId="0" applyNumberFormat="1" applyFont="1" applyFill="1" applyBorder="1" applyAlignment="1">
      <alignment horizontal="center" vertical="center"/>
    </xf>
    <xf numFmtId="49" fontId="23" fillId="8" borderId="7" xfId="0" applyNumberFormat="1" applyFont="1" applyFill="1" applyBorder="1" applyAlignment="1">
      <alignment horizontal="center" vertical="center"/>
    </xf>
    <xf numFmtId="49" fontId="23" fillId="8" borderId="4" xfId="0" applyNumberFormat="1" applyFont="1" applyFill="1" applyBorder="1" applyAlignment="1">
      <alignment horizontal="center" vertical="center"/>
    </xf>
    <xf numFmtId="49" fontId="23" fillId="8" borderId="14" xfId="0" applyNumberFormat="1" applyFont="1" applyFill="1" applyBorder="1" applyAlignment="1">
      <alignment horizontal="center" vertical="center"/>
    </xf>
    <xf numFmtId="0" fontId="23" fillId="8" borderId="7" xfId="0" applyFont="1" applyFill="1" applyBorder="1" applyAlignment="1">
      <alignment horizontal="center" vertical="center"/>
    </xf>
    <xf numFmtId="0" fontId="23" fillId="8" borderId="4" xfId="0" applyFont="1" applyFill="1" applyBorder="1" applyAlignment="1">
      <alignment horizontal="center" vertical="center"/>
    </xf>
    <xf numFmtId="0" fontId="23" fillId="8" borderId="14" xfId="0" applyFont="1" applyFill="1" applyBorder="1" applyAlignment="1">
      <alignment horizontal="center" vertical="center"/>
    </xf>
    <xf numFmtId="2" fontId="32" fillId="10" borderId="7" xfId="0" applyNumberFormat="1" applyFont="1" applyFill="1" applyBorder="1" applyAlignment="1">
      <alignment horizontal="left" vertical="center"/>
    </xf>
    <xf numFmtId="2" fontId="32" fillId="10" borderId="4" xfId="0" applyNumberFormat="1" applyFont="1" applyFill="1" applyBorder="1" applyAlignment="1">
      <alignment horizontal="left" vertical="center"/>
    </xf>
    <xf numFmtId="49" fontId="32" fillId="10" borderId="4" xfId="29" applyNumberFormat="1" applyFont="1" applyFill="1" applyBorder="1" applyAlignment="1">
      <alignment horizontal="left" vertical="center"/>
    </xf>
    <xf numFmtId="49" fontId="32" fillId="10" borderId="14" xfId="29" applyNumberFormat="1" applyFont="1" applyFill="1" applyBorder="1" applyAlignment="1">
      <alignment horizontal="left" vertical="center"/>
    </xf>
    <xf numFmtId="0" fontId="34" fillId="0" borderId="0" xfId="0" applyFont="1" applyFill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left" vertical="center"/>
    </xf>
    <xf numFmtId="4" fontId="34" fillId="11" borderId="0" xfId="0" applyNumberFormat="1" applyFont="1" applyFill="1" applyAlignment="1">
      <alignment horizontal="right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177" fontId="23" fillId="0" borderId="0" xfId="0" applyNumberFormat="1" applyFont="1" applyFill="1" applyAlignment="1">
      <alignment vertical="center"/>
    </xf>
    <xf numFmtId="178" fontId="23" fillId="0" borderId="0" xfId="0" applyNumberFormat="1" applyFont="1" applyFill="1" applyAlignment="1">
      <alignment vertical="center"/>
    </xf>
    <xf numFmtId="0" fontId="4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48" fillId="16" borderId="7" xfId="30" applyFont="1" applyFill="1" applyBorder="1" applyAlignment="1">
      <alignment horizontal="center" vertical="center" wrapText="1"/>
    </xf>
    <xf numFmtId="0" fontId="48" fillId="16" borderId="4" xfId="30" applyFont="1" applyFill="1" applyBorder="1" applyAlignment="1">
      <alignment horizontal="center" vertical="center" wrapText="1"/>
    </xf>
    <xf numFmtId="0" fontId="48" fillId="16" borderId="14" xfId="30" applyFont="1" applyFill="1" applyBorder="1" applyAlignment="1">
      <alignment horizontal="center" vertical="center" wrapText="1"/>
    </xf>
    <xf numFmtId="0" fontId="23" fillId="0" borderId="11" xfId="30" applyFont="1" applyBorder="1" applyAlignment="1">
      <alignment horizontal="left" vertical="center"/>
    </xf>
    <xf numFmtId="0" fontId="23" fillId="0" borderId="0" xfId="30" applyFont="1" applyBorder="1" applyAlignment="1">
      <alignment horizontal="left" vertical="center"/>
    </xf>
    <xf numFmtId="0" fontId="23" fillId="6" borderId="11" xfId="30" applyFont="1" applyFill="1" applyBorder="1" applyAlignment="1">
      <alignment horizontal="left" vertical="center"/>
    </xf>
    <xf numFmtId="0" fontId="23" fillId="6" borderId="0" xfId="30" applyFont="1" applyFill="1" applyBorder="1" applyAlignment="1">
      <alignment horizontal="left" vertical="center"/>
    </xf>
    <xf numFmtId="0" fontId="23" fillId="0" borderId="8" xfId="30" applyFont="1" applyBorder="1" applyAlignment="1">
      <alignment horizontal="left" vertical="center"/>
    </xf>
    <xf numFmtId="0" fontId="23" fillId="0" borderId="21" xfId="30" applyFont="1" applyBorder="1" applyAlignment="1">
      <alignment horizontal="left" vertical="center"/>
    </xf>
    <xf numFmtId="0" fontId="23" fillId="0" borderId="22" xfId="30" applyFont="1" applyBorder="1" applyAlignment="1">
      <alignment horizontal="left" vertical="center"/>
    </xf>
    <xf numFmtId="0" fontId="23" fillId="0" borderId="25" xfId="30" applyFont="1" applyBorder="1" applyAlignment="1">
      <alignment horizontal="left" vertical="center"/>
    </xf>
    <xf numFmtId="0" fontId="23" fillId="6" borderId="25" xfId="30" applyFont="1" applyFill="1" applyBorder="1" applyAlignment="1">
      <alignment horizontal="left" vertical="center"/>
    </xf>
    <xf numFmtId="0" fontId="23" fillId="0" borderId="12" xfId="30" applyFont="1" applyBorder="1" applyAlignment="1">
      <alignment horizontal="left" vertical="center"/>
    </xf>
    <xf numFmtId="0" fontId="23" fillId="0" borderId="6" xfId="30" applyFont="1" applyBorder="1" applyAlignment="1">
      <alignment horizontal="left" vertical="center"/>
    </xf>
    <xf numFmtId="0" fontId="23" fillId="0" borderId="13" xfId="30" applyFont="1" applyBorder="1" applyAlignment="1">
      <alignment horizontal="left" vertical="center"/>
    </xf>
    <xf numFmtId="0" fontId="25" fillId="16" borderId="7" xfId="0" applyFont="1" applyFill="1" applyBorder="1" applyAlignment="1">
      <alignment horizontal="center" vertical="center"/>
    </xf>
    <xf numFmtId="0" fontId="25" fillId="16" borderId="4" xfId="0" applyFont="1" applyFill="1" applyBorder="1" applyAlignment="1">
      <alignment horizontal="center" vertical="center"/>
    </xf>
    <xf numFmtId="0" fontId="25" fillId="16" borderId="14" xfId="0" applyFont="1" applyFill="1" applyBorder="1" applyAlignment="1">
      <alignment horizontal="center" vertical="center"/>
    </xf>
    <xf numFmtId="0" fontId="25" fillId="0" borderId="9" xfId="0" applyFont="1" applyBorder="1" applyAlignment="1">
      <alignment vertical="center"/>
    </xf>
    <xf numFmtId="0" fontId="25" fillId="0" borderId="9" xfId="0" applyFont="1" applyBorder="1" applyAlignment="1">
      <alignment horizontal="center" vertical="center"/>
    </xf>
  </cellXfs>
  <cellStyles count="50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2 2" xfId="48" xr:uid="{C1DF19DC-A98D-4039-9BFB-A23C34BEE744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Standaard 7" xfId="47" xr:uid="{3FC33055-4EF9-438B-847E-EA351E9F24AB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Valuta 4 2" xfId="49" xr:uid="{693E6878-98D2-4390-BDB5-C1FD9D0DFD9D}"/>
    <cellStyle name="Währung [0]_Aufmaß" xfId="32" xr:uid="{00000000-0005-0000-0000-00002B000000}"/>
    <cellStyle name="Währung_Aufmaß" xfId="33" xr:uid="{00000000-0005-0000-0000-00002C000000}"/>
  </cellStyles>
  <dxfs count="206">
    <dxf>
      <font>
        <color rgb="FF9C0006"/>
      </font>
      <fill>
        <patternFill>
          <bgColor rgb="FFFFC7CE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2:D29" totalsRowShown="0" headerRowDxfId="205" dataDxfId="204" headerRowCellStyle="Standaard 4">
  <autoFilter ref="A12:D29" xr:uid="{00000000-0009-0000-0100-000006000000}"/>
  <tableColumns count="4">
    <tableColumn id="1" xr3:uid="{00000000-0010-0000-0000-000001000000}" name="Code" dataDxfId="203" dataCellStyle="Standaard 4"/>
    <tableColumn id="2" xr3:uid="{00000000-0010-0000-0000-000002000000}" name="Ruimte omschrijving" dataDxfId="202" dataCellStyle="Standaard 4"/>
    <tableColumn id="3" xr3:uid="{00000000-0010-0000-0000-000003000000}" name="Norm (5w)" dataDxfId="201"/>
    <tableColumn id="4" xr3:uid="{00000000-0010-0000-0000-000004000000}" name="Inspectiecategorie" dataDxfId="20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1" totalsRowShown="0">
  <autoFilter ref="A8:J11" xr:uid="{00000000-0009-0000-0100-000005000000}"/>
  <tableColumns count="10">
    <tableColumn id="1" xr3:uid="{00000000-0010-0000-0900-000001000000}" name="Code Taak" dataDxfId="10"/>
    <tableColumn id="2" xr3:uid="{00000000-0010-0000-0900-000002000000}" name="Werkzaamheden" dataDxfId="9"/>
    <tableColumn id="3" xr3:uid="{00000000-0010-0000-0900-000003000000}" name="Eenheid" dataDxfId="8"/>
    <tableColumn id="4" xr3:uid="{00000000-0010-0000-0900-000004000000}" name="Toelichting" dataDxfId="7"/>
    <tableColumn id="5" xr3:uid="{00000000-0010-0000-0900-000005000000}" name="Prijs_x000a_Excl. BTW" dataDxfId="6"/>
    <tableColumn id="6" xr3:uid="{3FB7F131-71FC-463C-8C00-D6DD0FDF1529}" name="2025" dataDxfId="5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6" dataDxfId="4">
      <calculatedColumnFormula>InvulExtra[[#This Row],[2025]]*Tariefsopbouw!$K$37+InvulExtra[[#This Row],[2025]]</calculatedColumnFormula>
    </tableColumn>
    <tableColumn id="8" xr3:uid="{F66BBAFC-F378-4A72-A8A0-882B5B42BA69}" name="2027" dataDxfId="3">
      <calculatedColumnFormula>InvulExtra[[#This Row],[2026]]*Tariefsopbouw!$M$37+InvulExtra[[#This Row],[2026]]</calculatedColumnFormula>
    </tableColumn>
    <tableColumn id="9" xr3:uid="{D06F598A-5F46-4D18-8F56-D5615B461E3E}" name="2028" dataDxfId="2">
      <calculatedColumnFormula>InvulExtra[[#This Row],[2027]]*Tariefsopbouw!$O$37+InvulExtra[[#This Row],[2027]]</calculatedColumnFormula>
    </tableColumn>
    <tableColumn id="10" xr3:uid="{ADDE6AC4-A9FB-4C2E-BFEA-AB7183EB36E0}" name="2029" dataDxfId="1">
      <calculatedColumnFormula>InvulExtra[[#This Row],[2028]]*Tariefsopbouw!$Q$37+InvulExtra[[#This Row],[2028]]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4:H18" totalsRowCount="1" headerRowDxfId="93" dataDxfId="92" totalsRowDxfId="91">
  <autoFilter ref="A14:H17" xr:uid="{00000000-0009-0000-0100-00000A000000}"/>
  <tableColumns count="8">
    <tableColumn id="9" xr3:uid="{00000000-0010-0000-0A00-000009000000}" name="Code Locatie" dataDxfId="90" totalsRowDxfId="26"/>
    <tableColumn id="1" xr3:uid="{00000000-0010-0000-0A00-000001000000}" name="Locatie" totalsRowLabel="Totaal" dataDxfId="89" totalsRowDxfId="25">
      <calculatedColumnFormula>VLOOKUP(OverzichtExtra[[#This Row],[Code Locatie]],Locaties[],2,0)</calculatedColumnFormula>
    </tableColumn>
    <tableColumn id="3" xr3:uid="{00000000-0010-0000-0A00-000003000000}" name="Code Taak" dataDxfId="88" totalsRowDxfId="24"/>
    <tableColumn id="4" xr3:uid="{00000000-0010-0000-0A00-000004000000}" name="Werkzaamheid" dataDxfId="87" totalsRowDxfId="23">
      <calculatedColumnFormula>IF('Extra werkzaamheden'!$C15&gt;0,VLOOKUP('Extra werkzaamheden'!$C15,$A$8:$B$11,2,0),"")</calculatedColumnFormula>
    </tableColumn>
    <tableColumn id="5" xr3:uid="{00000000-0010-0000-0A00-000005000000}" name="Eenheid" dataDxfId="86" totalsRowDxfId="22"/>
    <tableColumn id="6" xr3:uid="{00000000-0010-0000-0A00-000006000000}" name="Aantal per uitvoering" dataDxfId="85" totalsRowDxfId="21"/>
    <tableColumn id="7" xr3:uid="{00000000-0010-0000-0A00-000007000000}" name="Frequentie (uitv. per jaar)" dataDxfId="84" totalsRowDxfId="20"/>
    <tableColumn id="8" xr3:uid="{00000000-0010-0000-0A00-000008000000}" name="Kosten/jaar excl. BTW" totalsRowFunction="sum" dataDxfId="83" totalsRowDxfId="19">
      <calculatedColumnFormula>IF(G15&gt;0,VLOOKUP(OverzichtExtra[[#This Row],[Code Taak]],InvulExtra[],5,2)*F15*G15,0)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37" totalsRowCount="1" headerRowDxfId="82" dataDxfId="81" totalsRowDxfId="80">
  <autoFilter ref="B8:I36" xr:uid="{00000000-0009-0000-0100-00000B000000}"/>
  <tableColumns count="8">
    <tableColumn id="1" xr3:uid="{00000000-0010-0000-0B00-000001000000}" name="Werkzaamheid" totalsRowLabel="Totaal" totalsRowDxfId="79"/>
    <tableColumn id="2" xr3:uid="{00000000-0010-0000-0B00-000002000000}" name="Eenheid" totalsRowDxfId="78"/>
    <tableColumn id="3" xr3:uid="{00000000-0010-0000-0B00-000003000000}" name="Prijs excl. BTW" totalsRowDxfId="77"/>
    <tableColumn id="4" xr3:uid="{20339242-D37F-45D0-B3A9-D5D0277AA005}" name="2025" dataDxfId="76" totalsRowDxfId="75">
      <calculatedColumnFormula>InvulRegie[[#This Row],[Prijs excl. BTW]]*Tariefsopbouw!$I$37+InvulRegie[[#This Row],[Prijs excl. BTW]]</calculatedColumnFormula>
    </tableColumn>
    <tableColumn id="5" xr3:uid="{98710F61-FEB9-4108-AD80-85E42E12F88F}" name="2026" dataDxfId="74" totalsRowDxfId="73">
      <calculatedColumnFormula>InvulRegie[[#This Row],[2025]]*Tariefsopbouw!$K$37+InvulRegie[[#This Row],[2025]]</calculatedColumnFormula>
    </tableColumn>
    <tableColumn id="6" xr3:uid="{DA4A687B-70D0-4179-B678-42FA080B354F}" name="2027" dataDxfId="72" totalsRowDxfId="71">
      <calculatedColumnFormula>InvulRegie[[#This Row],[2026]]*Tariefsopbouw!$M$37+InvulRegie[[#This Row],[2026]]</calculatedColumnFormula>
    </tableColumn>
    <tableColumn id="7" xr3:uid="{FA946E46-8412-420B-AA1A-C1F4D582105F}" name="2028" dataDxfId="70" totalsRowDxfId="69">
      <calculatedColumnFormula>InvulRegie[[#This Row],[2027]]*Tariefsopbouw!$O$37+InvulRegie[[#This Row],[2027]]</calculatedColumnFormula>
    </tableColumn>
    <tableColumn id="8" xr3:uid="{00A92510-BD5B-4E71-BCF5-F352086DB0C7}" name="2029" dataDxfId="68" totalsRowDxfId="67">
      <calculatedColumnFormula>InvulRegie[[#This Row],[2028]]*Tariefsopbouw!$Q$37+InvulRegie[[#This Row],[2028]]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4:H8" totalsRowCount="1" headerRowDxfId="66" dataDxfId="64" totalsRowDxfId="62" headerRowBorderDxfId="65" tableBorderDxfId="63">
  <autoFilter ref="A4:H7" xr:uid="{00000000-0009-0000-0100-00000E000000}"/>
  <tableColumns count="8">
    <tableColumn id="8" xr3:uid="{00000000-0010-0000-0C00-000008000000}" name="Code Locatie" dataDxfId="61" totalsRowDxfId="60"/>
    <tableColumn id="1" xr3:uid="{00000000-0010-0000-0C00-000001000000}" name="Locatie" totalsRowLabel="Totaal" dataDxfId="59" totalsRowDxfId="58"/>
    <tableColumn id="2" xr3:uid="{00000000-0010-0000-0C00-000002000000}" name="Oppervlakte i/o" totalsRowFunction="sum" dataDxfId="57" totalsRowDxfId="56"/>
    <tableColumn id="3" xr3:uid="{00000000-0010-0000-0C00-000003000000}" name="Prest. (m2 /jaar)" totalsRowFunction="sum" dataDxfId="55" totalsRowDxfId="54"/>
    <tableColumn id="4" xr3:uid="{00000000-0010-0000-0C00-000004000000}" name="Uren / jaar" totalsRowFunction="sum" dataDxfId="53" totalsRowDxfId="52"/>
    <tableColumn id="5" xr3:uid="{00000000-0010-0000-0C00-000005000000}" name="Norm (m2/uur)" totalsRowFunction="custom" dataDxfId="51" totalsRowDxfId="50">
      <calculatedColumnFormula>D5/E5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49" totalsRowDxfId="48"/>
    <tableColumn id="7" xr3:uid="{00000000-0010-0000-0C00-000007000000}" name="Kosten / m2" totalsRowFunction="custom" dataDxfId="47" totalsRowDxfId="46">
      <calculatedColumnFormula>G5/C5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G15" totalsRowCount="1" headerRowDxfId="45" dataDxfId="43" totalsRowDxfId="41" headerRowBorderDxfId="44" tableBorderDxfId="42">
  <autoFilter ref="A11:G14" xr:uid="{00000000-0009-0000-0100-00000F000000}"/>
  <tableColumns count="7">
    <tableColumn id="8" xr3:uid="{00000000-0010-0000-0D00-000008000000}" name="Code Locatie" dataDxfId="40" totalsRowDxfId="39"/>
    <tableColumn id="1" xr3:uid="{00000000-0010-0000-0D00-000001000000}" name="Locaties" totalsRowLabel="Totaal" dataDxfId="38" totalsRowDxfId="37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36" totalsRowDxfId="35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34" totalsRowDxfId="33">
      <calculatedColumnFormula>SUMIF(Vloeronderhoud!$A$21:$A$28,Totalisatie[[#This Row],[Code Locatie]],Vloeronderhoud!$H$21:$H$28)</calculatedColumnFormula>
    </tableColumn>
    <tableColumn id="5" xr3:uid="{EFE406B1-965E-4AB3-B796-FA03E6AC0770}" name="Glasbewassing_x000a_Kosten / jaar" totalsRowFunction="custom" dataDxfId="32" totalsRowDxfId="31">
      <calculatedColumnFormula>SUMIF(Glasbewassing!$A$24:$A$40,Totalisatie[[#This Row],[Code Locatie]],Glasbewassing!$G$24:$G$40)</calculatedColumnFormula>
      <totalsRowFormula>OverzichtGlas[[#Totals],[Kosten/jaar excl. BTW]]</totalsRowFormula>
    </tableColumn>
    <tableColumn id="3" xr3:uid="{00000000-0010-0000-0D00-000003000000}" name="Extra Werkzaamheden_x000a_Kosten / jaar" totalsRowFunction="sum" dataDxfId="30" totalsRowDxfId="29">
      <calculatedColumnFormula>SUMIF(OverzichtExtra[Code Locatie],Totalisatie[[#This Row],[Code Locatie]],OverzichtExtra[Kosten/jaar excl. BTW])</calculatedColumnFormula>
    </tableColumn>
    <tableColumn id="7" xr3:uid="{00000000-0010-0000-0D00-000007000000}" name="Totaalprijs_x000a_Kosten / jaar" totalsRowFunction="sum" dataDxfId="28" totalsRowDxfId="27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2:F37" totalsRowShown="0" headerRowDxfId="199" dataDxfId="198">
  <autoFilter ref="A32:F37" xr:uid="{00000000-0009-0000-0100-000007000000}"/>
  <tableColumns count="6">
    <tableColumn id="1" xr3:uid="{00000000-0010-0000-0100-000001000000}" name="Code" dataDxfId="197"/>
    <tableColumn id="4" xr3:uid="{00000000-0010-0000-0100-000004000000}" name="Naam" dataDxfId="196"/>
    <tableColumn id="5" xr3:uid="{00000000-0010-0000-0100-000005000000}" name="Aanpassing norm" dataDxfId="195" dataCellStyle="Procent"/>
    <tableColumn id="2" xr3:uid="{00000000-0010-0000-0100-000002000000}" name="Vloersoort omschrijving" dataDxfId="194" dataCellStyle="Standaard 4"/>
    <tableColumn id="7" xr3:uid="{00000000-0010-0000-0100-000007000000}" name="Kolom2" dataDxfId="193" dataCellStyle="Standaard 4"/>
    <tableColumn id="6" xr3:uid="{00000000-0010-0000-0100-000006000000}" name="Kolom1" dataDxfId="192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191" dataDxfId="190">
  <autoFilter ref="A40:C50" xr:uid="{00000000-0009-0000-0100-000008000000}"/>
  <tableColumns count="3">
    <tableColumn id="1" xr3:uid="{00000000-0010-0000-0200-000001000000}" name="Code" dataDxfId="189" dataCellStyle="Standaard 4"/>
    <tableColumn id="2" xr3:uid="{00000000-0010-0000-0200-000002000000}" name="Frequentie omschrijving" dataDxfId="188" dataCellStyle="Standaard 4"/>
    <tableColumn id="3" xr3:uid="{00000000-0010-0000-0200-000003000000}" name="Aanpassing norm" dataDxfId="18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9" totalsRowShown="0" dataDxfId="186">
  <autoFilter ref="A6:F9" xr:uid="{00000000-0009-0000-0100-00000D000000}"/>
  <tableColumns count="6">
    <tableColumn id="1" xr3:uid="{00000000-0010-0000-0300-000001000000}" name="Code" dataDxfId="185"/>
    <tableColumn id="2" xr3:uid="{00000000-0010-0000-0300-000002000000}" name="Locatie" dataDxfId="184"/>
    <tableColumn id="7" xr3:uid="{00000000-0010-0000-0300-000007000000}" name="Aanpassing norm" dataDxfId="183"/>
    <tableColumn id="3" xr3:uid="{00000000-0010-0000-0300-000003000000}" name="Adres" dataDxfId="182"/>
    <tableColumn id="4" xr3:uid="{00000000-0010-0000-0300-000004000000}" name="Postcode" dataDxfId="181"/>
    <tableColumn id="5" xr3:uid="{00000000-0010-0000-0300-000005000000}" name="Plaats" dataDxfId="18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231" totalsRowShown="0" headerRowDxfId="179" dataDxfId="178">
  <autoFilter ref="A4:AG231" xr:uid="{00000000-0009-0000-0100-000009000000}"/>
  <tableColumns count="33">
    <tableColumn id="32" xr3:uid="{00000000-0010-0000-0400-000020000000}" name="Code" dataDxfId="177"/>
    <tableColumn id="1" xr3:uid="{00000000-0010-0000-0400-000001000000}" name="Locatie" dataDxfId="176"/>
    <tableColumn id="3" xr3:uid="{00000000-0010-0000-0400-000003000000}" name="Adres" dataDxfId="175">
      <calculatedColumnFormula>VLOOKUP(Ruimtestaat[[#This Row],[Code]],Locaties[#All],4,FALSE)</calculatedColumnFormula>
    </tableColumn>
    <tableColumn id="4" xr3:uid="{00000000-0010-0000-0400-000004000000}" name="Postcode" dataDxfId="174">
      <calculatedColumnFormula>VLOOKUP(Ruimtestaat[[#This Row],[Code]],Locaties[#All],5,FALSE)</calculatedColumnFormula>
    </tableColumn>
    <tableColumn id="5" xr3:uid="{00000000-0010-0000-0400-000005000000}" name="Plaats" dataDxfId="173">
      <calculatedColumnFormula>VLOOKUP(Ruimtestaat[[#This Row],[Code]],Locaties[#All],6,FALSE)</calculatedColumnFormula>
    </tableColumn>
    <tableColumn id="2" xr3:uid="{00000000-0010-0000-0400-000002000000}" name="Gebouw gedeelte" dataDxfId="172"/>
    <tableColumn id="6" xr3:uid="{00000000-0010-0000-0400-000006000000}" name="Etage" dataDxfId="171"/>
    <tableColumn id="7" xr3:uid="{00000000-0010-0000-0400-000007000000}" name="Ruimte- nummer" dataDxfId="170"/>
    <tableColumn id="8" xr3:uid="{00000000-0010-0000-0400-000008000000}" name="Ruimte omschrijving" dataDxfId="169"/>
    <tableColumn id="9" xr3:uid="{00000000-0010-0000-0400-000009000000}" name="Ruimte code" dataDxfId="168"/>
    <tableColumn id="10" xr3:uid="{00000000-0010-0000-0400-00000A000000}" name="Ruimtesoort" dataDxfId="167"/>
    <tableColumn id="11" xr3:uid="{00000000-0010-0000-0400-00000B000000}" name="Vloer code" dataDxfId="166"/>
    <tableColumn id="12" xr3:uid="{00000000-0010-0000-0400-00000C000000}" name="Vloer afwerking" dataDxfId="165"/>
    <tableColumn id="13" xr3:uid="{00000000-0010-0000-0400-00000D000000}" name="Oppervlak (netto)" dataDxfId="164"/>
    <tableColumn id="14" xr3:uid="{00000000-0010-0000-0400-00000E000000}" name="Oppervlakte n.i.o." dataDxfId="163"/>
    <tableColumn id="15" xr3:uid="{00000000-0010-0000-0400-00000F000000}" name="Inspectie categorie" dataDxfId="162">
      <calculatedColumnFormula>LEFT(VLOOKUP(Ruimtestaat[[#This Row],[Ruimte code]],Ruimtegroepen[#All],4,1),2)</calculatedColumnFormula>
    </tableColumn>
    <tableColumn id="16" xr3:uid="{00000000-0010-0000-0400-000010000000}" name="Opmerking" dataDxfId="161"/>
    <tableColumn id="17" xr3:uid="{00000000-0010-0000-0400-000011000000}" name="Aantal weken/jr" dataDxfId="160"/>
    <tableColumn id="18" xr3:uid="{00000000-0010-0000-0400-000012000000}" name="Frequentie werkdagen" dataDxfId="159"/>
    <tableColumn id="19" xr3:uid="{00000000-0010-0000-0400-000013000000}" name="Uitvoeringen werkdagen" dataDxfId="15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5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56"/>
    <tableColumn id="22" xr3:uid="{00000000-0010-0000-0400-000016000000}" name="uren / jaar werkdagen" dataDxfId="155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54">
      <calculatedColumnFormula>Ruimtestaat[[#This Row],[uren / jaar werkdagen]]*Tariefsopbouw!$E$35</calculatedColumnFormula>
    </tableColumn>
    <tableColumn id="24" xr3:uid="{00000000-0010-0000-0400-000018000000}" name="Frequentie weekend" dataDxfId="153"/>
    <tableColumn id="38" xr3:uid="{00000000-0010-0000-0400-000026000000}" name="Uitvoeringen weekend" dataDxfId="152">
      <calculatedColumnFormula>IF(Ruimtestaat[[#This Row],[Frequentie weekend]]&gt;0,VALUE(LEFT(Y5,1))*R5,0)</calculatedColumnFormula>
    </tableColumn>
    <tableColumn id="25" xr3:uid="{00000000-0010-0000-0400-000019000000}" name="Norm (m2/uur) weekend" dataDxfId="151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50"/>
    <tableColumn id="27" xr3:uid="{00000000-0010-0000-0400-00001B000000}" name="uren / jaar weekend" dataDxfId="149"/>
    <tableColumn id="28" xr3:uid="{00000000-0010-0000-0400-00001C000000}" name="kosten / jaar weekend" dataDxfId="148">
      <calculatedColumnFormula>Ruimtestaat[[#This Row],[uren / jaar weekend]]*Tariefsopbouw!$D$40</calculatedColumnFormula>
    </tableColumn>
    <tableColumn id="29" xr3:uid="{00000000-0010-0000-0400-00001D000000}" name="Prest. (m2 /jaar)" dataDxfId="14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44">
  <autoFilter ref="A8:I17" xr:uid="{00000000-0009-0000-0100-000001000000}"/>
  <tableColumns count="9">
    <tableColumn id="1" xr3:uid="{00000000-0010-0000-0700-000001000000}" name="Code Taak" dataDxfId="143"/>
    <tableColumn id="2" xr3:uid="{00000000-0010-0000-0700-000002000000}" name="Werkzaamheden"/>
    <tableColumn id="3" xr3:uid="{00000000-0010-0000-0700-000003000000}" name="Prijs" dataDxfId="142"/>
    <tableColumn id="4" xr3:uid="{00000000-0010-0000-0700-000004000000}" name="Omschrijving" dataDxfId="141"/>
    <tableColumn id="5" xr3:uid="{7B224336-2E90-4786-8885-F9B3CAAAC600}" name="2025" dataDxfId="140" dataCellStyle="Valuta 4">
      <calculatedColumnFormula>InvulVloer[[#This Row],[Prijs]]*Tariefsopbouw!$I$37+InvulVloer[[#This Row],[Prijs]]</calculatedColumnFormula>
    </tableColumn>
    <tableColumn id="6" xr3:uid="{0211B985-6953-45B6-8A6A-749D6F313951}" name="2026" dataDxfId="139">
      <calculatedColumnFormula>InvulVloer[[#This Row],[2025]]*Tariefsopbouw!$K$37+InvulVloer[[#This Row],[2025]]</calculatedColumnFormula>
    </tableColumn>
    <tableColumn id="7" xr3:uid="{9E193464-F35C-49B3-A477-D7B0835ABCF2}" name="2027" dataDxfId="138">
      <calculatedColumnFormula>InvulVloer[[#This Row],[2026]]*Tariefsopbouw!$M$37+InvulVloer[[#This Row],[2026]]</calculatedColumnFormula>
    </tableColumn>
    <tableColumn id="8" xr3:uid="{8069DF64-F4BB-49BA-8609-74BCEBC0E84C}" name="2028" dataDxfId="137">
      <calculatedColumnFormula>InvulVloer[[#This Row],[2027]]*Tariefsopbouw!$O$37+InvulVloer[[#This Row],[2027]]</calculatedColumnFormula>
    </tableColumn>
    <tableColumn id="9" xr3:uid="{FCBF02FF-403C-4DC9-8F5B-108F47020EEA}" name="2029" dataDxfId="136">
      <calculatedColumnFormula>InvulVloer[[#This Row],[2028]]*Tariefsopbouw!$Q$37+InvulVloer[[#This Row],[2028]]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8" totalsRowCount="1" headerRowDxfId="135" dataDxfId="134" totalsRowDxfId="133">
  <autoFilter ref="A20:H27" xr:uid="{00000000-0009-0000-0100-000002000000}"/>
  <tableColumns count="8">
    <tableColumn id="11" xr3:uid="{00000000-0010-0000-0800-00000B000000}" name="Code Locatie" dataDxfId="132" totalsRowDxfId="18"/>
    <tableColumn id="1" xr3:uid="{00000000-0010-0000-0800-000001000000}" name="Locatie" totalsRowLabel="Totaal" dataDxfId="131" totalsRowDxfId="17"/>
    <tableColumn id="3" xr3:uid="{00000000-0010-0000-0800-000003000000}" name="Code Taak" dataDxfId="130" totalsRowDxfId="16"/>
    <tableColumn id="4" xr3:uid="{00000000-0010-0000-0800-000004000000}" name="Werkzaamheden" dataDxfId="129" totalsRowDxfId="15">
      <calculatedColumnFormula>IF(Vloeronderhoud!$C21&gt;0,VLOOKUP(Vloeronderhoud!$C21,$A$8:$B$17,2,FALSE),"")</calculatedColumnFormula>
    </tableColumn>
    <tableColumn id="5" xr3:uid="{00000000-0010-0000-0800-000005000000}" name="Vloersoort" dataDxfId="128" totalsRowDxfId="14"/>
    <tableColumn id="6" xr3:uid="{00000000-0010-0000-0800-000006000000}" name="Oppervlakte" dataDxfId="127" totalsRowDxfId="13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26" totalsRowDxfId="12"/>
    <tableColumn id="9" xr3:uid="{00000000-0010-0000-0800-000009000000}" name="Kosten/jaar excl. BTW" totalsRowFunction="sum" dataDxfId="125" totalsRowDxfId="11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56DD7F-E31F-4738-A2A6-B6195742F83D}" name="InvulGlas" displayName="InvulGlas" ref="A8:I21" totalsRowShown="0" headerRowDxfId="124">
  <autoFilter ref="A8:I21" xr:uid="{3B56DD7F-E31F-4738-A2A6-B6195742F83D}"/>
  <tableColumns count="9">
    <tableColumn id="1" xr3:uid="{E535CE63-335F-4482-A4E0-E125D9A2B340}" name="Code taak" dataDxfId="123"/>
    <tableColumn id="2" xr3:uid="{25BA42B2-ED5A-4BB6-B11D-C43B4833E11E}" name="Glassoort/voorziening" dataDxfId="122"/>
    <tableColumn id="3" xr3:uid="{CF51549B-5B5B-4DAA-9B7E-C0E281B3CE61}" name="Prijs excl. BTW" dataDxfId="121"/>
    <tableColumn id="4" xr3:uid="{6F94C37D-4D34-45AA-883D-F6E668605F2E}" name="Eenheid" dataDxfId="120"/>
    <tableColumn id="5" xr3:uid="{B42CEB27-60B6-49B0-917A-9BE12D2DA665}" name="2025" dataDxfId="119">
      <calculatedColumnFormula>(InvulGlas[[#This Row],[Prijs excl. BTW]]*Tariefsopbouw!$I$37)+InvulGlas[[#This Row],[Prijs excl. BTW]]</calculatedColumnFormula>
    </tableColumn>
    <tableColumn id="6" xr3:uid="{8237F260-0DF8-45FA-8B35-F9EFF1B9C431}" name="2026" dataDxfId="118">
      <calculatedColumnFormula>(InvulGlas[[#This Row],[2025]]*Tariefsopbouw!$K$37)+InvulGlas[[#This Row],[2025]]</calculatedColumnFormula>
    </tableColumn>
    <tableColumn id="7" xr3:uid="{55531EE1-56B0-423A-AC5D-7780403A0A80}" name="2027" dataDxfId="117">
      <calculatedColumnFormula>(InvulGlas[[#This Row],[2026]]*Tariefsopbouw!$M$37)+InvulGlas[[#This Row],[2026]]</calculatedColumnFormula>
    </tableColumn>
    <tableColumn id="8" xr3:uid="{419C290D-2527-48A8-999A-C82B165194BA}" name="2028" dataDxfId="116">
      <calculatedColumnFormula>(InvulGlas[[#This Row],[2027]]*Tariefsopbouw!$O$37)+InvulGlas[[#This Row],[2027]]</calculatedColumnFormula>
    </tableColumn>
    <tableColumn id="9" xr3:uid="{E4E2B8F8-E445-4912-8989-9751C8DD6970}" name="2029" dataDxfId="115">
      <calculatedColumnFormula>(InvulGlas[[#This Row],[2028]]*Tariefsopbouw!$Q$37)+InvulGlas[[#This Row],[2028]]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012B9-E2E3-462E-92FA-D2ECE74E3DC6}" name="OverzichtGlas" displayName="OverzichtGlas" ref="A23:I41" totalsRowCount="1" headerRowDxfId="114" dataDxfId="113" totalsRowDxfId="112">
  <autoFilter ref="A23:I40" xr:uid="{620012B9-E2E3-462E-92FA-D2ECE74E3DC6}"/>
  <sortState xmlns:xlrd2="http://schemas.microsoft.com/office/spreadsheetml/2017/richdata2" ref="A24:G40">
    <sortCondition ref="A24:A40"/>
  </sortState>
  <tableColumns count="9">
    <tableColumn id="1" xr3:uid="{2536BA71-4E9E-4699-B1D3-AD672C5D2A84}" name="Code Locatie" totalsRowLabel="Totaal" dataDxfId="111" totalsRowDxfId="110"/>
    <tableColumn id="2" xr3:uid="{50EE039F-714D-4763-852C-089B9B9C7380}" name="Locatie" dataDxfId="109" totalsRowDxfId="108">
      <calculatedColumnFormula>VLOOKUP(OverzichtGlas[[#This Row],[Code Locatie]],Totalisatie!$A$5:$B$9,2,FALSE)</calculatedColumnFormula>
    </tableColumn>
    <tableColumn id="3" xr3:uid="{D15C2F41-1594-45D7-9803-C8C7AEECECF7}" name="Code taak" dataDxfId="107" totalsRowDxfId="106"/>
    <tableColumn id="4" xr3:uid="{642A0D23-31BA-42AE-8CB0-DC6E3B12DFB6}" name="Glassoort/voorziening" dataDxfId="105" totalsRowDxfId="104"/>
    <tableColumn id="5" xr3:uid="{C9661328-A370-44DF-8207-78449C8D44D2}" name="Oppervlakte of dagen" dataDxfId="103" totalsRowDxfId="102"/>
    <tableColumn id="7" xr3:uid="{BDAD6D23-D82B-43C1-9D0E-6A2C6CAB4C1A}" name="Frequentie" dataDxfId="101" totalsRowDxfId="100"/>
    <tableColumn id="8" xr3:uid="{BDB7ACE8-E58D-4776-9BBB-A8732570A475}" name="Kosten/jaar excl. BTW" totalsRowFunction="sum" dataDxfId="99" totalsRowDxfId="98">
      <calculatedColumnFormula>IF(C24&gt;0,VLOOKUP(OverzichtGlas[[#This Row],[Code taak]],InvulGlas[],3,0)*E24*F24,0)</calculatedColumnFormula>
    </tableColumn>
    <tableColumn id="9" xr3:uid="{8F415E75-25DE-41FA-86DA-16C5EB0A9299}" name="Kosten/jaar incl. BTW" totalsRowFunction="sum" dataDxfId="97" totalsRowDxfId="96">
      <calculatedColumnFormula>OverzichtGlas[[#This Row],[Kosten/jaar excl. BTW]]*1.21</calculatedColumnFormula>
    </tableColumn>
    <tableColumn id="10" xr3:uid="{8B05202D-C69A-4C8D-9EBD-9530B2C0368D}" name="Opmerkingen" dataDxfId="95" totalsRowDxfId="9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09B8-0238-4DFF-ADF9-B212427B222E}">
  <sheetPr>
    <tabColor theme="0" tint="-0.14999847407452621"/>
  </sheetPr>
  <dimension ref="A1:R6"/>
  <sheetViews>
    <sheetView workbookViewId="0">
      <selection activeCell="C10" sqref="C10"/>
    </sheetView>
  </sheetViews>
  <sheetFormatPr defaultRowHeight="12.75"/>
  <cols>
    <col min="1" max="1" width="6" style="139" customWidth="1"/>
    <col min="2" max="2" width="11.5703125" style="139" customWidth="1"/>
    <col min="3" max="3" width="13.85546875" style="139" customWidth="1"/>
    <col min="4" max="4" width="14.7109375" style="139" bestFit="1" customWidth="1"/>
    <col min="5" max="5" width="15.42578125" style="139" bestFit="1" customWidth="1"/>
    <col min="6" max="6" width="14" style="139" bestFit="1" customWidth="1"/>
    <col min="7" max="7" width="10.42578125" style="227" bestFit="1" customWidth="1"/>
    <col min="8" max="8" width="23" style="139" bestFit="1" customWidth="1"/>
    <col min="9" max="9" width="13" style="227" customWidth="1"/>
    <col min="10" max="10" width="13.7109375" style="227" customWidth="1"/>
    <col min="11" max="11" width="9" style="139" bestFit="1" customWidth="1"/>
    <col min="12" max="12" width="12.28515625" style="139" bestFit="1" customWidth="1"/>
    <col min="13" max="13" width="10.7109375" style="139" customWidth="1"/>
    <col min="14" max="14" width="11.7109375" style="139" customWidth="1"/>
    <col min="15" max="15" width="14.140625" style="139" bestFit="1" customWidth="1"/>
    <col min="16" max="16" width="17.7109375" style="139" customWidth="1"/>
    <col min="17" max="17" width="15.85546875" style="227" bestFit="1" customWidth="1"/>
    <col min="18" max="18" width="24.7109375" style="139" customWidth="1"/>
  </cols>
  <sheetData>
    <row r="1" spans="1:18" ht="45">
      <c r="A1" s="223"/>
      <c r="B1" s="176" t="s">
        <v>411</v>
      </c>
      <c r="C1" s="176" t="s">
        <v>412</v>
      </c>
      <c r="D1" s="176" t="s">
        <v>413</v>
      </c>
      <c r="E1" s="176" t="s">
        <v>414</v>
      </c>
      <c r="F1" s="176" t="s">
        <v>415</v>
      </c>
      <c r="G1" s="176" t="s">
        <v>416</v>
      </c>
      <c r="H1" s="176" t="s">
        <v>217</v>
      </c>
      <c r="I1" s="176" t="s">
        <v>417</v>
      </c>
      <c r="J1" s="176" t="s">
        <v>418</v>
      </c>
      <c r="K1" s="176" t="s">
        <v>419</v>
      </c>
      <c r="L1" s="176" t="s">
        <v>420</v>
      </c>
      <c r="M1" s="176" t="s">
        <v>421</v>
      </c>
      <c r="N1" s="176" t="s">
        <v>422</v>
      </c>
      <c r="O1" s="176" t="s">
        <v>423</v>
      </c>
      <c r="P1" s="176" t="s">
        <v>424</v>
      </c>
      <c r="Q1" s="176" t="s">
        <v>425</v>
      </c>
      <c r="R1" s="176" t="s">
        <v>142</v>
      </c>
    </row>
    <row r="2" spans="1:18">
      <c r="A2" s="224">
        <v>1</v>
      </c>
      <c r="B2" s="245">
        <v>21999</v>
      </c>
      <c r="C2" s="245">
        <v>41050</v>
      </c>
      <c r="D2" s="245">
        <v>40065</v>
      </c>
      <c r="E2" s="246" t="s">
        <v>743</v>
      </c>
      <c r="F2" s="252">
        <v>3</v>
      </c>
      <c r="G2" s="248" t="s">
        <v>744</v>
      </c>
      <c r="H2" s="246" t="s">
        <v>745</v>
      </c>
      <c r="I2" s="248">
        <v>651</v>
      </c>
      <c r="J2" s="248">
        <v>1</v>
      </c>
      <c r="K2" s="249">
        <v>13.87</v>
      </c>
      <c r="L2" s="250" t="s">
        <v>746</v>
      </c>
      <c r="M2" s="246" t="s">
        <v>747</v>
      </c>
      <c r="N2" s="246" t="s">
        <v>747</v>
      </c>
      <c r="O2" s="248" t="s">
        <v>747</v>
      </c>
      <c r="P2" s="248" t="s">
        <v>747</v>
      </c>
      <c r="Q2" s="248" t="s">
        <v>748</v>
      </c>
      <c r="R2" s="246" t="s">
        <v>749</v>
      </c>
    </row>
    <row r="3" spans="1:18">
      <c r="A3" s="224">
        <v>2</v>
      </c>
      <c r="B3" s="245">
        <v>23450</v>
      </c>
      <c r="C3" s="245">
        <v>43346</v>
      </c>
      <c r="D3" s="245">
        <v>43306</v>
      </c>
      <c r="E3" s="246" t="s">
        <v>743</v>
      </c>
      <c r="F3" s="247">
        <v>14</v>
      </c>
      <c r="G3" s="248" t="s">
        <v>744</v>
      </c>
      <c r="H3" s="246" t="s">
        <v>745</v>
      </c>
      <c r="I3" s="248">
        <v>651</v>
      </c>
      <c r="J3" s="248">
        <v>1</v>
      </c>
      <c r="K3" s="249">
        <v>13.87</v>
      </c>
      <c r="L3" s="250" t="s">
        <v>746</v>
      </c>
      <c r="M3" s="246" t="s">
        <v>747</v>
      </c>
      <c r="N3" s="246" t="s">
        <v>747</v>
      </c>
      <c r="O3" s="248" t="s">
        <v>747</v>
      </c>
      <c r="P3" s="248" t="s">
        <v>747</v>
      </c>
      <c r="Q3" s="248" t="s">
        <v>748</v>
      </c>
      <c r="R3" s="246" t="s">
        <v>749</v>
      </c>
    </row>
    <row r="4" spans="1:18">
      <c r="A4" s="224">
        <v>3</v>
      </c>
      <c r="B4" s="245">
        <v>26117</v>
      </c>
      <c r="C4" s="245">
        <v>43346</v>
      </c>
      <c r="D4" s="245">
        <v>42793</v>
      </c>
      <c r="E4" s="246" t="s">
        <v>743</v>
      </c>
      <c r="F4" s="247">
        <v>3</v>
      </c>
      <c r="G4" s="248" t="s">
        <v>744</v>
      </c>
      <c r="H4" s="246" t="s">
        <v>745</v>
      </c>
      <c r="I4" s="248">
        <v>651</v>
      </c>
      <c r="J4" s="248">
        <v>1</v>
      </c>
      <c r="K4" s="249">
        <v>13.87</v>
      </c>
      <c r="L4" s="251" t="s">
        <v>746</v>
      </c>
      <c r="M4" s="246" t="s">
        <v>747</v>
      </c>
      <c r="N4" s="246" t="s">
        <v>747</v>
      </c>
      <c r="O4" s="248" t="s">
        <v>747</v>
      </c>
      <c r="P4" s="248" t="s">
        <v>747</v>
      </c>
      <c r="Q4" s="248" t="s">
        <v>748</v>
      </c>
      <c r="R4" s="246" t="s">
        <v>749</v>
      </c>
    </row>
    <row r="5" spans="1:18">
      <c r="A5" s="224">
        <v>4</v>
      </c>
      <c r="B5" s="245">
        <v>23863</v>
      </c>
      <c r="C5" s="245">
        <v>43983</v>
      </c>
      <c r="D5" s="245">
        <v>33812</v>
      </c>
      <c r="E5" s="246" t="s">
        <v>743</v>
      </c>
      <c r="F5" s="247">
        <v>8.75</v>
      </c>
      <c r="G5" s="248" t="s">
        <v>750</v>
      </c>
      <c r="H5" s="246" t="s">
        <v>745</v>
      </c>
      <c r="I5" s="248">
        <v>651</v>
      </c>
      <c r="J5" s="248">
        <v>1</v>
      </c>
      <c r="K5" s="249">
        <v>13.87</v>
      </c>
      <c r="L5" s="251" t="s">
        <v>746</v>
      </c>
      <c r="M5" s="246" t="s">
        <v>747</v>
      </c>
      <c r="N5" s="246" t="s">
        <v>747</v>
      </c>
      <c r="O5" s="248" t="s">
        <v>747</v>
      </c>
      <c r="P5" s="248" t="s">
        <v>747</v>
      </c>
      <c r="Q5" s="248" t="s">
        <v>748</v>
      </c>
      <c r="R5" s="246" t="s">
        <v>749</v>
      </c>
    </row>
    <row r="6" spans="1:18">
      <c r="A6" s="224">
        <v>5</v>
      </c>
      <c r="B6" s="245">
        <v>35665</v>
      </c>
      <c r="C6" s="245">
        <v>44470</v>
      </c>
      <c r="D6" s="245">
        <v>42736</v>
      </c>
      <c r="E6" s="246" t="s">
        <v>743</v>
      </c>
      <c r="F6" s="247">
        <v>14</v>
      </c>
      <c r="G6" s="248" t="s">
        <v>744</v>
      </c>
      <c r="H6" s="246" t="s">
        <v>745</v>
      </c>
      <c r="I6" s="248">
        <v>651</v>
      </c>
      <c r="J6" s="248">
        <v>1</v>
      </c>
      <c r="K6" s="249">
        <v>13.87</v>
      </c>
      <c r="L6" s="251" t="s">
        <v>746</v>
      </c>
      <c r="M6" s="246" t="s">
        <v>747</v>
      </c>
      <c r="N6" s="246" t="s">
        <v>747</v>
      </c>
      <c r="O6" s="248" t="s">
        <v>747</v>
      </c>
      <c r="P6" s="248" t="s">
        <v>747</v>
      </c>
      <c r="Q6" s="248" t="s">
        <v>750</v>
      </c>
      <c r="R6" s="246" t="s">
        <v>749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37"/>
  <sheetViews>
    <sheetView view="pageBreakPreview" zoomScaleNormal="100" zoomScaleSheetLayoutView="100" workbookViewId="0">
      <selection activeCell="B29" sqref="B29"/>
    </sheetView>
  </sheetViews>
  <sheetFormatPr defaultColWidth="9.140625" defaultRowHeight="18.75" customHeight="1"/>
  <cols>
    <col min="1" max="1" width="9.140625" style="59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293" t="s">
        <v>173</v>
      </c>
      <c r="B1" s="293"/>
      <c r="C1" s="293"/>
      <c r="D1" s="293"/>
    </row>
    <row r="2" spans="1:9" s="7" customFormat="1" ht="18.75" customHeight="1">
      <c r="A2" s="307" t="s">
        <v>211</v>
      </c>
      <c r="B2" s="292"/>
      <c r="C2" s="292"/>
      <c r="D2" s="292"/>
    </row>
    <row r="3" spans="1:9" s="66" customFormat="1" ht="18.75" customHeight="1">
      <c r="A3" s="65"/>
    </row>
    <row r="4" spans="1:9" s="66" customFormat="1" ht="18.75" customHeight="1">
      <c r="A4" s="66" t="s">
        <v>171</v>
      </c>
    </row>
    <row r="5" spans="1:9" s="66" customFormat="1" ht="18.75" customHeight="1">
      <c r="A5" s="66" t="s">
        <v>174</v>
      </c>
    </row>
    <row r="6" spans="1:9" s="66" customFormat="1" ht="18.75" customHeight="1">
      <c r="A6" s="66" t="s">
        <v>224</v>
      </c>
    </row>
    <row r="7" spans="1:9" s="66" customFormat="1" ht="18.75" customHeight="1">
      <c r="A7" s="65"/>
    </row>
    <row r="8" spans="1:9" s="20" customFormat="1" ht="26.25" customHeight="1">
      <c r="A8" s="63"/>
      <c r="B8" s="62" t="s">
        <v>175</v>
      </c>
      <c r="C8" s="62" t="s">
        <v>144</v>
      </c>
      <c r="D8" s="22" t="s">
        <v>169</v>
      </c>
      <c r="E8" s="42" t="s">
        <v>241</v>
      </c>
      <c r="F8" s="42" t="s">
        <v>240</v>
      </c>
      <c r="G8" s="42" t="s">
        <v>239</v>
      </c>
      <c r="H8" s="42" t="s">
        <v>251</v>
      </c>
      <c r="I8" s="42" t="s">
        <v>426</v>
      </c>
    </row>
    <row r="9" spans="1:9" ht="18.75" customHeight="1">
      <c r="A9" s="309" t="s">
        <v>191</v>
      </c>
      <c r="B9" s="62" t="s">
        <v>177</v>
      </c>
      <c r="C9" s="62" t="s">
        <v>176</v>
      </c>
      <c r="D9" s="64">
        <v>0</v>
      </c>
      <c r="E9" s="204" t="e">
        <f>InvulRegie[[#This Row],[Prijs excl. BTW]]*Tariefsopbouw!$I$37+InvulRegie[[#This Row],[Prijs excl. BTW]]</f>
        <v>#DIV/0!</v>
      </c>
      <c r="F9" s="205" t="e">
        <f>InvulRegie[[#This Row],[2025]]*Tariefsopbouw!$K$37+InvulRegie[[#This Row],[2025]]</f>
        <v>#DIV/0!</v>
      </c>
      <c r="G9" s="205" t="e">
        <f>InvulRegie[[#This Row],[2026]]*Tariefsopbouw!$M$37+InvulRegie[[#This Row],[2026]]</f>
        <v>#DIV/0!</v>
      </c>
      <c r="H9" s="205" t="e">
        <f>InvulRegie[[#This Row],[2027]]*Tariefsopbouw!$O$37+InvulRegie[[#This Row],[2027]]</f>
        <v>#DIV/0!</v>
      </c>
      <c r="I9" s="205" t="e">
        <f>InvulRegie[[#This Row],[2028]]*Tariefsopbouw!$Q$37+InvulRegie[[#This Row],[2028]]</f>
        <v>#DIV/0!</v>
      </c>
    </row>
    <row r="10" spans="1:9" ht="18.75" customHeight="1">
      <c r="A10" s="310"/>
      <c r="B10" s="62" t="s">
        <v>178</v>
      </c>
      <c r="C10" s="62" t="s">
        <v>176</v>
      </c>
      <c r="D10" s="64">
        <v>0</v>
      </c>
      <c r="E10" s="204" t="e">
        <f>InvulRegie[[#This Row],[Prijs excl. BTW]]*Tariefsopbouw!$I$37+InvulRegie[[#This Row],[Prijs excl. BTW]]</f>
        <v>#DIV/0!</v>
      </c>
      <c r="F10" s="204" t="e">
        <f>InvulRegie[[#This Row],[2025]]*Tariefsopbouw!$K$37+InvulRegie[[#This Row],[2025]]</f>
        <v>#DIV/0!</v>
      </c>
      <c r="G10" s="204" t="e">
        <f>InvulRegie[[#This Row],[2026]]*Tariefsopbouw!$M$37+InvulRegie[[#This Row],[2026]]</f>
        <v>#DIV/0!</v>
      </c>
      <c r="H10" s="204" t="e">
        <f>InvulRegie[[#This Row],[2027]]*Tariefsopbouw!$O$37+InvulRegie[[#This Row],[2027]]</f>
        <v>#DIV/0!</v>
      </c>
      <c r="I10" s="204" t="e">
        <f>InvulRegie[[#This Row],[2028]]*Tariefsopbouw!$Q$37+InvulRegie[[#This Row],[2028]]</f>
        <v>#DIV/0!</v>
      </c>
    </row>
    <row r="11" spans="1:9" ht="18.75" customHeight="1">
      <c r="A11" s="310"/>
      <c r="B11" s="62" t="s">
        <v>179</v>
      </c>
      <c r="C11" s="62" t="s">
        <v>176</v>
      </c>
      <c r="D11" s="64">
        <v>0</v>
      </c>
      <c r="E11" s="204" t="e">
        <f>InvulRegie[[#This Row],[Prijs excl. BTW]]*Tariefsopbouw!$I$37+InvulRegie[[#This Row],[Prijs excl. BTW]]</f>
        <v>#DIV/0!</v>
      </c>
      <c r="F11" s="204" t="e">
        <f>InvulRegie[[#This Row],[2025]]*Tariefsopbouw!$K$37+InvulRegie[[#This Row],[2025]]</f>
        <v>#DIV/0!</v>
      </c>
      <c r="G11" s="204" t="e">
        <f>InvulRegie[[#This Row],[2026]]*Tariefsopbouw!$M$37+InvulRegie[[#This Row],[2026]]</f>
        <v>#DIV/0!</v>
      </c>
      <c r="H11" s="204" t="e">
        <f>InvulRegie[[#This Row],[2027]]*Tariefsopbouw!$O$37+InvulRegie[[#This Row],[2027]]</f>
        <v>#DIV/0!</v>
      </c>
      <c r="I11" s="204" t="e">
        <f>InvulRegie[[#This Row],[2028]]*Tariefsopbouw!$Q$37+InvulRegie[[#This Row],[2028]]</f>
        <v>#DIV/0!</v>
      </c>
    </row>
    <row r="12" spans="1:9" ht="18.75" customHeight="1">
      <c r="A12" s="310"/>
      <c r="B12" s="61" t="s">
        <v>180</v>
      </c>
      <c r="C12" s="62" t="s">
        <v>176</v>
      </c>
      <c r="D12" s="64">
        <v>0</v>
      </c>
      <c r="E12" s="204" t="e">
        <f>InvulRegie[[#This Row],[Prijs excl. BTW]]*Tariefsopbouw!$I$37+InvulRegie[[#This Row],[Prijs excl. BTW]]</f>
        <v>#DIV/0!</v>
      </c>
      <c r="F12" s="204" t="e">
        <f>InvulRegie[[#This Row],[2025]]*Tariefsopbouw!$K$37+InvulRegie[[#This Row],[2025]]</f>
        <v>#DIV/0!</v>
      </c>
      <c r="G12" s="204" t="e">
        <f>InvulRegie[[#This Row],[2026]]*Tariefsopbouw!$M$37+InvulRegie[[#This Row],[2026]]</f>
        <v>#DIV/0!</v>
      </c>
      <c r="H12" s="204" t="e">
        <f>InvulRegie[[#This Row],[2027]]*Tariefsopbouw!$O$37+InvulRegie[[#This Row],[2027]]</f>
        <v>#DIV/0!</v>
      </c>
      <c r="I12" s="204" t="e">
        <f>InvulRegie[[#This Row],[2028]]*Tariefsopbouw!$Q$37+InvulRegie[[#This Row],[2028]]</f>
        <v>#DIV/0!</v>
      </c>
    </row>
    <row r="13" spans="1:9" ht="18.75" customHeight="1">
      <c r="A13" s="310"/>
      <c r="B13" s="61" t="s">
        <v>197</v>
      </c>
      <c r="C13" s="62" t="s">
        <v>176</v>
      </c>
      <c r="D13" s="64">
        <v>0</v>
      </c>
      <c r="E13" s="207" t="e">
        <f>InvulRegie[[#This Row],[Prijs excl. BTW]]*Tariefsopbouw!$I$37+InvulRegie[[#This Row],[Prijs excl. BTW]]</f>
        <v>#DIV/0!</v>
      </c>
      <c r="F13" s="207" t="e">
        <f>InvulRegie[[#This Row],[2025]]*Tariefsopbouw!$K$37+InvulRegie[[#This Row],[2025]]</f>
        <v>#DIV/0!</v>
      </c>
      <c r="G13" s="207" t="e">
        <f>InvulRegie[[#This Row],[2026]]*Tariefsopbouw!$M$37+InvulRegie[[#This Row],[2026]]</f>
        <v>#DIV/0!</v>
      </c>
      <c r="H13" s="207" t="e">
        <f>InvulRegie[[#This Row],[2027]]*Tariefsopbouw!$O$37+InvulRegie[[#This Row],[2027]]</f>
        <v>#DIV/0!</v>
      </c>
      <c r="I13" s="207" t="e">
        <f>InvulRegie[[#This Row],[2028]]*Tariefsopbouw!$Q$37+InvulRegie[[#This Row],[2028]]</f>
        <v>#DIV/0!</v>
      </c>
    </row>
    <row r="14" spans="1:9" ht="18.75" customHeight="1">
      <c r="A14" s="311"/>
      <c r="B14" s="62" t="s">
        <v>186</v>
      </c>
      <c r="C14" s="62" t="s">
        <v>176</v>
      </c>
      <c r="D14" s="64">
        <v>0</v>
      </c>
      <c r="E14" s="207" t="e">
        <f>InvulRegie[[#This Row],[Prijs excl. BTW]]*Tariefsopbouw!$I$37+InvulRegie[[#This Row],[Prijs excl. BTW]]</f>
        <v>#DIV/0!</v>
      </c>
      <c r="F14" s="207" t="e">
        <f>InvulRegie[[#This Row],[2025]]*Tariefsopbouw!$K$37+InvulRegie[[#This Row],[2025]]</f>
        <v>#DIV/0!</v>
      </c>
      <c r="G14" s="207" t="e">
        <f>InvulRegie[[#This Row],[2026]]*Tariefsopbouw!$M$37+InvulRegie[[#This Row],[2026]]</f>
        <v>#DIV/0!</v>
      </c>
      <c r="H14" s="207" t="e">
        <f>InvulRegie[[#This Row],[2027]]*Tariefsopbouw!$O$37+InvulRegie[[#This Row],[2027]]</f>
        <v>#DIV/0!</v>
      </c>
      <c r="I14" s="207" t="e">
        <f>InvulRegie[[#This Row],[2028]]*Tariefsopbouw!$Q$37+InvulRegie[[#This Row],[2028]]</f>
        <v>#DIV/0!</v>
      </c>
    </row>
    <row r="15" spans="1:9" ht="18.75" customHeight="1">
      <c r="A15" s="309" t="s">
        <v>127</v>
      </c>
      <c r="B15" s="62" t="s">
        <v>41</v>
      </c>
      <c r="C15" s="62" t="s">
        <v>42</v>
      </c>
      <c r="D15" s="64">
        <v>0</v>
      </c>
      <c r="E15" s="207" t="e">
        <f>InvulRegie[[#This Row],[Prijs excl. BTW]]*Tariefsopbouw!$I$37+InvulRegie[[#This Row],[Prijs excl. BTW]]</f>
        <v>#DIV/0!</v>
      </c>
      <c r="F15" s="207" t="e">
        <f>InvulRegie[[#This Row],[2025]]*Tariefsopbouw!$K$37+InvulRegie[[#This Row],[2025]]</f>
        <v>#DIV/0!</v>
      </c>
      <c r="G15" s="207" t="e">
        <f>InvulRegie[[#This Row],[2026]]*Tariefsopbouw!$M$37+InvulRegie[[#This Row],[2026]]</f>
        <v>#DIV/0!</v>
      </c>
      <c r="H15" s="207" t="e">
        <f>InvulRegie[[#This Row],[2027]]*Tariefsopbouw!$O$37+InvulRegie[[#This Row],[2027]]</f>
        <v>#DIV/0!</v>
      </c>
      <c r="I15" s="207" t="e">
        <f>InvulRegie[[#This Row],[2028]]*Tariefsopbouw!$Q$37+InvulRegie[[#This Row],[2028]]</f>
        <v>#DIV/0!</v>
      </c>
    </row>
    <row r="16" spans="1:9" ht="18.75" customHeight="1">
      <c r="A16" s="310"/>
      <c r="B16" s="62" t="s">
        <v>43</v>
      </c>
      <c r="C16" s="62" t="s">
        <v>181</v>
      </c>
      <c r="D16" s="64">
        <v>0</v>
      </c>
      <c r="E16" s="207" t="e">
        <f>InvulRegie[[#This Row],[Prijs excl. BTW]]*Tariefsopbouw!$I$37+InvulRegie[[#This Row],[Prijs excl. BTW]]</f>
        <v>#DIV/0!</v>
      </c>
      <c r="F16" s="207" t="e">
        <f>InvulRegie[[#This Row],[2025]]*Tariefsopbouw!$K$37+InvulRegie[[#This Row],[2025]]</f>
        <v>#DIV/0!</v>
      </c>
      <c r="G16" s="207" t="e">
        <f>InvulRegie[[#This Row],[2026]]*Tariefsopbouw!$M$37+InvulRegie[[#This Row],[2026]]</f>
        <v>#DIV/0!</v>
      </c>
      <c r="H16" s="207" t="e">
        <f>InvulRegie[[#This Row],[2027]]*Tariefsopbouw!$O$37+InvulRegie[[#This Row],[2027]]</f>
        <v>#DIV/0!</v>
      </c>
      <c r="I16" s="207" t="e">
        <f>InvulRegie[[#This Row],[2028]]*Tariefsopbouw!$Q$37+InvulRegie[[#This Row],[2028]]</f>
        <v>#DIV/0!</v>
      </c>
    </row>
    <row r="17" spans="1:9" ht="18.75" customHeight="1">
      <c r="A17" s="310"/>
      <c r="B17" s="62" t="s">
        <v>182</v>
      </c>
      <c r="C17" s="62" t="s">
        <v>181</v>
      </c>
      <c r="D17" s="64">
        <v>0</v>
      </c>
      <c r="E17" s="207" t="e">
        <f>InvulRegie[[#This Row],[Prijs excl. BTW]]*Tariefsopbouw!$I$37+InvulRegie[[#This Row],[Prijs excl. BTW]]</f>
        <v>#DIV/0!</v>
      </c>
      <c r="F17" s="207" t="e">
        <f>InvulRegie[[#This Row],[2025]]*Tariefsopbouw!$K$37+InvulRegie[[#This Row],[2025]]</f>
        <v>#DIV/0!</v>
      </c>
      <c r="G17" s="207" t="e">
        <f>InvulRegie[[#This Row],[2026]]*Tariefsopbouw!$M$37+InvulRegie[[#This Row],[2026]]</f>
        <v>#DIV/0!</v>
      </c>
      <c r="H17" s="207" t="e">
        <f>InvulRegie[[#This Row],[2027]]*Tariefsopbouw!$O$37+InvulRegie[[#This Row],[2027]]</f>
        <v>#DIV/0!</v>
      </c>
      <c r="I17" s="207" t="e">
        <f>InvulRegie[[#This Row],[2028]]*Tariefsopbouw!$Q$37+InvulRegie[[#This Row],[2028]]</f>
        <v>#DIV/0!</v>
      </c>
    </row>
    <row r="18" spans="1:9" ht="18.75" customHeight="1">
      <c r="A18" s="310"/>
      <c r="B18" s="62" t="s">
        <v>183</v>
      </c>
      <c r="C18" s="62" t="s">
        <v>44</v>
      </c>
      <c r="D18" s="64">
        <v>0</v>
      </c>
      <c r="E18" s="207" t="e">
        <f>InvulRegie[[#This Row],[Prijs excl. BTW]]*Tariefsopbouw!$I$37+InvulRegie[[#This Row],[Prijs excl. BTW]]</f>
        <v>#DIV/0!</v>
      </c>
      <c r="F18" s="207" t="e">
        <f>InvulRegie[[#This Row],[2025]]*Tariefsopbouw!$K$37+InvulRegie[[#This Row],[2025]]</f>
        <v>#DIV/0!</v>
      </c>
      <c r="G18" s="207" t="e">
        <f>InvulRegie[[#This Row],[2026]]*Tariefsopbouw!$M$37+InvulRegie[[#This Row],[2026]]</f>
        <v>#DIV/0!</v>
      </c>
      <c r="H18" s="207" t="e">
        <f>InvulRegie[[#This Row],[2027]]*Tariefsopbouw!$O$37+InvulRegie[[#This Row],[2027]]</f>
        <v>#DIV/0!</v>
      </c>
      <c r="I18" s="207" t="e">
        <f>InvulRegie[[#This Row],[2028]]*Tariefsopbouw!$Q$37+InvulRegie[[#This Row],[2028]]</f>
        <v>#DIV/0!</v>
      </c>
    </row>
    <row r="19" spans="1:9" ht="18.75" customHeight="1">
      <c r="A19" s="310"/>
      <c r="B19" s="62" t="s">
        <v>238</v>
      </c>
      <c r="C19" s="62" t="s">
        <v>44</v>
      </c>
      <c r="D19" s="64">
        <v>0</v>
      </c>
      <c r="E19" s="207" t="e">
        <f>InvulRegie[[#This Row],[Prijs excl. BTW]]*Tariefsopbouw!$I$37+InvulRegie[[#This Row],[Prijs excl. BTW]]</f>
        <v>#DIV/0!</v>
      </c>
      <c r="F19" s="207" t="e">
        <f>InvulRegie[[#This Row],[2025]]*Tariefsopbouw!$K$37+InvulRegie[[#This Row],[2025]]</f>
        <v>#DIV/0!</v>
      </c>
      <c r="G19" s="207" t="e">
        <f>InvulRegie[[#This Row],[2026]]*Tariefsopbouw!$M$37+InvulRegie[[#This Row],[2026]]</f>
        <v>#DIV/0!</v>
      </c>
      <c r="H19" s="207" t="e">
        <f>InvulRegie[[#This Row],[2027]]*Tariefsopbouw!$O$37+InvulRegie[[#This Row],[2027]]</f>
        <v>#DIV/0!</v>
      </c>
      <c r="I19" s="207" t="e">
        <f>InvulRegie[[#This Row],[2028]]*Tariefsopbouw!$Q$37+InvulRegie[[#This Row],[2028]]</f>
        <v>#DIV/0!</v>
      </c>
    </row>
    <row r="20" spans="1:9" ht="18.75" customHeight="1">
      <c r="A20" s="310"/>
      <c r="B20" s="62" t="s">
        <v>184</v>
      </c>
      <c r="C20" s="62" t="s">
        <v>44</v>
      </c>
      <c r="D20" s="64">
        <v>0</v>
      </c>
      <c r="E20" s="207" t="e">
        <f>InvulRegie[[#This Row],[Prijs excl. BTW]]*Tariefsopbouw!$I$37+InvulRegie[[#This Row],[Prijs excl. BTW]]</f>
        <v>#DIV/0!</v>
      </c>
      <c r="F20" s="207" t="e">
        <f>InvulRegie[[#This Row],[2025]]*Tariefsopbouw!$K$37+InvulRegie[[#This Row],[2025]]</f>
        <v>#DIV/0!</v>
      </c>
      <c r="G20" s="207" t="e">
        <f>InvulRegie[[#This Row],[2026]]*Tariefsopbouw!$M$37+InvulRegie[[#This Row],[2026]]</f>
        <v>#DIV/0!</v>
      </c>
      <c r="H20" s="207" t="e">
        <f>InvulRegie[[#This Row],[2027]]*Tariefsopbouw!$O$37+InvulRegie[[#This Row],[2027]]</f>
        <v>#DIV/0!</v>
      </c>
      <c r="I20" s="207" t="e">
        <f>InvulRegie[[#This Row],[2028]]*Tariefsopbouw!$Q$37+InvulRegie[[#This Row],[2028]]</f>
        <v>#DIV/0!</v>
      </c>
    </row>
    <row r="21" spans="1:9" ht="18.75" customHeight="1">
      <c r="A21" s="311"/>
      <c r="B21" s="62" t="s">
        <v>185</v>
      </c>
      <c r="C21" s="62" t="s">
        <v>44</v>
      </c>
      <c r="D21" s="64">
        <v>0</v>
      </c>
      <c r="E21" s="207" t="e">
        <f>InvulRegie[[#This Row],[Prijs excl. BTW]]*Tariefsopbouw!$I$37+InvulRegie[[#This Row],[Prijs excl. BTW]]</f>
        <v>#DIV/0!</v>
      </c>
      <c r="F21" s="207" t="e">
        <f>InvulRegie[[#This Row],[2025]]*Tariefsopbouw!$K$37+InvulRegie[[#This Row],[2025]]</f>
        <v>#DIV/0!</v>
      </c>
      <c r="G21" s="207" t="e">
        <f>InvulRegie[[#This Row],[2026]]*Tariefsopbouw!$M$37+InvulRegie[[#This Row],[2026]]</f>
        <v>#DIV/0!</v>
      </c>
      <c r="H21" s="207" t="e">
        <f>InvulRegie[[#This Row],[2027]]*Tariefsopbouw!$O$37+InvulRegie[[#This Row],[2027]]</f>
        <v>#DIV/0!</v>
      </c>
      <c r="I21" s="207" t="e">
        <f>InvulRegie[[#This Row],[2028]]*Tariefsopbouw!$Q$37+InvulRegie[[#This Row],[2028]]</f>
        <v>#DIV/0!</v>
      </c>
    </row>
    <row r="22" spans="1:9" ht="18.75" customHeight="1">
      <c r="A22" s="309" t="s">
        <v>188</v>
      </c>
      <c r="B22" s="62" t="s">
        <v>54</v>
      </c>
      <c r="C22" s="62" t="s">
        <v>49</v>
      </c>
      <c r="D22" s="64">
        <v>0</v>
      </c>
      <c r="E22" s="207" t="e">
        <f>InvulRegie[[#This Row],[Prijs excl. BTW]]*Tariefsopbouw!$I$37+InvulRegie[[#This Row],[Prijs excl. BTW]]</f>
        <v>#DIV/0!</v>
      </c>
      <c r="F22" s="207" t="e">
        <f>InvulRegie[[#This Row],[2025]]*Tariefsopbouw!$K$37+InvulRegie[[#This Row],[2025]]</f>
        <v>#DIV/0!</v>
      </c>
      <c r="G22" s="207" t="e">
        <f>InvulRegie[[#This Row],[2026]]*Tariefsopbouw!$M$37+InvulRegie[[#This Row],[2026]]</f>
        <v>#DIV/0!</v>
      </c>
      <c r="H22" s="207" t="e">
        <f>InvulRegie[[#This Row],[2027]]*Tariefsopbouw!$O$37+InvulRegie[[#This Row],[2027]]</f>
        <v>#DIV/0!</v>
      </c>
      <c r="I22" s="207" t="e">
        <f>InvulRegie[[#This Row],[2028]]*Tariefsopbouw!$Q$37+InvulRegie[[#This Row],[2028]]</f>
        <v>#DIV/0!</v>
      </c>
    </row>
    <row r="23" spans="1:9" ht="18.75" customHeight="1">
      <c r="A23" s="311"/>
      <c r="B23" s="62" t="s">
        <v>45</v>
      </c>
      <c r="C23" s="62" t="s">
        <v>68</v>
      </c>
      <c r="D23" s="64">
        <v>0</v>
      </c>
      <c r="E23" s="207" t="e">
        <f>InvulRegie[[#This Row],[Prijs excl. BTW]]*Tariefsopbouw!$I$37+InvulRegie[[#This Row],[Prijs excl. BTW]]</f>
        <v>#DIV/0!</v>
      </c>
      <c r="F23" s="207" t="e">
        <f>InvulRegie[[#This Row],[2025]]*Tariefsopbouw!$K$37+InvulRegie[[#This Row],[2025]]</f>
        <v>#DIV/0!</v>
      </c>
      <c r="G23" s="207" t="e">
        <f>InvulRegie[[#This Row],[2026]]*Tariefsopbouw!$M$37+InvulRegie[[#This Row],[2026]]</f>
        <v>#DIV/0!</v>
      </c>
      <c r="H23" s="207" t="e">
        <f>InvulRegie[[#This Row],[2027]]*Tariefsopbouw!$O$37+InvulRegie[[#This Row],[2027]]</f>
        <v>#DIV/0!</v>
      </c>
      <c r="I23" s="207" t="e">
        <f>InvulRegie[[#This Row],[2028]]*Tariefsopbouw!$Q$37+InvulRegie[[#This Row],[2028]]</f>
        <v>#DIV/0!</v>
      </c>
    </row>
    <row r="24" spans="1:9" ht="18.75" customHeight="1">
      <c r="A24" s="309" t="s">
        <v>198</v>
      </c>
      <c r="B24" s="62" t="s">
        <v>189</v>
      </c>
      <c r="C24" s="62" t="s">
        <v>190</v>
      </c>
      <c r="D24" s="64">
        <v>0</v>
      </c>
      <c r="E24" s="207" t="e">
        <f>InvulRegie[[#This Row],[Prijs excl. BTW]]*Tariefsopbouw!$I$37+InvulRegie[[#This Row],[Prijs excl. BTW]]</f>
        <v>#DIV/0!</v>
      </c>
      <c r="F24" s="207" t="e">
        <f>InvulRegie[[#This Row],[2025]]*Tariefsopbouw!$K$37+InvulRegie[[#This Row],[2025]]</f>
        <v>#DIV/0!</v>
      </c>
      <c r="G24" s="207" t="e">
        <f>InvulRegie[[#This Row],[2026]]*Tariefsopbouw!$M$37+InvulRegie[[#This Row],[2026]]</f>
        <v>#DIV/0!</v>
      </c>
      <c r="H24" s="207" t="e">
        <f>InvulRegie[[#This Row],[2027]]*Tariefsopbouw!$O$37+InvulRegie[[#This Row],[2027]]</f>
        <v>#DIV/0!</v>
      </c>
      <c r="I24" s="207" t="e">
        <f>InvulRegie[[#This Row],[2028]]*Tariefsopbouw!$Q$37+InvulRegie[[#This Row],[2028]]</f>
        <v>#DIV/0!</v>
      </c>
    </row>
    <row r="25" spans="1:9" ht="18.75" customHeight="1">
      <c r="A25" s="310"/>
      <c r="B25" s="62" t="s">
        <v>231</v>
      </c>
      <c r="C25" s="62" t="s">
        <v>190</v>
      </c>
      <c r="D25" s="64">
        <v>0</v>
      </c>
      <c r="E25" s="207" t="e">
        <f>InvulRegie[[#This Row],[Prijs excl. BTW]]*Tariefsopbouw!$I$37+InvulRegie[[#This Row],[Prijs excl. BTW]]</f>
        <v>#DIV/0!</v>
      </c>
      <c r="F25" s="207" t="e">
        <f>InvulRegie[[#This Row],[2025]]*Tariefsopbouw!$K$37+InvulRegie[[#This Row],[2025]]</f>
        <v>#DIV/0!</v>
      </c>
      <c r="G25" s="207" t="e">
        <f>InvulRegie[[#This Row],[2026]]*Tariefsopbouw!$M$37+InvulRegie[[#This Row],[2026]]</f>
        <v>#DIV/0!</v>
      </c>
      <c r="H25" s="207" t="e">
        <f>InvulRegie[[#This Row],[2027]]*Tariefsopbouw!$O$37+InvulRegie[[#This Row],[2027]]</f>
        <v>#DIV/0!</v>
      </c>
      <c r="I25" s="207" t="e">
        <f>InvulRegie[[#This Row],[2028]]*Tariefsopbouw!$Q$37+InvulRegie[[#This Row],[2028]]</f>
        <v>#DIV/0!</v>
      </c>
    </row>
    <row r="26" spans="1:9" ht="18.75" customHeight="1">
      <c r="A26" s="310"/>
      <c r="B26" s="62" t="s">
        <v>233</v>
      </c>
      <c r="C26" s="62" t="s">
        <v>190</v>
      </c>
      <c r="D26" s="64">
        <v>0</v>
      </c>
      <c r="E26" s="207" t="e">
        <f>InvulRegie[[#This Row],[Prijs excl. BTW]]*Tariefsopbouw!$I$37+InvulRegie[[#This Row],[Prijs excl. BTW]]</f>
        <v>#DIV/0!</v>
      </c>
      <c r="F26" s="207" t="e">
        <f>InvulRegie[[#This Row],[2025]]*Tariefsopbouw!$K$37+InvulRegie[[#This Row],[2025]]</f>
        <v>#DIV/0!</v>
      </c>
      <c r="G26" s="207" t="e">
        <f>InvulRegie[[#This Row],[2026]]*Tariefsopbouw!$M$37+InvulRegie[[#This Row],[2026]]</f>
        <v>#DIV/0!</v>
      </c>
      <c r="H26" s="207" t="e">
        <f>InvulRegie[[#This Row],[2027]]*Tariefsopbouw!$O$37+InvulRegie[[#This Row],[2027]]</f>
        <v>#DIV/0!</v>
      </c>
      <c r="I26" s="207" t="e">
        <f>InvulRegie[[#This Row],[2028]]*Tariefsopbouw!$Q$37+InvulRegie[[#This Row],[2028]]</f>
        <v>#DIV/0!</v>
      </c>
    </row>
    <row r="27" spans="1:9" ht="18.75" customHeight="1">
      <c r="A27" s="310"/>
      <c r="B27" s="62" t="s">
        <v>232</v>
      </c>
      <c r="C27" s="62" t="s">
        <v>190</v>
      </c>
      <c r="D27" s="64">
        <v>0</v>
      </c>
      <c r="E27" s="207" t="e">
        <f>InvulRegie[[#This Row],[Prijs excl. BTW]]*Tariefsopbouw!$I$37+InvulRegie[[#This Row],[Prijs excl. BTW]]</f>
        <v>#DIV/0!</v>
      </c>
      <c r="F27" s="207" t="e">
        <f>InvulRegie[[#This Row],[2025]]*Tariefsopbouw!$K$37+InvulRegie[[#This Row],[2025]]</f>
        <v>#DIV/0!</v>
      </c>
      <c r="G27" s="207" t="e">
        <f>InvulRegie[[#This Row],[2026]]*Tariefsopbouw!$M$37+InvulRegie[[#This Row],[2026]]</f>
        <v>#DIV/0!</v>
      </c>
      <c r="H27" s="207" t="e">
        <f>InvulRegie[[#This Row],[2027]]*Tariefsopbouw!$O$37+InvulRegie[[#This Row],[2027]]</f>
        <v>#DIV/0!</v>
      </c>
      <c r="I27" s="207" t="e">
        <f>InvulRegie[[#This Row],[2028]]*Tariefsopbouw!$Q$37+InvulRegie[[#This Row],[2028]]</f>
        <v>#DIV/0!</v>
      </c>
    </row>
    <row r="28" spans="1:9" ht="18.75" customHeight="1">
      <c r="A28" s="311"/>
      <c r="B28" s="62" t="s">
        <v>48</v>
      </c>
      <c r="C28" s="62" t="s">
        <v>190</v>
      </c>
      <c r="D28" s="64">
        <v>0</v>
      </c>
      <c r="E28" s="207" t="e">
        <f>InvulRegie[[#This Row],[Prijs excl. BTW]]*Tariefsopbouw!$I$37+InvulRegie[[#This Row],[Prijs excl. BTW]]</f>
        <v>#DIV/0!</v>
      </c>
      <c r="F28" s="207" t="e">
        <f>InvulRegie[[#This Row],[2025]]*Tariefsopbouw!$K$37+InvulRegie[[#This Row],[2025]]</f>
        <v>#DIV/0!</v>
      </c>
      <c r="G28" s="207" t="e">
        <f>InvulRegie[[#This Row],[2026]]*Tariefsopbouw!$M$37+InvulRegie[[#This Row],[2026]]</f>
        <v>#DIV/0!</v>
      </c>
      <c r="H28" s="207" t="e">
        <f>InvulRegie[[#This Row],[2027]]*Tariefsopbouw!$O$37+InvulRegie[[#This Row],[2027]]</f>
        <v>#DIV/0!</v>
      </c>
      <c r="I28" s="207" t="e">
        <f>InvulRegie[[#This Row],[2028]]*Tariefsopbouw!$Q$37+InvulRegie[[#This Row],[2028]]</f>
        <v>#DIV/0!</v>
      </c>
    </row>
    <row r="29" spans="1:9" ht="18.75" customHeight="1">
      <c r="A29" s="309" t="s">
        <v>199</v>
      </c>
      <c r="B29" s="61" t="s">
        <v>200</v>
      </c>
      <c r="C29" s="62" t="s">
        <v>187</v>
      </c>
      <c r="D29" s="64">
        <v>0</v>
      </c>
      <c r="E29" s="207" t="e">
        <f>InvulRegie[[#This Row],[Prijs excl. BTW]]*Tariefsopbouw!$I$37+InvulRegie[[#This Row],[Prijs excl. BTW]]</f>
        <v>#DIV/0!</v>
      </c>
      <c r="F29" s="206" t="e">
        <f>InvulRegie[[#This Row],[2025]]*Tariefsopbouw!$K$37+InvulRegie[[#This Row],[2025]]</f>
        <v>#DIV/0!</v>
      </c>
      <c r="G29" s="207" t="e">
        <f>InvulRegie[[#This Row],[2026]]*Tariefsopbouw!$M$37+InvulRegie[[#This Row],[2026]]</f>
        <v>#DIV/0!</v>
      </c>
      <c r="H29" s="207" t="e">
        <f>InvulRegie[[#This Row],[2027]]*Tariefsopbouw!$O$37+InvulRegie[[#This Row],[2027]]</f>
        <v>#DIV/0!</v>
      </c>
      <c r="I29" s="207" t="e">
        <f>InvulRegie[[#This Row],[2028]]*Tariefsopbouw!$Q$37+InvulRegie[[#This Row],[2028]]</f>
        <v>#DIV/0!</v>
      </c>
    </row>
    <row r="30" spans="1:9" ht="18.75" customHeight="1">
      <c r="A30" s="310"/>
      <c r="B30" s="61" t="s">
        <v>201</v>
      </c>
      <c r="C30" s="62" t="s">
        <v>187</v>
      </c>
      <c r="D30" s="64">
        <v>0</v>
      </c>
      <c r="E30" s="207" t="e">
        <f>InvulRegie[[#This Row],[Prijs excl. BTW]]*Tariefsopbouw!$I$37+InvulRegie[[#This Row],[Prijs excl. BTW]]</f>
        <v>#DIV/0!</v>
      </c>
      <c r="F30" s="206" t="e">
        <f>InvulRegie[[#This Row],[2025]]*Tariefsopbouw!$K$37+InvulRegie[[#This Row],[2025]]</f>
        <v>#DIV/0!</v>
      </c>
      <c r="G30" s="207" t="e">
        <f>InvulRegie[[#This Row],[2026]]*Tariefsopbouw!$M$37+InvulRegie[[#This Row],[2026]]</f>
        <v>#DIV/0!</v>
      </c>
      <c r="H30" s="207" t="e">
        <f>InvulRegie[[#This Row],[2027]]*Tariefsopbouw!$O$37+InvulRegie[[#This Row],[2027]]</f>
        <v>#DIV/0!</v>
      </c>
      <c r="I30" s="207" t="e">
        <f>InvulRegie[[#This Row],[2028]]*Tariefsopbouw!$Q$37+InvulRegie[[#This Row],[2028]]</f>
        <v>#DIV/0!</v>
      </c>
    </row>
    <row r="31" spans="1:9" ht="18.75" customHeight="1">
      <c r="A31" s="311"/>
      <c r="B31" s="61" t="s">
        <v>202</v>
      </c>
      <c r="C31" s="62" t="s">
        <v>187</v>
      </c>
      <c r="D31" s="64">
        <v>0</v>
      </c>
      <c r="E31" s="207" t="e">
        <f>InvulRegie[[#This Row],[Prijs excl. BTW]]*Tariefsopbouw!$I$37+InvulRegie[[#This Row],[Prijs excl. BTW]]</f>
        <v>#DIV/0!</v>
      </c>
      <c r="F31" s="206" t="e">
        <f>InvulRegie[[#This Row],[2025]]*Tariefsopbouw!$K$37+InvulRegie[[#This Row],[2025]]</f>
        <v>#DIV/0!</v>
      </c>
      <c r="G31" s="207" t="e">
        <f>InvulRegie[[#This Row],[2026]]*Tariefsopbouw!$M$37+InvulRegie[[#This Row],[2026]]</f>
        <v>#DIV/0!</v>
      </c>
      <c r="H31" s="207" t="e">
        <f>InvulRegie[[#This Row],[2027]]*Tariefsopbouw!$O$37+InvulRegie[[#This Row],[2027]]</f>
        <v>#DIV/0!</v>
      </c>
      <c r="I31" s="207" t="e">
        <f>InvulRegie[[#This Row],[2028]]*Tariefsopbouw!$Q$37+InvulRegie[[#This Row],[2028]]</f>
        <v>#DIV/0!</v>
      </c>
    </row>
    <row r="32" spans="1:9" ht="18.75" customHeight="1">
      <c r="A32" s="309" t="s">
        <v>195</v>
      </c>
      <c r="B32" s="62" t="s">
        <v>50</v>
      </c>
      <c r="C32" s="62" t="s">
        <v>49</v>
      </c>
      <c r="D32" s="64">
        <v>0</v>
      </c>
      <c r="E32" s="207" t="e">
        <f>InvulRegie[[#This Row],[Prijs excl. BTW]]*Tariefsopbouw!$I$37+InvulRegie[[#This Row],[Prijs excl. BTW]]</f>
        <v>#DIV/0!</v>
      </c>
      <c r="F32" s="207" t="e">
        <f>InvulRegie[[#This Row],[2025]]*Tariefsopbouw!$K$37+InvulRegie[[#This Row],[2025]]</f>
        <v>#DIV/0!</v>
      </c>
      <c r="G32" s="207" t="e">
        <f>InvulRegie[[#This Row],[2026]]*Tariefsopbouw!$M$37+InvulRegie[[#This Row],[2026]]</f>
        <v>#DIV/0!</v>
      </c>
      <c r="H32" s="207" t="e">
        <f>InvulRegie[[#This Row],[2027]]*Tariefsopbouw!$O$37+InvulRegie[[#This Row],[2027]]</f>
        <v>#DIV/0!</v>
      </c>
      <c r="I32" s="207" t="e">
        <f>InvulRegie[[#This Row],[2028]]*Tariefsopbouw!$Q$37+InvulRegie[[#This Row],[2028]]</f>
        <v>#DIV/0!</v>
      </c>
    </row>
    <row r="33" spans="1:9" ht="18.75" customHeight="1">
      <c r="A33" s="310"/>
      <c r="B33" s="62" t="s">
        <v>51</v>
      </c>
      <c r="C33" s="62" t="s">
        <v>49</v>
      </c>
      <c r="D33" s="64">
        <v>0</v>
      </c>
      <c r="E33" s="207" t="e">
        <f>InvulRegie[[#This Row],[Prijs excl. BTW]]*Tariefsopbouw!$I$37+InvulRegie[[#This Row],[Prijs excl. BTW]]</f>
        <v>#DIV/0!</v>
      </c>
      <c r="F33" s="207" t="e">
        <f>InvulRegie[[#This Row],[2025]]*Tariefsopbouw!$K$37+InvulRegie[[#This Row],[2025]]</f>
        <v>#DIV/0!</v>
      </c>
      <c r="G33" s="207" t="e">
        <f>InvulRegie[[#This Row],[2026]]*Tariefsopbouw!$M$37+InvulRegie[[#This Row],[2026]]</f>
        <v>#DIV/0!</v>
      </c>
      <c r="H33" s="207" t="e">
        <f>InvulRegie[[#This Row],[2027]]*Tariefsopbouw!$O$37+InvulRegie[[#This Row],[2027]]</f>
        <v>#DIV/0!</v>
      </c>
      <c r="I33" s="207" t="e">
        <f>InvulRegie[[#This Row],[2028]]*Tariefsopbouw!$Q$37+InvulRegie[[#This Row],[2028]]</f>
        <v>#DIV/0!</v>
      </c>
    </row>
    <row r="34" spans="1:9" ht="18.75" customHeight="1">
      <c r="A34" s="310"/>
      <c r="B34" s="62" t="s">
        <v>52</v>
      </c>
      <c r="C34" s="62" t="s">
        <v>49</v>
      </c>
      <c r="D34" s="64">
        <v>0</v>
      </c>
      <c r="E34" s="207" t="e">
        <f>InvulRegie[[#This Row],[Prijs excl. BTW]]*Tariefsopbouw!$I$37+InvulRegie[[#This Row],[Prijs excl. BTW]]</f>
        <v>#DIV/0!</v>
      </c>
      <c r="F34" s="207" t="e">
        <f>InvulRegie[[#This Row],[2025]]*Tariefsopbouw!$K$37+InvulRegie[[#This Row],[2025]]</f>
        <v>#DIV/0!</v>
      </c>
      <c r="G34" s="207" t="e">
        <f>InvulRegie[[#This Row],[2026]]*Tariefsopbouw!$M$37+InvulRegie[[#This Row],[2026]]</f>
        <v>#DIV/0!</v>
      </c>
      <c r="H34" s="207" t="e">
        <f>InvulRegie[[#This Row],[2027]]*Tariefsopbouw!$O$37+InvulRegie[[#This Row],[2027]]</f>
        <v>#DIV/0!</v>
      </c>
      <c r="I34" s="207" t="e">
        <f>InvulRegie[[#This Row],[2028]]*Tariefsopbouw!$Q$37+InvulRegie[[#This Row],[2028]]</f>
        <v>#DIV/0!</v>
      </c>
    </row>
    <row r="35" spans="1:9" ht="18.75" customHeight="1">
      <c r="A35" s="310"/>
      <c r="B35" s="62" t="s">
        <v>53</v>
      </c>
      <c r="C35" s="62" t="s">
        <v>49</v>
      </c>
      <c r="D35" s="64">
        <v>0</v>
      </c>
      <c r="E35" s="207" t="e">
        <f>InvulRegie[[#This Row],[Prijs excl. BTW]]*Tariefsopbouw!$I$37+InvulRegie[[#This Row],[Prijs excl. BTW]]</f>
        <v>#DIV/0!</v>
      </c>
      <c r="F35" s="207" t="e">
        <f>InvulRegie[[#This Row],[2025]]*Tariefsopbouw!$K$37+InvulRegie[[#This Row],[2025]]</f>
        <v>#DIV/0!</v>
      </c>
      <c r="G35" s="207" t="e">
        <f>InvulRegie[[#This Row],[2026]]*Tariefsopbouw!$M$37+InvulRegie[[#This Row],[2026]]</f>
        <v>#DIV/0!</v>
      </c>
      <c r="H35" s="207" t="e">
        <f>InvulRegie[[#This Row],[2027]]*Tariefsopbouw!$O$37+InvulRegie[[#This Row],[2027]]</f>
        <v>#DIV/0!</v>
      </c>
      <c r="I35" s="207" t="e">
        <f>InvulRegie[[#This Row],[2028]]*Tariefsopbouw!$Q$37+InvulRegie[[#This Row],[2028]]</f>
        <v>#DIV/0!</v>
      </c>
    </row>
    <row r="36" spans="1:9" ht="18.75" customHeight="1">
      <c r="A36" s="311"/>
      <c r="B36" s="62" t="s">
        <v>46</v>
      </c>
      <c r="C36" s="62" t="s">
        <v>47</v>
      </c>
      <c r="D36" s="64">
        <v>0</v>
      </c>
      <c r="E36" s="207" t="e">
        <f>InvulRegie[[#This Row],[Prijs excl. BTW]]*Tariefsopbouw!$I$37+InvulRegie[[#This Row],[Prijs excl. BTW]]</f>
        <v>#DIV/0!</v>
      </c>
      <c r="F36" s="207" t="e">
        <f>InvulRegie[[#This Row],[2025]]*Tariefsopbouw!$K$37+InvulRegie[[#This Row],[2025]]</f>
        <v>#DIV/0!</v>
      </c>
      <c r="G36" s="207" t="e">
        <f>InvulRegie[[#This Row],[2026]]*Tariefsopbouw!$M$37+InvulRegie[[#This Row],[2026]]</f>
        <v>#DIV/0!</v>
      </c>
      <c r="H36" s="207" t="e">
        <f>InvulRegie[[#This Row],[2027]]*Tariefsopbouw!$O$37+InvulRegie[[#This Row],[2027]]</f>
        <v>#DIV/0!</v>
      </c>
      <c r="I36" s="207" t="e">
        <f>InvulRegie[[#This Row],[2028]]*Tariefsopbouw!$Q$37+InvulRegie[[#This Row],[2028]]</f>
        <v>#DIV/0!</v>
      </c>
    </row>
    <row r="37" spans="1:9" s="139" customFormat="1" ht="26.25" customHeight="1">
      <c r="A37" s="138"/>
      <c r="B37" s="203" t="s">
        <v>33</v>
      </c>
      <c r="C37" s="203"/>
      <c r="D37" s="203"/>
      <c r="E37" s="203"/>
      <c r="F37" s="203"/>
      <c r="G37" s="203"/>
      <c r="H37" s="203"/>
      <c r="I37" s="203"/>
    </row>
  </sheetData>
  <mergeCells count="8">
    <mergeCell ref="A9:A14"/>
    <mergeCell ref="A1:D1"/>
    <mergeCell ref="A2:D2"/>
    <mergeCell ref="A32:A36"/>
    <mergeCell ref="A24:A28"/>
    <mergeCell ref="A29:A31"/>
    <mergeCell ref="A15:A21"/>
    <mergeCell ref="A22:A2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headerFooter alignWithMargins="0">
    <oddFooter>&amp;L&amp;F&amp;C&amp;D&amp;R&amp;A</oddFooter>
  </headerFooter>
  <rowBreaks count="1" manualBreakCount="1">
    <brk id="39" max="1638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I23"/>
  <sheetViews>
    <sheetView showGridLines="0" tabSelected="1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28.42578125" style="130" customWidth="1"/>
    <col min="3" max="7" width="23.28515625" style="3" customWidth="1"/>
    <col min="8" max="8" width="20.140625" style="3" bestFit="1" customWidth="1"/>
    <col min="9" max="10" width="15.85546875" style="3" customWidth="1"/>
    <col min="11" max="16384" width="9.140625" style="3"/>
  </cols>
  <sheetData>
    <row r="1" spans="1:9" s="7" customFormat="1" ht="25.5" customHeight="1">
      <c r="A1" s="282" t="s">
        <v>213</v>
      </c>
      <c r="B1" s="282"/>
      <c r="C1" s="282"/>
      <c r="D1" s="282"/>
      <c r="E1" s="282"/>
      <c r="F1" s="282"/>
      <c r="G1" s="282"/>
      <c r="H1" s="282"/>
    </row>
    <row r="2" spans="1:9" ht="9.75" customHeight="1">
      <c r="A2" s="130"/>
      <c r="B2" s="3"/>
    </row>
    <row r="3" spans="1:9" ht="26.25" customHeight="1">
      <c r="A3" s="72" t="s">
        <v>223</v>
      </c>
      <c r="B3" s="3"/>
    </row>
    <row r="4" spans="1:9" s="36" customFormat="1" ht="25.5" customHeight="1">
      <c r="A4" s="126" t="s">
        <v>208</v>
      </c>
      <c r="B4" s="127" t="s">
        <v>142</v>
      </c>
      <c r="C4" s="126" t="s">
        <v>160</v>
      </c>
      <c r="D4" s="128" t="s">
        <v>124</v>
      </c>
      <c r="E4" s="128" t="s">
        <v>161</v>
      </c>
      <c r="F4" s="126" t="s">
        <v>123</v>
      </c>
      <c r="G4" s="129" t="s">
        <v>162</v>
      </c>
      <c r="H4" s="37" t="s">
        <v>163</v>
      </c>
    </row>
    <row r="5" spans="1:9" ht="18.75" customHeight="1">
      <c r="A5" s="226">
        <v>1</v>
      </c>
      <c r="B5" s="225" t="str">
        <f>VLOOKUP(Samenvattingschoonmaak[[#This Row],[Code Locatie]],Locaties[],2,0)</f>
        <v>Hoofdgebouw</v>
      </c>
      <c r="C5" s="232">
        <f>SUMIF('Ruimtestaat'!$A:$A,Totalisatie!$A5,'Ruimtestaat'!$N:$N)</f>
        <v>4792.2599999999984</v>
      </c>
      <c r="D5" s="232">
        <f>SUMIF('Ruimtestaat'!$A:$A,Totalisatie!$A5,'Ruimtestaat'!$AE:$AE)</f>
        <v>1210697.2</v>
      </c>
      <c r="E5" s="233">
        <f>SUMIF('Ruimtestaat'!$A:$A,Totalisatie!$A5,'Ruimtestaat'!$AF:$AF)</f>
        <v>0</v>
      </c>
      <c r="F5" s="234" t="e">
        <f t="shared" ref="F5" si="0">D5/E5</f>
        <v>#DIV/0!</v>
      </c>
      <c r="G5" s="235">
        <f>SUMIF('Ruimtestaat'!$A:$A,Totalisatie!$A5,'Ruimtestaat'!$AG:$AG)</f>
        <v>0</v>
      </c>
      <c r="H5" s="236">
        <f t="shared" ref="H5" si="1">G5/C5</f>
        <v>0</v>
      </c>
    </row>
    <row r="6" spans="1:9" ht="18.75" customHeight="1">
      <c r="A6" s="226">
        <v>2</v>
      </c>
      <c r="B6" s="225" t="str">
        <f>VLOOKUP(Samenvattingschoonmaak[[#This Row],[Code Locatie]],Locaties[],2,0)</f>
        <v>Magazijn</v>
      </c>
      <c r="C6" s="232">
        <f>SUMIF('Ruimtestaat'!$A:$A,Totalisatie!$A6,'Ruimtestaat'!$N:$N)</f>
        <v>631.6</v>
      </c>
      <c r="D6" s="232">
        <f>SUMIF('Ruimtestaat'!$A:$A,Totalisatie!$A6,'Ruimtestaat'!$AE:$AE)</f>
        <v>164216</v>
      </c>
      <c r="E6" s="233">
        <f>SUMIF('Ruimtestaat'!$A:$A,Totalisatie!$A6,'Ruimtestaat'!$AF:$AF)</f>
        <v>0</v>
      </c>
      <c r="F6" s="234" t="e">
        <f t="shared" ref="F6:F7" si="2">D6/E6</f>
        <v>#DIV/0!</v>
      </c>
      <c r="G6" s="235">
        <f>SUMIF('Ruimtestaat'!$A:$A,Totalisatie!$A6,'Ruimtestaat'!$AG:$AG)</f>
        <v>0</v>
      </c>
      <c r="H6" s="236">
        <f t="shared" ref="H6:H7" si="3">G6/C6</f>
        <v>0</v>
      </c>
    </row>
    <row r="7" spans="1:9" ht="18.75" customHeight="1">
      <c r="A7" s="226">
        <v>3</v>
      </c>
      <c r="B7" s="225" t="str">
        <f>VLOOKUP(Samenvattingschoonmaak[[#This Row],[Code Locatie]],Locaties[],2,0)</f>
        <v>Werkplaats</v>
      </c>
      <c r="C7" s="232">
        <f>SUMIF('Ruimtestaat'!$A:$A,Totalisatie!$A7,'Ruimtestaat'!$N:$N)</f>
        <v>0</v>
      </c>
      <c r="D7" s="232">
        <f>SUMIF('Ruimtestaat'!$A:$A,Totalisatie!$A7,'Ruimtestaat'!$AE:$AE)</f>
        <v>0</v>
      </c>
      <c r="E7" s="233">
        <f>SUMIF('Ruimtestaat'!$A:$A,Totalisatie!$A7,'Ruimtestaat'!$AF:$AF)</f>
        <v>0</v>
      </c>
      <c r="F7" s="234" t="e">
        <f t="shared" si="2"/>
        <v>#DIV/0!</v>
      </c>
      <c r="G7" s="235">
        <f>SUMIF('Ruimtestaat'!$A:$A,Totalisatie!$A7,'Ruimtestaat'!$AG:$AG)</f>
        <v>0</v>
      </c>
      <c r="H7" s="236" t="e">
        <f t="shared" si="3"/>
        <v>#DIV/0!</v>
      </c>
    </row>
    <row r="8" spans="1:9" s="36" customFormat="1" ht="18.75" customHeight="1">
      <c r="A8" s="148"/>
      <c r="B8" s="149" t="s">
        <v>33</v>
      </c>
      <c r="C8" s="229">
        <f>SUBTOTAL(109,Samenvattingschoonmaak[Oppervlakte i/o])</f>
        <v>5423.8599999999988</v>
      </c>
      <c r="D8" s="229">
        <f>SUBTOTAL(109,Samenvattingschoonmaak[Prest. (m2 /jaar)])</f>
        <v>1374913.2</v>
      </c>
      <c r="E8" s="230">
        <f>SUBTOTAL(109,Samenvattingschoonmaak[Uren / jaar])</f>
        <v>0</v>
      </c>
      <c r="F8" s="229" t="e">
        <f>Samenvattingschoonmaak[[#Totals],[Prest. (m2 /jaar)]]/Samenvattingschoonmaak[[#Totals],[Uren / jaar]]</f>
        <v>#DIV/0!</v>
      </c>
      <c r="G8" s="150">
        <f>SUBTOTAL(109,Samenvattingschoonmaak[Kosten / jaar])</f>
        <v>0</v>
      </c>
      <c r="H8" s="231">
        <f>Samenvattingschoonmaak[[#Totals],[Kosten / jaar]]/Samenvattingschoonmaak[[#Totals],[Oppervlakte i/o]]</f>
        <v>0</v>
      </c>
    </row>
    <row r="9" spans="1:9" ht="18.75" customHeight="1">
      <c r="A9" s="130"/>
      <c r="B9" s="3"/>
    </row>
    <row r="10" spans="1:9" ht="18.75" customHeight="1">
      <c r="A10" s="72" t="s">
        <v>166</v>
      </c>
      <c r="B10" s="35"/>
      <c r="C10" s="35"/>
      <c r="D10" s="35"/>
      <c r="E10" s="35"/>
      <c r="F10" s="35"/>
      <c r="G10" s="35"/>
      <c r="H10" s="35"/>
    </row>
    <row r="11" spans="1:9" ht="25.5" customHeight="1">
      <c r="A11" s="126" t="s">
        <v>208</v>
      </c>
      <c r="B11" s="127" t="s">
        <v>215</v>
      </c>
      <c r="C11" s="126" t="s">
        <v>168</v>
      </c>
      <c r="D11" s="129" t="s">
        <v>164</v>
      </c>
      <c r="E11" s="129" t="s">
        <v>428</v>
      </c>
      <c r="F11" s="129" t="s">
        <v>165</v>
      </c>
      <c r="G11" s="129" t="s">
        <v>214</v>
      </c>
    </row>
    <row r="12" spans="1:9" ht="18.75" customHeight="1">
      <c r="A12" s="226">
        <v>1</v>
      </c>
      <c r="B12" s="225" t="str">
        <f>VLOOKUP(Totalisatie[[#This Row],[Code Locatie]],Locaties[],2,0)</f>
        <v>Hoofdgebouw</v>
      </c>
      <c r="C12" s="235">
        <f>SUMIF('Ruimtestaat'!A:A,Totalisatie[[#This Row],[Code Locatie]],'Ruimtestaat'!AG:AG)</f>
        <v>0</v>
      </c>
      <c r="D12" s="11">
        <f>SUMIF(Vloeronderhoud!$A$21:$A$28,Totalisatie[[#This Row],[Code Locatie]],Vloeronderhoud!$H$21:$H$28)</f>
        <v>0</v>
      </c>
      <c r="E12" s="11">
        <f>SUMIF(Glasbewassing!$A$24:$A$40,Totalisatie[[#This Row],[Code Locatie]],Glasbewassing!$G$24:$G$40)</f>
        <v>0</v>
      </c>
      <c r="F12" s="235">
        <f>SUMIF(OverzichtExtra[Code Locatie],Totalisatie[[#This Row],[Code Locatie]],OverzichtExtra[Kosten/jaar excl. BTW])</f>
        <v>0</v>
      </c>
      <c r="G12" s="235">
        <f>SUM(Totalisatie[[#This Row],[Schoonmaakonderhoud
Kosten / jaar]:[Extra Werkzaamheden
Kosten / jaar]])</f>
        <v>0</v>
      </c>
      <c r="I12" s="163"/>
    </row>
    <row r="13" spans="1:9" ht="18.75" customHeight="1">
      <c r="A13" s="226">
        <v>2</v>
      </c>
      <c r="B13" s="225" t="str">
        <f>VLOOKUP(Totalisatie[[#This Row],[Code Locatie]],Locaties[],2,0)</f>
        <v>Magazijn</v>
      </c>
      <c r="C13" s="235">
        <f>SUMIF('Ruimtestaat'!A:A,Totalisatie[[#This Row],[Code Locatie]],'Ruimtestaat'!AG:AG)</f>
        <v>0</v>
      </c>
      <c r="D13" s="11">
        <f>SUMIF(Vloeronderhoud!$A$21:$A$28,Totalisatie[[#This Row],[Code Locatie]],Vloeronderhoud!$H$21:$H$28)</f>
        <v>0</v>
      </c>
      <c r="E13" s="11">
        <f>SUMIF(Glasbewassing!$A$24:$A$40,Totalisatie[[#This Row],[Code Locatie]],Glasbewassing!$G$24:$G$40)</f>
        <v>0</v>
      </c>
      <c r="F13" s="235">
        <f>SUMIF(OverzichtExtra[Code Locatie],Totalisatie[[#This Row],[Code Locatie]],OverzichtExtra[Kosten/jaar excl. BTW])</f>
        <v>0</v>
      </c>
      <c r="G13" s="235">
        <f>SUM(Totalisatie[[#This Row],[Schoonmaakonderhoud
Kosten / jaar]:[Extra Werkzaamheden
Kosten / jaar]])</f>
        <v>0</v>
      </c>
      <c r="I13" s="163"/>
    </row>
    <row r="14" spans="1:9" ht="18.75" customHeight="1">
      <c r="A14" s="226">
        <v>3</v>
      </c>
      <c r="B14" s="225" t="str">
        <f>VLOOKUP(Totalisatie[[#This Row],[Code Locatie]],Locaties[],2,0)</f>
        <v>Werkplaats</v>
      </c>
      <c r="C14" s="235">
        <f>SUMIF('Ruimtestaat'!A:A,Totalisatie[[#This Row],[Code Locatie]],'Ruimtestaat'!AG:AG)</f>
        <v>0</v>
      </c>
      <c r="D14" s="11">
        <f>SUMIF(Vloeronderhoud!$A$21:$A$28,Totalisatie[[#This Row],[Code Locatie]],Vloeronderhoud!$H$21:$H$28)</f>
        <v>0</v>
      </c>
      <c r="E14" s="11">
        <f>SUMIF(Glasbewassing!$A$24:$A$40,Totalisatie[[#This Row],[Code Locatie]],Glasbewassing!$G$24:$G$40)</f>
        <v>0</v>
      </c>
      <c r="F14" s="235">
        <f>SUMIF(OverzichtExtra[Code Locatie],Totalisatie[[#This Row],[Code Locatie]],OverzichtExtra[Kosten/jaar excl. BTW])</f>
        <v>0</v>
      </c>
      <c r="G14" s="235">
        <f>SUM(Totalisatie[[#This Row],[Schoonmaakonderhoud
Kosten / jaar]:[Extra Werkzaamheden
Kosten / jaar]])</f>
        <v>0</v>
      </c>
      <c r="I14" s="163"/>
    </row>
    <row r="15" spans="1:9" ht="18.75" customHeight="1">
      <c r="A15" s="148"/>
      <c r="B15" s="149" t="s">
        <v>33</v>
      </c>
      <c r="C15" s="150">
        <f>SUBTOTAL(109,Totalisatie[Schoonmaakonderhoud
Kosten / jaar])</f>
        <v>0</v>
      </c>
      <c r="D15" s="150">
        <f>SUBTOTAL(109,Totalisatie[Vloeronderhoud
Kosten / jaar])</f>
        <v>0</v>
      </c>
      <c r="E15" s="150">
        <f>OverzichtGlas[[#Totals],[Kosten/jaar excl. BTW]]</f>
        <v>0</v>
      </c>
      <c r="F15" s="150">
        <f>SUBTOTAL(109,Totalisatie[Extra Werkzaamheden
Kosten / jaar])</f>
        <v>0</v>
      </c>
      <c r="G15" s="150">
        <f>SUBTOTAL(109,Totalisatie[Totaalprijs
Kosten / jaar])</f>
        <v>0</v>
      </c>
    </row>
    <row r="16" spans="1:9" ht="18.75" customHeight="1">
      <c r="A16" s="130"/>
      <c r="B16" s="3"/>
      <c r="H16" s="35"/>
    </row>
    <row r="17" spans="1:8" ht="37.5" customHeight="1">
      <c r="A17" s="72" t="s">
        <v>216</v>
      </c>
      <c r="B17" s="3"/>
      <c r="H17" s="146"/>
    </row>
    <row r="18" spans="1:8" ht="26.25" customHeight="1">
      <c r="A18" s="321" t="s">
        <v>220</v>
      </c>
      <c r="B18" s="322"/>
      <c r="C18" s="323"/>
      <c r="D18" s="323"/>
      <c r="E18" s="323"/>
      <c r="F18" s="323"/>
      <c r="G18" s="324"/>
    </row>
    <row r="19" spans="1:8" ht="18.75" customHeight="1">
      <c r="A19" s="131" t="s">
        <v>128</v>
      </c>
      <c r="B19" s="312"/>
      <c r="C19" s="314"/>
      <c r="D19" s="131" t="s">
        <v>128</v>
      </c>
      <c r="E19" s="312" t="s">
        <v>225</v>
      </c>
      <c r="F19" s="313"/>
      <c r="G19" s="314"/>
    </row>
    <row r="20" spans="1:8" ht="18.75" customHeight="1">
      <c r="A20" s="132" t="s">
        <v>217</v>
      </c>
      <c r="B20" s="315"/>
      <c r="C20" s="317"/>
      <c r="D20" s="132" t="s">
        <v>217</v>
      </c>
      <c r="E20" s="315" t="s">
        <v>225</v>
      </c>
      <c r="F20" s="316"/>
      <c r="G20" s="317"/>
    </row>
    <row r="21" spans="1:8" ht="18.75" customHeight="1">
      <c r="A21" s="131" t="s">
        <v>218</v>
      </c>
      <c r="B21" s="312"/>
      <c r="C21" s="314"/>
      <c r="D21" s="131" t="s">
        <v>218</v>
      </c>
      <c r="E21" s="312" t="s">
        <v>225</v>
      </c>
      <c r="F21" s="313"/>
      <c r="G21" s="314"/>
    </row>
    <row r="22" spans="1:8" ht="84.75" customHeight="1">
      <c r="A22" s="132" t="s">
        <v>219</v>
      </c>
      <c r="B22" s="315" t="s">
        <v>225</v>
      </c>
      <c r="C22" s="317"/>
      <c r="D22" s="132" t="s">
        <v>219</v>
      </c>
      <c r="E22" s="318" t="s">
        <v>225</v>
      </c>
      <c r="F22" s="319"/>
      <c r="G22" s="320"/>
    </row>
    <row r="23" spans="1:8" ht="18.75" customHeight="1">
      <c r="A23" s="131" t="s">
        <v>222</v>
      </c>
      <c r="B23" s="133"/>
      <c r="C23" s="134"/>
      <c r="D23" s="135"/>
      <c r="E23" s="136"/>
      <c r="F23" s="136"/>
      <c r="G23" s="137"/>
    </row>
  </sheetData>
  <mergeCells count="11">
    <mergeCell ref="A1:H1"/>
    <mergeCell ref="E19:G19"/>
    <mergeCell ref="E20:G20"/>
    <mergeCell ref="E21:G21"/>
    <mergeCell ref="E22:G22"/>
    <mergeCell ref="A18:B18"/>
    <mergeCell ref="C18:G18"/>
    <mergeCell ref="B19:C19"/>
    <mergeCell ref="B20:C20"/>
    <mergeCell ref="B21:C21"/>
    <mergeCell ref="B22:C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Normal="100" zoomScaleSheetLayoutView="100" workbookViewId="0">
      <selection sqref="A1:D1"/>
    </sheetView>
  </sheetViews>
  <sheetFormatPr defaultColWidth="9" defaultRowHeight="15" customHeight="1"/>
  <cols>
    <col min="1" max="1" width="38" style="243" customWidth="1"/>
    <col min="2" max="2" width="16.5703125" style="243" bestFit="1" customWidth="1"/>
    <col min="3" max="3" width="32.140625" style="243" customWidth="1"/>
    <col min="4" max="4" width="54" style="243" customWidth="1"/>
    <col min="5" max="16384" width="9" style="238"/>
  </cols>
  <sheetData>
    <row r="1" spans="1:4" ht="11.45" customHeight="1">
      <c r="A1" s="262" t="s">
        <v>252</v>
      </c>
      <c r="B1" s="263"/>
      <c r="C1" s="263"/>
      <c r="D1" s="264"/>
    </row>
    <row r="2" spans="1:4" ht="11.25">
      <c r="A2" s="176" t="s">
        <v>253</v>
      </c>
      <c r="B2" s="176" t="s">
        <v>254</v>
      </c>
      <c r="C2" s="176" t="s">
        <v>255</v>
      </c>
      <c r="D2" s="176" t="s">
        <v>256</v>
      </c>
    </row>
    <row r="3" spans="1:4" ht="11.25">
      <c r="A3" s="176"/>
      <c r="B3" s="176"/>
      <c r="C3" s="176"/>
      <c r="D3" s="176" t="s">
        <v>257</v>
      </c>
    </row>
    <row r="4" spans="1:4" ht="11.25">
      <c r="A4" s="176" t="s">
        <v>258</v>
      </c>
      <c r="B4" s="176"/>
      <c r="C4" s="176"/>
      <c r="D4" s="176"/>
    </row>
    <row r="5" spans="1:4" ht="33.75">
      <c r="A5" s="239" t="s">
        <v>259</v>
      </c>
      <c r="B5" s="239"/>
      <c r="C5" s="240" t="s">
        <v>260</v>
      </c>
      <c r="D5" s="240"/>
    </row>
    <row r="6" spans="1:4" ht="22.5">
      <c r="A6" s="239" t="s">
        <v>387</v>
      </c>
      <c r="B6" s="239" t="s">
        <v>271</v>
      </c>
      <c r="C6" s="240" t="s">
        <v>263</v>
      </c>
      <c r="D6" s="240" t="s">
        <v>388</v>
      </c>
    </row>
    <row r="7" spans="1:4" ht="22.5">
      <c r="A7" s="239" t="s">
        <v>261</v>
      </c>
      <c r="B7" s="239" t="s">
        <v>262</v>
      </c>
      <c r="C7" s="240" t="s">
        <v>263</v>
      </c>
      <c r="D7" s="240" t="s">
        <v>264</v>
      </c>
    </row>
    <row r="8" spans="1:4" ht="22.5">
      <c r="A8" s="239" t="s">
        <v>265</v>
      </c>
      <c r="B8" s="239" t="s">
        <v>262</v>
      </c>
      <c r="C8" s="240" t="s">
        <v>263</v>
      </c>
      <c r="D8" s="240" t="s">
        <v>266</v>
      </c>
    </row>
    <row r="9" spans="1:4" ht="33.75">
      <c r="A9" s="239" t="s">
        <v>267</v>
      </c>
      <c r="B9" s="239" t="s">
        <v>268</v>
      </c>
      <c r="C9" s="240" t="s">
        <v>269</v>
      </c>
      <c r="D9" s="240" t="s">
        <v>270</v>
      </c>
    </row>
    <row r="10" spans="1:4" ht="33.75">
      <c r="A10" s="239" t="s">
        <v>267</v>
      </c>
      <c r="B10" s="239" t="s">
        <v>271</v>
      </c>
      <c r="C10" s="240" t="s">
        <v>272</v>
      </c>
      <c r="D10" s="240" t="s">
        <v>270</v>
      </c>
    </row>
    <row r="11" spans="1:4" ht="11.25">
      <c r="A11" s="239" t="s">
        <v>273</v>
      </c>
      <c r="B11" s="239" t="s">
        <v>271</v>
      </c>
      <c r="C11" s="240" t="s">
        <v>274</v>
      </c>
      <c r="D11" s="240"/>
    </row>
    <row r="12" spans="1:4" ht="22.5">
      <c r="A12" s="239" t="s">
        <v>275</v>
      </c>
      <c r="B12" s="239" t="s">
        <v>262</v>
      </c>
      <c r="C12" s="240" t="s">
        <v>263</v>
      </c>
      <c r="D12" s="240" t="s">
        <v>276</v>
      </c>
    </row>
    <row r="13" spans="1:4" ht="22.5">
      <c r="A13" s="239" t="s">
        <v>277</v>
      </c>
      <c r="B13" s="239" t="s">
        <v>262</v>
      </c>
      <c r="C13" s="240" t="s">
        <v>263</v>
      </c>
      <c r="D13" s="239" t="s">
        <v>278</v>
      </c>
    </row>
    <row r="14" spans="1:4" ht="22.5">
      <c r="A14" s="241" t="s">
        <v>279</v>
      </c>
      <c r="B14" s="241" t="s">
        <v>262</v>
      </c>
      <c r="C14" s="242" t="s">
        <v>263</v>
      </c>
      <c r="D14" s="242" t="s">
        <v>280</v>
      </c>
    </row>
    <row r="15" spans="1:4" ht="22.5">
      <c r="A15" s="239" t="s">
        <v>281</v>
      </c>
      <c r="B15" s="239" t="s">
        <v>262</v>
      </c>
      <c r="C15" s="240" t="s">
        <v>263</v>
      </c>
      <c r="D15" s="240" t="s">
        <v>282</v>
      </c>
    </row>
    <row r="16" spans="1:4" ht="22.5">
      <c r="A16" s="239" t="s">
        <v>283</v>
      </c>
      <c r="B16" s="239" t="s">
        <v>271</v>
      </c>
      <c r="C16" s="240" t="s">
        <v>263</v>
      </c>
      <c r="D16" s="240" t="s">
        <v>284</v>
      </c>
    </row>
    <row r="17" spans="1:4" ht="22.5">
      <c r="A17" s="239" t="s">
        <v>285</v>
      </c>
      <c r="B17" s="239" t="s">
        <v>262</v>
      </c>
      <c r="C17" s="240" t="s">
        <v>263</v>
      </c>
      <c r="D17" s="244" t="s">
        <v>286</v>
      </c>
    </row>
    <row r="18" spans="1:4" ht="22.5">
      <c r="A18" s="239" t="s">
        <v>287</v>
      </c>
      <c r="B18" s="239" t="s">
        <v>262</v>
      </c>
      <c r="C18" s="240" t="s">
        <v>263</v>
      </c>
      <c r="D18" s="244" t="s">
        <v>288</v>
      </c>
    </row>
    <row r="19" spans="1:4" ht="22.5">
      <c r="A19" s="239" t="s">
        <v>289</v>
      </c>
      <c r="B19" s="239" t="s">
        <v>271</v>
      </c>
      <c r="C19" s="240" t="s">
        <v>263</v>
      </c>
      <c r="D19" s="244" t="s">
        <v>282</v>
      </c>
    </row>
    <row r="20" spans="1:4" ht="22.5">
      <c r="A20" s="239" t="s">
        <v>290</v>
      </c>
      <c r="B20" s="239" t="s">
        <v>262</v>
      </c>
      <c r="C20" s="240" t="s">
        <v>263</v>
      </c>
      <c r="D20" s="244" t="s">
        <v>288</v>
      </c>
    </row>
    <row r="21" spans="1:4" ht="11.25">
      <c r="A21" s="239" t="s">
        <v>291</v>
      </c>
      <c r="B21" s="239" t="s">
        <v>292</v>
      </c>
      <c r="C21" s="240" t="s">
        <v>293</v>
      </c>
      <c r="D21" s="244"/>
    </row>
    <row r="22" spans="1:4" ht="22.5">
      <c r="A22" s="239" t="s">
        <v>291</v>
      </c>
      <c r="B22" s="239" t="s">
        <v>271</v>
      </c>
      <c r="C22" s="240" t="s">
        <v>263</v>
      </c>
      <c r="D22" s="244" t="s">
        <v>286</v>
      </c>
    </row>
    <row r="23" spans="1:4" ht="22.5">
      <c r="A23" s="239" t="s">
        <v>294</v>
      </c>
      <c r="B23" s="239" t="s">
        <v>262</v>
      </c>
      <c r="C23" s="240" t="s">
        <v>263</v>
      </c>
      <c r="D23" s="244" t="s">
        <v>295</v>
      </c>
    </row>
    <row r="24" spans="1:4" ht="22.5">
      <c r="A24" s="239" t="s">
        <v>296</v>
      </c>
      <c r="B24" s="239" t="s">
        <v>262</v>
      </c>
      <c r="C24" s="240" t="s">
        <v>263</v>
      </c>
      <c r="D24" s="244" t="s">
        <v>297</v>
      </c>
    </row>
    <row r="25" spans="1:4" ht="33.75">
      <c r="A25" s="239" t="s">
        <v>298</v>
      </c>
      <c r="B25" s="239" t="s">
        <v>262</v>
      </c>
      <c r="C25" s="240" t="s">
        <v>263</v>
      </c>
      <c r="D25" s="244" t="s">
        <v>299</v>
      </c>
    </row>
    <row r="26" spans="1:4" ht="22.5">
      <c r="A26" s="239" t="s">
        <v>300</v>
      </c>
      <c r="B26" s="239" t="s">
        <v>262</v>
      </c>
      <c r="C26" s="240" t="s">
        <v>263</v>
      </c>
      <c r="D26" s="244" t="s">
        <v>295</v>
      </c>
    </row>
    <row r="27" spans="1:4" ht="22.5">
      <c r="A27" s="239" t="s">
        <v>301</v>
      </c>
      <c r="B27" s="239" t="s">
        <v>271</v>
      </c>
      <c r="C27" s="240" t="s">
        <v>263</v>
      </c>
      <c r="D27" s="244" t="s">
        <v>302</v>
      </c>
    </row>
    <row r="28" spans="1:4" ht="22.5">
      <c r="A28" s="239" t="s">
        <v>303</v>
      </c>
      <c r="B28" s="239" t="s">
        <v>271</v>
      </c>
      <c r="C28" s="240" t="s">
        <v>263</v>
      </c>
      <c r="D28" s="244" t="s">
        <v>286</v>
      </c>
    </row>
    <row r="29" spans="1:4" ht="22.5">
      <c r="A29" s="239" t="s">
        <v>304</v>
      </c>
      <c r="B29" s="239" t="s">
        <v>262</v>
      </c>
      <c r="C29" s="240" t="s">
        <v>263</v>
      </c>
      <c r="D29" s="244" t="s">
        <v>286</v>
      </c>
    </row>
    <row r="30" spans="1:4" ht="22.5">
      <c r="A30" s="239" t="s">
        <v>752</v>
      </c>
      <c r="B30" s="239" t="s">
        <v>271</v>
      </c>
      <c r="C30" s="240" t="s">
        <v>263</v>
      </c>
      <c r="D30" s="244" t="s">
        <v>286</v>
      </c>
    </row>
    <row r="31" spans="1:4" ht="11.25">
      <c r="A31" s="176" t="s">
        <v>253</v>
      </c>
      <c r="B31" s="176" t="s">
        <v>254</v>
      </c>
      <c r="C31" s="176" t="s">
        <v>255</v>
      </c>
      <c r="D31" s="176" t="s">
        <v>256</v>
      </c>
    </row>
    <row r="32" spans="1:4" ht="11.25">
      <c r="A32" s="176"/>
      <c r="B32" s="176"/>
      <c r="C32" s="176"/>
      <c r="D32" s="176" t="s">
        <v>257</v>
      </c>
    </row>
    <row r="33" spans="1:4" ht="11.25">
      <c r="A33" s="176" t="s">
        <v>306</v>
      </c>
      <c r="B33" s="176"/>
      <c r="C33" s="176"/>
      <c r="D33" s="176"/>
    </row>
    <row r="34" spans="1:4" ht="33.75">
      <c r="A34" s="239" t="s">
        <v>259</v>
      </c>
      <c r="B34" s="239"/>
      <c r="C34" s="240" t="s">
        <v>307</v>
      </c>
      <c r="D34" s="244"/>
    </row>
    <row r="35" spans="1:4" ht="22.5">
      <c r="A35" s="239" t="s">
        <v>308</v>
      </c>
      <c r="B35" s="239" t="s">
        <v>271</v>
      </c>
      <c r="C35" s="240" t="s">
        <v>263</v>
      </c>
      <c r="D35" s="244" t="s">
        <v>309</v>
      </c>
    </row>
    <row r="36" spans="1:4" ht="22.5">
      <c r="A36" s="239" t="s">
        <v>310</v>
      </c>
      <c r="B36" s="239" t="s">
        <v>271</v>
      </c>
      <c r="C36" s="240" t="s">
        <v>263</v>
      </c>
      <c r="D36" s="244" t="s">
        <v>311</v>
      </c>
    </row>
    <row r="37" spans="1:4" ht="33.75">
      <c r="A37" s="239" t="s">
        <v>312</v>
      </c>
      <c r="B37" s="239" t="s">
        <v>262</v>
      </c>
      <c r="C37" s="240" t="s">
        <v>263</v>
      </c>
      <c r="D37" s="244" t="s">
        <v>313</v>
      </c>
    </row>
    <row r="38" spans="1:4" ht="22.5">
      <c r="A38" s="239" t="s">
        <v>283</v>
      </c>
      <c r="B38" s="239" t="s">
        <v>271</v>
      </c>
      <c r="C38" s="240" t="s">
        <v>263</v>
      </c>
      <c r="D38" s="240" t="s">
        <v>284</v>
      </c>
    </row>
    <row r="39" spans="1:4" ht="22.5">
      <c r="A39" s="239" t="s">
        <v>242</v>
      </c>
      <c r="B39" s="239" t="s">
        <v>271</v>
      </c>
      <c r="C39" s="240" t="s">
        <v>263</v>
      </c>
      <c r="D39" s="240" t="s">
        <v>309</v>
      </c>
    </row>
    <row r="40" spans="1:4" ht="22.5">
      <c r="A40" s="239" t="s">
        <v>314</v>
      </c>
      <c r="B40" s="239" t="s">
        <v>271</v>
      </c>
      <c r="C40" s="240" t="s">
        <v>263</v>
      </c>
      <c r="D40" s="240" t="s">
        <v>315</v>
      </c>
    </row>
    <row r="41" spans="1:4" ht="22.5">
      <c r="A41" s="239" t="s">
        <v>316</v>
      </c>
      <c r="B41" s="239" t="s">
        <v>271</v>
      </c>
      <c r="C41" s="240" t="s">
        <v>263</v>
      </c>
      <c r="D41" s="240" t="s">
        <v>317</v>
      </c>
    </row>
    <row r="42" spans="1:4" ht="22.5">
      <c r="A42" s="239" t="s">
        <v>318</v>
      </c>
      <c r="B42" s="239" t="s">
        <v>262</v>
      </c>
      <c r="C42" s="240" t="s">
        <v>263</v>
      </c>
      <c r="D42" s="244" t="s">
        <v>278</v>
      </c>
    </row>
    <row r="43" spans="1:4" ht="22.5">
      <c r="A43" s="239" t="s">
        <v>319</v>
      </c>
      <c r="B43" s="239" t="s">
        <v>262</v>
      </c>
      <c r="C43" s="240" t="s">
        <v>263</v>
      </c>
      <c r="D43" s="244" t="s">
        <v>286</v>
      </c>
    </row>
    <row r="44" spans="1:4" ht="22.5">
      <c r="A44" s="239" t="s">
        <v>320</v>
      </c>
      <c r="B44" s="239" t="s">
        <v>271</v>
      </c>
      <c r="C44" s="240" t="s">
        <v>263</v>
      </c>
      <c r="D44" s="244" t="s">
        <v>321</v>
      </c>
    </row>
    <row r="45" spans="1:4" ht="33.75">
      <c r="A45" s="239" t="s">
        <v>322</v>
      </c>
      <c r="B45" s="239" t="s">
        <v>271</v>
      </c>
      <c r="C45" s="240" t="s">
        <v>263</v>
      </c>
      <c r="D45" s="244" t="s">
        <v>323</v>
      </c>
    </row>
    <row r="46" spans="1:4" ht="22.5">
      <c r="A46" s="239" t="s">
        <v>324</v>
      </c>
      <c r="B46" s="239" t="s">
        <v>271</v>
      </c>
      <c r="C46" s="240" t="s">
        <v>263</v>
      </c>
      <c r="D46" s="240" t="s">
        <v>325</v>
      </c>
    </row>
    <row r="47" spans="1:4" ht="22.5">
      <c r="A47" s="239" t="s">
        <v>326</v>
      </c>
      <c r="B47" s="239" t="s">
        <v>271</v>
      </c>
      <c r="C47" s="240" t="s">
        <v>263</v>
      </c>
      <c r="D47" s="244" t="s">
        <v>286</v>
      </c>
    </row>
    <row r="48" spans="1:4" ht="22.5">
      <c r="A48" s="239" t="s">
        <v>327</v>
      </c>
      <c r="B48" s="239" t="s">
        <v>262</v>
      </c>
      <c r="C48" s="240" t="s">
        <v>263</v>
      </c>
      <c r="D48" s="244" t="s">
        <v>278</v>
      </c>
    </row>
    <row r="49" spans="1:4" ht="22.5">
      <c r="A49" s="239" t="s">
        <v>328</v>
      </c>
      <c r="B49" s="239" t="s">
        <v>262</v>
      </c>
      <c r="C49" s="240" t="s">
        <v>263</v>
      </c>
      <c r="D49" s="244" t="s">
        <v>284</v>
      </c>
    </row>
    <row r="50" spans="1:4" ht="22.5">
      <c r="A50" s="239" t="s">
        <v>329</v>
      </c>
      <c r="B50" s="239" t="s">
        <v>271</v>
      </c>
      <c r="C50" s="240" t="s">
        <v>330</v>
      </c>
      <c r="D50" s="244" t="s">
        <v>331</v>
      </c>
    </row>
    <row r="51" spans="1:4" ht="33.75">
      <c r="A51" s="239" t="s">
        <v>332</v>
      </c>
      <c r="B51" s="239" t="s">
        <v>271</v>
      </c>
      <c r="C51" s="240" t="s">
        <v>263</v>
      </c>
      <c r="D51" s="244" t="s">
        <v>333</v>
      </c>
    </row>
    <row r="52" spans="1:4" ht="11.25">
      <c r="A52" s="176" t="s">
        <v>253</v>
      </c>
      <c r="B52" s="176" t="s">
        <v>254</v>
      </c>
      <c r="C52" s="176" t="s">
        <v>255</v>
      </c>
      <c r="D52" s="176" t="s">
        <v>256</v>
      </c>
    </row>
    <row r="53" spans="1:4" ht="11.25">
      <c r="A53" s="176"/>
      <c r="B53" s="176"/>
      <c r="C53" s="176"/>
      <c r="D53" s="176" t="s">
        <v>257</v>
      </c>
    </row>
    <row r="54" spans="1:4" ht="11.25">
      <c r="A54" s="176" t="s">
        <v>334</v>
      </c>
      <c r="B54" s="176"/>
      <c r="C54" s="176"/>
      <c r="D54" s="176"/>
    </row>
    <row r="55" spans="1:4" ht="45">
      <c r="A55" s="239" t="s">
        <v>259</v>
      </c>
      <c r="B55" s="239"/>
      <c r="C55" s="240" t="s">
        <v>335</v>
      </c>
      <c r="D55" s="240"/>
    </row>
    <row r="56" spans="1:4" ht="22.5">
      <c r="A56" s="239" t="s">
        <v>336</v>
      </c>
      <c r="B56" s="239" t="s">
        <v>271</v>
      </c>
      <c r="C56" s="240" t="s">
        <v>337</v>
      </c>
      <c r="D56" s="244" t="s">
        <v>338</v>
      </c>
    </row>
    <row r="57" spans="1:4" ht="22.5">
      <c r="A57" s="239" t="s">
        <v>339</v>
      </c>
      <c r="B57" s="239" t="s">
        <v>271</v>
      </c>
      <c r="C57" s="240" t="s">
        <v>263</v>
      </c>
      <c r="D57" s="244" t="s">
        <v>340</v>
      </c>
    </row>
    <row r="58" spans="1:4" ht="11.25">
      <c r="A58" s="239" t="s">
        <v>341</v>
      </c>
      <c r="B58" s="239" t="s">
        <v>271</v>
      </c>
      <c r="C58" s="240" t="s">
        <v>263</v>
      </c>
      <c r="D58" s="244" t="s">
        <v>342</v>
      </c>
    </row>
    <row r="59" spans="1:4" ht="11.25">
      <c r="A59" s="239" t="s">
        <v>341</v>
      </c>
      <c r="B59" s="239" t="s">
        <v>271</v>
      </c>
      <c r="C59" s="240" t="s">
        <v>343</v>
      </c>
      <c r="D59" s="244"/>
    </row>
    <row r="60" spans="1:4" ht="11.25">
      <c r="A60" s="239" t="s">
        <v>344</v>
      </c>
      <c r="B60" s="239" t="s">
        <v>271</v>
      </c>
      <c r="C60" s="240" t="s">
        <v>263</v>
      </c>
      <c r="D60" s="244" t="s">
        <v>342</v>
      </c>
    </row>
    <row r="61" spans="1:4" ht="22.5">
      <c r="A61" s="239" t="s">
        <v>345</v>
      </c>
      <c r="B61" s="239" t="s">
        <v>271</v>
      </c>
      <c r="C61" s="240" t="s">
        <v>263</v>
      </c>
      <c r="D61" s="244" t="s">
        <v>286</v>
      </c>
    </row>
    <row r="62" spans="1:4" ht="11.25">
      <c r="A62" s="239" t="s">
        <v>346</v>
      </c>
      <c r="B62" s="239" t="s">
        <v>271</v>
      </c>
      <c r="C62" s="240" t="s">
        <v>263</v>
      </c>
      <c r="D62" s="244" t="s">
        <v>342</v>
      </c>
    </row>
    <row r="63" spans="1:4" ht="11.25">
      <c r="A63" s="239" t="s">
        <v>346</v>
      </c>
      <c r="B63" s="239" t="s">
        <v>271</v>
      </c>
      <c r="C63" s="240" t="s">
        <v>343</v>
      </c>
      <c r="D63" s="244"/>
    </row>
    <row r="64" spans="1:4" ht="22.5">
      <c r="A64" s="239" t="s">
        <v>347</v>
      </c>
      <c r="B64" s="239" t="s">
        <v>271</v>
      </c>
      <c r="C64" s="240" t="s">
        <v>263</v>
      </c>
      <c r="D64" s="244" t="s">
        <v>348</v>
      </c>
    </row>
    <row r="65" spans="1:4" ht="11.25">
      <c r="A65" s="239" t="s">
        <v>347</v>
      </c>
      <c r="B65" s="239" t="s">
        <v>271</v>
      </c>
      <c r="C65" s="240" t="s">
        <v>343</v>
      </c>
      <c r="D65" s="244"/>
    </row>
    <row r="66" spans="1:4" ht="11.25">
      <c r="A66" s="239" t="s">
        <v>349</v>
      </c>
      <c r="B66" s="239" t="s">
        <v>271</v>
      </c>
      <c r="C66" s="240" t="s">
        <v>263</v>
      </c>
      <c r="D66" s="244" t="s">
        <v>350</v>
      </c>
    </row>
    <row r="67" spans="1:4" ht="11.25">
      <c r="A67" s="239" t="s">
        <v>349</v>
      </c>
      <c r="B67" s="239" t="s">
        <v>271</v>
      </c>
      <c r="C67" s="240" t="s">
        <v>343</v>
      </c>
      <c r="D67" s="244"/>
    </row>
    <row r="68" spans="1:4" ht="22.5">
      <c r="A68" s="239" t="s">
        <v>351</v>
      </c>
      <c r="B68" s="239" t="s">
        <v>271</v>
      </c>
      <c r="C68" s="240" t="s">
        <v>263</v>
      </c>
      <c r="D68" s="244" t="s">
        <v>352</v>
      </c>
    </row>
    <row r="69" spans="1:4" ht="22.5">
      <c r="A69" s="239" t="s">
        <v>353</v>
      </c>
      <c r="B69" s="239" t="s">
        <v>271</v>
      </c>
      <c r="C69" s="240" t="s">
        <v>263</v>
      </c>
      <c r="D69" s="244" t="s">
        <v>297</v>
      </c>
    </row>
    <row r="70" spans="1:4" ht="11.25">
      <c r="A70" s="239" t="s">
        <v>353</v>
      </c>
      <c r="B70" s="239" t="s">
        <v>271</v>
      </c>
      <c r="C70" s="240" t="s">
        <v>343</v>
      </c>
      <c r="D70" s="244"/>
    </row>
    <row r="71" spans="1:4" ht="22.5">
      <c r="A71" s="239" t="s">
        <v>55</v>
      </c>
      <c r="B71" s="239" t="s">
        <v>271</v>
      </c>
      <c r="C71" s="240" t="s">
        <v>354</v>
      </c>
      <c r="D71" s="244" t="s">
        <v>311</v>
      </c>
    </row>
    <row r="72" spans="1:4" ht="11.25">
      <c r="A72" s="239" t="s">
        <v>55</v>
      </c>
      <c r="B72" s="239" t="s">
        <v>271</v>
      </c>
      <c r="C72" s="240" t="s">
        <v>343</v>
      </c>
      <c r="D72" s="244"/>
    </row>
    <row r="73" spans="1:4" ht="11.25">
      <c r="A73" s="176" t="s">
        <v>253</v>
      </c>
      <c r="B73" s="176" t="s">
        <v>254</v>
      </c>
      <c r="C73" s="176" t="s">
        <v>255</v>
      </c>
      <c r="D73" s="176" t="s">
        <v>256</v>
      </c>
    </row>
    <row r="74" spans="1:4" ht="11.25">
      <c r="A74" s="176"/>
      <c r="B74" s="176"/>
      <c r="C74" s="176"/>
      <c r="D74" s="176" t="s">
        <v>257</v>
      </c>
    </row>
    <row r="75" spans="1:4" ht="11.25">
      <c r="A75" s="176" t="s">
        <v>355</v>
      </c>
      <c r="B75" s="176"/>
      <c r="C75" s="176"/>
      <c r="D75" s="176"/>
    </row>
    <row r="76" spans="1:4" ht="22.5">
      <c r="A76" s="239" t="s">
        <v>259</v>
      </c>
      <c r="B76" s="239"/>
      <c r="C76" s="240" t="s">
        <v>356</v>
      </c>
      <c r="D76" s="240"/>
    </row>
    <row r="77" spans="1:4" ht="11.25">
      <c r="A77" s="176" t="s">
        <v>357</v>
      </c>
      <c r="B77" s="176"/>
      <c r="C77" s="176"/>
      <c r="D77" s="176"/>
    </row>
    <row r="78" spans="1:4" ht="22.5">
      <c r="A78" s="239" t="s">
        <v>358</v>
      </c>
      <c r="B78" s="239" t="s">
        <v>271</v>
      </c>
      <c r="C78" s="240" t="s">
        <v>359</v>
      </c>
      <c r="D78" s="244" t="s">
        <v>331</v>
      </c>
    </row>
    <row r="79" spans="1:4" ht="22.5">
      <c r="A79" s="239" t="s">
        <v>360</v>
      </c>
      <c r="B79" s="239" t="s">
        <v>271</v>
      </c>
      <c r="C79" s="240" t="s">
        <v>359</v>
      </c>
      <c r="D79" s="244" t="s">
        <v>331</v>
      </c>
    </row>
    <row r="80" spans="1:4" ht="22.5">
      <c r="A80" s="239" t="s">
        <v>361</v>
      </c>
      <c r="B80" s="239" t="s">
        <v>271</v>
      </c>
      <c r="C80" s="240" t="s">
        <v>359</v>
      </c>
      <c r="D80" s="244" t="s">
        <v>362</v>
      </c>
    </row>
    <row r="81" spans="1:4" ht="22.5">
      <c r="A81" s="239" t="s">
        <v>363</v>
      </c>
      <c r="B81" s="239" t="s">
        <v>271</v>
      </c>
      <c r="C81" s="240" t="s">
        <v>359</v>
      </c>
      <c r="D81" s="244" t="s">
        <v>364</v>
      </c>
    </row>
    <row r="82" spans="1:4" ht="22.5">
      <c r="A82" s="239" t="s">
        <v>365</v>
      </c>
      <c r="B82" s="239" t="s">
        <v>271</v>
      </c>
      <c r="C82" s="240" t="s">
        <v>359</v>
      </c>
      <c r="D82" s="244" t="s">
        <v>364</v>
      </c>
    </row>
    <row r="83" spans="1:4" ht="11.25">
      <c r="A83" s="176" t="s">
        <v>366</v>
      </c>
      <c r="B83" s="176"/>
      <c r="C83" s="176"/>
      <c r="D83" s="176"/>
    </row>
    <row r="84" spans="1:4" ht="22.5">
      <c r="A84" s="239" t="s">
        <v>358</v>
      </c>
      <c r="B84" s="239" t="s">
        <v>271</v>
      </c>
      <c r="C84" s="240" t="s">
        <v>359</v>
      </c>
      <c r="D84" s="244" t="s">
        <v>331</v>
      </c>
    </row>
    <row r="85" spans="1:4" ht="22.5">
      <c r="A85" s="239" t="s">
        <v>360</v>
      </c>
      <c r="B85" s="239" t="s">
        <v>271</v>
      </c>
      <c r="C85" s="240" t="s">
        <v>359</v>
      </c>
      <c r="D85" s="244" t="s">
        <v>331</v>
      </c>
    </row>
    <row r="86" spans="1:4" ht="22.5">
      <c r="A86" s="239" t="s">
        <v>361</v>
      </c>
      <c r="B86" s="239" t="s">
        <v>271</v>
      </c>
      <c r="C86" s="240" t="s">
        <v>359</v>
      </c>
      <c r="D86" s="244" t="s">
        <v>362</v>
      </c>
    </row>
    <row r="87" spans="1:4" ht="22.5">
      <c r="A87" s="239" t="s">
        <v>363</v>
      </c>
      <c r="B87" s="239" t="s">
        <v>271</v>
      </c>
      <c r="C87" s="240" t="s">
        <v>359</v>
      </c>
      <c r="D87" s="244" t="s">
        <v>364</v>
      </c>
    </row>
    <row r="88" spans="1:4" ht="22.5">
      <c r="A88" s="239" t="s">
        <v>365</v>
      </c>
      <c r="B88" s="239" t="s">
        <v>271</v>
      </c>
      <c r="C88" s="240" t="s">
        <v>359</v>
      </c>
      <c r="D88" s="244" t="s">
        <v>364</v>
      </c>
    </row>
    <row r="89" spans="1:4" ht="11.25">
      <c r="A89" s="176" t="s">
        <v>38</v>
      </c>
      <c r="B89" s="176"/>
      <c r="C89" s="176"/>
      <c r="D89" s="176"/>
    </row>
    <row r="90" spans="1:4" ht="22.5">
      <c r="A90" s="239" t="s">
        <v>358</v>
      </c>
      <c r="B90" s="239" t="s">
        <v>271</v>
      </c>
      <c r="C90" s="240" t="s">
        <v>367</v>
      </c>
      <c r="D90" s="244" t="s">
        <v>331</v>
      </c>
    </row>
    <row r="91" spans="1:4" ht="22.5">
      <c r="A91" s="239" t="s">
        <v>360</v>
      </c>
      <c r="B91" s="239" t="s">
        <v>271</v>
      </c>
      <c r="C91" s="240" t="s">
        <v>367</v>
      </c>
      <c r="D91" s="244" t="s">
        <v>331</v>
      </c>
    </row>
    <row r="92" spans="1:4" ht="22.5">
      <c r="A92" s="239" t="s">
        <v>361</v>
      </c>
      <c r="B92" s="239" t="s">
        <v>271</v>
      </c>
      <c r="C92" s="240" t="s">
        <v>367</v>
      </c>
      <c r="D92" s="244" t="s">
        <v>362</v>
      </c>
    </row>
  </sheetData>
  <dataConsolidate/>
  <mergeCells count="1">
    <mergeCell ref="A1:D1"/>
  </mergeCells>
  <phoneticPr fontId="18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3"/>
  <sheetViews>
    <sheetView view="pageBreakPreview" zoomScaleNormal="100" zoomScaleSheetLayoutView="100" workbookViewId="0">
      <selection activeCell="A2" sqref="A2"/>
    </sheetView>
  </sheetViews>
  <sheetFormatPr defaultColWidth="9" defaultRowHeight="11.25"/>
  <cols>
    <col min="1" max="1" width="35.5703125" style="243" bestFit="1" customWidth="1"/>
    <col min="2" max="2" width="16.28515625" style="243" bestFit="1" customWidth="1"/>
    <col min="3" max="3" width="38" style="243" bestFit="1" customWidth="1"/>
    <col min="4" max="16384" width="9" style="238"/>
  </cols>
  <sheetData>
    <row r="1" spans="1:3" ht="22.9" customHeight="1">
      <c r="A1" s="262" t="s">
        <v>368</v>
      </c>
      <c r="B1" s="263"/>
      <c r="C1" s="264"/>
    </row>
    <row r="2" spans="1:3">
      <c r="A2" s="176" t="s">
        <v>253</v>
      </c>
      <c r="B2" s="176" t="s">
        <v>254</v>
      </c>
      <c r="C2" s="176" t="s">
        <v>369</v>
      </c>
    </row>
    <row r="3" spans="1:3">
      <c r="A3" s="176" t="s">
        <v>258</v>
      </c>
      <c r="B3" s="176"/>
      <c r="C3" s="176"/>
    </row>
    <row r="4" spans="1:3" ht="22.5">
      <c r="A4" s="239" t="s">
        <v>261</v>
      </c>
      <c r="B4" s="239" t="s">
        <v>262</v>
      </c>
      <c r="C4" s="240" t="s">
        <v>741</v>
      </c>
    </row>
    <row r="5" spans="1:3" ht="22.5">
      <c r="A5" s="239" t="s">
        <v>267</v>
      </c>
      <c r="B5" s="239" t="s">
        <v>262</v>
      </c>
      <c r="C5" s="240" t="s">
        <v>741</v>
      </c>
    </row>
    <row r="6" spans="1:3" ht="22.5">
      <c r="A6" s="239" t="s">
        <v>275</v>
      </c>
      <c r="B6" s="239" t="s">
        <v>262</v>
      </c>
      <c r="C6" s="240" t="s">
        <v>741</v>
      </c>
    </row>
    <row r="7" spans="1:3" ht="22.5">
      <c r="A7" s="239" t="s">
        <v>277</v>
      </c>
      <c r="B7" s="239" t="s">
        <v>262</v>
      </c>
      <c r="C7" s="240" t="s">
        <v>741</v>
      </c>
    </row>
    <row r="8" spans="1:3" ht="22.5">
      <c r="A8" s="241" t="s">
        <v>279</v>
      </c>
      <c r="B8" s="241" t="s">
        <v>262</v>
      </c>
      <c r="C8" s="240" t="s">
        <v>741</v>
      </c>
    </row>
    <row r="9" spans="1:3" ht="22.5">
      <c r="A9" s="239" t="s">
        <v>281</v>
      </c>
      <c r="B9" s="239" t="s">
        <v>262</v>
      </c>
      <c r="C9" s="240" t="s">
        <v>741</v>
      </c>
    </row>
    <row r="10" spans="1:3">
      <c r="A10" s="239" t="s">
        <v>283</v>
      </c>
      <c r="B10" s="239" t="s">
        <v>271</v>
      </c>
      <c r="C10" s="240" t="s">
        <v>741</v>
      </c>
    </row>
    <row r="11" spans="1:3" ht="22.5">
      <c r="A11" s="239" t="s">
        <v>285</v>
      </c>
      <c r="B11" s="239" t="s">
        <v>262</v>
      </c>
      <c r="C11" s="240" t="s">
        <v>741</v>
      </c>
    </row>
    <row r="12" spans="1:3" ht="22.5">
      <c r="A12" s="239" t="s">
        <v>287</v>
      </c>
      <c r="B12" s="239" t="s">
        <v>262</v>
      </c>
      <c r="C12" s="240" t="s">
        <v>741</v>
      </c>
    </row>
    <row r="13" spans="1:3">
      <c r="A13" s="239" t="s">
        <v>289</v>
      </c>
      <c r="B13" s="239" t="s">
        <v>271</v>
      </c>
      <c r="C13" s="240" t="s">
        <v>741</v>
      </c>
    </row>
    <row r="14" spans="1:3" ht="22.5">
      <c r="A14" s="239" t="s">
        <v>290</v>
      </c>
      <c r="B14" s="239" t="s">
        <v>262</v>
      </c>
      <c r="C14" s="240" t="s">
        <v>741</v>
      </c>
    </row>
    <row r="15" spans="1:3" ht="22.5">
      <c r="A15" s="239" t="s">
        <v>291</v>
      </c>
      <c r="B15" s="239" t="s">
        <v>262</v>
      </c>
      <c r="C15" s="240" t="s">
        <v>741</v>
      </c>
    </row>
    <row r="16" spans="1:3" ht="22.5">
      <c r="A16" s="239" t="s">
        <v>296</v>
      </c>
      <c r="B16" s="239" t="s">
        <v>262</v>
      </c>
      <c r="C16" s="240" t="s">
        <v>741</v>
      </c>
    </row>
    <row r="17" spans="1:3">
      <c r="A17" s="239" t="s">
        <v>298</v>
      </c>
      <c r="B17" s="239" t="s">
        <v>271</v>
      </c>
      <c r="C17" s="240" t="s">
        <v>741</v>
      </c>
    </row>
    <row r="18" spans="1:3">
      <c r="A18" s="239" t="s">
        <v>370</v>
      </c>
      <c r="B18" s="239" t="s">
        <v>271</v>
      </c>
      <c r="C18" s="240" t="s">
        <v>741</v>
      </c>
    </row>
    <row r="19" spans="1:3">
      <c r="A19" s="239" t="s">
        <v>301</v>
      </c>
      <c r="B19" s="239" t="s">
        <v>271</v>
      </c>
      <c r="C19" s="240" t="s">
        <v>741</v>
      </c>
    </row>
    <row r="20" spans="1:3">
      <c r="A20" s="239" t="s">
        <v>303</v>
      </c>
      <c r="B20" s="239" t="s">
        <v>271</v>
      </c>
      <c r="C20" s="240" t="s">
        <v>741</v>
      </c>
    </row>
    <row r="21" spans="1:3" ht="22.5">
      <c r="A21" s="239" t="s">
        <v>304</v>
      </c>
      <c r="B21" s="239" t="s">
        <v>262</v>
      </c>
      <c r="C21" s="240" t="s">
        <v>741</v>
      </c>
    </row>
    <row r="22" spans="1:3">
      <c r="A22" s="239" t="s">
        <v>305</v>
      </c>
      <c r="B22" s="239" t="s">
        <v>271</v>
      </c>
      <c r="C22" s="240" t="s">
        <v>741</v>
      </c>
    </row>
    <row r="23" spans="1:3">
      <c r="A23" s="239" t="s">
        <v>314</v>
      </c>
      <c r="B23" s="239" t="s">
        <v>271</v>
      </c>
      <c r="C23" s="240" t="s">
        <v>741</v>
      </c>
    </row>
    <row r="24" spans="1:3" ht="22.5">
      <c r="A24" s="239" t="s">
        <v>318</v>
      </c>
      <c r="B24" s="239" t="s">
        <v>262</v>
      </c>
      <c r="C24" s="240" t="s">
        <v>741</v>
      </c>
    </row>
    <row r="25" spans="1:3">
      <c r="A25" s="239" t="s">
        <v>320</v>
      </c>
      <c r="B25" s="239" t="s">
        <v>271</v>
      </c>
      <c r="C25" s="240" t="s">
        <v>741</v>
      </c>
    </row>
    <row r="26" spans="1:3">
      <c r="A26" s="239" t="s">
        <v>332</v>
      </c>
      <c r="B26" s="239" t="s">
        <v>271</v>
      </c>
      <c r="C26" s="240" t="s">
        <v>741</v>
      </c>
    </row>
    <row r="27" spans="1:3">
      <c r="A27" s="239" t="s">
        <v>322</v>
      </c>
      <c r="B27" s="239" t="s">
        <v>271</v>
      </c>
      <c r="C27" s="240" t="s">
        <v>741</v>
      </c>
    </row>
    <row r="28" spans="1:3" ht="22.5">
      <c r="A28" s="239" t="s">
        <v>371</v>
      </c>
      <c r="B28" s="239" t="s">
        <v>262</v>
      </c>
      <c r="C28" s="240" t="s">
        <v>741</v>
      </c>
    </row>
    <row r="29" spans="1:3">
      <c r="A29" s="176" t="s">
        <v>334</v>
      </c>
      <c r="B29" s="176"/>
      <c r="C29" s="176"/>
    </row>
    <row r="30" spans="1:3">
      <c r="A30" s="239" t="s">
        <v>341</v>
      </c>
      <c r="B30" s="239" t="s">
        <v>271</v>
      </c>
      <c r="C30" s="240" t="s">
        <v>741</v>
      </c>
    </row>
    <row r="31" spans="1:3">
      <c r="A31" s="239" t="s">
        <v>344</v>
      </c>
      <c r="B31" s="239" t="s">
        <v>271</v>
      </c>
      <c r="C31" s="240" t="s">
        <v>741</v>
      </c>
    </row>
    <row r="32" spans="1:3">
      <c r="A32" s="239" t="s">
        <v>346</v>
      </c>
      <c r="B32" s="239" t="s">
        <v>271</v>
      </c>
      <c r="C32" s="240" t="s">
        <v>741</v>
      </c>
    </row>
    <row r="33" spans="1:3">
      <c r="A33" s="239" t="s">
        <v>347</v>
      </c>
      <c r="B33" s="239" t="s">
        <v>271</v>
      </c>
      <c r="C33" s="240" t="s">
        <v>741</v>
      </c>
    </row>
    <row r="34" spans="1:3">
      <c r="A34" s="239" t="s">
        <v>349</v>
      </c>
      <c r="B34" s="239" t="s">
        <v>271</v>
      </c>
      <c r="C34" s="240" t="s">
        <v>741</v>
      </c>
    </row>
    <row r="35" spans="1:3">
      <c r="A35" s="239" t="s">
        <v>351</v>
      </c>
      <c r="B35" s="239" t="s">
        <v>271</v>
      </c>
      <c r="C35" s="240" t="s">
        <v>741</v>
      </c>
    </row>
    <row r="36" spans="1:3">
      <c r="A36" s="239" t="s">
        <v>372</v>
      </c>
      <c r="B36" s="239" t="s">
        <v>271</v>
      </c>
      <c r="C36" s="240" t="s">
        <v>741</v>
      </c>
    </row>
    <row r="37" spans="1:3">
      <c r="A37" s="239" t="s">
        <v>353</v>
      </c>
      <c r="B37" s="239" t="s">
        <v>271</v>
      </c>
      <c r="C37" s="240" t="s">
        <v>741</v>
      </c>
    </row>
    <row r="38" spans="1:3">
      <c r="A38" s="239" t="s">
        <v>55</v>
      </c>
      <c r="B38" s="239" t="s">
        <v>271</v>
      </c>
      <c r="C38" s="240" t="s">
        <v>741</v>
      </c>
    </row>
    <row r="39" spans="1:3">
      <c r="A39" s="239" t="s">
        <v>373</v>
      </c>
      <c r="B39" s="239" t="s">
        <v>271</v>
      </c>
      <c r="C39" s="240" t="s">
        <v>374</v>
      </c>
    </row>
    <row r="40" spans="1:3">
      <c r="A40" s="176" t="s">
        <v>355</v>
      </c>
      <c r="B40" s="176"/>
      <c r="C40" s="176"/>
    </row>
    <row r="41" spans="1:3" ht="22.5">
      <c r="A41" s="239" t="s">
        <v>357</v>
      </c>
      <c r="B41" s="239" t="s">
        <v>271</v>
      </c>
      <c r="C41" s="240" t="s">
        <v>742</v>
      </c>
    </row>
    <row r="42" spans="1:3" ht="22.5">
      <c r="A42" s="239" t="s">
        <v>366</v>
      </c>
      <c r="B42" s="239" t="s">
        <v>271</v>
      </c>
      <c r="C42" s="240" t="s">
        <v>742</v>
      </c>
    </row>
    <row r="43" spans="1:3" ht="22.5">
      <c r="A43" s="239" t="s">
        <v>38</v>
      </c>
      <c r="B43" s="239" t="s">
        <v>271</v>
      </c>
      <c r="C43" s="240" t="s">
        <v>742</v>
      </c>
    </row>
  </sheetData>
  <mergeCells count="1">
    <mergeCell ref="A1:C1"/>
  </mergeCells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activeCell="H3" sqref="H3:I3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79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7.7109375" style="4" bestFit="1" customWidth="1"/>
    <col min="18" max="16384" width="7.85546875" style="4"/>
  </cols>
  <sheetData>
    <row r="1" spans="1:17" s="7" customFormat="1" ht="26.25" customHeight="1">
      <c r="A1" s="282" t="s">
        <v>35</v>
      </c>
      <c r="B1" s="282"/>
      <c r="C1" s="282"/>
      <c r="D1" s="282"/>
      <c r="E1" s="282"/>
    </row>
    <row r="2" spans="1:17" s="7" customFormat="1" ht="15" customHeight="1">
      <c r="A2" s="283" t="s">
        <v>210</v>
      </c>
      <c r="B2" s="283"/>
      <c r="C2" s="283"/>
      <c r="D2" s="283"/>
      <c r="E2" s="283"/>
      <c r="G2" s="287" t="s">
        <v>244</v>
      </c>
      <c r="H2" s="287"/>
      <c r="I2" s="287"/>
      <c r="J2" s="287"/>
      <c r="K2" s="287"/>
      <c r="L2" s="287"/>
      <c r="M2" s="287"/>
      <c r="N2" s="287"/>
      <c r="O2" s="287"/>
      <c r="P2" s="287"/>
      <c r="Q2" s="287"/>
    </row>
    <row r="3" spans="1:17" ht="15" customHeight="1">
      <c r="E3" s="4"/>
      <c r="G3" s="176"/>
      <c r="H3" s="288">
        <v>2025</v>
      </c>
      <c r="I3" s="288"/>
      <c r="J3" s="289">
        <v>2026</v>
      </c>
      <c r="K3" s="290"/>
      <c r="L3" s="289">
        <v>2027</v>
      </c>
      <c r="M3" s="290"/>
      <c r="N3" s="289">
        <v>2028</v>
      </c>
      <c r="O3" s="290"/>
      <c r="P3" s="289">
        <v>2029</v>
      </c>
      <c r="Q3" s="290"/>
    </row>
    <row r="4" spans="1:17" s="19" customFormat="1" ht="26.25" customHeight="1">
      <c r="A4" s="273" t="s">
        <v>74</v>
      </c>
      <c r="B4" s="275"/>
      <c r="C4" s="74" t="s">
        <v>207</v>
      </c>
      <c r="D4" s="74" t="s">
        <v>221</v>
      </c>
      <c r="E4" s="74" t="s">
        <v>81</v>
      </c>
      <c r="G4" s="176" t="s">
        <v>245</v>
      </c>
      <c r="H4" s="176" t="s">
        <v>246</v>
      </c>
      <c r="I4" s="176" t="s">
        <v>247</v>
      </c>
      <c r="J4" s="176" t="s">
        <v>246</v>
      </c>
      <c r="K4" s="176" t="s">
        <v>247</v>
      </c>
      <c r="L4" s="176" t="s">
        <v>246</v>
      </c>
      <c r="M4" s="176" t="s">
        <v>247</v>
      </c>
      <c r="N4" s="176" t="s">
        <v>246</v>
      </c>
      <c r="O4" s="176" t="s">
        <v>247</v>
      </c>
      <c r="P4" s="176" t="s">
        <v>246</v>
      </c>
      <c r="Q4" s="176" t="s">
        <v>247</v>
      </c>
    </row>
    <row r="5" spans="1:17" ht="15" customHeight="1">
      <c r="A5" s="280" t="s">
        <v>97</v>
      </c>
      <c r="B5" s="281"/>
      <c r="C5" s="8">
        <v>0</v>
      </c>
      <c r="D5" s="9">
        <v>0</v>
      </c>
      <c r="E5" s="11">
        <f>C5*D5</f>
        <v>0</v>
      </c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</row>
    <row r="6" spans="1:17" ht="15" customHeight="1">
      <c r="A6" s="280" t="s">
        <v>65</v>
      </c>
      <c r="B6" s="281"/>
      <c r="C6" s="8">
        <v>0</v>
      </c>
      <c r="D6" s="9">
        <v>0</v>
      </c>
      <c r="E6" s="11">
        <f>C6*D6</f>
        <v>0</v>
      </c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</row>
    <row r="7" spans="1:17" ht="15" customHeight="1">
      <c r="A7" s="276"/>
      <c r="B7" s="278"/>
      <c r="C7" s="8">
        <v>0</v>
      </c>
      <c r="D7" s="9">
        <v>0</v>
      </c>
      <c r="E7" s="11">
        <f>C7*D7</f>
        <v>0</v>
      </c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</row>
    <row r="8" spans="1:17" ht="15" customHeight="1">
      <c r="A8" s="265" t="s">
        <v>66</v>
      </c>
      <c r="B8" s="267"/>
      <c r="C8" s="8">
        <v>0</v>
      </c>
      <c r="D8" s="9">
        <v>0</v>
      </c>
      <c r="E8" s="11">
        <f>C8*D8</f>
        <v>0</v>
      </c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</row>
    <row r="9" spans="1:17" ht="15" customHeight="1">
      <c r="A9" s="284" t="s">
        <v>98</v>
      </c>
      <c r="B9" s="285"/>
      <c r="C9" s="286"/>
      <c r="D9" s="10">
        <f>SUM(D5:D8)</f>
        <v>0</v>
      </c>
      <c r="E9" s="11" t="str">
        <f>IF(SUM($D$5:$D$8)=100%,SUM(E5:E8),"    GEEN 100%")</f>
        <v xml:space="preserve">    GEEN 100%</v>
      </c>
      <c r="G9" s="169"/>
      <c r="H9" s="177"/>
      <c r="I9" s="169"/>
      <c r="J9" s="169"/>
      <c r="K9" s="169"/>
      <c r="L9" s="169"/>
      <c r="M9" s="169"/>
      <c r="N9" s="169"/>
      <c r="O9" s="169"/>
      <c r="P9" s="169"/>
      <c r="Q9" s="169"/>
    </row>
    <row r="10" spans="1:17" ht="15" customHeight="1">
      <c r="A10" s="279" t="s">
        <v>67</v>
      </c>
      <c r="B10" s="279"/>
      <c r="C10" s="279"/>
      <c r="D10" s="141" t="s">
        <v>3</v>
      </c>
      <c r="E10" s="143">
        <f>SUM(E9:E9)</f>
        <v>0</v>
      </c>
      <c r="G10" s="169" t="s">
        <v>248</v>
      </c>
      <c r="H10" s="177"/>
      <c r="I10" s="143">
        <f>(E10*H10)+E10</f>
        <v>0</v>
      </c>
      <c r="J10" s="177">
        <v>0</v>
      </c>
      <c r="K10" s="143">
        <f>(I10*J10)+I10</f>
        <v>0</v>
      </c>
      <c r="L10" s="177">
        <v>0</v>
      </c>
      <c r="M10" s="143">
        <f>(K10*L10)+K10</f>
        <v>0</v>
      </c>
      <c r="N10" s="177">
        <v>0</v>
      </c>
      <c r="O10" s="143">
        <f>(M10*N10)+M10</f>
        <v>0</v>
      </c>
      <c r="P10" s="177">
        <v>0</v>
      </c>
      <c r="Q10" s="143">
        <f>(O10*P10)+O10</f>
        <v>0</v>
      </c>
    </row>
    <row r="11" spans="1:17" ht="15" customHeight="1">
      <c r="A11" s="178"/>
      <c r="B11" s="12"/>
      <c r="C11" s="12"/>
      <c r="D11" s="12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</row>
    <row r="12" spans="1:17" s="19" customFormat="1" ht="26.25" customHeight="1">
      <c r="A12" s="273" t="s">
        <v>69</v>
      </c>
      <c r="B12" s="274"/>
      <c r="C12" s="275"/>
      <c r="D12" s="75" t="s">
        <v>78</v>
      </c>
      <c r="E12" s="74" t="s">
        <v>81</v>
      </c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7" ht="15" customHeight="1">
      <c r="A13" s="268" t="s">
        <v>4</v>
      </c>
      <c r="B13" s="269"/>
      <c r="C13" s="269"/>
      <c r="D13" s="170">
        <v>0</v>
      </c>
      <c r="E13" s="180">
        <f>SUM($E$10*D13)</f>
        <v>0</v>
      </c>
      <c r="G13" s="169" t="s">
        <v>249</v>
      </c>
      <c r="H13" s="177"/>
      <c r="I13" s="181">
        <f>(E13*H13)+E13</f>
        <v>0</v>
      </c>
      <c r="J13" s="182"/>
      <c r="K13" s="181">
        <f>(I13*J13)+I13</f>
        <v>0</v>
      </c>
      <c r="L13" s="182"/>
      <c r="M13" s="181">
        <f>(K13*L13)+K13</f>
        <v>0</v>
      </c>
      <c r="N13" s="182"/>
      <c r="O13" s="181">
        <f>(M13*N13)+M13</f>
        <v>0</v>
      </c>
      <c r="P13" s="182"/>
      <c r="Q13" s="181">
        <f>(O13*P13)+O13</f>
        <v>0</v>
      </c>
    </row>
    <row r="14" spans="1:17" ht="15" customHeight="1">
      <c r="A14" s="269" t="s">
        <v>83</v>
      </c>
      <c r="B14" s="269"/>
      <c r="C14" s="269"/>
      <c r="D14" s="170">
        <v>0</v>
      </c>
      <c r="E14" s="180">
        <f>SUM($E$10*D14)</f>
        <v>0</v>
      </c>
      <c r="G14" s="169" t="s">
        <v>249</v>
      </c>
      <c r="H14" s="177"/>
      <c r="I14" s="181">
        <f>(E14*H14)+E14</f>
        <v>0</v>
      </c>
      <c r="J14" s="182"/>
      <c r="K14" s="181">
        <f>(I14*J14)+I14</f>
        <v>0</v>
      </c>
      <c r="L14" s="182"/>
      <c r="M14" s="181">
        <f>(K14*L14)+K14</f>
        <v>0</v>
      </c>
      <c r="N14" s="182"/>
      <c r="O14" s="181">
        <f>(M14*N14)+M14</f>
        <v>0</v>
      </c>
      <c r="P14" s="182"/>
      <c r="Q14" s="181">
        <f>(O14*P14)+O14</f>
        <v>0</v>
      </c>
    </row>
    <row r="15" spans="1:17" ht="15" customHeight="1">
      <c r="A15" s="269" t="s">
        <v>5</v>
      </c>
      <c r="B15" s="269"/>
      <c r="C15" s="269"/>
      <c r="D15" s="170">
        <v>0</v>
      </c>
      <c r="E15" s="180">
        <f>SUM($E$10*D15)</f>
        <v>0</v>
      </c>
      <c r="G15" s="169" t="s">
        <v>249</v>
      </c>
      <c r="H15" s="177"/>
      <c r="I15" s="181">
        <f>(E15*H15)+E15</f>
        <v>0</v>
      </c>
      <c r="J15" s="182"/>
      <c r="K15" s="181">
        <f>(I15*J15)+I15</f>
        <v>0</v>
      </c>
      <c r="L15" s="182"/>
      <c r="M15" s="181">
        <f>(K15*L15)+K15</f>
        <v>0</v>
      </c>
      <c r="N15" s="182"/>
      <c r="O15" s="181">
        <f>(M15*N15)+M15</f>
        <v>0</v>
      </c>
      <c r="P15" s="182"/>
      <c r="Q15" s="181">
        <f>(O15*P15)+O15</f>
        <v>0</v>
      </c>
    </row>
    <row r="16" spans="1:17" ht="15" customHeight="1">
      <c r="A16" s="269" t="s">
        <v>6</v>
      </c>
      <c r="B16" s="269"/>
      <c r="C16" s="269"/>
      <c r="D16" s="170">
        <v>0</v>
      </c>
      <c r="E16" s="180">
        <f>SUM($E$10*D16)</f>
        <v>0</v>
      </c>
      <c r="G16" s="169" t="s">
        <v>249</v>
      </c>
      <c r="H16" s="177"/>
      <c r="I16" s="181">
        <f>(E16*H16)+E16</f>
        <v>0</v>
      </c>
      <c r="J16" s="182"/>
      <c r="K16" s="181">
        <f>(I16*J16)+I16</f>
        <v>0</v>
      </c>
      <c r="L16" s="182"/>
      <c r="M16" s="181">
        <f>(K16*L16)+K16</f>
        <v>0</v>
      </c>
      <c r="N16" s="182"/>
      <c r="O16" s="181">
        <f>(M16*N16)+M16</f>
        <v>0</v>
      </c>
      <c r="P16" s="182"/>
      <c r="Q16" s="181">
        <f>(O16*P16)+O16</f>
        <v>0</v>
      </c>
    </row>
    <row r="17" spans="1:17" ht="15" customHeight="1">
      <c r="A17" s="276" t="s">
        <v>86</v>
      </c>
      <c r="B17" s="277"/>
      <c r="C17" s="278"/>
      <c r="D17" s="170">
        <v>0</v>
      </c>
      <c r="E17" s="180">
        <f>SUM($E$10*D17)</f>
        <v>0</v>
      </c>
      <c r="G17" s="169" t="s">
        <v>249</v>
      </c>
      <c r="H17" s="177"/>
      <c r="I17" s="181">
        <f>(E17*H17)+E17</f>
        <v>0</v>
      </c>
      <c r="J17" s="182"/>
      <c r="K17" s="181">
        <f>(I17*J17)+I17</f>
        <v>0</v>
      </c>
      <c r="L17" s="182"/>
      <c r="M17" s="181">
        <f>(K17*L17)+K17</f>
        <v>0</v>
      </c>
      <c r="N17" s="182"/>
      <c r="O17" s="181">
        <f>(M17*N17)+M17</f>
        <v>0</v>
      </c>
      <c r="P17" s="182"/>
      <c r="Q17" s="181">
        <f>(O17*P17)+O17</f>
        <v>0</v>
      </c>
    </row>
    <row r="18" spans="1:17" ht="15" customHeight="1">
      <c r="A18" s="279" t="s">
        <v>75</v>
      </c>
      <c r="B18" s="279"/>
      <c r="C18" s="279"/>
      <c r="D18" s="144"/>
      <c r="E18" s="145">
        <f>SUM(E13:E17)</f>
        <v>0</v>
      </c>
      <c r="G18" s="169"/>
      <c r="H18" s="169"/>
      <c r="I18" s="145">
        <f>SUM(I13:I17)</f>
        <v>0</v>
      </c>
      <c r="J18" s="169"/>
      <c r="K18" s="145">
        <f>SUM(K13:K17)</f>
        <v>0</v>
      </c>
      <c r="L18" s="169"/>
      <c r="M18" s="145">
        <f>SUM(M13:M17)</f>
        <v>0</v>
      </c>
      <c r="N18" s="169"/>
      <c r="O18" s="145">
        <f>SUM(O13:O17)</f>
        <v>0</v>
      </c>
      <c r="P18" s="169"/>
      <c r="Q18" s="145">
        <f>SUM(Q13:Q17)</f>
        <v>0</v>
      </c>
    </row>
    <row r="19" spans="1:17" ht="15" customHeight="1">
      <c r="D19" s="183"/>
      <c r="E19" s="184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</row>
    <row r="20" spans="1:17" s="19" customFormat="1" ht="26.25" customHeight="1">
      <c r="A20" s="273" t="s">
        <v>70</v>
      </c>
      <c r="B20" s="274"/>
      <c r="C20" s="275"/>
      <c r="D20" s="75" t="s">
        <v>79</v>
      </c>
      <c r="E20" s="74" t="s">
        <v>81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</row>
    <row r="21" spans="1:17" ht="15" customHeight="1">
      <c r="A21" s="269" t="s">
        <v>7</v>
      </c>
      <c r="B21" s="269"/>
      <c r="C21" s="269"/>
      <c r="D21" s="185" t="e">
        <f>E21/$E$35</f>
        <v>#DIV/0!</v>
      </c>
      <c r="E21" s="186">
        <v>0</v>
      </c>
      <c r="G21" s="169" t="s">
        <v>249</v>
      </c>
      <c r="H21" s="177"/>
      <c r="I21" s="181">
        <f>(E21*H21)+E21</f>
        <v>0</v>
      </c>
      <c r="J21" s="182"/>
      <c r="K21" s="181">
        <f>(I21*J21)+I21</f>
        <v>0</v>
      </c>
      <c r="L21" s="182"/>
      <c r="M21" s="181">
        <f>(K21*L21)+K21</f>
        <v>0</v>
      </c>
      <c r="N21" s="182"/>
      <c r="O21" s="181">
        <f>(M21*N21)+M21</f>
        <v>0</v>
      </c>
      <c r="P21" s="182"/>
      <c r="Q21" s="181">
        <f>(O21*P21)+O21</f>
        <v>0</v>
      </c>
    </row>
    <row r="22" spans="1:17" ht="15" customHeight="1">
      <c r="A22" s="268" t="s">
        <v>8</v>
      </c>
      <c r="B22" s="269"/>
      <c r="C22" s="269"/>
      <c r="D22" s="185" t="e">
        <f>E22/$E$35</f>
        <v>#DIV/0!</v>
      </c>
      <c r="E22" s="186">
        <v>0</v>
      </c>
      <c r="G22" s="169" t="s">
        <v>249</v>
      </c>
      <c r="H22" s="177"/>
      <c r="I22" s="181">
        <f>(E22*H22)+E22</f>
        <v>0</v>
      </c>
      <c r="J22" s="182"/>
      <c r="K22" s="181">
        <f>(I22*J22)+I22</f>
        <v>0</v>
      </c>
      <c r="L22" s="182"/>
      <c r="M22" s="181">
        <f>(K22*L22)+K22</f>
        <v>0</v>
      </c>
      <c r="N22" s="182"/>
      <c r="O22" s="181">
        <f>(M22*N22)+M22</f>
        <v>0</v>
      </c>
      <c r="P22" s="182"/>
      <c r="Q22" s="181">
        <f>(O22*P22)+O22</f>
        <v>0</v>
      </c>
    </row>
    <row r="23" spans="1:17" ht="15" customHeight="1">
      <c r="A23" s="269" t="s">
        <v>9</v>
      </c>
      <c r="B23" s="269"/>
      <c r="C23" s="269"/>
      <c r="D23" s="185" t="e">
        <f>E23/$E$35</f>
        <v>#DIV/0!</v>
      </c>
      <c r="E23" s="186">
        <v>0</v>
      </c>
      <c r="G23" s="169" t="s">
        <v>249</v>
      </c>
      <c r="H23" s="177"/>
      <c r="I23" s="187">
        <f>(E23*H23)+E23</f>
        <v>0</v>
      </c>
      <c r="J23" s="182"/>
      <c r="K23" s="181">
        <f>(I23*J23)+I23</f>
        <v>0</v>
      </c>
      <c r="L23" s="182"/>
      <c r="M23" s="181">
        <f>(K23*L23)+K23</f>
        <v>0</v>
      </c>
      <c r="N23" s="182"/>
      <c r="O23" s="181">
        <f>(M23*N23)+M23</f>
        <v>0</v>
      </c>
      <c r="P23" s="182"/>
      <c r="Q23" s="181">
        <f>(O23*P23)+O23</f>
        <v>0</v>
      </c>
    </row>
    <row r="24" spans="1:17" ht="15" customHeight="1">
      <c r="A24" s="265" t="s">
        <v>10</v>
      </c>
      <c r="B24" s="266"/>
      <c r="C24" s="267"/>
      <c r="D24" s="170">
        <v>0</v>
      </c>
      <c r="E24" s="188">
        <f>D24*$E$10</f>
        <v>0</v>
      </c>
      <c r="G24" s="169" t="s">
        <v>248</v>
      </c>
      <c r="H24" s="177"/>
      <c r="I24" s="181">
        <f>(E24*H24)+E24</f>
        <v>0</v>
      </c>
      <c r="J24" s="182"/>
      <c r="K24" s="181">
        <f>(I24*J24)+I24</f>
        <v>0</v>
      </c>
      <c r="L24" s="182"/>
      <c r="M24" s="181">
        <f>(K24*L24)+K24</f>
        <v>0</v>
      </c>
      <c r="N24" s="182"/>
      <c r="O24" s="181">
        <f>(M24*N24)+M24</f>
        <v>0</v>
      </c>
      <c r="P24" s="182"/>
      <c r="Q24" s="181">
        <f>(O24*P24)+O24</f>
        <v>0</v>
      </c>
    </row>
    <row r="25" spans="1:17" ht="15" customHeight="1">
      <c r="A25" s="276" t="s">
        <v>84</v>
      </c>
      <c r="B25" s="277"/>
      <c r="C25" s="278"/>
      <c r="D25" s="185" t="e">
        <f>E25/$E$35</f>
        <v>#DIV/0!</v>
      </c>
      <c r="E25" s="186">
        <v>0</v>
      </c>
      <c r="G25" s="169" t="s">
        <v>249</v>
      </c>
      <c r="H25" s="177"/>
      <c r="I25" s="187">
        <f>(E25*H25)+E25</f>
        <v>0</v>
      </c>
      <c r="J25" s="182"/>
      <c r="K25" s="181">
        <f>(I25*J25)+I25</f>
        <v>0</v>
      </c>
      <c r="L25" s="182"/>
      <c r="M25" s="181">
        <f>(K25*L25)+K25</f>
        <v>0</v>
      </c>
      <c r="N25" s="182"/>
      <c r="O25" s="181">
        <f>(M25*N25)+M25</f>
        <v>0</v>
      </c>
      <c r="P25" s="182"/>
      <c r="Q25" s="181">
        <f>(O25*P25)+O25</f>
        <v>0</v>
      </c>
    </row>
    <row r="26" spans="1:17" ht="15" customHeight="1">
      <c r="A26" s="279" t="s">
        <v>76</v>
      </c>
      <c r="B26" s="279"/>
      <c r="C26" s="279"/>
      <c r="D26" s="141" t="s">
        <v>3</v>
      </c>
      <c r="E26" s="143">
        <f>SUM(E21:E25)</f>
        <v>0</v>
      </c>
      <c r="G26" s="169"/>
      <c r="H26" s="169"/>
      <c r="I26" s="143">
        <f>SUM(I21:I25)</f>
        <v>0</v>
      </c>
      <c r="J26" s="169"/>
      <c r="K26" s="143">
        <f>SUM(K21:K25)</f>
        <v>0</v>
      </c>
      <c r="L26" s="169"/>
      <c r="M26" s="143">
        <f>SUM(M21:M25)</f>
        <v>0</v>
      </c>
      <c r="N26" s="169"/>
      <c r="O26" s="143">
        <f>SUM(O21:O25)</f>
        <v>0</v>
      </c>
      <c r="P26" s="169"/>
      <c r="Q26" s="143">
        <f>SUM(Q21:Q25)</f>
        <v>0</v>
      </c>
    </row>
    <row r="27" spans="1:17" ht="15" customHeight="1">
      <c r="A27" s="24"/>
      <c r="B27" s="24"/>
      <c r="C27" s="24"/>
      <c r="D27" s="189"/>
      <c r="E27" s="190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</row>
    <row r="28" spans="1:17" s="19" customFormat="1" ht="26.25" customHeight="1">
      <c r="A28" s="273" t="s">
        <v>71</v>
      </c>
      <c r="B28" s="274"/>
      <c r="C28" s="275"/>
      <c r="D28" s="75" t="s">
        <v>79</v>
      </c>
      <c r="E28" s="74" t="s">
        <v>81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</row>
    <row r="29" spans="1:17" ht="15" customHeight="1">
      <c r="A29" s="268" t="s">
        <v>11</v>
      </c>
      <c r="B29" s="269"/>
      <c r="C29" s="269"/>
      <c r="D29" s="170">
        <v>0</v>
      </c>
      <c r="E29" s="188">
        <f>D29*($E$18+$E$10)</f>
        <v>0</v>
      </c>
      <c r="G29" s="169" t="s">
        <v>249</v>
      </c>
      <c r="H29" s="177"/>
      <c r="I29" s="181">
        <f>(E29*H29)+E29</f>
        <v>0</v>
      </c>
      <c r="J29" s="182"/>
      <c r="K29" s="181">
        <f>(I29*J29)+I29</f>
        <v>0</v>
      </c>
      <c r="L29" s="182"/>
      <c r="M29" s="181">
        <f>(K29*L29)+K29</f>
        <v>0</v>
      </c>
      <c r="N29" s="182"/>
      <c r="O29" s="181">
        <f>(M29*N29)+M29</f>
        <v>0</v>
      </c>
      <c r="P29" s="182"/>
      <c r="Q29" s="181">
        <f>(O29*P29)+O29</f>
        <v>0</v>
      </c>
    </row>
    <row r="30" spans="1:17" ht="15" customHeight="1">
      <c r="A30" s="268" t="s">
        <v>72</v>
      </c>
      <c r="B30" s="269"/>
      <c r="C30" s="269"/>
      <c r="D30" s="191" t="e">
        <f>E30/$E$35</f>
        <v>#DIV/0!</v>
      </c>
      <c r="E30" s="186">
        <v>0</v>
      </c>
      <c r="G30" s="169" t="s">
        <v>249</v>
      </c>
      <c r="H30" s="177"/>
      <c r="I30" s="187">
        <f>(E30*H30)+E30</f>
        <v>0</v>
      </c>
      <c r="J30" s="182"/>
      <c r="K30" s="181">
        <f>(I30*J30)+I30</f>
        <v>0</v>
      </c>
      <c r="L30" s="182"/>
      <c r="M30" s="181">
        <f>(K30*L30)+K30</f>
        <v>0</v>
      </c>
      <c r="N30" s="182"/>
      <c r="O30" s="181">
        <f>(M30*N30)+M30</f>
        <v>0</v>
      </c>
      <c r="P30" s="182"/>
      <c r="Q30" s="181">
        <f>(O30*P30)+O30</f>
        <v>0</v>
      </c>
    </row>
    <row r="31" spans="1:17" ht="15" customHeight="1">
      <c r="A31" s="276" t="s">
        <v>85</v>
      </c>
      <c r="B31" s="277"/>
      <c r="C31" s="278"/>
      <c r="D31" s="185" t="e">
        <f>E31/$E$35</f>
        <v>#DIV/0!</v>
      </c>
      <c r="E31" s="186">
        <v>0</v>
      </c>
      <c r="G31" s="169" t="s">
        <v>249</v>
      </c>
      <c r="H31" s="177"/>
      <c r="I31" s="187">
        <f>(E31*H31)+E31</f>
        <v>0</v>
      </c>
      <c r="J31" s="182"/>
      <c r="K31" s="181">
        <f>(I31*J31)+I31</f>
        <v>0</v>
      </c>
      <c r="L31" s="182"/>
      <c r="M31" s="181">
        <f>(K31*L31)+K31</f>
        <v>0</v>
      </c>
      <c r="N31" s="182"/>
      <c r="O31" s="181">
        <f>(M31*N31)+M31</f>
        <v>0</v>
      </c>
      <c r="P31" s="182"/>
      <c r="Q31" s="181">
        <f>(O31*P31)+O31</f>
        <v>0</v>
      </c>
    </row>
    <row r="32" spans="1:17" ht="15" customHeight="1">
      <c r="A32" s="269" t="s">
        <v>73</v>
      </c>
      <c r="B32" s="269"/>
      <c r="C32" s="269"/>
      <c r="D32" s="191" t="e">
        <f>E32/$E$35</f>
        <v>#DIV/0!</v>
      </c>
      <c r="E32" s="186">
        <v>0</v>
      </c>
      <c r="G32" s="169"/>
      <c r="H32" s="169"/>
      <c r="I32" s="187">
        <f>(E32*H32)+E32</f>
        <v>0</v>
      </c>
      <c r="J32" s="182"/>
      <c r="K32" s="181">
        <f>(I32*J32)+I32</f>
        <v>0</v>
      </c>
      <c r="L32" s="182"/>
      <c r="M32" s="181">
        <f>(K32*L32)+K32</f>
        <v>0</v>
      </c>
      <c r="N32" s="182"/>
      <c r="O32" s="181">
        <f>(M32*N32)+M32</f>
        <v>0</v>
      </c>
      <c r="P32" s="182"/>
      <c r="Q32" s="181">
        <f>(O32*P32)+O32</f>
        <v>0</v>
      </c>
    </row>
    <row r="33" spans="1:17" ht="15" customHeight="1">
      <c r="A33" s="279" t="s">
        <v>77</v>
      </c>
      <c r="B33" s="279"/>
      <c r="C33" s="279"/>
      <c r="D33" s="141"/>
      <c r="E33" s="142">
        <f>SUM(E29:E32)</f>
        <v>0</v>
      </c>
      <c r="G33" s="169"/>
      <c r="H33" s="169"/>
      <c r="I33" s="142">
        <f>SUM(I29:I32)</f>
        <v>0</v>
      </c>
      <c r="J33" s="169"/>
      <c r="K33" s="142">
        <f>SUM(K29:K32)</f>
        <v>0</v>
      </c>
      <c r="L33" s="169"/>
      <c r="M33" s="142">
        <f>SUM(M29:M32)</f>
        <v>0</v>
      </c>
      <c r="N33" s="169"/>
      <c r="O33" s="142">
        <f>SUM(O29:O32)</f>
        <v>0</v>
      </c>
      <c r="P33" s="169"/>
      <c r="Q33" s="142">
        <f>SUM(Q29:Q32)</f>
        <v>0</v>
      </c>
    </row>
    <row r="34" spans="1:17" ht="15" customHeight="1">
      <c r="A34" s="24"/>
      <c r="B34" s="24"/>
      <c r="C34" s="24"/>
      <c r="D34" s="189"/>
      <c r="E34" s="192"/>
      <c r="H34" s="169"/>
      <c r="I34" s="169"/>
      <c r="J34" s="169"/>
      <c r="K34" s="169"/>
      <c r="L34" s="169"/>
      <c r="M34" s="169"/>
      <c r="N34" s="169"/>
      <c r="O34" s="169"/>
      <c r="P34" s="169"/>
      <c r="Q34" s="169"/>
    </row>
    <row r="35" spans="1:17" ht="26.25" customHeight="1">
      <c r="A35" s="270" t="s">
        <v>96</v>
      </c>
      <c r="B35" s="271"/>
      <c r="C35" s="271"/>
      <c r="D35" s="272"/>
      <c r="E35" s="140">
        <f>E33+E26+E18+E10</f>
        <v>0</v>
      </c>
      <c r="G35" s="104"/>
      <c r="H35" s="169"/>
      <c r="I35" s="140">
        <f>I33+I26+I18+I10</f>
        <v>0</v>
      </c>
      <c r="J35" s="169"/>
      <c r="K35" s="140">
        <f>K33+K26+K18+K10</f>
        <v>0</v>
      </c>
      <c r="L35" s="169"/>
      <c r="M35" s="140">
        <f>M33+M26+M18+M10</f>
        <v>0</v>
      </c>
      <c r="N35" s="169"/>
      <c r="O35" s="140">
        <f>O33+O26+O18+O10</f>
        <v>0</v>
      </c>
      <c r="P35" s="169"/>
      <c r="Q35" s="140">
        <f>Q33+Q26+Q18+Q10</f>
        <v>0</v>
      </c>
    </row>
    <row r="36" spans="1:17" ht="15" customHeight="1">
      <c r="D36" s="183"/>
      <c r="E36" s="184"/>
    </row>
    <row r="37" spans="1:17" ht="26.25" customHeight="1">
      <c r="A37" s="76" t="s">
        <v>80</v>
      </c>
      <c r="B37" s="77"/>
      <c r="C37" s="75" t="s">
        <v>95</v>
      </c>
      <c r="D37" s="75" t="s">
        <v>93</v>
      </c>
      <c r="E37" s="75" t="s">
        <v>94</v>
      </c>
      <c r="H37" s="75" t="s">
        <v>250</v>
      </c>
      <c r="I37" s="193" t="e">
        <f>(I35/E35)-100%</f>
        <v>#DIV/0!</v>
      </c>
      <c r="J37" s="75"/>
      <c r="K37" s="193" t="e">
        <f>(K35/I35)-100%</f>
        <v>#DIV/0!</v>
      </c>
      <c r="L37" s="75"/>
      <c r="M37" s="193" t="e">
        <f>(M35/K35)-100%</f>
        <v>#DIV/0!</v>
      </c>
      <c r="N37" s="75"/>
      <c r="O37" s="193" t="e">
        <f>(O35/M35)-100%</f>
        <v>#DIV/0!</v>
      </c>
      <c r="P37" s="75"/>
      <c r="Q37" s="193" t="e">
        <f>(Q35/O35)-100%</f>
        <v>#DIV/0!</v>
      </c>
    </row>
    <row r="38" spans="1:17" ht="15" customHeight="1">
      <c r="A38" s="169" t="s">
        <v>82</v>
      </c>
      <c r="B38" s="169" t="s">
        <v>88</v>
      </c>
      <c r="C38" s="13">
        <v>0</v>
      </c>
      <c r="D38" s="14">
        <f>+E35</f>
        <v>0</v>
      </c>
      <c r="E38" s="15">
        <f>D38*121%</f>
        <v>0</v>
      </c>
      <c r="F38" s="104"/>
      <c r="H38" s="169"/>
      <c r="I38" s="11" t="e">
        <f>(D38*$I$37)+D38</f>
        <v>#DIV/0!</v>
      </c>
      <c r="J38" s="169"/>
      <c r="K38" s="11" t="e">
        <f>(I38*$K$37)+I38</f>
        <v>#DIV/0!</v>
      </c>
      <c r="L38" s="169"/>
      <c r="M38" s="11" t="e">
        <f>(K38*$M$37)+K38</f>
        <v>#DIV/0!</v>
      </c>
      <c r="N38" s="169"/>
      <c r="O38" s="11" t="e">
        <f>(M38*$O$37)+M38</f>
        <v>#DIV/0!</v>
      </c>
      <c r="P38" s="169"/>
      <c r="Q38" s="11" t="e">
        <f>(O38*$Q$37)+O38</f>
        <v>#DIV/0!</v>
      </c>
    </row>
    <row r="39" spans="1:17" ht="15" customHeight="1">
      <c r="A39" s="169" t="s">
        <v>87</v>
      </c>
      <c r="B39" s="169" t="s">
        <v>89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04"/>
      <c r="H39" s="11"/>
      <c r="I39" s="11" t="e">
        <f>(D39*$I$37)+D39</f>
        <v>#DIV/0!</v>
      </c>
      <c r="J39" s="169"/>
      <c r="K39" s="11" t="e">
        <f>(I39*$K$37)+I39</f>
        <v>#DIV/0!</v>
      </c>
      <c r="L39" s="169"/>
      <c r="M39" s="11" t="e">
        <f>(K39*$M$37)+K39</f>
        <v>#DIV/0!</v>
      </c>
      <c r="N39" s="169"/>
      <c r="O39" s="11" t="e">
        <f>(M39*$O$37)+M39</f>
        <v>#DIV/0!</v>
      </c>
      <c r="P39" s="169"/>
      <c r="Q39" s="11" t="e">
        <f>(O39*$Q$37)+O39</f>
        <v>#DIV/0!</v>
      </c>
    </row>
    <row r="40" spans="1:17" ht="15" customHeight="1">
      <c r="A40" s="169" t="s">
        <v>24</v>
      </c>
      <c r="B40" s="169" t="s">
        <v>90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04"/>
      <c r="H40" s="169"/>
      <c r="I40" s="11" t="e">
        <f>(D40*$I$37)+D40</f>
        <v>#DIV/0!</v>
      </c>
      <c r="J40" s="169"/>
      <c r="K40" s="11" t="e">
        <f>(I40*$K$37)+I40</f>
        <v>#DIV/0!</v>
      </c>
      <c r="L40" s="169"/>
      <c r="M40" s="11" t="e">
        <f>(K40*$M$37)+K40</f>
        <v>#DIV/0!</v>
      </c>
      <c r="N40" s="169"/>
      <c r="O40" s="11" t="e">
        <f>(M40*$O$37)+M40</f>
        <v>#DIV/0!</v>
      </c>
      <c r="P40" s="169"/>
      <c r="Q40" s="11" t="e">
        <f>(O40*$Q$37)+O40</f>
        <v>#DIV/0!</v>
      </c>
    </row>
    <row r="41" spans="1:17" ht="15" customHeight="1">
      <c r="A41" s="169" t="s">
        <v>91</v>
      </c>
      <c r="B41" s="16" t="s">
        <v>92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04"/>
      <c r="H41" s="169"/>
      <c r="I41" s="11" t="e">
        <f>(D41*$I$37)+D41</f>
        <v>#DIV/0!</v>
      </c>
      <c r="J41" s="169"/>
      <c r="K41" s="11" t="e">
        <f>(I41*$K$37)+I41</f>
        <v>#DIV/0!</v>
      </c>
      <c r="L41" s="169"/>
      <c r="M41" s="11" t="e">
        <f>(K41*$M$37)+K41</f>
        <v>#DIV/0!</v>
      </c>
      <c r="N41" s="169"/>
      <c r="O41" s="11" t="e">
        <f>(M41*$O$37)+M41</f>
        <v>#DIV/0!</v>
      </c>
      <c r="P41" s="169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G2:Q2"/>
    <mergeCell ref="H3:I3"/>
    <mergeCell ref="J3:K3"/>
    <mergeCell ref="L3:M3"/>
    <mergeCell ref="N3:O3"/>
    <mergeCell ref="P3:Q3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A13:C13"/>
    <mergeCell ref="A8:B8"/>
    <mergeCell ref="A12:C12"/>
    <mergeCell ref="A14:C14"/>
    <mergeCell ref="A22:C22"/>
    <mergeCell ref="A17:C17"/>
    <mergeCell ref="A24:C24"/>
    <mergeCell ref="A30:C30"/>
    <mergeCell ref="A35:D35"/>
    <mergeCell ref="A28:C28"/>
    <mergeCell ref="A31:C31"/>
    <mergeCell ref="A29:C29"/>
    <mergeCell ref="A32:C32"/>
    <mergeCell ref="A33:C33"/>
  </mergeCells>
  <phoneticPr fontId="5" type="noConversion"/>
  <conditionalFormatting sqref="E9">
    <cfRule type="containsText" dxfId="0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1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293" t="s">
        <v>115</v>
      </c>
      <c r="B1" s="293"/>
      <c r="C1" s="293"/>
      <c r="D1" s="293"/>
      <c r="E1" s="293"/>
      <c r="F1" s="293"/>
    </row>
    <row r="2" spans="1:10" s="7" customFormat="1" ht="15" customHeight="1">
      <c r="A2" s="291" t="s">
        <v>212</v>
      </c>
      <c r="B2" s="292"/>
      <c r="C2" s="292"/>
      <c r="D2" s="292"/>
      <c r="E2" s="292"/>
      <c r="F2" s="292"/>
    </row>
    <row r="3" spans="1:10" s="56" customFormat="1" ht="15" customHeight="1">
      <c r="A3" s="57"/>
      <c r="E3" s="71"/>
      <c r="F3" s="71"/>
      <c r="G3" s="57"/>
      <c r="H3" s="57"/>
    </row>
    <row r="4" spans="1:10" s="56" customFormat="1" ht="15" customHeight="1">
      <c r="A4" s="57"/>
      <c r="E4" s="71"/>
      <c r="F4" s="71"/>
      <c r="G4" s="57"/>
      <c r="H4" s="57"/>
    </row>
    <row r="5" spans="1:10" s="56" customFormat="1" ht="26.25" customHeight="1">
      <c r="A5" s="72" t="s">
        <v>227</v>
      </c>
      <c r="B5" s="72"/>
      <c r="C5" s="72"/>
      <c r="D5" s="72"/>
      <c r="E5" s="66"/>
      <c r="F5" s="66"/>
      <c r="G5" s="57"/>
      <c r="H5" s="57"/>
    </row>
    <row r="6" spans="1:10" s="56" customFormat="1" ht="26.25" customHeight="1" thickBot="1">
      <c r="A6" s="107" t="s">
        <v>34</v>
      </c>
      <c r="B6" s="108" t="s">
        <v>142</v>
      </c>
      <c r="C6" s="105" t="s">
        <v>102</v>
      </c>
      <c r="D6" s="109" t="s">
        <v>63</v>
      </c>
      <c r="E6" s="110" t="s">
        <v>62</v>
      </c>
      <c r="F6" s="4" t="s">
        <v>30</v>
      </c>
      <c r="G6" s="57"/>
      <c r="H6" s="57"/>
    </row>
    <row r="7" spans="1:10" s="56" customFormat="1" ht="15" customHeight="1" thickTop="1">
      <c r="A7" s="112">
        <v>1</v>
      </c>
      <c r="B7" s="111" t="s">
        <v>429</v>
      </c>
      <c r="C7" s="106">
        <v>1</v>
      </c>
      <c r="D7" s="111" t="s">
        <v>432</v>
      </c>
      <c r="E7" s="254" t="s">
        <v>433</v>
      </c>
      <c r="F7" s="254" t="s">
        <v>434</v>
      </c>
      <c r="G7" s="57"/>
      <c r="H7" s="57"/>
    </row>
    <row r="8" spans="1:10" s="56" customFormat="1" ht="15" customHeight="1">
      <c r="A8" s="112">
        <v>2</v>
      </c>
      <c r="B8" s="111" t="s">
        <v>430</v>
      </c>
      <c r="C8" s="106">
        <v>1</v>
      </c>
      <c r="D8" s="111" t="s">
        <v>432</v>
      </c>
      <c r="E8" s="254" t="s">
        <v>433</v>
      </c>
      <c r="F8" s="254" t="s">
        <v>434</v>
      </c>
      <c r="G8" s="57"/>
      <c r="H8" s="57"/>
    </row>
    <row r="9" spans="1:10" s="56" customFormat="1" ht="15" customHeight="1">
      <c r="A9" s="112">
        <v>3</v>
      </c>
      <c r="B9" s="111" t="s">
        <v>431</v>
      </c>
      <c r="C9" s="106">
        <v>1</v>
      </c>
      <c r="D9" s="111" t="s">
        <v>432</v>
      </c>
      <c r="E9" s="254" t="s">
        <v>433</v>
      </c>
      <c r="F9" s="254" t="s">
        <v>434</v>
      </c>
      <c r="G9" s="57"/>
      <c r="H9" s="57"/>
    </row>
    <row r="10" spans="1:10" s="56" customFormat="1" ht="15" customHeight="1">
      <c r="A10" s="57"/>
      <c r="E10" s="71"/>
      <c r="F10" s="71"/>
      <c r="G10" s="57"/>
      <c r="H10" s="57"/>
    </row>
    <row r="11" spans="1:10" s="56" customFormat="1" ht="26.25" customHeight="1">
      <c r="A11" s="79" t="s">
        <v>228</v>
      </c>
      <c r="B11" s="66"/>
      <c r="C11" s="66"/>
      <c r="D11" s="66"/>
      <c r="E11" s="71"/>
      <c r="F11" s="71"/>
      <c r="G11" s="57"/>
      <c r="H11" s="57"/>
    </row>
    <row r="12" spans="1:10" s="56" customFormat="1" ht="26.25" customHeight="1">
      <c r="A12" s="78" t="s">
        <v>34</v>
      </c>
      <c r="B12" s="17" t="s">
        <v>100</v>
      </c>
      <c r="C12" s="19" t="s">
        <v>99</v>
      </c>
      <c r="D12" s="78" t="s">
        <v>206</v>
      </c>
      <c r="E12" s="71"/>
      <c r="F12" s="71"/>
      <c r="G12" s="57"/>
      <c r="H12" s="57"/>
    </row>
    <row r="13" spans="1:10" s="56" customFormat="1" ht="15" customHeight="1">
      <c r="A13" s="18">
        <v>1</v>
      </c>
      <c r="B13" s="7" t="s">
        <v>56</v>
      </c>
      <c r="C13" s="237"/>
      <c r="D13" s="147" t="s">
        <v>733</v>
      </c>
      <c r="E13" s="71"/>
      <c r="F13" s="71"/>
      <c r="G13" s="57"/>
      <c r="H13" s="57"/>
    </row>
    <row r="14" spans="1:10" s="66" customFormat="1" ht="15" customHeight="1">
      <c r="A14" s="18">
        <v>2</v>
      </c>
      <c r="B14" s="7" t="s">
        <v>57</v>
      </c>
      <c r="C14" s="237"/>
      <c r="D14" s="147" t="s">
        <v>734</v>
      </c>
      <c r="G14" s="73"/>
      <c r="H14" s="73"/>
      <c r="I14" s="73"/>
    </row>
    <row r="15" spans="1:10" s="20" customFormat="1" ht="15" customHeight="1">
      <c r="A15" s="18">
        <v>3</v>
      </c>
      <c r="B15" s="7" t="s">
        <v>58</v>
      </c>
      <c r="C15" s="237"/>
      <c r="D15" s="147" t="s">
        <v>733</v>
      </c>
      <c r="E15" s="58"/>
      <c r="F15" s="58"/>
      <c r="G15" s="117"/>
      <c r="H15" s="117"/>
      <c r="I15" s="117"/>
      <c r="J15" s="117"/>
    </row>
    <row r="16" spans="1:10" s="4" customFormat="1" ht="15" customHeight="1">
      <c r="A16" s="18">
        <v>4</v>
      </c>
      <c r="B16" s="7" t="s">
        <v>59</v>
      </c>
      <c r="C16" s="237"/>
      <c r="D16" s="147" t="s">
        <v>734</v>
      </c>
      <c r="E16" s="80"/>
      <c r="F16" s="66"/>
      <c r="G16" s="73"/>
      <c r="H16" s="73"/>
      <c r="I16" s="73"/>
      <c r="J16" s="73"/>
    </row>
    <row r="17" spans="1:12" s="4" customFormat="1" ht="15" customHeight="1">
      <c r="A17" s="18">
        <v>5</v>
      </c>
      <c r="B17" s="7" t="s">
        <v>22</v>
      </c>
      <c r="C17" s="237"/>
      <c r="D17" s="147" t="s">
        <v>735</v>
      </c>
      <c r="E17" s="80"/>
      <c r="F17" s="66"/>
      <c r="G17" s="73"/>
      <c r="H17" s="73"/>
      <c r="I17" s="73"/>
      <c r="J17" s="73"/>
    </row>
    <row r="18" spans="1:12" s="4" customFormat="1" ht="15" customHeight="1">
      <c r="A18" s="18">
        <v>6</v>
      </c>
      <c r="B18" s="7" t="s">
        <v>60</v>
      </c>
      <c r="C18" s="237"/>
      <c r="D18" s="147" t="s">
        <v>733</v>
      </c>
      <c r="E18" s="80"/>
      <c r="F18" s="66"/>
      <c r="G18" s="73"/>
      <c r="H18" s="73"/>
      <c r="I18" s="73"/>
      <c r="J18" s="73"/>
    </row>
    <row r="19" spans="1:12" s="4" customFormat="1" ht="15" customHeight="1">
      <c r="A19" s="18">
        <v>7</v>
      </c>
      <c r="B19" s="7" t="s">
        <v>40</v>
      </c>
      <c r="C19" s="237"/>
      <c r="D19" s="147" t="s">
        <v>733</v>
      </c>
      <c r="E19" s="80"/>
      <c r="F19" s="66"/>
      <c r="G19" s="73"/>
      <c r="H19" s="73"/>
      <c r="I19" s="73"/>
      <c r="J19" s="73"/>
    </row>
    <row r="20" spans="1:12" s="4" customFormat="1" ht="15" customHeight="1">
      <c r="A20" s="18">
        <v>8</v>
      </c>
      <c r="B20" s="7" t="s">
        <v>698</v>
      </c>
      <c r="C20" s="237"/>
      <c r="D20" s="147" t="s">
        <v>733</v>
      </c>
      <c r="E20" s="80"/>
      <c r="F20" s="66"/>
      <c r="G20" s="73"/>
      <c r="H20" s="73"/>
      <c r="I20" s="73"/>
      <c r="J20" s="73"/>
    </row>
    <row r="21" spans="1:12" s="4" customFormat="1" ht="15" customHeight="1">
      <c r="A21" s="18">
        <v>9</v>
      </c>
      <c r="B21" s="7" t="s">
        <v>697</v>
      </c>
      <c r="C21" s="237"/>
      <c r="D21" s="147" t="s">
        <v>734</v>
      </c>
      <c r="E21" s="80"/>
      <c r="F21" s="66"/>
      <c r="G21" s="73"/>
      <c r="H21" s="73"/>
      <c r="I21" s="73"/>
      <c r="J21" s="73"/>
    </row>
    <row r="22" spans="1:12" s="4" customFormat="1" ht="15" customHeight="1">
      <c r="A22" s="18">
        <v>10</v>
      </c>
      <c r="B22" s="7" t="s">
        <v>61</v>
      </c>
      <c r="C22" s="237"/>
      <c r="D22" s="147" t="s">
        <v>733</v>
      </c>
      <c r="E22" s="83"/>
      <c r="F22" s="66"/>
      <c r="G22" s="73"/>
      <c r="H22" s="73"/>
      <c r="I22" s="73"/>
      <c r="J22" s="66"/>
    </row>
    <row r="23" spans="1:12" s="4" customFormat="1" ht="15" customHeight="1">
      <c r="A23" s="18">
        <v>11</v>
      </c>
      <c r="B23" s="7" t="s">
        <v>736</v>
      </c>
      <c r="C23" s="237"/>
      <c r="D23" s="147" t="s">
        <v>733</v>
      </c>
      <c r="E23" s="83"/>
      <c r="F23" s="66"/>
      <c r="G23" s="73"/>
      <c r="H23" s="73"/>
      <c r="I23" s="73"/>
      <c r="J23" s="66"/>
    </row>
    <row r="24" spans="1:12" s="4" customFormat="1" ht="15" customHeight="1">
      <c r="A24" s="18">
        <v>12</v>
      </c>
      <c r="B24" s="7" t="s">
        <v>737</v>
      </c>
      <c r="C24" s="237"/>
      <c r="D24" s="147" t="s">
        <v>733</v>
      </c>
      <c r="E24" s="83"/>
      <c r="F24" s="66"/>
      <c r="G24" s="73"/>
      <c r="H24" s="73"/>
      <c r="I24" s="73"/>
      <c r="J24" s="66"/>
    </row>
    <row r="25" spans="1:12" s="4" customFormat="1" ht="15" customHeight="1">
      <c r="A25" s="18">
        <v>13</v>
      </c>
      <c r="B25" s="7" t="s">
        <v>565</v>
      </c>
      <c r="C25" s="237"/>
      <c r="D25" s="147" t="s">
        <v>733</v>
      </c>
      <c r="E25" s="83"/>
      <c r="F25" s="66"/>
      <c r="G25" s="73"/>
      <c r="H25" s="73"/>
      <c r="I25" s="73"/>
      <c r="J25" s="66"/>
    </row>
    <row r="26" spans="1:12" s="4" customFormat="1" ht="15" customHeight="1">
      <c r="A26" s="18">
        <v>14</v>
      </c>
      <c r="B26" s="7" t="s">
        <v>700</v>
      </c>
      <c r="C26" s="237"/>
      <c r="D26" s="147" t="s">
        <v>734</v>
      </c>
      <c r="E26" s="83"/>
      <c r="F26" s="66"/>
      <c r="G26" s="73"/>
      <c r="H26" s="73"/>
      <c r="I26" s="66"/>
      <c r="J26" s="66"/>
    </row>
    <row r="27" spans="1:12" s="4" customFormat="1" ht="15" customHeight="1">
      <c r="A27" s="18">
        <v>15</v>
      </c>
      <c r="B27" s="7" t="s">
        <v>738</v>
      </c>
      <c r="C27" s="237"/>
      <c r="D27" s="147" t="s">
        <v>733</v>
      </c>
      <c r="E27" s="83"/>
      <c r="F27" s="66"/>
      <c r="G27" s="73"/>
      <c r="H27" s="73"/>
      <c r="I27" s="66"/>
      <c r="J27" s="66"/>
    </row>
    <row r="28" spans="1:12" s="4" customFormat="1" ht="15" customHeight="1">
      <c r="A28" s="18">
        <v>16</v>
      </c>
      <c r="B28" s="7" t="s">
        <v>701</v>
      </c>
      <c r="C28" s="237"/>
      <c r="D28" s="147" t="s">
        <v>734</v>
      </c>
      <c r="E28" s="83"/>
      <c r="F28" s="66"/>
      <c r="G28" s="73"/>
      <c r="H28" s="73"/>
      <c r="I28" s="66"/>
      <c r="J28" s="66"/>
    </row>
    <row r="29" spans="1:12" s="4" customFormat="1" ht="15" customHeight="1">
      <c r="A29" s="18">
        <v>17</v>
      </c>
      <c r="B29" s="7" t="s">
        <v>739</v>
      </c>
      <c r="C29" s="237"/>
      <c r="D29" s="147"/>
      <c r="E29" s="83"/>
      <c r="F29" s="66"/>
      <c r="G29" s="73"/>
      <c r="H29" s="73"/>
      <c r="I29" s="66"/>
      <c r="J29" s="66"/>
    </row>
    <row r="30" spans="1:12" s="4" customFormat="1" ht="15" customHeight="1">
      <c r="A30" s="66"/>
      <c r="B30" s="66"/>
      <c r="C30" s="66"/>
      <c r="D30" s="66"/>
      <c r="E30" s="83"/>
      <c r="F30" s="66"/>
      <c r="G30" s="73"/>
      <c r="H30" s="73"/>
      <c r="I30" s="66"/>
      <c r="J30" s="66"/>
    </row>
    <row r="31" spans="1:12" s="4" customFormat="1" ht="26.25" customHeight="1">
      <c r="A31" s="72" t="s">
        <v>229</v>
      </c>
      <c r="B31" s="72"/>
      <c r="C31" s="66"/>
      <c r="D31" s="66"/>
      <c r="E31" s="83"/>
      <c r="F31" s="66"/>
      <c r="G31" s="73"/>
      <c r="H31" s="73"/>
      <c r="I31" s="66"/>
      <c r="J31" s="66"/>
    </row>
    <row r="32" spans="1:12" s="4" customFormat="1" ht="26.25" customHeight="1">
      <c r="A32" s="21" t="s">
        <v>34</v>
      </c>
      <c r="B32" s="113" t="s">
        <v>128</v>
      </c>
      <c r="C32" s="22" t="s">
        <v>102</v>
      </c>
      <c r="D32" s="19" t="s">
        <v>101</v>
      </c>
      <c r="E32" s="120" t="s">
        <v>205</v>
      </c>
      <c r="F32" s="121" t="s">
        <v>167</v>
      </c>
      <c r="G32" s="73"/>
      <c r="H32" s="73"/>
      <c r="I32" s="73"/>
      <c r="J32" s="73"/>
      <c r="K32" s="66"/>
      <c r="L32" s="66"/>
    </row>
    <row r="33" spans="1:12" s="4" customFormat="1" ht="15" customHeight="1">
      <c r="A33" s="81" t="s">
        <v>104</v>
      </c>
      <c r="B33" s="18" t="s">
        <v>129</v>
      </c>
      <c r="C33" s="82">
        <v>1</v>
      </c>
      <c r="D33" s="7" t="s">
        <v>107</v>
      </c>
      <c r="E33" s="7"/>
      <c r="F33" s="7"/>
      <c r="G33" s="73"/>
      <c r="H33" s="73"/>
      <c r="I33" s="73"/>
      <c r="J33" s="73"/>
      <c r="K33" s="66"/>
      <c r="L33" s="66"/>
    </row>
    <row r="34" spans="1:12" s="4" customFormat="1" ht="15" customHeight="1">
      <c r="A34" s="81" t="s">
        <v>103</v>
      </c>
      <c r="B34" s="18" t="s">
        <v>38</v>
      </c>
      <c r="C34" s="82">
        <v>1</v>
      </c>
      <c r="D34" s="7" t="s">
        <v>108</v>
      </c>
      <c r="E34" s="7"/>
      <c r="F34" s="7"/>
      <c r="G34" s="73"/>
      <c r="H34" s="73"/>
      <c r="I34" s="73"/>
      <c r="J34" s="73"/>
      <c r="K34" s="66"/>
      <c r="L34" s="66"/>
    </row>
    <row r="35" spans="1:12" s="4" customFormat="1" ht="15" customHeight="1">
      <c r="A35" s="81" t="s">
        <v>105</v>
      </c>
      <c r="B35" s="18" t="s">
        <v>125</v>
      </c>
      <c r="C35" s="82">
        <v>1</v>
      </c>
      <c r="D35" s="7" t="s">
        <v>109</v>
      </c>
      <c r="E35" s="7"/>
      <c r="F35" s="7"/>
      <c r="G35" s="73"/>
      <c r="H35" s="73"/>
      <c r="I35" s="73"/>
      <c r="J35" s="73"/>
      <c r="K35" s="66"/>
      <c r="L35" s="66"/>
    </row>
    <row r="36" spans="1:12" s="4" customFormat="1" ht="15" customHeight="1">
      <c r="A36" s="81" t="s">
        <v>106</v>
      </c>
      <c r="B36" s="18" t="s">
        <v>126</v>
      </c>
      <c r="C36" s="82">
        <v>1</v>
      </c>
      <c r="D36" s="7" t="s">
        <v>110</v>
      </c>
      <c r="E36" s="7"/>
      <c r="F36" s="7"/>
      <c r="G36" s="73"/>
      <c r="H36" s="73"/>
      <c r="I36" s="73"/>
      <c r="J36" s="73"/>
      <c r="K36" s="66"/>
      <c r="L36" s="66"/>
    </row>
    <row r="37" spans="1:12" s="4" customFormat="1" ht="15" customHeight="1">
      <c r="A37" s="81" t="s">
        <v>792</v>
      </c>
      <c r="B37" s="18" t="s">
        <v>793</v>
      </c>
      <c r="C37" s="82">
        <v>1</v>
      </c>
      <c r="D37" s="7" t="s">
        <v>794</v>
      </c>
      <c r="E37" s="7"/>
      <c r="F37" s="7"/>
      <c r="G37" s="73"/>
      <c r="H37" s="73"/>
      <c r="I37" s="73"/>
      <c r="J37" s="73"/>
      <c r="K37" s="66"/>
      <c r="L37" s="66"/>
    </row>
    <row r="38" spans="1:12" s="4" customFormat="1" ht="15" customHeight="1">
      <c r="A38" s="66"/>
      <c r="B38" s="66"/>
      <c r="C38" s="66"/>
      <c r="D38" s="66"/>
      <c r="E38" s="83"/>
      <c r="F38" s="66"/>
      <c r="G38" s="73"/>
      <c r="H38" s="73"/>
      <c r="I38" s="66"/>
      <c r="J38" s="66"/>
    </row>
    <row r="39" spans="1:12" s="56" customFormat="1" ht="26.25" customHeight="1">
      <c r="A39" s="72" t="s">
        <v>111</v>
      </c>
      <c r="B39" s="66"/>
      <c r="C39" s="66"/>
      <c r="D39" s="73"/>
      <c r="G39" s="57"/>
    </row>
    <row r="40" spans="1:12" ht="26.25" customHeight="1">
      <c r="A40" s="21" t="s">
        <v>34</v>
      </c>
      <c r="B40" s="19" t="s">
        <v>112</v>
      </c>
      <c r="C40" s="22" t="s">
        <v>102</v>
      </c>
      <c r="D40" s="56"/>
      <c r="E40" s="56"/>
      <c r="F40" s="118"/>
      <c r="G40" s="56"/>
      <c r="H40" s="56"/>
    </row>
    <row r="41" spans="1:12" ht="15" customHeight="1">
      <c r="A41" s="38" t="s">
        <v>19</v>
      </c>
      <c r="B41" s="39" t="s">
        <v>29</v>
      </c>
      <c r="C41" s="82">
        <v>1</v>
      </c>
      <c r="D41" s="56"/>
      <c r="E41" s="56"/>
      <c r="F41" s="118"/>
      <c r="G41" s="56"/>
      <c r="H41" s="56"/>
    </row>
    <row r="42" spans="1:12" ht="15" customHeight="1">
      <c r="A42" s="40" t="s">
        <v>2</v>
      </c>
      <c r="B42" s="41" t="s">
        <v>1</v>
      </c>
      <c r="C42" s="82">
        <v>1</v>
      </c>
      <c r="D42" s="56"/>
      <c r="E42" s="56"/>
      <c r="F42" s="118"/>
      <c r="G42" s="56"/>
      <c r="H42" s="56"/>
    </row>
    <row r="43" spans="1:12" ht="15" customHeight="1">
      <c r="A43" s="38" t="s">
        <v>20</v>
      </c>
      <c r="B43" s="39" t="s">
        <v>21</v>
      </c>
      <c r="C43" s="82">
        <v>1</v>
      </c>
      <c r="D43" s="56"/>
      <c r="E43" s="56"/>
      <c r="F43" s="118"/>
      <c r="G43" s="56"/>
      <c r="H43" s="56"/>
    </row>
    <row r="44" spans="1:12" ht="15" customHeight="1">
      <c r="A44" s="40" t="s">
        <v>18</v>
      </c>
      <c r="B44" s="41" t="s">
        <v>12</v>
      </c>
      <c r="C44" s="82">
        <v>1</v>
      </c>
      <c r="D44" s="56"/>
      <c r="E44" s="56"/>
      <c r="F44" s="118"/>
      <c r="G44" s="56"/>
      <c r="H44" s="56"/>
    </row>
    <row r="45" spans="1:12" ht="15" customHeight="1">
      <c r="A45" s="38" t="s">
        <v>113</v>
      </c>
      <c r="B45" s="39" t="s">
        <v>114</v>
      </c>
      <c r="C45" s="82">
        <v>1</v>
      </c>
      <c r="D45" s="56"/>
      <c r="E45" s="56"/>
      <c r="F45" s="118"/>
      <c r="G45" s="56"/>
      <c r="H45" s="56"/>
    </row>
    <row r="46" spans="1:12" ht="15" customHeight="1">
      <c r="A46" s="40" t="s">
        <v>17</v>
      </c>
      <c r="B46" s="41" t="s">
        <v>14</v>
      </c>
      <c r="C46" s="82">
        <v>1</v>
      </c>
      <c r="D46" s="56"/>
      <c r="E46" s="56"/>
      <c r="F46" s="118"/>
      <c r="G46" s="56"/>
      <c r="H46" s="56"/>
    </row>
    <row r="47" spans="1:12" ht="15" customHeight="1">
      <c r="A47" s="38" t="s">
        <v>15</v>
      </c>
      <c r="B47" s="39" t="s">
        <v>13</v>
      </c>
      <c r="C47" s="82">
        <v>1</v>
      </c>
      <c r="D47" s="56"/>
      <c r="E47" s="56"/>
      <c r="F47" s="118"/>
      <c r="G47" s="56"/>
      <c r="H47" s="56"/>
    </row>
    <row r="48" spans="1:12" ht="15" customHeight="1">
      <c r="A48" s="40" t="s">
        <v>25</v>
      </c>
      <c r="B48" s="41" t="s">
        <v>28</v>
      </c>
      <c r="C48" s="82">
        <v>1</v>
      </c>
      <c r="D48" s="56"/>
      <c r="E48" s="56"/>
      <c r="F48" s="118"/>
      <c r="G48" s="56"/>
      <c r="H48" s="56"/>
    </row>
    <row r="49" spans="1:10" ht="15" customHeight="1">
      <c r="A49" s="38" t="s">
        <v>26</v>
      </c>
      <c r="B49" s="39" t="s">
        <v>27</v>
      </c>
      <c r="C49" s="82">
        <v>1</v>
      </c>
      <c r="D49" s="56"/>
      <c r="E49" s="56"/>
      <c r="F49" s="118"/>
      <c r="G49" s="56"/>
      <c r="H49" s="56"/>
    </row>
    <row r="50" spans="1:10" ht="15" customHeight="1">
      <c r="A50" s="40" t="s">
        <v>16</v>
      </c>
      <c r="B50" s="41" t="s">
        <v>0</v>
      </c>
      <c r="C50" s="82">
        <v>1</v>
      </c>
      <c r="D50" s="56"/>
      <c r="E50" s="56"/>
      <c r="F50" s="118"/>
      <c r="G50" s="56"/>
      <c r="H50" s="56"/>
    </row>
    <row r="51" spans="1:10" ht="15" customHeight="1">
      <c r="A51" s="84"/>
      <c r="B51" s="73"/>
      <c r="C51" s="73"/>
      <c r="D51" s="73"/>
      <c r="E51" s="56"/>
      <c r="F51" s="56"/>
      <c r="G51" s="57"/>
      <c r="H51" s="56"/>
      <c r="I51" s="56"/>
      <c r="J51" s="56"/>
    </row>
    <row r="52" spans="1:10" ht="15" customHeight="1">
      <c r="A52" s="119"/>
      <c r="B52" s="56"/>
      <c r="C52" s="56"/>
      <c r="D52" s="71"/>
      <c r="E52" s="56"/>
      <c r="F52" s="56"/>
      <c r="G52" s="57"/>
      <c r="H52" s="56"/>
      <c r="I52" s="56"/>
      <c r="J52" s="56"/>
    </row>
    <row r="53" spans="1:10" ht="15" customHeight="1">
      <c r="A53" s="119"/>
      <c r="B53" s="56"/>
      <c r="C53" s="56"/>
      <c r="D53" s="71"/>
      <c r="E53" s="56"/>
      <c r="F53" s="56"/>
      <c r="G53" s="57"/>
      <c r="H53" s="56"/>
      <c r="I53" s="56"/>
      <c r="J53" s="56"/>
    </row>
    <row r="54" spans="1:10" ht="15" customHeight="1">
      <c r="A54" s="119"/>
      <c r="B54" s="56"/>
      <c r="C54" s="56"/>
      <c r="D54" s="71"/>
      <c r="E54" s="56"/>
      <c r="F54" s="56"/>
      <c r="G54" s="57"/>
      <c r="H54" s="56"/>
      <c r="I54" s="56"/>
      <c r="J54" s="56"/>
    </row>
    <row r="55" spans="1:10" ht="15" customHeight="1">
      <c r="A55" s="119"/>
      <c r="B55" s="56"/>
      <c r="C55" s="56"/>
      <c r="D55" s="71"/>
      <c r="E55" s="56"/>
      <c r="F55" s="56"/>
      <c r="G55" s="57"/>
      <c r="H55" s="56"/>
      <c r="I55" s="56"/>
      <c r="J55" s="56"/>
    </row>
    <row r="56" spans="1:10" ht="15" customHeight="1">
      <c r="F56" s="56"/>
      <c r="G56" s="57"/>
      <c r="H56" s="56"/>
      <c r="I56" s="56"/>
      <c r="J56" s="56"/>
    </row>
    <row r="57" spans="1:10" ht="15" customHeight="1">
      <c r="F57" s="56"/>
      <c r="G57" s="57"/>
      <c r="H57" s="56"/>
      <c r="I57" s="56"/>
      <c r="J57" s="56"/>
    </row>
    <row r="58" spans="1:10" ht="15" customHeight="1">
      <c r="F58" s="56"/>
      <c r="G58" s="57"/>
      <c r="H58" s="56"/>
      <c r="I58" s="56"/>
      <c r="J58" s="56"/>
    </row>
    <row r="59" spans="1:10" ht="15" customHeight="1">
      <c r="F59" s="56"/>
      <c r="G59" s="57"/>
      <c r="H59" s="56"/>
      <c r="I59" s="56"/>
      <c r="J59" s="56"/>
    </row>
    <row r="60" spans="1:10" ht="15" customHeight="1">
      <c r="F60" s="56"/>
      <c r="G60" s="57"/>
      <c r="H60" s="56"/>
      <c r="I60" s="56"/>
      <c r="J60" s="56"/>
    </row>
    <row r="61" spans="1:10" ht="15" customHeight="1">
      <c r="F61" s="56"/>
      <c r="G61" s="57"/>
      <c r="H61" s="56"/>
      <c r="I61" s="56"/>
      <c r="J61" s="56"/>
    </row>
    <row r="62" spans="1:10" ht="15" customHeight="1">
      <c r="F62" s="56"/>
      <c r="G62" s="57"/>
      <c r="H62" s="56"/>
      <c r="I62" s="56"/>
      <c r="J62" s="56"/>
    </row>
    <row r="63" spans="1:10" ht="15" customHeight="1">
      <c r="F63" s="56"/>
      <c r="G63" s="57"/>
      <c r="H63" s="56"/>
      <c r="I63" s="56"/>
      <c r="J63" s="56"/>
    </row>
    <row r="64" spans="1:10" ht="15" customHeight="1">
      <c r="F64" s="56"/>
      <c r="G64" s="57"/>
      <c r="H64" s="56"/>
      <c r="I64" s="56"/>
      <c r="J64" s="56"/>
    </row>
    <row r="65" spans="6:10" ht="15" customHeight="1">
      <c r="F65" s="56"/>
      <c r="G65" s="57"/>
      <c r="H65" s="56"/>
      <c r="I65" s="56"/>
      <c r="J65" s="56"/>
    </row>
    <row r="66" spans="6:10" ht="15" customHeight="1">
      <c r="F66" s="56"/>
      <c r="G66" s="57"/>
      <c r="H66" s="56"/>
      <c r="I66" s="56"/>
      <c r="J66" s="56"/>
    </row>
    <row r="67" spans="6:10" ht="15" customHeight="1">
      <c r="F67" s="56"/>
      <c r="G67" s="57"/>
      <c r="H67" s="56"/>
      <c r="I67" s="56"/>
      <c r="J67" s="56"/>
    </row>
    <row r="68" spans="6:10" ht="15" customHeight="1">
      <c r="F68" s="56"/>
      <c r="G68" s="57"/>
      <c r="H68" s="56"/>
      <c r="I68" s="56"/>
      <c r="J68" s="56"/>
    </row>
    <row r="69" spans="6:10" ht="15" customHeight="1">
      <c r="F69" s="56"/>
      <c r="G69" s="57"/>
      <c r="H69" s="56"/>
      <c r="I69" s="56"/>
      <c r="J69" s="56"/>
    </row>
    <row r="70" spans="6:10" ht="15" customHeight="1">
      <c r="F70" s="56"/>
      <c r="G70" s="57"/>
      <c r="H70" s="56"/>
      <c r="I70" s="56"/>
      <c r="J70" s="56"/>
    </row>
    <row r="71" spans="6:10" ht="15" customHeight="1">
      <c r="F71" s="56"/>
      <c r="G71" s="57"/>
      <c r="H71" s="56"/>
      <c r="I71" s="56"/>
      <c r="J71" s="56"/>
    </row>
    <row r="72" spans="6:10" ht="15" customHeight="1">
      <c r="F72" s="56"/>
      <c r="G72" s="57"/>
      <c r="H72" s="56"/>
      <c r="I72" s="56"/>
      <c r="J72" s="56"/>
    </row>
    <row r="73" spans="6:10" ht="15" customHeight="1">
      <c r="F73" s="56"/>
      <c r="G73" s="57"/>
      <c r="H73" s="56"/>
      <c r="I73" s="56"/>
      <c r="J73" s="56"/>
    </row>
    <row r="74" spans="6:10" ht="15" customHeight="1">
      <c r="F74" s="56"/>
      <c r="G74" s="57"/>
      <c r="H74" s="56"/>
      <c r="I74" s="56"/>
      <c r="J74" s="56"/>
    </row>
    <row r="75" spans="6:10" ht="15" customHeight="1">
      <c r="F75" s="56"/>
      <c r="G75" s="57"/>
      <c r="H75" s="56"/>
      <c r="I75" s="56"/>
      <c r="J75" s="56"/>
    </row>
    <row r="76" spans="6:10" ht="15" customHeight="1">
      <c r="F76" s="56"/>
      <c r="G76" s="57"/>
      <c r="H76" s="56"/>
      <c r="I76" s="56"/>
      <c r="J76" s="56"/>
    </row>
    <row r="77" spans="6:10" ht="15" customHeight="1">
      <c r="F77" s="56"/>
      <c r="G77" s="57"/>
      <c r="H77" s="56"/>
      <c r="I77" s="56"/>
      <c r="J77" s="56"/>
    </row>
    <row r="78" spans="6:10" ht="15" customHeight="1">
      <c r="F78" s="56"/>
      <c r="G78" s="57"/>
      <c r="H78" s="56"/>
      <c r="I78" s="56"/>
      <c r="J78" s="56"/>
    </row>
    <row r="79" spans="6:10" ht="15" customHeight="1">
      <c r="F79" s="56"/>
      <c r="G79" s="57"/>
      <c r="H79" s="56"/>
      <c r="I79" s="56"/>
      <c r="J79" s="56"/>
    </row>
    <row r="80" spans="6:10" ht="15" customHeight="1">
      <c r="F80" s="56"/>
      <c r="G80" s="57"/>
      <c r="H80" s="56"/>
      <c r="I80" s="56"/>
      <c r="J80" s="56"/>
    </row>
    <row r="81" spans="6:10" ht="15" customHeight="1">
      <c r="F81" s="56"/>
      <c r="G81" s="57"/>
      <c r="H81" s="56"/>
      <c r="I81" s="56"/>
      <c r="J81" s="56"/>
    </row>
    <row r="82" spans="6:10" ht="15" customHeight="1">
      <c r="F82" s="56"/>
      <c r="G82" s="57"/>
      <c r="H82" s="56"/>
      <c r="I82" s="56"/>
      <c r="J82" s="56"/>
    </row>
    <row r="83" spans="6:10" ht="15" customHeight="1">
      <c r="F83" s="56"/>
      <c r="G83" s="57"/>
      <c r="H83" s="56"/>
      <c r="I83" s="56"/>
      <c r="J83" s="56"/>
    </row>
    <row r="84" spans="6:10" ht="15" customHeight="1">
      <c r="F84" s="56"/>
      <c r="G84" s="57"/>
      <c r="H84" s="56"/>
      <c r="I84" s="56"/>
      <c r="J84" s="56"/>
    </row>
    <row r="85" spans="6:10" ht="15" customHeight="1">
      <c r="F85" s="56"/>
      <c r="G85" s="57"/>
      <c r="H85" s="56"/>
      <c r="I85" s="56"/>
      <c r="J85" s="56"/>
    </row>
    <row r="86" spans="6:10" ht="15" customHeight="1">
      <c r="F86" s="56"/>
      <c r="G86" s="57"/>
      <c r="H86" s="56"/>
      <c r="I86" s="56"/>
      <c r="J86" s="56"/>
    </row>
    <row r="87" spans="6:10" ht="15" customHeight="1">
      <c r="F87" s="56"/>
      <c r="G87" s="57"/>
      <c r="H87" s="56"/>
      <c r="I87" s="56"/>
      <c r="J87" s="56"/>
    </row>
    <row r="88" spans="6:10" ht="15" customHeight="1">
      <c r="F88" s="56"/>
      <c r="G88" s="57"/>
      <c r="H88" s="56"/>
      <c r="I88" s="56"/>
      <c r="J88" s="56"/>
    </row>
    <row r="89" spans="6:10" ht="15" customHeight="1">
      <c r="F89" s="56"/>
      <c r="G89" s="57"/>
      <c r="H89" s="56"/>
      <c r="I89" s="56"/>
      <c r="J89" s="56"/>
    </row>
    <row r="90" spans="6:10" ht="15" customHeight="1">
      <c r="F90" s="56"/>
      <c r="G90" s="57"/>
      <c r="H90" s="56"/>
      <c r="I90" s="56"/>
      <c r="J90" s="56"/>
    </row>
    <row r="91" spans="6:10" ht="15" customHeight="1">
      <c r="F91" s="56"/>
      <c r="G91" s="57"/>
      <c r="H91" s="56"/>
      <c r="I91" s="56"/>
      <c r="J91" s="56"/>
    </row>
    <row r="92" spans="6:10" ht="15" customHeight="1">
      <c r="F92" s="56"/>
      <c r="G92" s="57"/>
      <c r="H92" s="56"/>
      <c r="I92" s="56"/>
      <c r="J92" s="56"/>
    </row>
    <row r="93" spans="6:10" ht="15" customHeight="1">
      <c r="F93" s="56"/>
      <c r="G93" s="57"/>
      <c r="H93" s="56"/>
      <c r="I93" s="56"/>
      <c r="J93" s="56"/>
    </row>
    <row r="94" spans="6:10" ht="15" customHeight="1">
      <c r="F94" s="56"/>
      <c r="G94" s="57"/>
      <c r="H94" s="56"/>
      <c r="I94" s="56"/>
      <c r="J94" s="56"/>
    </row>
    <row r="95" spans="6:10" ht="15" customHeight="1">
      <c r="F95" s="56"/>
      <c r="G95" s="57"/>
      <c r="H95" s="56"/>
      <c r="I95" s="56"/>
      <c r="J95" s="56"/>
    </row>
    <row r="96" spans="6:10" ht="15" customHeight="1">
      <c r="F96" s="56"/>
      <c r="G96" s="57"/>
      <c r="H96" s="56"/>
      <c r="I96" s="56"/>
      <c r="J96" s="56"/>
    </row>
    <row r="97" spans="6:10" ht="15" customHeight="1">
      <c r="F97" s="56"/>
      <c r="G97" s="57"/>
      <c r="H97" s="56"/>
      <c r="I97" s="56"/>
      <c r="J97" s="56"/>
    </row>
    <row r="98" spans="6:10" ht="15" customHeight="1">
      <c r="F98" s="56"/>
      <c r="G98" s="57"/>
      <c r="H98" s="56"/>
      <c r="I98" s="56"/>
      <c r="J98" s="56"/>
    </row>
    <row r="99" spans="6:10" ht="15" customHeight="1">
      <c r="F99" s="56"/>
      <c r="G99" s="57"/>
      <c r="H99" s="56"/>
      <c r="I99" s="56"/>
      <c r="J99" s="56"/>
    </row>
    <row r="100" spans="6:10" ht="15" customHeight="1">
      <c r="F100" s="56"/>
      <c r="G100" s="57"/>
      <c r="H100" s="56"/>
      <c r="I100" s="56"/>
      <c r="J100" s="56"/>
    </row>
    <row r="101" spans="6:10" ht="15" customHeight="1">
      <c r="F101" s="56"/>
      <c r="G101" s="57"/>
      <c r="H101" s="56"/>
      <c r="I101" s="56"/>
      <c r="J101" s="56"/>
    </row>
    <row r="102" spans="6:10" ht="15" customHeight="1">
      <c r="F102" s="56"/>
      <c r="G102" s="57"/>
      <c r="H102" s="56"/>
      <c r="I102" s="56"/>
      <c r="J102" s="56"/>
    </row>
    <row r="103" spans="6:10" ht="15" customHeight="1">
      <c r="F103" s="56"/>
      <c r="G103" s="57"/>
      <c r="H103" s="56"/>
      <c r="I103" s="56"/>
      <c r="J103" s="56"/>
    </row>
    <row r="104" spans="6:10" ht="15" customHeight="1">
      <c r="F104" s="56"/>
      <c r="G104" s="57"/>
      <c r="H104" s="56"/>
      <c r="I104" s="56"/>
      <c r="J104" s="56"/>
    </row>
    <row r="105" spans="6:10" ht="15" customHeight="1">
      <c r="F105" s="56"/>
      <c r="G105" s="57"/>
      <c r="H105" s="56"/>
      <c r="I105" s="56"/>
      <c r="J105" s="56"/>
    </row>
    <row r="106" spans="6:10" ht="15" customHeight="1">
      <c r="F106" s="56"/>
      <c r="G106" s="57"/>
      <c r="H106" s="56"/>
      <c r="I106" s="56"/>
      <c r="J106" s="56"/>
    </row>
    <row r="107" spans="6:10" ht="15" customHeight="1">
      <c r="F107" s="56"/>
      <c r="G107" s="57"/>
      <c r="H107" s="56"/>
      <c r="I107" s="56"/>
      <c r="J107" s="56"/>
    </row>
    <row r="108" spans="6:10" ht="15" customHeight="1">
      <c r="F108" s="56"/>
      <c r="G108" s="57"/>
      <c r="H108" s="56"/>
      <c r="I108" s="56"/>
      <c r="J108" s="56"/>
    </row>
    <row r="109" spans="6:10" ht="15" customHeight="1">
      <c r="F109" s="56"/>
      <c r="G109" s="57"/>
      <c r="H109" s="56"/>
      <c r="I109" s="56"/>
      <c r="J109" s="56"/>
    </row>
    <row r="110" spans="6:10" ht="15" customHeight="1">
      <c r="F110" s="56"/>
      <c r="G110" s="57"/>
      <c r="H110" s="56"/>
      <c r="I110" s="56"/>
      <c r="J110" s="56"/>
    </row>
    <row r="111" spans="6:10" ht="15" customHeight="1">
      <c r="F111" s="56"/>
      <c r="G111" s="57"/>
      <c r="H111" s="56"/>
      <c r="I111" s="56"/>
      <c r="J111" s="56"/>
    </row>
    <row r="112" spans="6:10" ht="15" customHeight="1">
      <c r="F112" s="56"/>
      <c r="G112" s="57"/>
      <c r="H112" s="56"/>
      <c r="I112" s="56"/>
      <c r="J112" s="56"/>
    </row>
    <row r="113" spans="6:10" ht="15" customHeight="1">
      <c r="F113" s="56"/>
      <c r="G113" s="57"/>
      <c r="H113" s="56"/>
      <c r="I113" s="56"/>
      <c r="J113" s="56"/>
    </row>
    <row r="114" spans="6:10" ht="15" customHeight="1">
      <c r="F114" s="56"/>
      <c r="G114" s="57"/>
      <c r="H114" s="56"/>
      <c r="I114" s="56"/>
      <c r="J114" s="56"/>
    </row>
    <row r="115" spans="6:10" ht="15" customHeight="1">
      <c r="F115" s="56"/>
      <c r="G115" s="57"/>
      <c r="H115" s="56"/>
      <c r="I115" s="56"/>
      <c r="J115" s="56"/>
    </row>
    <row r="116" spans="6:10" ht="15" customHeight="1">
      <c r="F116" s="56"/>
      <c r="G116" s="57"/>
      <c r="H116" s="56"/>
      <c r="I116" s="56"/>
      <c r="J116" s="56"/>
    </row>
    <row r="117" spans="6:10" ht="15" customHeight="1">
      <c r="F117" s="56"/>
      <c r="G117" s="57"/>
      <c r="H117" s="56"/>
      <c r="I117" s="56"/>
      <c r="J117" s="56"/>
    </row>
    <row r="118" spans="6:10" ht="15" customHeight="1">
      <c r="F118" s="56"/>
      <c r="G118" s="57"/>
      <c r="H118" s="56"/>
      <c r="I118" s="56"/>
      <c r="J118" s="56"/>
    </row>
    <row r="119" spans="6:10" ht="15" customHeight="1">
      <c r="F119" s="56"/>
      <c r="G119" s="57"/>
      <c r="H119" s="56"/>
      <c r="I119" s="56"/>
      <c r="J119" s="56"/>
    </row>
    <row r="120" spans="6:10" ht="15" customHeight="1">
      <c r="F120" s="56"/>
      <c r="G120" s="57"/>
      <c r="H120" s="56"/>
      <c r="I120" s="56"/>
      <c r="J120" s="56"/>
    </row>
    <row r="121" spans="6:10" ht="15" customHeight="1">
      <c r="F121" s="56"/>
      <c r="G121" s="57"/>
      <c r="H121" s="56"/>
      <c r="I121" s="56"/>
      <c r="J121" s="56"/>
    </row>
    <row r="122" spans="6:10" ht="15" customHeight="1">
      <c r="F122" s="56"/>
      <c r="G122" s="57"/>
      <c r="H122" s="56"/>
      <c r="I122" s="56"/>
      <c r="J122" s="56"/>
    </row>
    <row r="123" spans="6:10" ht="15" customHeight="1">
      <c r="F123" s="56"/>
      <c r="G123" s="57"/>
      <c r="H123" s="56"/>
      <c r="I123" s="56"/>
      <c r="J123" s="56"/>
    </row>
    <row r="124" spans="6:10" ht="15" customHeight="1">
      <c r="F124" s="56"/>
      <c r="G124" s="57"/>
      <c r="H124" s="56"/>
      <c r="I124" s="56"/>
      <c r="J124" s="56"/>
    </row>
    <row r="125" spans="6:10" ht="15" customHeight="1">
      <c r="F125" s="56"/>
      <c r="G125" s="57"/>
      <c r="H125" s="56"/>
      <c r="I125" s="56"/>
      <c r="J125" s="56"/>
    </row>
    <row r="126" spans="6:10" ht="15" customHeight="1">
      <c r="F126" s="56"/>
      <c r="G126" s="57"/>
      <c r="H126" s="56"/>
      <c r="I126" s="56"/>
      <c r="J126" s="56"/>
    </row>
    <row r="127" spans="6:10" ht="15" customHeight="1">
      <c r="F127" s="56"/>
      <c r="G127" s="57"/>
      <c r="H127" s="56"/>
      <c r="I127" s="56"/>
      <c r="J127" s="56"/>
    </row>
    <row r="128" spans="6:10" ht="15" customHeight="1">
      <c r="F128" s="56"/>
      <c r="G128" s="57"/>
      <c r="H128" s="56"/>
      <c r="I128" s="56"/>
      <c r="J128" s="56"/>
    </row>
    <row r="129" spans="6:10" ht="15" customHeight="1">
      <c r="F129" s="56"/>
      <c r="G129" s="57"/>
      <c r="H129" s="56"/>
      <c r="I129" s="56"/>
      <c r="J129" s="56"/>
    </row>
    <row r="130" spans="6:10" ht="15" customHeight="1">
      <c r="F130" s="56"/>
      <c r="G130" s="57"/>
      <c r="H130" s="56"/>
      <c r="I130" s="56"/>
      <c r="J130" s="56"/>
    </row>
    <row r="131" spans="6:10" ht="15" customHeight="1">
      <c r="F131" s="56"/>
      <c r="G131" s="57"/>
      <c r="H131" s="56"/>
      <c r="I131" s="56"/>
      <c r="J131" s="56"/>
    </row>
    <row r="132" spans="6:10" ht="15" customHeight="1">
      <c r="F132" s="56"/>
      <c r="G132" s="57"/>
      <c r="H132" s="56"/>
      <c r="I132" s="56"/>
      <c r="J132" s="56"/>
    </row>
    <row r="133" spans="6:10" ht="15" customHeight="1">
      <c r="F133" s="56"/>
      <c r="G133" s="57"/>
      <c r="H133" s="56"/>
      <c r="I133" s="56"/>
      <c r="J133" s="56"/>
    </row>
    <row r="134" spans="6:10" ht="15" customHeight="1">
      <c r="F134" s="56"/>
      <c r="G134" s="57"/>
      <c r="H134" s="56"/>
      <c r="I134" s="56"/>
      <c r="J134" s="56"/>
    </row>
    <row r="135" spans="6:10" ht="15" customHeight="1">
      <c r="F135" s="56"/>
      <c r="G135" s="57"/>
      <c r="H135" s="56"/>
      <c r="I135" s="56"/>
      <c r="J135" s="56"/>
    </row>
    <row r="136" spans="6:10" ht="15" customHeight="1">
      <c r="F136" s="56"/>
      <c r="G136" s="57"/>
      <c r="H136" s="56"/>
      <c r="I136" s="56"/>
      <c r="J136" s="56"/>
    </row>
    <row r="137" spans="6:10" ht="15" customHeight="1">
      <c r="F137" s="56"/>
      <c r="G137" s="57"/>
      <c r="H137" s="56"/>
      <c r="I137" s="56"/>
      <c r="J137" s="56"/>
    </row>
    <row r="138" spans="6:10" ht="15" customHeight="1">
      <c r="F138" s="56"/>
      <c r="G138" s="57"/>
      <c r="H138" s="56"/>
      <c r="I138" s="56"/>
      <c r="J138" s="56"/>
    </row>
    <row r="139" spans="6:10" ht="15" customHeight="1">
      <c r="F139" s="56"/>
      <c r="G139" s="57"/>
      <c r="H139" s="56"/>
      <c r="I139" s="56"/>
      <c r="J139" s="56"/>
    </row>
    <row r="140" spans="6:10" ht="15" customHeight="1">
      <c r="F140" s="56"/>
      <c r="G140" s="57"/>
      <c r="H140" s="56"/>
      <c r="I140" s="56"/>
      <c r="J140" s="56"/>
    </row>
    <row r="141" spans="6:10" ht="15" customHeight="1">
      <c r="F141" s="56"/>
      <c r="G141" s="57"/>
      <c r="H141" s="56"/>
      <c r="I141" s="56"/>
      <c r="J141" s="56"/>
    </row>
    <row r="142" spans="6:10" ht="15" customHeight="1">
      <c r="F142" s="56"/>
      <c r="G142" s="57"/>
      <c r="H142" s="56"/>
      <c r="I142" s="56"/>
      <c r="J142" s="56"/>
    </row>
    <row r="143" spans="6:10" ht="15" customHeight="1">
      <c r="F143" s="56"/>
      <c r="G143" s="57"/>
      <c r="H143" s="56"/>
      <c r="I143" s="56"/>
      <c r="J143" s="56"/>
    </row>
    <row r="144" spans="6:10" ht="15" customHeight="1">
      <c r="F144" s="56"/>
      <c r="G144" s="57"/>
      <c r="H144" s="56"/>
      <c r="I144" s="56"/>
      <c r="J144" s="56"/>
    </row>
    <row r="145" spans="6:10" ht="15" customHeight="1">
      <c r="F145" s="56"/>
      <c r="G145" s="57"/>
      <c r="H145" s="56"/>
      <c r="I145" s="56"/>
      <c r="J145" s="56"/>
    </row>
    <row r="146" spans="6:10" ht="15" customHeight="1">
      <c r="F146" s="56"/>
      <c r="G146" s="57"/>
      <c r="H146" s="56"/>
      <c r="I146" s="56"/>
      <c r="J146" s="56"/>
    </row>
    <row r="147" spans="6:10" ht="15" customHeight="1">
      <c r="F147" s="56"/>
      <c r="G147" s="57"/>
      <c r="H147" s="56"/>
      <c r="I147" s="56"/>
      <c r="J147" s="56"/>
    </row>
    <row r="148" spans="6:10" ht="15" customHeight="1">
      <c r="F148" s="56"/>
      <c r="G148" s="57"/>
      <c r="H148" s="56"/>
      <c r="I148" s="56"/>
      <c r="J148" s="56"/>
    </row>
    <row r="149" spans="6:10" ht="15" customHeight="1">
      <c r="F149" s="56"/>
      <c r="G149" s="57"/>
      <c r="H149" s="56"/>
      <c r="I149" s="56"/>
      <c r="J149" s="56"/>
    </row>
    <row r="150" spans="6:10" ht="15" customHeight="1">
      <c r="F150" s="56"/>
      <c r="G150" s="57"/>
      <c r="H150" s="56"/>
      <c r="I150" s="56"/>
      <c r="J150" s="56"/>
    </row>
    <row r="151" spans="6:10" ht="15" customHeight="1">
      <c r="F151" s="56"/>
      <c r="G151" s="57"/>
      <c r="H151" s="56"/>
      <c r="I151" s="56"/>
      <c r="J151" s="56"/>
    </row>
    <row r="152" spans="6:10" ht="15" customHeight="1">
      <c r="F152" s="56"/>
      <c r="G152" s="57"/>
      <c r="H152" s="56"/>
      <c r="I152" s="56"/>
      <c r="J152" s="56"/>
    </row>
    <row r="153" spans="6:10" ht="15" customHeight="1">
      <c r="F153" s="56"/>
      <c r="G153" s="57"/>
      <c r="H153" s="56"/>
      <c r="I153" s="56"/>
      <c r="J153" s="56"/>
    </row>
  </sheetData>
  <mergeCells count="2">
    <mergeCell ref="A2:F2"/>
    <mergeCell ref="A1:F1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231"/>
  <sheetViews>
    <sheetView view="pageBreakPreview" zoomScale="90" zoomScaleNormal="40" zoomScaleSheetLayoutView="90" workbookViewId="0">
      <pane ySplit="4" topLeftCell="A5" activePane="bottomLeft" state="frozen"/>
      <selection pane="bottomLeft" activeCell="K5" sqref="K5"/>
    </sheetView>
  </sheetViews>
  <sheetFormatPr defaultColWidth="10.28515625" defaultRowHeight="15" customHeight="1"/>
  <cols>
    <col min="1" max="1" width="6.140625" style="4" customWidth="1"/>
    <col min="2" max="2" width="19.5703125" style="4" bestFit="1" customWidth="1"/>
    <col min="3" max="3" width="12.7109375" style="4" bestFit="1" customWidth="1"/>
    <col min="4" max="4" width="12" style="4" customWidth="1"/>
    <col min="5" max="5" width="11.7109375" style="4" bestFit="1" customWidth="1"/>
    <col min="6" max="6" width="11.28515625" style="4" customWidth="1"/>
    <col min="7" max="7" width="7.28515625" style="4" customWidth="1"/>
    <col min="8" max="8" width="11.42578125" style="24" customWidth="1"/>
    <col min="9" max="9" width="32.42578125" style="61" bestFit="1" customWidth="1"/>
    <col min="10" max="10" width="9.28515625" style="24" customWidth="1"/>
    <col min="11" max="11" width="23.140625" style="61" bestFit="1" customWidth="1"/>
    <col min="12" max="12" width="9.28515625" style="24" customWidth="1"/>
    <col min="13" max="13" width="15.42578125" style="98" bestFit="1" customWidth="1"/>
    <col min="14" max="14" width="14.5703125" style="98" customWidth="1"/>
    <col min="15" max="15" width="14.5703125" style="99" customWidth="1"/>
    <col min="16" max="16" width="13.7109375" style="99" customWidth="1"/>
    <col min="17" max="17" width="17.42578125" style="4" bestFit="1" customWidth="1"/>
    <col min="18" max="18" width="12.85546875" style="4" customWidth="1"/>
    <col min="19" max="19" width="12.5703125" style="12" customWidth="1"/>
    <col min="20" max="20" width="16.42578125" style="12" customWidth="1"/>
    <col min="21" max="21" width="16.42578125" style="101" customWidth="1"/>
    <col min="22" max="22" width="18" style="102" customWidth="1"/>
    <col min="23" max="23" width="16.42578125" style="100" customWidth="1"/>
    <col min="24" max="24" width="16.42578125" style="12" customWidth="1"/>
    <col min="25" max="25" width="16.42578125" style="101" customWidth="1"/>
    <col min="26" max="26" width="16.42578125" style="102" customWidth="1"/>
    <col min="27" max="27" width="16.42578125" style="100" customWidth="1"/>
    <col min="28" max="29" width="16.42578125" style="4" customWidth="1"/>
    <col min="30" max="31" width="16.42578125" style="103" customWidth="1"/>
    <col min="32" max="32" width="16.42578125" style="104" customWidth="1"/>
    <col min="33" max="33" width="16.42578125" style="66" customWidth="1"/>
    <col min="34" max="219" width="10.28515625" style="66"/>
    <col min="220" max="16384" width="10.28515625" style="4"/>
  </cols>
  <sheetData>
    <row r="1" spans="1:220" ht="15" customHeight="1">
      <c r="A1" s="282" t="s">
        <v>159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 t="s">
        <v>159</v>
      </c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</row>
    <row r="2" spans="1:220" ht="15" customHeight="1">
      <c r="A2" s="66"/>
      <c r="B2" s="66"/>
      <c r="C2" s="66"/>
      <c r="D2" s="66"/>
      <c r="E2" s="66"/>
      <c r="F2" s="66"/>
      <c r="G2" s="66"/>
      <c r="H2" s="73"/>
      <c r="I2" s="116"/>
      <c r="J2" s="73"/>
      <c r="K2" s="116"/>
      <c r="L2" s="73"/>
      <c r="M2" s="85"/>
      <c r="N2" s="85"/>
      <c r="O2" s="86"/>
      <c r="P2" s="8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</row>
    <row r="3" spans="1:220" s="66" customFormat="1" ht="15" customHeight="1">
      <c r="H3" s="73"/>
      <c r="I3" s="116"/>
      <c r="J3" s="73"/>
      <c r="K3" s="116"/>
      <c r="L3" s="73"/>
      <c r="M3" s="85"/>
      <c r="N3" s="85"/>
      <c r="O3" s="86"/>
      <c r="P3" s="86"/>
      <c r="S3" s="294" t="s">
        <v>235</v>
      </c>
      <c r="T3" s="295"/>
      <c r="U3" s="295"/>
      <c r="V3" s="295"/>
      <c r="W3" s="295"/>
      <c r="X3" s="296"/>
      <c r="Y3" s="297" t="s">
        <v>236</v>
      </c>
      <c r="Z3" s="298"/>
      <c r="AA3" s="298"/>
      <c r="AB3" s="298"/>
      <c r="AC3" s="298"/>
      <c r="AD3" s="299"/>
      <c r="AE3" s="300" t="s">
        <v>237</v>
      </c>
      <c r="AF3" s="301"/>
      <c r="AG3" s="302"/>
    </row>
    <row r="4" spans="1:220" s="19" customFormat="1" ht="26.25" customHeight="1">
      <c r="A4" s="115" t="s">
        <v>34</v>
      </c>
      <c r="B4" s="22" t="s">
        <v>142</v>
      </c>
      <c r="C4" s="22" t="s">
        <v>63</v>
      </c>
      <c r="D4" s="22" t="s">
        <v>62</v>
      </c>
      <c r="E4" s="22" t="s">
        <v>30</v>
      </c>
      <c r="F4" s="22" t="s">
        <v>31</v>
      </c>
      <c r="G4" s="22" t="s">
        <v>116</v>
      </c>
      <c r="H4" s="22" t="s">
        <v>117</v>
      </c>
      <c r="I4" s="62" t="s">
        <v>100</v>
      </c>
      <c r="J4" s="22" t="s">
        <v>23</v>
      </c>
      <c r="K4" s="62" t="s">
        <v>118</v>
      </c>
      <c r="L4" s="22" t="s">
        <v>119</v>
      </c>
      <c r="M4" s="22" t="s">
        <v>39</v>
      </c>
      <c r="N4" s="22" t="s">
        <v>32</v>
      </c>
      <c r="O4" s="22" t="s">
        <v>130</v>
      </c>
      <c r="P4" s="22" t="s">
        <v>64</v>
      </c>
      <c r="Q4" s="22" t="s">
        <v>131</v>
      </c>
      <c r="R4" s="22" t="s">
        <v>122</v>
      </c>
      <c r="S4" s="22" t="s">
        <v>120</v>
      </c>
      <c r="T4" s="22" t="s">
        <v>134</v>
      </c>
      <c r="U4" s="22" t="s">
        <v>135</v>
      </c>
      <c r="V4" s="22" t="s">
        <v>136</v>
      </c>
      <c r="W4" s="22" t="s">
        <v>132</v>
      </c>
      <c r="X4" s="22" t="s">
        <v>133</v>
      </c>
      <c r="Y4" s="22" t="s">
        <v>121</v>
      </c>
      <c r="Z4" s="22" t="s">
        <v>141</v>
      </c>
      <c r="AA4" s="22" t="s">
        <v>137</v>
      </c>
      <c r="AB4" s="22" t="s">
        <v>138</v>
      </c>
      <c r="AC4" s="22" t="s">
        <v>139</v>
      </c>
      <c r="AD4" s="22" t="s">
        <v>140</v>
      </c>
      <c r="AE4" s="67" t="s">
        <v>124</v>
      </c>
      <c r="AF4" s="67" t="s">
        <v>37</v>
      </c>
      <c r="AG4" s="68" t="s">
        <v>36</v>
      </c>
      <c r="AH4" s="69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</row>
    <row r="5" spans="1:220" ht="15" customHeight="1">
      <c r="A5" s="114">
        <v>1</v>
      </c>
      <c r="B5" s="24" t="str">
        <f>VLOOKUP(Ruimtestaat[[#This Row],[Code]],Locaties[#All],2,FALSE)</f>
        <v>Hoofdgebouw</v>
      </c>
      <c r="C5" s="24" t="str">
        <f>VLOOKUP(Ruimtestaat[[#This Row],[Code]],Locaties[#All],4,FALSE)</f>
        <v>Rohofstraat 83</v>
      </c>
      <c r="D5" s="24" t="str">
        <f>VLOOKUP(Ruimtestaat[[#This Row],[Code]],Locaties[#All],5,FALSE)</f>
        <v>7605 AT</v>
      </c>
      <c r="E5" s="24" t="str">
        <f>VLOOKUP(Ruimtestaat[[#This Row],[Code]],Locaties[#All],6,FALSE)</f>
        <v>Almelo</v>
      </c>
      <c r="F5" s="61"/>
      <c r="G5" s="24" t="s">
        <v>435</v>
      </c>
      <c r="H5" s="24" t="s">
        <v>436</v>
      </c>
      <c r="I5" s="4" t="s">
        <v>437</v>
      </c>
      <c r="J5" s="24">
        <v>7</v>
      </c>
      <c r="K5" s="61" t="str">
        <f>VLOOKUP(J5,Ruimtegroepen[],2,FALSE)</f>
        <v>Entree</v>
      </c>
      <c r="L5" s="24" t="s">
        <v>103</v>
      </c>
      <c r="M5" s="24" t="s">
        <v>38</v>
      </c>
      <c r="N5" s="87">
        <v>18.899999999999999</v>
      </c>
      <c r="O5" s="87"/>
      <c r="P5" s="97" t="str">
        <f>LEFT(VLOOKUP(Ruimtestaat[[#This Row],[Ruimte code]],Ruimtegroepen[#All],4,1),2)</f>
        <v>Ve</v>
      </c>
      <c r="Q5" s="87"/>
      <c r="R5" s="88">
        <v>52</v>
      </c>
      <c r="S5" s="88" t="s">
        <v>2</v>
      </c>
      <c r="T5" s="89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5" s="89">
        <f>IF(T5&gt;0,VLOOKUP($J5,Ruimtegroepen[],3,FALSE)*VLOOKUP($L5,Vloersoorten[],3,FALSE)*VLOOKUP($S5,Frequenties[],3,FALSE)*VLOOKUP($A5,Locaties[],3,FALSE),0)</f>
        <v>0</v>
      </c>
      <c r="V5" s="90">
        <f>Ruimtestaat[[#This Row],[Uitvoeringen werkdagen]]*Ruimtestaat[[#This Row],[Oppervlak (netto)]]</f>
        <v>4914</v>
      </c>
      <c r="W5" s="91">
        <f>IF(U5&gt;0,Ruimtestaat[[#This Row],[Prest. (m2 /jaar) werkdagen]]/Ruimtestaat[[#This Row],[Norm (m2/uur) werkdagen]],0)</f>
        <v>0</v>
      </c>
      <c r="X5" s="92">
        <f>Ruimtestaat[[#This Row],[uren / jaar werkdagen]]*Tariefsopbouw!$E$35</f>
        <v>0</v>
      </c>
      <c r="Y5" s="89"/>
      <c r="Z5" s="93">
        <f>IF(Ruimtestaat[[#This Row],[Frequentie weekend]]&gt;0,VALUE(LEFT(Y5,1))*R5,0)</f>
        <v>0</v>
      </c>
      <c r="AA5" s="89">
        <f>IF($Z5&gt;0,VLOOKUP($J5,Ruimtegroepen[],3,FALSE)*VLOOKUP($L5,Vloersoorten[],3,FALSE)*VLOOKUP($Y5,Frequenties[],3,FALSE)*VLOOKUP(#REF!,Locaties[],3,FALSE),0)</f>
        <v>0</v>
      </c>
      <c r="AB5" s="91">
        <f>Ruimtestaat[[#This Row],[Uitvoeringen weekend]]*Ruimtestaat[[#This Row],[Oppervlak (netto)]]</f>
        <v>0</v>
      </c>
      <c r="AC5" s="94">
        <f>IF(AB5&gt;0,Ruimtestaat[[#This Row],[Prest. (m2 /jaar) weekend]]/Ruimtestaat[[#This Row],[Norm (m2/uur) weekend]],0)</f>
        <v>0</v>
      </c>
      <c r="AD5" s="95">
        <f>Ruimtestaat[[#This Row],[uren / jaar weekend]]*Tariefsopbouw!$D$40</f>
        <v>0</v>
      </c>
      <c r="AE5" s="67">
        <f>Ruimtestaat[[#This Row],[Prest. (m2 /jaar) weekend]]+Ruimtestaat[[#This Row],[Prest. (m2 /jaar) werkdagen]]</f>
        <v>4914</v>
      </c>
      <c r="AF5" s="67">
        <f>Ruimtestaat[[#This Row],[uren / jaar weekend]]+Ruimtestaat[[#This Row],[uren / jaar werkdagen]]</f>
        <v>0</v>
      </c>
      <c r="AG5" s="68">
        <f>Ruimtestaat[[#This Row],[kosten / jaar weekend]]+Ruimtestaat[[#This Row],[kosten / jaar werkdagen]]</f>
        <v>0</v>
      </c>
      <c r="AH5" s="96"/>
      <c r="HL5" s="66"/>
    </row>
    <row r="6" spans="1:220" ht="15" customHeight="1">
      <c r="A6" s="114">
        <v>1</v>
      </c>
      <c r="B6" s="24" t="str">
        <f>VLOOKUP(Ruimtestaat[[#This Row],[Code]],Locaties[#All],2,FALSE)</f>
        <v>Hoofdgebouw</v>
      </c>
      <c r="C6" s="24" t="str">
        <f>VLOOKUP(Ruimtestaat[[#This Row],[Code]],Locaties[#All],4,FALSE)</f>
        <v>Rohofstraat 83</v>
      </c>
      <c r="D6" s="24" t="str">
        <f>VLOOKUP(Ruimtestaat[[#This Row],[Code]],Locaties[#All],5,FALSE)</f>
        <v>7605 AT</v>
      </c>
      <c r="E6" s="24" t="str">
        <f>VLOOKUP(Ruimtestaat[[#This Row],[Code]],Locaties[#All],6,FALSE)</f>
        <v>Almelo</v>
      </c>
      <c r="F6" s="61"/>
      <c r="G6" s="24" t="s">
        <v>435</v>
      </c>
      <c r="H6" s="24" t="s">
        <v>438</v>
      </c>
      <c r="I6" s="4" t="s">
        <v>439</v>
      </c>
      <c r="J6" s="24">
        <v>6</v>
      </c>
      <c r="K6" s="61" t="str">
        <f>VLOOKUP(J6,Ruimtegroepen[],2,FALSE)</f>
        <v>Gangen/hallen</v>
      </c>
      <c r="L6" s="24" t="s">
        <v>103</v>
      </c>
      <c r="M6" s="24" t="s">
        <v>38</v>
      </c>
      <c r="N6" s="87">
        <v>51.6</v>
      </c>
      <c r="O6" s="87"/>
      <c r="P6" s="97" t="str">
        <f>LEFT(VLOOKUP(Ruimtestaat[[#This Row],[Ruimte code]],Ruimtegroepen[#All],4,1),2)</f>
        <v>Ve</v>
      </c>
      <c r="Q6" s="87"/>
      <c r="R6" s="88">
        <v>52</v>
      </c>
      <c r="S6" s="88" t="s">
        <v>2</v>
      </c>
      <c r="T6" s="89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" s="89">
        <f>IF(T6&gt;0,VLOOKUP($J6,Ruimtegroepen[],3,FALSE)*VLOOKUP($L6,Vloersoorten[],3,FALSE)*VLOOKUP($S6,Frequenties[],3,FALSE)*VLOOKUP($A6,Locaties[],3,FALSE),0)</f>
        <v>0</v>
      </c>
      <c r="V6" s="90">
        <f>Ruimtestaat[[#This Row],[Uitvoeringen werkdagen]]*Ruimtestaat[[#This Row],[Oppervlak (netto)]]</f>
        <v>13416</v>
      </c>
      <c r="W6" s="91">
        <f>IF(U6&gt;0,Ruimtestaat[[#This Row],[Prest. (m2 /jaar) werkdagen]]/Ruimtestaat[[#This Row],[Norm (m2/uur) werkdagen]],0)</f>
        <v>0</v>
      </c>
      <c r="X6" s="92">
        <f>Ruimtestaat[[#This Row],[uren / jaar werkdagen]]*Tariefsopbouw!$E$35</f>
        <v>0</v>
      </c>
      <c r="Y6" s="89"/>
      <c r="Z6" s="93">
        <f>IF(Ruimtestaat[[#This Row],[Frequentie weekend]]&gt;0,VALUE(LEFT(Y6,1))*R6,0)</f>
        <v>0</v>
      </c>
      <c r="AA6" s="89">
        <f>IF($Z6&gt;0,VLOOKUP($J6,Ruimtegroepen[],3,FALSE)*VLOOKUP($L6,Vloersoorten[],3,FALSE)*VLOOKUP($Y6,Frequenties[],3,FALSE)*VLOOKUP($A1,Locaties[],3,FALSE),0)</f>
        <v>0</v>
      </c>
      <c r="AB6" s="91">
        <f>Ruimtestaat[[#This Row],[Uitvoeringen weekend]]*Ruimtestaat[[#This Row],[Oppervlak (netto)]]</f>
        <v>0</v>
      </c>
      <c r="AC6" s="94">
        <f>IF(AB6&gt;0,Ruimtestaat[[#This Row],[Prest. (m2 /jaar) weekend]]/Ruimtestaat[[#This Row],[Norm (m2/uur) weekend]],0)</f>
        <v>0</v>
      </c>
      <c r="AD6" s="95">
        <f>Ruimtestaat[[#This Row],[uren / jaar weekend]]*Tariefsopbouw!$D$40</f>
        <v>0</v>
      </c>
      <c r="AE6" s="67">
        <f>Ruimtestaat[[#This Row],[Prest. (m2 /jaar) weekend]]+Ruimtestaat[[#This Row],[Prest. (m2 /jaar) werkdagen]]</f>
        <v>13416</v>
      </c>
      <c r="AF6" s="67">
        <f>Ruimtestaat[[#This Row],[uren / jaar weekend]]+Ruimtestaat[[#This Row],[uren / jaar werkdagen]]</f>
        <v>0</v>
      </c>
      <c r="AG6" s="68">
        <f>Ruimtestaat[[#This Row],[kosten / jaar weekend]]+Ruimtestaat[[#This Row],[kosten / jaar werkdagen]]</f>
        <v>0</v>
      </c>
      <c r="AH6" s="96"/>
      <c r="HL6" s="66"/>
    </row>
    <row r="7" spans="1:220" ht="15" customHeight="1">
      <c r="A7" s="114">
        <v>1</v>
      </c>
      <c r="B7" s="24" t="str">
        <f>VLOOKUP(Ruimtestaat[[#This Row],[Code]],Locaties[#All],2,FALSE)</f>
        <v>Hoofdgebouw</v>
      </c>
      <c r="C7" s="24" t="str">
        <f>VLOOKUP(Ruimtestaat[[#This Row],[Code]],Locaties[#All],4,FALSE)</f>
        <v>Rohofstraat 83</v>
      </c>
      <c r="D7" s="24" t="str">
        <f>VLOOKUP(Ruimtestaat[[#This Row],[Code]],Locaties[#All],5,FALSE)</f>
        <v>7605 AT</v>
      </c>
      <c r="E7" s="24" t="str">
        <f>VLOOKUP(Ruimtestaat[[#This Row],[Code]],Locaties[#All],6,FALSE)</f>
        <v>Almelo</v>
      </c>
      <c r="F7" s="61"/>
      <c r="G7" s="24" t="s">
        <v>435</v>
      </c>
      <c r="H7" s="24" t="s">
        <v>440</v>
      </c>
      <c r="I7" s="4" t="s">
        <v>441</v>
      </c>
      <c r="J7" s="24">
        <v>8</v>
      </c>
      <c r="K7" s="61" t="str">
        <f>VLOOKUP(J7,Ruimtegroepen[],2,FALSE)</f>
        <v>Woonkamer/aanland</v>
      </c>
      <c r="L7" s="24" t="s">
        <v>103</v>
      </c>
      <c r="M7" s="24" t="s">
        <v>38</v>
      </c>
      <c r="N7" s="87">
        <v>38.9</v>
      </c>
      <c r="O7" s="87"/>
      <c r="P7" s="97" t="str">
        <f>LEFT(VLOOKUP(Ruimtestaat[[#This Row],[Ruimte code]],Ruimtegroepen[#All],4,1),2)</f>
        <v>Ve</v>
      </c>
      <c r="Q7" s="87"/>
      <c r="R7" s="88">
        <v>52</v>
      </c>
      <c r="S7" s="88" t="s">
        <v>2</v>
      </c>
      <c r="T7" s="89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7" s="89">
        <f>IF(T7&gt;0,VLOOKUP($J7,Ruimtegroepen[],3,FALSE)*VLOOKUP($L7,Vloersoorten[],3,FALSE)*VLOOKUP($S7,Frequenties[],3,FALSE)*VLOOKUP($A7,Locaties[],3,FALSE),0)</f>
        <v>0</v>
      </c>
      <c r="V7" s="90">
        <f>Ruimtestaat[[#This Row],[Uitvoeringen werkdagen]]*Ruimtestaat[[#This Row],[Oppervlak (netto)]]</f>
        <v>10114</v>
      </c>
      <c r="W7" s="91">
        <f>IF(U7&gt;0,Ruimtestaat[[#This Row],[Prest. (m2 /jaar) werkdagen]]/Ruimtestaat[[#This Row],[Norm (m2/uur) werkdagen]],0)</f>
        <v>0</v>
      </c>
      <c r="X7" s="92">
        <f>Ruimtestaat[[#This Row],[uren / jaar werkdagen]]*Tariefsopbouw!$E$35</f>
        <v>0</v>
      </c>
      <c r="Y7" s="89"/>
      <c r="Z7" s="93">
        <f>IF(Ruimtestaat[[#This Row],[Frequentie weekend]]&gt;0,VALUE(LEFT(Y7,1))*R7,0)</f>
        <v>0</v>
      </c>
      <c r="AA7" s="89">
        <f>IF($Z7&gt;0,VLOOKUP($J7,Ruimtegroepen[],3,FALSE)*VLOOKUP($L7,Vloersoorten[],3,FALSE)*VLOOKUP($Y7,Frequenties[],3,FALSE)*VLOOKUP($A2,Locaties[],3,FALSE),0)</f>
        <v>0</v>
      </c>
      <c r="AB7" s="91">
        <f>Ruimtestaat[[#This Row],[Uitvoeringen weekend]]*Ruimtestaat[[#This Row],[Oppervlak (netto)]]</f>
        <v>0</v>
      </c>
      <c r="AC7" s="94">
        <f>IF(AB7&gt;0,Ruimtestaat[[#This Row],[Prest. (m2 /jaar) weekend]]/Ruimtestaat[[#This Row],[Norm (m2/uur) weekend]],0)</f>
        <v>0</v>
      </c>
      <c r="AD7" s="95">
        <f>Ruimtestaat[[#This Row],[uren / jaar weekend]]*Tariefsopbouw!$D$40</f>
        <v>0</v>
      </c>
      <c r="AE7" s="67">
        <f>Ruimtestaat[[#This Row],[Prest. (m2 /jaar) weekend]]+Ruimtestaat[[#This Row],[Prest. (m2 /jaar) werkdagen]]</f>
        <v>10114</v>
      </c>
      <c r="AF7" s="67">
        <f>Ruimtestaat[[#This Row],[uren / jaar weekend]]+Ruimtestaat[[#This Row],[uren / jaar werkdagen]]</f>
        <v>0</v>
      </c>
      <c r="AG7" s="68">
        <f>Ruimtestaat[[#This Row],[kosten / jaar weekend]]+Ruimtestaat[[#This Row],[kosten / jaar werkdagen]]</f>
        <v>0</v>
      </c>
      <c r="AH7" s="96"/>
      <c r="HL7" s="66"/>
    </row>
    <row r="8" spans="1:220" ht="15" customHeight="1">
      <c r="A8" s="114">
        <v>1</v>
      </c>
      <c r="B8" s="24" t="str">
        <f>VLOOKUP(Ruimtestaat[[#This Row],[Code]],Locaties[#All],2,FALSE)</f>
        <v>Hoofdgebouw</v>
      </c>
      <c r="C8" s="24" t="str">
        <f>VLOOKUP(Ruimtestaat[[#This Row],[Code]],Locaties[#All],4,FALSE)</f>
        <v>Rohofstraat 83</v>
      </c>
      <c r="D8" s="24" t="str">
        <f>VLOOKUP(Ruimtestaat[[#This Row],[Code]],Locaties[#All],5,FALSE)</f>
        <v>7605 AT</v>
      </c>
      <c r="E8" s="24" t="str">
        <f>VLOOKUP(Ruimtestaat[[#This Row],[Code]],Locaties[#All],6,FALSE)</f>
        <v>Almelo</v>
      </c>
      <c r="F8" s="61"/>
      <c r="G8" s="24" t="s">
        <v>435</v>
      </c>
      <c r="H8" s="24" t="s">
        <v>442</v>
      </c>
      <c r="I8" s="4" t="s">
        <v>443</v>
      </c>
      <c r="J8" s="24">
        <v>4</v>
      </c>
      <c r="K8" s="61" t="str">
        <f>VLOOKUP(J8,Ruimtegroepen[],2,FALSE)</f>
        <v>Vergader/spreekkamers</v>
      </c>
      <c r="L8" s="24" t="s">
        <v>103</v>
      </c>
      <c r="M8" s="24" t="s">
        <v>38</v>
      </c>
      <c r="N8" s="87">
        <v>9.5</v>
      </c>
      <c r="O8" s="87"/>
      <c r="P8" s="97" t="str">
        <f>LEFT(VLOOKUP(Ruimtestaat[[#This Row],[Ruimte code]],Ruimtegroepen[#All],4,1),2)</f>
        <v>Bu</v>
      </c>
      <c r="Q8" s="87"/>
      <c r="R8" s="88">
        <v>52</v>
      </c>
      <c r="S8" s="88" t="s">
        <v>2</v>
      </c>
      <c r="T8" s="89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8" s="89">
        <f>IF(T8&gt;0,VLOOKUP($J8,Ruimtegroepen[],3,FALSE)*VLOOKUP($L8,Vloersoorten[],3,FALSE)*VLOOKUP($S8,Frequenties[],3,FALSE)*VLOOKUP($A8,Locaties[],3,FALSE),0)</f>
        <v>0</v>
      </c>
      <c r="V8" s="90">
        <f>Ruimtestaat[[#This Row],[Uitvoeringen werkdagen]]*Ruimtestaat[[#This Row],[Oppervlak (netto)]]</f>
        <v>2470</v>
      </c>
      <c r="W8" s="91">
        <f>IF(U8&gt;0,Ruimtestaat[[#This Row],[Prest. (m2 /jaar) werkdagen]]/Ruimtestaat[[#This Row],[Norm (m2/uur) werkdagen]],0)</f>
        <v>0</v>
      </c>
      <c r="X8" s="92">
        <f>Ruimtestaat[[#This Row],[uren / jaar werkdagen]]*Tariefsopbouw!$E$35</f>
        <v>0</v>
      </c>
      <c r="Y8" s="89"/>
      <c r="Z8" s="93">
        <f>IF(Ruimtestaat[[#This Row],[Frequentie weekend]]&gt;0,VALUE(LEFT(Y8,1))*R8,0)</f>
        <v>0</v>
      </c>
      <c r="AA8" s="89">
        <f>IF($Z8&gt;0,VLOOKUP($J8,Ruimtegroepen[],3,FALSE)*VLOOKUP($L8,Vloersoorten[],3,FALSE)*VLOOKUP($Y8,Frequenties[],3,FALSE)*VLOOKUP($A3,Locaties[],3,FALSE),0)</f>
        <v>0</v>
      </c>
      <c r="AB8" s="91">
        <f>Ruimtestaat[[#This Row],[Uitvoeringen weekend]]*Ruimtestaat[[#This Row],[Oppervlak (netto)]]</f>
        <v>0</v>
      </c>
      <c r="AC8" s="94">
        <f>IF(AB8&gt;0,Ruimtestaat[[#This Row],[Prest. (m2 /jaar) weekend]]/Ruimtestaat[[#This Row],[Norm (m2/uur) weekend]],0)</f>
        <v>0</v>
      </c>
      <c r="AD8" s="95">
        <f>Ruimtestaat[[#This Row],[uren / jaar weekend]]*Tariefsopbouw!$D$40</f>
        <v>0</v>
      </c>
      <c r="AE8" s="67">
        <f>Ruimtestaat[[#This Row],[Prest. (m2 /jaar) weekend]]+Ruimtestaat[[#This Row],[Prest. (m2 /jaar) werkdagen]]</f>
        <v>2470</v>
      </c>
      <c r="AF8" s="67">
        <f>Ruimtestaat[[#This Row],[uren / jaar weekend]]+Ruimtestaat[[#This Row],[uren / jaar werkdagen]]</f>
        <v>0</v>
      </c>
      <c r="AG8" s="68">
        <f>Ruimtestaat[[#This Row],[kosten / jaar weekend]]+Ruimtestaat[[#This Row],[kosten / jaar werkdagen]]</f>
        <v>0</v>
      </c>
      <c r="AH8" s="96"/>
      <c r="HL8" s="66"/>
    </row>
    <row r="9" spans="1:220" ht="15" customHeight="1">
      <c r="A9" s="114">
        <v>1</v>
      </c>
      <c r="B9" s="24" t="str">
        <f>VLOOKUP(Ruimtestaat[[#This Row],[Code]],Locaties[#All],2,FALSE)</f>
        <v>Hoofdgebouw</v>
      </c>
      <c r="C9" s="24" t="str">
        <f>VLOOKUP(Ruimtestaat[[#This Row],[Code]],Locaties[#All],4,FALSE)</f>
        <v>Rohofstraat 83</v>
      </c>
      <c r="D9" s="24" t="str">
        <f>VLOOKUP(Ruimtestaat[[#This Row],[Code]],Locaties[#All],5,FALSE)</f>
        <v>7605 AT</v>
      </c>
      <c r="E9" s="24" t="str">
        <f>VLOOKUP(Ruimtestaat[[#This Row],[Code]],Locaties[#All],6,FALSE)</f>
        <v>Almelo</v>
      </c>
      <c r="F9" s="61"/>
      <c r="G9" s="24" t="s">
        <v>435</v>
      </c>
      <c r="H9" s="24" t="s">
        <v>444</v>
      </c>
      <c r="I9" s="4" t="s">
        <v>443</v>
      </c>
      <c r="J9" s="24">
        <v>4</v>
      </c>
      <c r="K9" s="61" t="str">
        <f>VLOOKUP(J9,Ruimtegroepen[],2,FALSE)</f>
        <v>Vergader/spreekkamers</v>
      </c>
      <c r="L9" s="24" t="s">
        <v>103</v>
      </c>
      <c r="M9" s="24" t="s">
        <v>38</v>
      </c>
      <c r="N9" s="87">
        <v>9.3000000000000007</v>
      </c>
      <c r="O9" s="87"/>
      <c r="P9" s="97" t="str">
        <f>LEFT(VLOOKUP(Ruimtestaat[[#This Row],[Ruimte code]],Ruimtegroepen[#All],4,1),2)</f>
        <v>Bu</v>
      </c>
      <c r="Q9" s="87"/>
      <c r="R9" s="88">
        <v>52</v>
      </c>
      <c r="S9" s="88" t="s">
        <v>2</v>
      </c>
      <c r="T9" s="89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9" s="89">
        <f>IF(T9&gt;0,VLOOKUP($J9,Ruimtegroepen[],3,FALSE)*VLOOKUP($L9,Vloersoorten[],3,FALSE)*VLOOKUP($S9,Frequenties[],3,FALSE)*VLOOKUP($A9,Locaties[],3,FALSE),0)</f>
        <v>0</v>
      </c>
      <c r="V9" s="90">
        <f>Ruimtestaat[[#This Row],[Uitvoeringen werkdagen]]*Ruimtestaat[[#This Row],[Oppervlak (netto)]]</f>
        <v>2418</v>
      </c>
      <c r="W9" s="91">
        <f>IF(U9&gt;0,Ruimtestaat[[#This Row],[Prest. (m2 /jaar) werkdagen]]/Ruimtestaat[[#This Row],[Norm (m2/uur) werkdagen]],0)</f>
        <v>0</v>
      </c>
      <c r="X9" s="92">
        <f>Ruimtestaat[[#This Row],[uren / jaar werkdagen]]*Tariefsopbouw!$E$35</f>
        <v>0</v>
      </c>
      <c r="Y9" s="89"/>
      <c r="Z9" s="93">
        <f>IF(Ruimtestaat[[#This Row],[Frequentie weekend]]&gt;0,VALUE(LEFT(Y9,1))*R9,0)</f>
        <v>0</v>
      </c>
      <c r="AA9" s="89">
        <f>IF($Z9&gt;0,VLOOKUP($J9,Ruimtegroepen[],3,FALSE)*VLOOKUP($L9,Vloersoorten[],3,FALSE)*VLOOKUP($Y9,Frequenties[],3,FALSE)*VLOOKUP($A4,Locaties[],3,FALSE),0)</f>
        <v>0</v>
      </c>
      <c r="AB9" s="91">
        <f>Ruimtestaat[[#This Row],[Uitvoeringen weekend]]*Ruimtestaat[[#This Row],[Oppervlak (netto)]]</f>
        <v>0</v>
      </c>
      <c r="AC9" s="94">
        <f>IF(AB9&gt;0,Ruimtestaat[[#This Row],[Prest. (m2 /jaar) weekend]]/Ruimtestaat[[#This Row],[Norm (m2/uur) weekend]],0)</f>
        <v>0</v>
      </c>
      <c r="AD9" s="95">
        <f>Ruimtestaat[[#This Row],[uren / jaar weekend]]*Tariefsopbouw!$D$40</f>
        <v>0</v>
      </c>
      <c r="AE9" s="67">
        <f>Ruimtestaat[[#This Row],[Prest. (m2 /jaar) weekend]]+Ruimtestaat[[#This Row],[Prest. (m2 /jaar) werkdagen]]</f>
        <v>2418</v>
      </c>
      <c r="AF9" s="67">
        <f>Ruimtestaat[[#This Row],[uren / jaar weekend]]+Ruimtestaat[[#This Row],[uren / jaar werkdagen]]</f>
        <v>0</v>
      </c>
      <c r="AG9" s="68">
        <f>Ruimtestaat[[#This Row],[kosten / jaar weekend]]+Ruimtestaat[[#This Row],[kosten / jaar werkdagen]]</f>
        <v>0</v>
      </c>
      <c r="AH9" s="96"/>
      <c r="HL9" s="66"/>
    </row>
    <row r="10" spans="1:220" ht="15" customHeight="1">
      <c r="A10" s="114">
        <v>1</v>
      </c>
      <c r="B10" s="24" t="str">
        <f>VLOOKUP(Ruimtestaat[[#This Row],[Code]],Locaties[#All],2,FALSE)</f>
        <v>Hoofdgebouw</v>
      </c>
      <c r="C10" s="24" t="str">
        <f>VLOOKUP(Ruimtestaat[[#This Row],[Code]],Locaties[#All],4,FALSE)</f>
        <v>Rohofstraat 83</v>
      </c>
      <c r="D10" s="24" t="str">
        <f>VLOOKUP(Ruimtestaat[[#This Row],[Code]],Locaties[#All],5,FALSE)</f>
        <v>7605 AT</v>
      </c>
      <c r="E10" s="24" t="str">
        <f>VLOOKUP(Ruimtestaat[[#This Row],[Code]],Locaties[#All],6,FALSE)</f>
        <v>Almelo</v>
      </c>
      <c r="F10" s="61"/>
      <c r="G10" s="24" t="s">
        <v>435</v>
      </c>
      <c r="H10" s="24" t="s">
        <v>445</v>
      </c>
      <c r="I10" s="4" t="s">
        <v>443</v>
      </c>
      <c r="J10" s="24">
        <v>4</v>
      </c>
      <c r="K10" s="61" t="str">
        <f>VLOOKUP(J10,Ruimtegroepen[],2,FALSE)</f>
        <v>Vergader/spreekkamers</v>
      </c>
      <c r="L10" s="24" t="s">
        <v>103</v>
      </c>
      <c r="M10" s="24" t="s">
        <v>38</v>
      </c>
      <c r="N10" s="87">
        <v>19.100000000000001</v>
      </c>
      <c r="O10" s="87"/>
      <c r="P10" s="97" t="str">
        <f>LEFT(VLOOKUP(Ruimtestaat[[#This Row],[Ruimte code]],Ruimtegroepen[#All],4,1),2)</f>
        <v>Bu</v>
      </c>
      <c r="Q10" s="87"/>
      <c r="R10" s="88">
        <v>52</v>
      </c>
      <c r="S10" s="88" t="s">
        <v>2</v>
      </c>
      <c r="T10" s="89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0" s="89">
        <f>IF(T10&gt;0,VLOOKUP($J10,Ruimtegroepen[],3,FALSE)*VLOOKUP($L10,Vloersoorten[],3,FALSE)*VLOOKUP($S10,Frequenties[],3,FALSE)*VLOOKUP($A10,Locaties[],3,FALSE),0)</f>
        <v>0</v>
      </c>
      <c r="V10" s="90">
        <f>Ruimtestaat[[#This Row],[Uitvoeringen werkdagen]]*Ruimtestaat[[#This Row],[Oppervlak (netto)]]</f>
        <v>4966</v>
      </c>
      <c r="W10" s="91">
        <f>IF(U10&gt;0,Ruimtestaat[[#This Row],[Prest. (m2 /jaar) werkdagen]]/Ruimtestaat[[#This Row],[Norm (m2/uur) werkdagen]],0)</f>
        <v>0</v>
      </c>
      <c r="X10" s="92">
        <f>Ruimtestaat[[#This Row],[uren / jaar werkdagen]]*Tariefsopbouw!$E$35</f>
        <v>0</v>
      </c>
      <c r="Y10" s="89"/>
      <c r="Z10" s="93">
        <f>IF(Ruimtestaat[[#This Row],[Frequentie weekend]]&gt;0,VALUE(LEFT(Y10,1))*R10,0)</f>
        <v>0</v>
      </c>
      <c r="AA10" s="89">
        <f>IF($Z10&gt;0,VLOOKUP($J10,Ruimtegroepen[],3,FALSE)*VLOOKUP($L10,Vloersoorten[],3,FALSE)*VLOOKUP($Y10,Frequenties[],3,FALSE)*VLOOKUP($A6,Locaties[],3,FALSE),0)</f>
        <v>0</v>
      </c>
      <c r="AB10" s="91">
        <f>Ruimtestaat[[#This Row],[Uitvoeringen weekend]]*Ruimtestaat[[#This Row],[Oppervlak (netto)]]</f>
        <v>0</v>
      </c>
      <c r="AC10" s="94">
        <f>IF(AB10&gt;0,Ruimtestaat[[#This Row],[Prest. (m2 /jaar) weekend]]/Ruimtestaat[[#This Row],[Norm (m2/uur) weekend]],0)</f>
        <v>0</v>
      </c>
      <c r="AD10" s="95">
        <f>Ruimtestaat[[#This Row],[uren / jaar weekend]]*Tariefsopbouw!$D$40</f>
        <v>0</v>
      </c>
      <c r="AE10" s="67">
        <f>Ruimtestaat[[#This Row],[Prest. (m2 /jaar) weekend]]+Ruimtestaat[[#This Row],[Prest. (m2 /jaar) werkdagen]]</f>
        <v>4966</v>
      </c>
      <c r="AF10" s="67">
        <f>Ruimtestaat[[#This Row],[uren / jaar weekend]]+Ruimtestaat[[#This Row],[uren / jaar werkdagen]]</f>
        <v>0</v>
      </c>
      <c r="AG10" s="68">
        <f>Ruimtestaat[[#This Row],[kosten / jaar weekend]]+Ruimtestaat[[#This Row],[kosten / jaar werkdagen]]</f>
        <v>0</v>
      </c>
      <c r="AH10" s="96"/>
      <c r="HL10" s="66"/>
    </row>
    <row r="11" spans="1:220" ht="15" customHeight="1">
      <c r="A11" s="114">
        <v>1</v>
      </c>
      <c r="B11" s="24" t="str">
        <f>VLOOKUP(Ruimtestaat[[#This Row],[Code]],Locaties[#All],2,FALSE)</f>
        <v>Hoofdgebouw</v>
      </c>
      <c r="C11" s="24" t="str">
        <f>VLOOKUP(Ruimtestaat[[#This Row],[Code]],Locaties[#All],4,FALSE)</f>
        <v>Rohofstraat 83</v>
      </c>
      <c r="D11" s="24" t="str">
        <f>VLOOKUP(Ruimtestaat[[#This Row],[Code]],Locaties[#All],5,FALSE)</f>
        <v>7605 AT</v>
      </c>
      <c r="E11" s="24" t="str">
        <f>VLOOKUP(Ruimtestaat[[#This Row],[Code]],Locaties[#All],6,FALSE)</f>
        <v>Almelo</v>
      </c>
      <c r="F11" s="61"/>
      <c r="G11" s="24" t="s">
        <v>435</v>
      </c>
      <c r="H11" s="24" t="s">
        <v>446</v>
      </c>
      <c r="I11" s="4" t="s">
        <v>443</v>
      </c>
      <c r="J11" s="24">
        <v>4</v>
      </c>
      <c r="K11" s="61" t="str">
        <f>VLOOKUP(J11,Ruimtegroepen[],2,FALSE)</f>
        <v>Vergader/spreekkamers</v>
      </c>
      <c r="L11" s="24" t="s">
        <v>103</v>
      </c>
      <c r="M11" s="24" t="s">
        <v>38</v>
      </c>
      <c r="N11" s="87">
        <v>40.1</v>
      </c>
      <c r="O11" s="87"/>
      <c r="P11" s="97" t="str">
        <f>LEFT(VLOOKUP(Ruimtestaat[[#This Row],[Ruimte code]],Ruimtegroepen[#All],4,1),2)</f>
        <v>Bu</v>
      </c>
      <c r="Q11" s="87"/>
      <c r="R11" s="88">
        <v>52</v>
      </c>
      <c r="S11" s="88" t="s">
        <v>2</v>
      </c>
      <c r="T11" s="89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" s="89">
        <f>IF(T11&gt;0,VLOOKUP($J11,Ruimtegroepen[],3,FALSE)*VLOOKUP($L11,Vloersoorten[],3,FALSE)*VLOOKUP($S11,Frequenties[],3,FALSE)*VLOOKUP($A11,Locaties[],3,FALSE),0)</f>
        <v>0</v>
      </c>
      <c r="V11" s="90">
        <f>Ruimtestaat[[#This Row],[Uitvoeringen werkdagen]]*Ruimtestaat[[#This Row],[Oppervlak (netto)]]</f>
        <v>10426</v>
      </c>
      <c r="W11" s="91">
        <f>IF(U11&gt;0,Ruimtestaat[[#This Row],[Prest. (m2 /jaar) werkdagen]]/Ruimtestaat[[#This Row],[Norm (m2/uur) werkdagen]],0)</f>
        <v>0</v>
      </c>
      <c r="X11" s="92">
        <f>Ruimtestaat[[#This Row],[uren / jaar werkdagen]]*Tariefsopbouw!$E$35</f>
        <v>0</v>
      </c>
      <c r="Y11" s="89"/>
      <c r="Z11" s="93">
        <f>IF(Ruimtestaat[[#This Row],[Frequentie weekend]]&gt;0,VALUE(LEFT(Y11,1))*R11,0)</f>
        <v>0</v>
      </c>
      <c r="AA11" s="89">
        <f>IF($Z11&gt;0,VLOOKUP($J11,Ruimtegroepen[],3,FALSE)*VLOOKUP($L11,Vloersoorten[],3,FALSE)*VLOOKUP($Y11,Frequenties[],3,FALSE)*VLOOKUP($A7,Locaties[],3,FALSE),0)</f>
        <v>0</v>
      </c>
      <c r="AB11" s="91">
        <f>Ruimtestaat[[#This Row],[Uitvoeringen weekend]]*Ruimtestaat[[#This Row],[Oppervlak (netto)]]</f>
        <v>0</v>
      </c>
      <c r="AC11" s="94">
        <f>IF(AB11&gt;0,Ruimtestaat[[#This Row],[Prest. (m2 /jaar) weekend]]/Ruimtestaat[[#This Row],[Norm (m2/uur) weekend]],0)</f>
        <v>0</v>
      </c>
      <c r="AD11" s="95">
        <f>Ruimtestaat[[#This Row],[uren / jaar weekend]]*Tariefsopbouw!$D$40</f>
        <v>0</v>
      </c>
      <c r="AE11" s="67">
        <f>Ruimtestaat[[#This Row],[Prest. (m2 /jaar) weekend]]+Ruimtestaat[[#This Row],[Prest. (m2 /jaar) werkdagen]]</f>
        <v>10426</v>
      </c>
      <c r="AF11" s="67">
        <f>Ruimtestaat[[#This Row],[uren / jaar weekend]]+Ruimtestaat[[#This Row],[uren / jaar werkdagen]]</f>
        <v>0</v>
      </c>
      <c r="AG11" s="68">
        <f>Ruimtestaat[[#This Row],[kosten / jaar weekend]]+Ruimtestaat[[#This Row],[kosten / jaar werkdagen]]</f>
        <v>0</v>
      </c>
      <c r="AH11" s="96"/>
      <c r="HL11" s="66"/>
    </row>
    <row r="12" spans="1:220" ht="15" customHeight="1">
      <c r="A12" s="114">
        <v>1</v>
      </c>
      <c r="B12" s="24" t="str">
        <f>VLOOKUP(Ruimtestaat[[#This Row],[Code]],Locaties[#All],2,FALSE)</f>
        <v>Hoofdgebouw</v>
      </c>
      <c r="C12" s="24" t="str">
        <f>VLOOKUP(Ruimtestaat[[#This Row],[Code]],Locaties[#All],4,FALSE)</f>
        <v>Rohofstraat 83</v>
      </c>
      <c r="D12" s="24" t="str">
        <f>VLOOKUP(Ruimtestaat[[#This Row],[Code]],Locaties[#All],5,FALSE)</f>
        <v>7605 AT</v>
      </c>
      <c r="E12" s="24" t="str">
        <f>VLOOKUP(Ruimtestaat[[#This Row],[Code]],Locaties[#All],6,FALSE)</f>
        <v>Almelo</v>
      </c>
      <c r="F12" s="61"/>
      <c r="G12" s="24" t="s">
        <v>435</v>
      </c>
      <c r="H12" s="24" t="s">
        <v>447</v>
      </c>
      <c r="I12" s="4" t="s">
        <v>443</v>
      </c>
      <c r="J12" s="24">
        <v>4</v>
      </c>
      <c r="K12" s="61" t="str">
        <f>VLOOKUP(J12,Ruimtegroepen[],2,FALSE)</f>
        <v>Vergader/spreekkamers</v>
      </c>
      <c r="L12" s="24" t="s">
        <v>103</v>
      </c>
      <c r="M12" s="24" t="s">
        <v>38</v>
      </c>
      <c r="N12" s="87">
        <v>8.9</v>
      </c>
      <c r="O12" s="87"/>
      <c r="P12" s="97" t="str">
        <f>LEFT(VLOOKUP(Ruimtestaat[[#This Row],[Ruimte code]],Ruimtegroepen[#All],4,1),2)</f>
        <v>Bu</v>
      </c>
      <c r="Q12" s="87"/>
      <c r="R12" s="88">
        <v>52</v>
      </c>
      <c r="S12" s="88" t="s">
        <v>2</v>
      </c>
      <c r="T12" s="89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2" s="89">
        <f>IF(T12&gt;0,VLOOKUP($J12,Ruimtegroepen[],3,FALSE)*VLOOKUP($L12,Vloersoorten[],3,FALSE)*VLOOKUP($S12,Frequenties[],3,FALSE)*VLOOKUP($A12,Locaties[],3,FALSE),0)</f>
        <v>0</v>
      </c>
      <c r="V12" s="90">
        <f>Ruimtestaat[[#This Row],[Uitvoeringen werkdagen]]*Ruimtestaat[[#This Row],[Oppervlak (netto)]]</f>
        <v>2314</v>
      </c>
      <c r="W12" s="91">
        <f>IF(U12&gt;0,Ruimtestaat[[#This Row],[Prest. (m2 /jaar) werkdagen]]/Ruimtestaat[[#This Row],[Norm (m2/uur) werkdagen]],0)</f>
        <v>0</v>
      </c>
      <c r="X12" s="92">
        <f>Ruimtestaat[[#This Row],[uren / jaar werkdagen]]*Tariefsopbouw!$E$35</f>
        <v>0</v>
      </c>
      <c r="Y12" s="89"/>
      <c r="Z12" s="93">
        <f>IF(Ruimtestaat[[#This Row],[Frequentie weekend]]&gt;0,VALUE(LEFT(Y12,1))*R12,0)</f>
        <v>0</v>
      </c>
      <c r="AA12" s="89">
        <f>IF($Z12&gt;0,VLOOKUP($J12,Ruimtegroepen[],3,FALSE)*VLOOKUP($L12,Vloersoorten[],3,FALSE)*VLOOKUP($Y12,Frequenties[],3,FALSE)*VLOOKUP($A8,Locaties[],3,FALSE),0)</f>
        <v>0</v>
      </c>
      <c r="AB12" s="91">
        <f>Ruimtestaat[[#This Row],[Uitvoeringen weekend]]*Ruimtestaat[[#This Row],[Oppervlak (netto)]]</f>
        <v>0</v>
      </c>
      <c r="AC12" s="94">
        <f>IF(AB12&gt;0,Ruimtestaat[[#This Row],[Prest. (m2 /jaar) weekend]]/Ruimtestaat[[#This Row],[Norm (m2/uur) weekend]],0)</f>
        <v>0</v>
      </c>
      <c r="AD12" s="95">
        <f>Ruimtestaat[[#This Row],[uren / jaar weekend]]*Tariefsopbouw!$D$40</f>
        <v>0</v>
      </c>
      <c r="AE12" s="67">
        <f>Ruimtestaat[[#This Row],[Prest. (m2 /jaar) weekend]]+Ruimtestaat[[#This Row],[Prest. (m2 /jaar) werkdagen]]</f>
        <v>2314</v>
      </c>
      <c r="AF12" s="67">
        <f>Ruimtestaat[[#This Row],[uren / jaar weekend]]+Ruimtestaat[[#This Row],[uren / jaar werkdagen]]</f>
        <v>0</v>
      </c>
      <c r="AG12" s="68">
        <f>Ruimtestaat[[#This Row],[kosten / jaar weekend]]+Ruimtestaat[[#This Row],[kosten / jaar werkdagen]]</f>
        <v>0</v>
      </c>
      <c r="AH12" s="96"/>
      <c r="HL12" s="66"/>
    </row>
    <row r="13" spans="1:220" ht="15" customHeight="1">
      <c r="A13" s="114">
        <v>1</v>
      </c>
      <c r="B13" s="24" t="str">
        <f>VLOOKUP(Ruimtestaat[[#This Row],[Code]],Locaties[#All],2,FALSE)</f>
        <v>Hoofdgebouw</v>
      </c>
      <c r="C13" s="24" t="str">
        <f>VLOOKUP(Ruimtestaat[[#This Row],[Code]],Locaties[#All],4,FALSE)</f>
        <v>Rohofstraat 83</v>
      </c>
      <c r="D13" s="24" t="str">
        <f>VLOOKUP(Ruimtestaat[[#This Row],[Code]],Locaties[#All],5,FALSE)</f>
        <v>7605 AT</v>
      </c>
      <c r="E13" s="24" t="str">
        <f>VLOOKUP(Ruimtestaat[[#This Row],[Code]],Locaties[#All],6,FALSE)</f>
        <v>Almelo</v>
      </c>
      <c r="F13" s="61"/>
      <c r="G13" s="24" t="s">
        <v>435</v>
      </c>
      <c r="H13" s="24" t="s">
        <v>448</v>
      </c>
      <c r="I13" s="4" t="s">
        <v>449</v>
      </c>
      <c r="J13" s="24">
        <v>9</v>
      </c>
      <c r="K13" s="61" t="str">
        <f>VLOOKUP(J13,Ruimtegroepen[],2,FALSE)</f>
        <v>Kantoortuin</v>
      </c>
      <c r="L13" s="24" t="s">
        <v>103</v>
      </c>
      <c r="M13" s="24" t="s">
        <v>38</v>
      </c>
      <c r="N13" s="87">
        <v>50.3</v>
      </c>
      <c r="O13" s="87"/>
      <c r="P13" s="97" t="str">
        <f>LEFT(VLOOKUP(Ruimtestaat[[#This Row],[Ruimte code]],Ruimtegroepen[#All],4,1),2)</f>
        <v>Bu</v>
      </c>
      <c r="Q13" s="87"/>
      <c r="R13" s="88">
        <v>52</v>
      </c>
      <c r="S13" s="88" t="s">
        <v>2</v>
      </c>
      <c r="T13" s="89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" s="89">
        <f>IF(T13&gt;0,VLOOKUP($J13,Ruimtegroepen[],3,FALSE)*VLOOKUP($L13,Vloersoorten[],3,FALSE)*VLOOKUP($S13,Frequenties[],3,FALSE)*VLOOKUP($A13,Locaties[],3,FALSE),0)</f>
        <v>0</v>
      </c>
      <c r="V13" s="90">
        <f>Ruimtestaat[[#This Row],[Uitvoeringen werkdagen]]*Ruimtestaat[[#This Row],[Oppervlak (netto)]]</f>
        <v>13078</v>
      </c>
      <c r="W13" s="91">
        <f>IF(U13&gt;0,Ruimtestaat[[#This Row],[Prest. (m2 /jaar) werkdagen]]/Ruimtestaat[[#This Row],[Norm (m2/uur) werkdagen]],0)</f>
        <v>0</v>
      </c>
      <c r="X13" s="92">
        <f>Ruimtestaat[[#This Row],[uren / jaar werkdagen]]*Tariefsopbouw!$E$35</f>
        <v>0</v>
      </c>
      <c r="Y13" s="89"/>
      <c r="Z13" s="93">
        <f>IF(Ruimtestaat[[#This Row],[Frequentie weekend]]&gt;0,VALUE(LEFT(Y13,1))*R13,0)</f>
        <v>0</v>
      </c>
      <c r="AA13" s="89">
        <f>IF($Z13&gt;0,VLOOKUP($J13,Ruimtegroepen[],3,FALSE)*VLOOKUP($L13,Vloersoorten[],3,FALSE)*VLOOKUP($Y13,Frequenties[],3,FALSE)*VLOOKUP($A9,Locaties[],3,FALSE),0)</f>
        <v>0</v>
      </c>
      <c r="AB13" s="91">
        <f>Ruimtestaat[[#This Row],[Uitvoeringen weekend]]*Ruimtestaat[[#This Row],[Oppervlak (netto)]]</f>
        <v>0</v>
      </c>
      <c r="AC13" s="94">
        <f>IF(AB13&gt;0,Ruimtestaat[[#This Row],[Prest. (m2 /jaar) weekend]]/Ruimtestaat[[#This Row],[Norm (m2/uur) weekend]],0)</f>
        <v>0</v>
      </c>
      <c r="AD13" s="95">
        <f>Ruimtestaat[[#This Row],[uren / jaar weekend]]*Tariefsopbouw!$D$40</f>
        <v>0</v>
      </c>
      <c r="AE13" s="67">
        <f>Ruimtestaat[[#This Row],[Prest. (m2 /jaar) weekend]]+Ruimtestaat[[#This Row],[Prest. (m2 /jaar) werkdagen]]</f>
        <v>13078</v>
      </c>
      <c r="AF13" s="67">
        <f>Ruimtestaat[[#This Row],[uren / jaar weekend]]+Ruimtestaat[[#This Row],[uren / jaar werkdagen]]</f>
        <v>0</v>
      </c>
      <c r="AG13" s="68">
        <f>Ruimtestaat[[#This Row],[kosten / jaar weekend]]+Ruimtestaat[[#This Row],[kosten / jaar werkdagen]]</f>
        <v>0</v>
      </c>
      <c r="AH13" s="96"/>
      <c r="HL13" s="66"/>
    </row>
    <row r="14" spans="1:220" ht="15" customHeight="1">
      <c r="A14" s="114">
        <v>1</v>
      </c>
      <c r="B14" s="24" t="str">
        <f>VLOOKUP(Ruimtestaat[[#This Row],[Code]],Locaties[#All],2,FALSE)</f>
        <v>Hoofdgebouw</v>
      </c>
      <c r="C14" s="24" t="str">
        <f>VLOOKUP(Ruimtestaat[[#This Row],[Code]],Locaties[#All],4,FALSE)</f>
        <v>Rohofstraat 83</v>
      </c>
      <c r="D14" s="24" t="str">
        <f>VLOOKUP(Ruimtestaat[[#This Row],[Code]],Locaties[#All],5,FALSE)</f>
        <v>7605 AT</v>
      </c>
      <c r="E14" s="24" t="str">
        <f>VLOOKUP(Ruimtestaat[[#This Row],[Code]],Locaties[#All],6,FALSE)</f>
        <v>Almelo</v>
      </c>
      <c r="F14" s="61"/>
      <c r="G14" s="24" t="s">
        <v>435</v>
      </c>
      <c r="H14" s="24" t="s">
        <v>450</v>
      </c>
      <c r="I14" s="4" t="s">
        <v>451</v>
      </c>
      <c r="J14" s="24">
        <v>9</v>
      </c>
      <c r="K14" s="61" t="str">
        <f>VLOOKUP(J14,Ruimtegroepen[],2,FALSE)</f>
        <v>Kantoortuin</v>
      </c>
      <c r="L14" s="24" t="s">
        <v>103</v>
      </c>
      <c r="M14" s="24" t="s">
        <v>38</v>
      </c>
      <c r="N14" s="87">
        <v>48</v>
      </c>
      <c r="O14" s="87"/>
      <c r="P14" s="97" t="str">
        <f>LEFT(VLOOKUP(Ruimtestaat[[#This Row],[Ruimte code]],Ruimtegroepen[#All],4,1),2)</f>
        <v>Bu</v>
      </c>
      <c r="Q14" s="87"/>
      <c r="R14" s="88">
        <v>52</v>
      </c>
      <c r="S14" s="88" t="s">
        <v>2</v>
      </c>
      <c r="T14" s="89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4" s="89">
        <f>IF(T14&gt;0,VLOOKUP($J14,Ruimtegroepen[],3,FALSE)*VLOOKUP($L14,Vloersoorten[],3,FALSE)*VLOOKUP($S14,Frequenties[],3,FALSE)*VLOOKUP($A14,Locaties[],3,FALSE),0)</f>
        <v>0</v>
      </c>
      <c r="V14" s="90">
        <f>Ruimtestaat[[#This Row],[Uitvoeringen werkdagen]]*Ruimtestaat[[#This Row],[Oppervlak (netto)]]</f>
        <v>12480</v>
      </c>
      <c r="W14" s="91">
        <f>IF(U14&gt;0,Ruimtestaat[[#This Row],[Prest. (m2 /jaar) werkdagen]]/Ruimtestaat[[#This Row],[Norm (m2/uur) werkdagen]],0)</f>
        <v>0</v>
      </c>
      <c r="X14" s="92">
        <f>Ruimtestaat[[#This Row],[uren / jaar werkdagen]]*Tariefsopbouw!$E$35</f>
        <v>0</v>
      </c>
      <c r="Y14" s="89"/>
      <c r="Z14" s="93">
        <f>IF(Ruimtestaat[[#This Row],[Frequentie weekend]]&gt;0,VALUE(LEFT(Y14,1))*R14,0)</f>
        <v>0</v>
      </c>
      <c r="AA14" s="89">
        <f>IF($Z14&gt;0,VLOOKUP($J14,Ruimtegroepen[],3,FALSE)*VLOOKUP($L14,Vloersoorten[],3,FALSE)*VLOOKUP($Y14,Frequenties[],3,FALSE)*VLOOKUP($A10,Locaties[],3,FALSE),0)</f>
        <v>0</v>
      </c>
      <c r="AB14" s="91">
        <f>Ruimtestaat[[#This Row],[Uitvoeringen weekend]]*Ruimtestaat[[#This Row],[Oppervlak (netto)]]</f>
        <v>0</v>
      </c>
      <c r="AC14" s="94">
        <f>IF(AB14&gt;0,Ruimtestaat[[#This Row],[Prest. (m2 /jaar) weekend]]/Ruimtestaat[[#This Row],[Norm (m2/uur) weekend]],0)</f>
        <v>0</v>
      </c>
      <c r="AD14" s="95">
        <f>Ruimtestaat[[#This Row],[uren / jaar weekend]]*Tariefsopbouw!$D$40</f>
        <v>0</v>
      </c>
      <c r="AE14" s="67">
        <f>Ruimtestaat[[#This Row],[Prest. (m2 /jaar) weekend]]+Ruimtestaat[[#This Row],[Prest. (m2 /jaar) werkdagen]]</f>
        <v>12480</v>
      </c>
      <c r="AF14" s="67">
        <f>Ruimtestaat[[#This Row],[uren / jaar weekend]]+Ruimtestaat[[#This Row],[uren / jaar werkdagen]]</f>
        <v>0</v>
      </c>
      <c r="AG14" s="68">
        <f>Ruimtestaat[[#This Row],[kosten / jaar weekend]]+Ruimtestaat[[#This Row],[kosten / jaar werkdagen]]</f>
        <v>0</v>
      </c>
      <c r="AH14" s="96"/>
      <c r="HL14" s="66"/>
    </row>
    <row r="15" spans="1:220" ht="12.75" customHeight="1">
      <c r="A15" s="114">
        <v>1</v>
      </c>
      <c r="B15" s="24" t="str">
        <f>VLOOKUP(Ruimtestaat[[#This Row],[Code]],Locaties[#All],2,FALSE)</f>
        <v>Hoofdgebouw</v>
      </c>
      <c r="C15" s="24" t="str">
        <f>VLOOKUP(Ruimtestaat[[#This Row],[Code]],Locaties[#All],4,FALSE)</f>
        <v>Rohofstraat 83</v>
      </c>
      <c r="D15" s="24" t="str">
        <f>VLOOKUP(Ruimtestaat[[#This Row],[Code]],Locaties[#All],5,FALSE)</f>
        <v>7605 AT</v>
      </c>
      <c r="E15" s="24" t="str">
        <f>VLOOKUP(Ruimtestaat[[#This Row],[Code]],Locaties[#All],6,FALSE)</f>
        <v>Almelo</v>
      </c>
      <c r="F15" s="61"/>
      <c r="G15" s="24" t="s">
        <v>435</v>
      </c>
      <c r="H15" s="24" t="s">
        <v>452</v>
      </c>
      <c r="I15" s="4" t="s">
        <v>453</v>
      </c>
      <c r="J15" s="24">
        <v>8</v>
      </c>
      <c r="K15" s="61" t="str">
        <f>VLOOKUP(J15,Ruimtegroepen[],2,FALSE)</f>
        <v>Woonkamer/aanland</v>
      </c>
      <c r="L15" s="24" t="s">
        <v>103</v>
      </c>
      <c r="M15" s="24" t="s">
        <v>38</v>
      </c>
      <c r="N15" s="87">
        <v>38.799999999999997</v>
      </c>
      <c r="O15" s="87"/>
      <c r="P15" s="97" t="str">
        <f>LEFT(VLOOKUP(Ruimtestaat[[#This Row],[Ruimte code]],Ruimtegroepen[#All],4,1),2)</f>
        <v>Ve</v>
      </c>
      <c r="Q15" s="87"/>
      <c r="R15" s="88">
        <v>52</v>
      </c>
      <c r="S15" s="88" t="s">
        <v>2</v>
      </c>
      <c r="T15" s="89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5" s="89">
        <f>IF(T15&gt;0,VLOOKUP($J15,Ruimtegroepen[],3,FALSE)*VLOOKUP($L15,Vloersoorten[],3,FALSE)*VLOOKUP($S15,Frequenties[],3,FALSE)*VLOOKUP($A15,Locaties[],3,FALSE),0)</f>
        <v>0</v>
      </c>
      <c r="V15" s="90">
        <f>Ruimtestaat[[#This Row],[Uitvoeringen werkdagen]]*Ruimtestaat[[#This Row],[Oppervlak (netto)]]</f>
        <v>10088</v>
      </c>
      <c r="W15" s="91">
        <f>IF(U15&gt;0,Ruimtestaat[[#This Row],[Prest. (m2 /jaar) werkdagen]]/Ruimtestaat[[#This Row],[Norm (m2/uur) werkdagen]],0)</f>
        <v>0</v>
      </c>
      <c r="X15" s="92">
        <f>Ruimtestaat[[#This Row],[uren / jaar werkdagen]]*Tariefsopbouw!$E$35</f>
        <v>0</v>
      </c>
      <c r="Y15" s="89"/>
      <c r="Z15" s="93">
        <f>IF(Ruimtestaat[[#This Row],[Frequentie weekend]]&gt;0,VALUE(LEFT(Y15,1))*R15,0)</f>
        <v>0</v>
      </c>
      <c r="AA15" s="89">
        <f>IF($Z15&gt;0,VLOOKUP($J15,Ruimtegroepen[],3,FALSE)*VLOOKUP($L15,Vloersoorten[],3,FALSE)*VLOOKUP($Y15,Frequenties[],3,FALSE)*VLOOKUP($A11,Locaties[],3,FALSE),0)</f>
        <v>0</v>
      </c>
      <c r="AB15" s="91">
        <f>Ruimtestaat[[#This Row],[Uitvoeringen weekend]]*Ruimtestaat[[#This Row],[Oppervlak (netto)]]</f>
        <v>0</v>
      </c>
      <c r="AC15" s="94">
        <f>IF(AB15&gt;0,Ruimtestaat[[#This Row],[Prest. (m2 /jaar) weekend]]/Ruimtestaat[[#This Row],[Norm (m2/uur) weekend]],0)</f>
        <v>0</v>
      </c>
      <c r="AD15" s="95">
        <f>Ruimtestaat[[#This Row],[uren / jaar weekend]]*Tariefsopbouw!$D$40</f>
        <v>0</v>
      </c>
      <c r="AE15" s="67">
        <f>Ruimtestaat[[#This Row],[Prest. (m2 /jaar) weekend]]+Ruimtestaat[[#This Row],[Prest. (m2 /jaar) werkdagen]]</f>
        <v>10088</v>
      </c>
      <c r="AF15" s="67">
        <f>Ruimtestaat[[#This Row],[uren / jaar weekend]]+Ruimtestaat[[#This Row],[uren / jaar werkdagen]]</f>
        <v>0</v>
      </c>
      <c r="AG15" s="68">
        <f>Ruimtestaat[[#This Row],[kosten / jaar weekend]]+Ruimtestaat[[#This Row],[kosten / jaar werkdagen]]</f>
        <v>0</v>
      </c>
      <c r="AH15" s="96"/>
      <c r="HL15" s="66"/>
    </row>
    <row r="16" spans="1:220" ht="15" customHeight="1">
      <c r="A16" s="114">
        <v>1</v>
      </c>
      <c r="B16" s="24" t="str">
        <f>VLOOKUP(Ruimtestaat[[#This Row],[Code]],Locaties[#All],2,FALSE)</f>
        <v>Hoofdgebouw</v>
      </c>
      <c r="C16" s="24" t="str">
        <f>VLOOKUP(Ruimtestaat[[#This Row],[Code]],Locaties[#All],4,FALSE)</f>
        <v>Rohofstraat 83</v>
      </c>
      <c r="D16" s="24" t="str">
        <f>VLOOKUP(Ruimtestaat[[#This Row],[Code]],Locaties[#All],5,FALSE)</f>
        <v>7605 AT</v>
      </c>
      <c r="E16" s="24" t="str">
        <f>VLOOKUP(Ruimtestaat[[#This Row],[Code]],Locaties[#All],6,FALSE)</f>
        <v>Almelo</v>
      </c>
      <c r="F16" s="61"/>
      <c r="G16" s="24" t="s">
        <v>435</v>
      </c>
      <c r="H16" s="24" t="s">
        <v>454</v>
      </c>
      <c r="I16" s="4" t="s">
        <v>449</v>
      </c>
      <c r="J16" s="24">
        <v>2</v>
      </c>
      <c r="K16" s="61" t="str">
        <f>VLOOKUP(J16,Ruimtegroepen[],2,FALSE)</f>
        <v>Kantoren</v>
      </c>
      <c r="L16" s="24" t="s">
        <v>103</v>
      </c>
      <c r="M16" s="24" t="s">
        <v>38</v>
      </c>
      <c r="N16" s="87">
        <v>13.9</v>
      </c>
      <c r="O16" s="87"/>
      <c r="P16" s="97" t="str">
        <f>LEFT(VLOOKUP(Ruimtestaat[[#This Row],[Ruimte code]],Ruimtegroepen[#All],4,1),2)</f>
        <v>Bu</v>
      </c>
      <c r="Q16" s="87"/>
      <c r="R16" s="88">
        <v>52</v>
      </c>
      <c r="S16" s="88" t="s">
        <v>2</v>
      </c>
      <c r="T16" s="89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6" s="89">
        <f>IF(T16&gt;0,VLOOKUP($J16,Ruimtegroepen[],3,FALSE)*VLOOKUP($L16,Vloersoorten[],3,FALSE)*VLOOKUP($S16,Frequenties[],3,FALSE)*VLOOKUP($A16,Locaties[],3,FALSE),0)</f>
        <v>0</v>
      </c>
      <c r="V16" s="90">
        <f>Ruimtestaat[[#This Row],[Uitvoeringen werkdagen]]*Ruimtestaat[[#This Row],[Oppervlak (netto)]]</f>
        <v>3614</v>
      </c>
      <c r="W16" s="91">
        <f>IF(U16&gt;0,Ruimtestaat[[#This Row],[Prest. (m2 /jaar) werkdagen]]/Ruimtestaat[[#This Row],[Norm (m2/uur) werkdagen]],0)</f>
        <v>0</v>
      </c>
      <c r="X16" s="92">
        <f>Ruimtestaat[[#This Row],[uren / jaar werkdagen]]*Tariefsopbouw!$E$35</f>
        <v>0</v>
      </c>
      <c r="Y16" s="89"/>
      <c r="Z16" s="93">
        <f>IF(Ruimtestaat[[#This Row],[Frequentie weekend]]&gt;0,VALUE(LEFT(Y16,1))*R16,0)</f>
        <v>0</v>
      </c>
      <c r="AA16" s="89">
        <f>IF($Z16&gt;0,VLOOKUP($J16,Ruimtegroepen[],3,FALSE)*VLOOKUP($L16,Vloersoorten[],3,FALSE)*VLOOKUP($Y16,Frequenties[],3,FALSE)*VLOOKUP($A12,Locaties[],3,FALSE),0)</f>
        <v>0</v>
      </c>
      <c r="AB16" s="91">
        <f>Ruimtestaat[[#This Row],[Uitvoeringen weekend]]*Ruimtestaat[[#This Row],[Oppervlak (netto)]]</f>
        <v>0</v>
      </c>
      <c r="AC16" s="94">
        <f>IF(AB16&gt;0,Ruimtestaat[[#This Row],[Prest. (m2 /jaar) weekend]]/Ruimtestaat[[#This Row],[Norm (m2/uur) weekend]],0)</f>
        <v>0</v>
      </c>
      <c r="AD16" s="95">
        <f>Ruimtestaat[[#This Row],[uren / jaar weekend]]*Tariefsopbouw!$D$40</f>
        <v>0</v>
      </c>
      <c r="AE16" s="67">
        <f>Ruimtestaat[[#This Row],[Prest. (m2 /jaar) weekend]]+Ruimtestaat[[#This Row],[Prest. (m2 /jaar) werkdagen]]</f>
        <v>3614</v>
      </c>
      <c r="AF16" s="67">
        <f>Ruimtestaat[[#This Row],[uren / jaar weekend]]+Ruimtestaat[[#This Row],[uren / jaar werkdagen]]</f>
        <v>0</v>
      </c>
      <c r="AG16" s="68">
        <f>Ruimtestaat[[#This Row],[kosten / jaar weekend]]+Ruimtestaat[[#This Row],[kosten / jaar werkdagen]]</f>
        <v>0</v>
      </c>
      <c r="AH16" s="96"/>
      <c r="HL16" s="66"/>
    </row>
    <row r="17" spans="1:220" ht="15" customHeight="1">
      <c r="A17" s="114">
        <v>1</v>
      </c>
      <c r="B17" s="24" t="str">
        <f>VLOOKUP(Ruimtestaat[[#This Row],[Code]],Locaties[#All],2,FALSE)</f>
        <v>Hoofdgebouw</v>
      </c>
      <c r="C17" s="24" t="str">
        <f>VLOOKUP(Ruimtestaat[[#This Row],[Code]],Locaties[#All],4,FALSE)</f>
        <v>Rohofstraat 83</v>
      </c>
      <c r="D17" s="24" t="str">
        <f>VLOOKUP(Ruimtestaat[[#This Row],[Code]],Locaties[#All],5,FALSE)</f>
        <v>7605 AT</v>
      </c>
      <c r="E17" s="24" t="str">
        <f>VLOOKUP(Ruimtestaat[[#This Row],[Code]],Locaties[#All],6,FALSE)</f>
        <v>Almelo</v>
      </c>
      <c r="F17" s="61"/>
      <c r="G17" s="24" t="s">
        <v>435</v>
      </c>
      <c r="H17" s="24" t="s">
        <v>455</v>
      </c>
      <c r="I17" s="4" t="s">
        <v>456</v>
      </c>
      <c r="J17" s="24">
        <v>2</v>
      </c>
      <c r="K17" s="61" t="str">
        <f>VLOOKUP(J17,Ruimtegroepen[],2,FALSE)</f>
        <v>Kantoren</v>
      </c>
      <c r="L17" s="24" t="s">
        <v>103</v>
      </c>
      <c r="M17" s="24" t="s">
        <v>38</v>
      </c>
      <c r="N17" s="87">
        <v>4.5</v>
      </c>
      <c r="O17" s="87"/>
      <c r="P17" s="97" t="str">
        <f>LEFT(VLOOKUP(Ruimtestaat[[#This Row],[Ruimte code]],Ruimtegroepen[#All],4,1),2)</f>
        <v>Bu</v>
      </c>
      <c r="Q17" s="87"/>
      <c r="R17" s="88">
        <v>52</v>
      </c>
      <c r="S17" s="88" t="s">
        <v>2</v>
      </c>
      <c r="T17" s="89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" s="89">
        <f>IF(T17&gt;0,VLOOKUP($J17,Ruimtegroepen[],3,FALSE)*VLOOKUP($L17,Vloersoorten[],3,FALSE)*VLOOKUP($S17,Frequenties[],3,FALSE)*VLOOKUP($A17,Locaties[],3,FALSE),0)</f>
        <v>0</v>
      </c>
      <c r="V17" s="90">
        <f>Ruimtestaat[[#This Row],[Uitvoeringen werkdagen]]*Ruimtestaat[[#This Row],[Oppervlak (netto)]]</f>
        <v>1170</v>
      </c>
      <c r="W17" s="91">
        <f>IF(U17&gt;0,Ruimtestaat[[#This Row],[Prest. (m2 /jaar) werkdagen]]/Ruimtestaat[[#This Row],[Norm (m2/uur) werkdagen]],0)</f>
        <v>0</v>
      </c>
      <c r="X17" s="92">
        <f>Ruimtestaat[[#This Row],[uren / jaar werkdagen]]*Tariefsopbouw!$E$35</f>
        <v>0</v>
      </c>
      <c r="Y17" s="89"/>
      <c r="Z17" s="93">
        <f>IF(Ruimtestaat[[#This Row],[Frequentie weekend]]&gt;0,VALUE(LEFT(Y17,1))*R17,0)</f>
        <v>0</v>
      </c>
      <c r="AA17" s="89">
        <f>IF($Z17&gt;0,VLOOKUP($J17,Ruimtegroepen[],3,FALSE)*VLOOKUP($L17,Vloersoorten[],3,FALSE)*VLOOKUP($Y17,Frequenties[],3,FALSE)*VLOOKUP($A13,Locaties[],3,FALSE),0)</f>
        <v>0</v>
      </c>
      <c r="AB17" s="91">
        <f>Ruimtestaat[[#This Row],[Uitvoeringen weekend]]*Ruimtestaat[[#This Row],[Oppervlak (netto)]]</f>
        <v>0</v>
      </c>
      <c r="AC17" s="94">
        <f>IF(AB17&gt;0,Ruimtestaat[[#This Row],[Prest. (m2 /jaar) weekend]]/Ruimtestaat[[#This Row],[Norm (m2/uur) weekend]],0)</f>
        <v>0</v>
      </c>
      <c r="AD17" s="95">
        <f>Ruimtestaat[[#This Row],[uren / jaar weekend]]*Tariefsopbouw!$D$40</f>
        <v>0</v>
      </c>
      <c r="AE17" s="67">
        <f>Ruimtestaat[[#This Row],[Prest. (m2 /jaar) weekend]]+Ruimtestaat[[#This Row],[Prest. (m2 /jaar) werkdagen]]</f>
        <v>1170</v>
      </c>
      <c r="AF17" s="67">
        <f>Ruimtestaat[[#This Row],[uren / jaar weekend]]+Ruimtestaat[[#This Row],[uren / jaar werkdagen]]</f>
        <v>0</v>
      </c>
      <c r="AG17" s="68">
        <f>Ruimtestaat[[#This Row],[kosten / jaar weekend]]+Ruimtestaat[[#This Row],[kosten / jaar werkdagen]]</f>
        <v>0</v>
      </c>
      <c r="AH17" s="96"/>
      <c r="HL17" s="66"/>
    </row>
    <row r="18" spans="1:220" ht="15" customHeight="1">
      <c r="A18" s="114">
        <v>1</v>
      </c>
      <c r="B18" s="24" t="str">
        <f>VLOOKUP(Ruimtestaat[[#This Row],[Code]],Locaties[#All],2,FALSE)</f>
        <v>Hoofdgebouw</v>
      </c>
      <c r="C18" s="24" t="str">
        <f>VLOOKUP(Ruimtestaat[[#This Row],[Code]],Locaties[#All],4,FALSE)</f>
        <v>Rohofstraat 83</v>
      </c>
      <c r="D18" s="24" t="str">
        <f>VLOOKUP(Ruimtestaat[[#This Row],[Code]],Locaties[#All],5,FALSE)</f>
        <v>7605 AT</v>
      </c>
      <c r="E18" s="24" t="str">
        <f>VLOOKUP(Ruimtestaat[[#This Row],[Code]],Locaties[#All],6,FALSE)</f>
        <v>Almelo</v>
      </c>
      <c r="F18" s="61"/>
      <c r="G18" s="24" t="s">
        <v>435</v>
      </c>
      <c r="H18" s="24" t="s">
        <v>457</v>
      </c>
      <c r="I18" s="4" t="s">
        <v>456</v>
      </c>
      <c r="J18" s="24">
        <v>2</v>
      </c>
      <c r="K18" s="61" t="str">
        <f>VLOOKUP(J18,Ruimtegroepen[],2,FALSE)</f>
        <v>Kantoren</v>
      </c>
      <c r="L18" s="24" t="s">
        <v>103</v>
      </c>
      <c r="M18" s="24" t="s">
        <v>38</v>
      </c>
      <c r="N18" s="87">
        <v>4.5</v>
      </c>
      <c r="O18" s="87"/>
      <c r="P18" s="97" t="str">
        <f>LEFT(VLOOKUP(Ruimtestaat[[#This Row],[Ruimte code]],Ruimtegroepen[#All],4,1),2)</f>
        <v>Bu</v>
      </c>
      <c r="Q18" s="87"/>
      <c r="R18" s="88">
        <v>52</v>
      </c>
      <c r="S18" s="88" t="s">
        <v>2</v>
      </c>
      <c r="T18" s="89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8" s="89">
        <f>IF(T18&gt;0,VLOOKUP($J18,Ruimtegroepen[],3,FALSE)*VLOOKUP($L18,Vloersoorten[],3,FALSE)*VLOOKUP($S18,Frequenties[],3,FALSE)*VLOOKUP($A18,Locaties[],3,FALSE),0)</f>
        <v>0</v>
      </c>
      <c r="V18" s="90">
        <f>Ruimtestaat[[#This Row],[Uitvoeringen werkdagen]]*Ruimtestaat[[#This Row],[Oppervlak (netto)]]</f>
        <v>1170</v>
      </c>
      <c r="W18" s="91">
        <f>IF(U18&gt;0,Ruimtestaat[[#This Row],[Prest. (m2 /jaar) werkdagen]]/Ruimtestaat[[#This Row],[Norm (m2/uur) werkdagen]],0)</f>
        <v>0</v>
      </c>
      <c r="X18" s="92">
        <f>Ruimtestaat[[#This Row],[uren / jaar werkdagen]]*Tariefsopbouw!$E$35</f>
        <v>0</v>
      </c>
      <c r="Y18" s="89"/>
      <c r="Z18" s="93">
        <f>IF(Ruimtestaat[[#This Row],[Frequentie weekend]]&gt;0,VALUE(LEFT(Y18,1))*R18,0)</f>
        <v>0</v>
      </c>
      <c r="AA18" s="89">
        <f>IF($Z18&gt;0,VLOOKUP($J18,Ruimtegroepen[],3,FALSE)*VLOOKUP($L18,Vloersoorten[],3,FALSE)*VLOOKUP($Y18,Frequenties[],3,FALSE)*VLOOKUP($A14,Locaties[],3,FALSE),0)</f>
        <v>0</v>
      </c>
      <c r="AB18" s="91">
        <f>Ruimtestaat[[#This Row],[Uitvoeringen weekend]]*Ruimtestaat[[#This Row],[Oppervlak (netto)]]</f>
        <v>0</v>
      </c>
      <c r="AC18" s="94">
        <f>IF(AB18&gt;0,Ruimtestaat[[#This Row],[Prest. (m2 /jaar) weekend]]/Ruimtestaat[[#This Row],[Norm (m2/uur) weekend]],0)</f>
        <v>0</v>
      </c>
      <c r="AD18" s="95">
        <f>Ruimtestaat[[#This Row],[uren / jaar weekend]]*Tariefsopbouw!$D$40</f>
        <v>0</v>
      </c>
      <c r="AE18" s="67">
        <f>Ruimtestaat[[#This Row],[Prest. (m2 /jaar) weekend]]+Ruimtestaat[[#This Row],[Prest. (m2 /jaar) werkdagen]]</f>
        <v>1170</v>
      </c>
      <c r="AF18" s="67">
        <f>Ruimtestaat[[#This Row],[uren / jaar weekend]]+Ruimtestaat[[#This Row],[uren / jaar werkdagen]]</f>
        <v>0</v>
      </c>
      <c r="AG18" s="68">
        <f>Ruimtestaat[[#This Row],[kosten / jaar weekend]]+Ruimtestaat[[#This Row],[kosten / jaar werkdagen]]</f>
        <v>0</v>
      </c>
      <c r="AH18" s="96"/>
      <c r="HL18" s="66"/>
    </row>
    <row r="19" spans="1:220" ht="15" customHeight="1">
      <c r="A19" s="114">
        <v>1</v>
      </c>
      <c r="B19" s="24" t="str">
        <f>VLOOKUP(Ruimtestaat[[#This Row],[Code]],Locaties[#All],2,FALSE)</f>
        <v>Hoofdgebouw</v>
      </c>
      <c r="C19" s="24" t="str">
        <f>VLOOKUP(Ruimtestaat[[#This Row],[Code]],Locaties[#All],4,FALSE)</f>
        <v>Rohofstraat 83</v>
      </c>
      <c r="D19" s="24" t="str">
        <f>VLOOKUP(Ruimtestaat[[#This Row],[Code]],Locaties[#All],5,FALSE)</f>
        <v>7605 AT</v>
      </c>
      <c r="E19" s="24" t="str">
        <f>VLOOKUP(Ruimtestaat[[#This Row],[Code]],Locaties[#All],6,FALSE)</f>
        <v>Almelo</v>
      </c>
      <c r="F19" s="61"/>
      <c r="G19" s="24" t="s">
        <v>435</v>
      </c>
      <c r="H19" s="24" t="s">
        <v>458</v>
      </c>
      <c r="I19" s="4" t="s">
        <v>456</v>
      </c>
      <c r="J19" s="24">
        <v>2</v>
      </c>
      <c r="K19" s="61" t="str">
        <f>VLOOKUP(J19,Ruimtegroepen[],2,FALSE)</f>
        <v>Kantoren</v>
      </c>
      <c r="L19" s="24" t="s">
        <v>103</v>
      </c>
      <c r="M19" s="24" t="s">
        <v>38</v>
      </c>
      <c r="N19" s="87">
        <v>9.3000000000000007</v>
      </c>
      <c r="O19" s="87"/>
      <c r="P19" s="97" t="str">
        <f>LEFT(VLOOKUP(Ruimtestaat[[#This Row],[Ruimte code]],Ruimtegroepen[#All],4,1),2)</f>
        <v>Bu</v>
      </c>
      <c r="Q19" s="87"/>
      <c r="R19" s="88">
        <v>52</v>
      </c>
      <c r="S19" s="88" t="s">
        <v>2</v>
      </c>
      <c r="T19" s="89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9" s="89">
        <f>IF(T19&gt;0,VLOOKUP($J19,Ruimtegroepen[],3,FALSE)*VLOOKUP($L19,Vloersoorten[],3,FALSE)*VLOOKUP($S19,Frequenties[],3,FALSE)*VLOOKUP($A19,Locaties[],3,FALSE),0)</f>
        <v>0</v>
      </c>
      <c r="V19" s="90">
        <f>Ruimtestaat[[#This Row],[Uitvoeringen werkdagen]]*Ruimtestaat[[#This Row],[Oppervlak (netto)]]</f>
        <v>2418</v>
      </c>
      <c r="W19" s="91">
        <f>IF(U19&gt;0,Ruimtestaat[[#This Row],[Prest. (m2 /jaar) werkdagen]]/Ruimtestaat[[#This Row],[Norm (m2/uur) werkdagen]],0)</f>
        <v>0</v>
      </c>
      <c r="X19" s="92">
        <f>Ruimtestaat[[#This Row],[uren / jaar werkdagen]]*Tariefsopbouw!$E$35</f>
        <v>0</v>
      </c>
      <c r="Y19" s="89"/>
      <c r="Z19" s="93">
        <f>IF(Ruimtestaat[[#This Row],[Frequentie weekend]]&gt;0,VALUE(LEFT(Y19,1))*R19,0)</f>
        <v>0</v>
      </c>
      <c r="AA19" s="89">
        <f>IF($Z19&gt;0,VLOOKUP($J19,Ruimtegroepen[],3,FALSE)*VLOOKUP($L19,Vloersoorten[],3,FALSE)*VLOOKUP($Y19,Frequenties[],3,FALSE)*VLOOKUP($A15,Locaties[],3,FALSE),0)</f>
        <v>0</v>
      </c>
      <c r="AB19" s="91">
        <f>Ruimtestaat[[#This Row],[Uitvoeringen weekend]]*Ruimtestaat[[#This Row],[Oppervlak (netto)]]</f>
        <v>0</v>
      </c>
      <c r="AC19" s="94">
        <f>IF(AB19&gt;0,Ruimtestaat[[#This Row],[Prest. (m2 /jaar) weekend]]/Ruimtestaat[[#This Row],[Norm (m2/uur) weekend]],0)</f>
        <v>0</v>
      </c>
      <c r="AD19" s="95">
        <f>Ruimtestaat[[#This Row],[uren / jaar weekend]]*Tariefsopbouw!$D$40</f>
        <v>0</v>
      </c>
      <c r="AE19" s="67">
        <f>Ruimtestaat[[#This Row],[Prest. (m2 /jaar) weekend]]+Ruimtestaat[[#This Row],[Prest. (m2 /jaar) werkdagen]]</f>
        <v>2418</v>
      </c>
      <c r="AF19" s="67">
        <f>Ruimtestaat[[#This Row],[uren / jaar weekend]]+Ruimtestaat[[#This Row],[uren / jaar werkdagen]]</f>
        <v>0</v>
      </c>
      <c r="AG19" s="68">
        <f>Ruimtestaat[[#This Row],[kosten / jaar weekend]]+Ruimtestaat[[#This Row],[kosten / jaar werkdagen]]</f>
        <v>0</v>
      </c>
      <c r="AH19" s="96"/>
      <c r="HL19" s="66"/>
    </row>
    <row r="20" spans="1:220" ht="15" customHeight="1">
      <c r="A20" s="114">
        <v>1</v>
      </c>
      <c r="B20" s="24" t="str">
        <f>VLOOKUP(Ruimtestaat[[#This Row],[Code]],Locaties[#All],2,FALSE)</f>
        <v>Hoofdgebouw</v>
      </c>
      <c r="C20" s="24" t="str">
        <f>VLOOKUP(Ruimtestaat[[#This Row],[Code]],Locaties[#All],4,FALSE)</f>
        <v>Rohofstraat 83</v>
      </c>
      <c r="D20" s="24" t="str">
        <f>VLOOKUP(Ruimtestaat[[#This Row],[Code]],Locaties[#All],5,FALSE)</f>
        <v>7605 AT</v>
      </c>
      <c r="E20" s="24" t="str">
        <f>VLOOKUP(Ruimtestaat[[#This Row],[Code]],Locaties[#All],6,FALSE)</f>
        <v>Almelo</v>
      </c>
      <c r="F20" s="61"/>
      <c r="G20" s="24" t="s">
        <v>435</v>
      </c>
      <c r="H20" s="24" t="s">
        <v>459</v>
      </c>
      <c r="I20" s="4" t="s">
        <v>456</v>
      </c>
      <c r="J20" s="24">
        <v>2</v>
      </c>
      <c r="K20" s="61" t="str">
        <f>VLOOKUP(J20,Ruimtegroepen[],2,FALSE)</f>
        <v>Kantoren</v>
      </c>
      <c r="L20" s="24" t="s">
        <v>103</v>
      </c>
      <c r="M20" s="24" t="s">
        <v>38</v>
      </c>
      <c r="N20" s="87">
        <v>9.3000000000000007</v>
      </c>
      <c r="O20" s="87"/>
      <c r="P20" s="97" t="str">
        <f>LEFT(VLOOKUP(Ruimtestaat[[#This Row],[Ruimte code]],Ruimtegroepen[#All],4,1),2)</f>
        <v>Bu</v>
      </c>
      <c r="Q20" s="87"/>
      <c r="R20" s="88">
        <v>52</v>
      </c>
      <c r="S20" s="88" t="s">
        <v>2</v>
      </c>
      <c r="T20" s="89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0" s="89">
        <f>IF(T20&gt;0,VLOOKUP($J20,Ruimtegroepen[],3,FALSE)*VLOOKUP($L20,Vloersoorten[],3,FALSE)*VLOOKUP($S20,Frequenties[],3,FALSE)*VLOOKUP($A20,Locaties[],3,FALSE),0)</f>
        <v>0</v>
      </c>
      <c r="V20" s="90">
        <f>Ruimtestaat[[#This Row],[Uitvoeringen werkdagen]]*Ruimtestaat[[#This Row],[Oppervlak (netto)]]</f>
        <v>2418</v>
      </c>
      <c r="W20" s="91">
        <f>IF(U20&gt;0,Ruimtestaat[[#This Row],[Prest. (m2 /jaar) werkdagen]]/Ruimtestaat[[#This Row],[Norm (m2/uur) werkdagen]],0)</f>
        <v>0</v>
      </c>
      <c r="X20" s="92">
        <f>Ruimtestaat[[#This Row],[uren / jaar werkdagen]]*Tariefsopbouw!$E$35</f>
        <v>0</v>
      </c>
      <c r="Y20" s="89"/>
      <c r="Z20" s="93">
        <f>IF(Ruimtestaat[[#This Row],[Frequentie weekend]]&gt;0,VALUE(LEFT(Y20,1))*R20,0)</f>
        <v>0</v>
      </c>
      <c r="AA20" s="89">
        <f>IF($Z20&gt;0,VLOOKUP($J20,Ruimtegroepen[],3,FALSE)*VLOOKUP($L20,Vloersoorten[],3,FALSE)*VLOOKUP($Y20,Frequenties[],3,FALSE)*VLOOKUP($A16,Locaties[],3,FALSE),0)</f>
        <v>0</v>
      </c>
      <c r="AB20" s="91">
        <f>Ruimtestaat[[#This Row],[Uitvoeringen weekend]]*Ruimtestaat[[#This Row],[Oppervlak (netto)]]</f>
        <v>0</v>
      </c>
      <c r="AC20" s="94">
        <f>IF(AB20&gt;0,Ruimtestaat[[#This Row],[Prest. (m2 /jaar) weekend]]/Ruimtestaat[[#This Row],[Norm (m2/uur) weekend]],0)</f>
        <v>0</v>
      </c>
      <c r="AD20" s="95">
        <f>Ruimtestaat[[#This Row],[uren / jaar weekend]]*Tariefsopbouw!$D$40</f>
        <v>0</v>
      </c>
      <c r="AE20" s="67">
        <f>Ruimtestaat[[#This Row],[Prest. (m2 /jaar) weekend]]+Ruimtestaat[[#This Row],[Prest. (m2 /jaar) werkdagen]]</f>
        <v>2418</v>
      </c>
      <c r="AF20" s="67">
        <f>Ruimtestaat[[#This Row],[uren / jaar weekend]]+Ruimtestaat[[#This Row],[uren / jaar werkdagen]]</f>
        <v>0</v>
      </c>
      <c r="AG20" s="68">
        <f>Ruimtestaat[[#This Row],[kosten / jaar weekend]]+Ruimtestaat[[#This Row],[kosten / jaar werkdagen]]</f>
        <v>0</v>
      </c>
      <c r="AH20" s="96"/>
      <c r="HL20" s="66"/>
    </row>
    <row r="21" spans="1:220" ht="15" customHeight="1">
      <c r="A21" s="114">
        <v>1</v>
      </c>
      <c r="B21" s="24" t="str">
        <f>VLOOKUP(Ruimtestaat[[#This Row],[Code]],Locaties[#All],2,FALSE)</f>
        <v>Hoofdgebouw</v>
      </c>
      <c r="C21" s="24" t="str">
        <f>VLOOKUP(Ruimtestaat[[#This Row],[Code]],Locaties[#All],4,FALSE)</f>
        <v>Rohofstraat 83</v>
      </c>
      <c r="D21" s="24" t="str">
        <f>VLOOKUP(Ruimtestaat[[#This Row],[Code]],Locaties[#All],5,FALSE)</f>
        <v>7605 AT</v>
      </c>
      <c r="E21" s="24" t="str">
        <f>VLOOKUP(Ruimtestaat[[#This Row],[Code]],Locaties[#All],6,FALSE)</f>
        <v>Almelo</v>
      </c>
      <c r="F21" s="61"/>
      <c r="G21" s="24" t="s">
        <v>435</v>
      </c>
      <c r="H21" s="24" t="s">
        <v>460</v>
      </c>
      <c r="I21" s="4" t="s">
        <v>456</v>
      </c>
      <c r="J21" s="24">
        <v>2</v>
      </c>
      <c r="K21" s="61" t="str">
        <f>VLOOKUP(J21,Ruimtegroepen[],2,FALSE)</f>
        <v>Kantoren</v>
      </c>
      <c r="L21" s="24" t="s">
        <v>103</v>
      </c>
      <c r="M21" s="24" t="s">
        <v>38</v>
      </c>
      <c r="N21" s="87">
        <v>12.7</v>
      </c>
      <c r="O21" s="87"/>
      <c r="P21" s="97" t="str">
        <f>LEFT(VLOOKUP(Ruimtestaat[[#This Row],[Ruimte code]],Ruimtegroepen[#All],4,1),2)</f>
        <v>Bu</v>
      </c>
      <c r="Q21" s="87"/>
      <c r="R21" s="88">
        <v>52</v>
      </c>
      <c r="S21" s="88" t="s">
        <v>2</v>
      </c>
      <c r="T21" s="89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" s="89">
        <f>IF(T21&gt;0,VLOOKUP($J21,Ruimtegroepen[],3,FALSE)*VLOOKUP($L21,Vloersoorten[],3,FALSE)*VLOOKUP($S21,Frequenties[],3,FALSE)*VLOOKUP($A21,Locaties[],3,FALSE),0)</f>
        <v>0</v>
      </c>
      <c r="V21" s="90">
        <f>Ruimtestaat[[#This Row],[Uitvoeringen werkdagen]]*Ruimtestaat[[#This Row],[Oppervlak (netto)]]</f>
        <v>3302</v>
      </c>
      <c r="W21" s="91">
        <f>IF(U21&gt;0,Ruimtestaat[[#This Row],[Prest. (m2 /jaar) werkdagen]]/Ruimtestaat[[#This Row],[Norm (m2/uur) werkdagen]],0)</f>
        <v>0</v>
      </c>
      <c r="X21" s="92">
        <f>Ruimtestaat[[#This Row],[uren / jaar werkdagen]]*Tariefsopbouw!$E$35</f>
        <v>0</v>
      </c>
      <c r="Y21" s="89"/>
      <c r="Z21" s="93">
        <f>IF(Ruimtestaat[[#This Row],[Frequentie weekend]]&gt;0,VALUE(LEFT(Y21,1))*R21,0)</f>
        <v>0</v>
      </c>
      <c r="AA21" s="89">
        <f>IF($Z21&gt;0,VLOOKUP($J21,Ruimtegroepen[],3,FALSE)*VLOOKUP($L21,Vloersoorten[],3,FALSE)*VLOOKUP($Y21,Frequenties[],3,FALSE)*VLOOKUP($A16,Locaties[],3,FALSE),0)</f>
        <v>0</v>
      </c>
      <c r="AB21" s="91">
        <f>Ruimtestaat[[#This Row],[Uitvoeringen weekend]]*Ruimtestaat[[#This Row],[Oppervlak (netto)]]</f>
        <v>0</v>
      </c>
      <c r="AC21" s="94">
        <f>IF(AB21&gt;0,Ruimtestaat[[#This Row],[Prest. (m2 /jaar) weekend]]/Ruimtestaat[[#This Row],[Norm (m2/uur) weekend]],0)</f>
        <v>0</v>
      </c>
      <c r="AD21" s="95">
        <f>Ruimtestaat[[#This Row],[uren / jaar weekend]]*Tariefsopbouw!$D$40</f>
        <v>0</v>
      </c>
      <c r="AE21" s="67">
        <f>Ruimtestaat[[#This Row],[Prest. (m2 /jaar) weekend]]+Ruimtestaat[[#This Row],[Prest. (m2 /jaar) werkdagen]]</f>
        <v>3302</v>
      </c>
      <c r="AF21" s="67">
        <f>Ruimtestaat[[#This Row],[uren / jaar weekend]]+Ruimtestaat[[#This Row],[uren / jaar werkdagen]]</f>
        <v>0</v>
      </c>
      <c r="AG21" s="68">
        <f>Ruimtestaat[[#This Row],[kosten / jaar weekend]]+Ruimtestaat[[#This Row],[kosten / jaar werkdagen]]</f>
        <v>0</v>
      </c>
      <c r="AH21" s="96"/>
      <c r="HL21" s="66"/>
    </row>
    <row r="22" spans="1:220" ht="15" customHeight="1">
      <c r="A22" s="114">
        <v>1</v>
      </c>
      <c r="B22" s="24" t="str">
        <f>VLOOKUP(Ruimtestaat[[#This Row],[Code]],Locaties[#All],2,FALSE)</f>
        <v>Hoofdgebouw</v>
      </c>
      <c r="C22" s="24" t="str">
        <f>VLOOKUP(Ruimtestaat[[#This Row],[Code]],Locaties[#All],4,FALSE)</f>
        <v>Rohofstraat 83</v>
      </c>
      <c r="D22" s="24" t="str">
        <f>VLOOKUP(Ruimtestaat[[#This Row],[Code]],Locaties[#All],5,FALSE)</f>
        <v>7605 AT</v>
      </c>
      <c r="E22" s="24" t="str">
        <f>VLOOKUP(Ruimtestaat[[#This Row],[Code]],Locaties[#All],6,FALSE)</f>
        <v>Almelo</v>
      </c>
      <c r="F22" s="61"/>
      <c r="G22" s="24" t="s">
        <v>435</v>
      </c>
      <c r="H22" s="24" t="s">
        <v>461</v>
      </c>
      <c r="I22" s="4" t="s">
        <v>456</v>
      </c>
      <c r="J22" s="24">
        <v>2</v>
      </c>
      <c r="K22" s="61" t="str">
        <f>VLOOKUP(J22,Ruimtegroepen[],2,FALSE)</f>
        <v>Kantoren</v>
      </c>
      <c r="L22" s="24" t="s">
        <v>103</v>
      </c>
      <c r="M22" s="24" t="s">
        <v>38</v>
      </c>
      <c r="N22" s="87">
        <v>7.8</v>
      </c>
      <c r="O22" s="87"/>
      <c r="P22" s="97" t="str">
        <f>LEFT(VLOOKUP(Ruimtestaat[[#This Row],[Ruimte code]],Ruimtegroepen[#All],4,1),2)</f>
        <v>Bu</v>
      </c>
      <c r="Q22" s="87"/>
      <c r="R22" s="88">
        <v>52</v>
      </c>
      <c r="S22" s="88" t="s">
        <v>2</v>
      </c>
      <c r="T22" s="89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" s="89">
        <f>IF(T22&gt;0,VLOOKUP($J22,Ruimtegroepen[],3,FALSE)*VLOOKUP($L22,Vloersoorten[],3,FALSE)*VLOOKUP($S22,Frequenties[],3,FALSE)*VLOOKUP($A22,Locaties[],3,FALSE),0)</f>
        <v>0</v>
      </c>
      <c r="V22" s="90">
        <f>Ruimtestaat[[#This Row],[Uitvoeringen werkdagen]]*Ruimtestaat[[#This Row],[Oppervlak (netto)]]</f>
        <v>2028</v>
      </c>
      <c r="W22" s="91">
        <f>IF(U22&gt;0,Ruimtestaat[[#This Row],[Prest. (m2 /jaar) werkdagen]]/Ruimtestaat[[#This Row],[Norm (m2/uur) werkdagen]],0)</f>
        <v>0</v>
      </c>
      <c r="X22" s="92">
        <f>Ruimtestaat[[#This Row],[uren / jaar werkdagen]]*Tariefsopbouw!$E$35</f>
        <v>0</v>
      </c>
      <c r="Y22" s="89"/>
      <c r="Z22" s="93">
        <f>IF(Ruimtestaat[[#This Row],[Frequentie weekend]]&gt;0,VALUE(LEFT(Y22,1))*R22,0)</f>
        <v>0</v>
      </c>
      <c r="AA22" s="89">
        <f>IF($Z22&gt;0,VLOOKUP($J22,Ruimtegroepen[],3,FALSE)*VLOOKUP($L22,Vloersoorten[],3,FALSE)*VLOOKUP($Y22,Frequenties[],3,FALSE)*VLOOKUP($A17,Locaties[],3,FALSE),0)</f>
        <v>0</v>
      </c>
      <c r="AB22" s="91">
        <f>Ruimtestaat[[#This Row],[Uitvoeringen weekend]]*Ruimtestaat[[#This Row],[Oppervlak (netto)]]</f>
        <v>0</v>
      </c>
      <c r="AC22" s="94">
        <f>IF(AB22&gt;0,Ruimtestaat[[#This Row],[Prest. (m2 /jaar) weekend]]/Ruimtestaat[[#This Row],[Norm (m2/uur) weekend]],0)</f>
        <v>0</v>
      </c>
      <c r="AD22" s="95">
        <f>Ruimtestaat[[#This Row],[uren / jaar weekend]]*Tariefsopbouw!$D$40</f>
        <v>0</v>
      </c>
      <c r="AE22" s="67">
        <f>Ruimtestaat[[#This Row],[Prest. (m2 /jaar) weekend]]+Ruimtestaat[[#This Row],[Prest. (m2 /jaar) werkdagen]]</f>
        <v>2028</v>
      </c>
      <c r="AF22" s="67">
        <f>Ruimtestaat[[#This Row],[uren / jaar weekend]]+Ruimtestaat[[#This Row],[uren / jaar werkdagen]]</f>
        <v>0</v>
      </c>
      <c r="AG22" s="68">
        <f>Ruimtestaat[[#This Row],[kosten / jaar weekend]]+Ruimtestaat[[#This Row],[kosten / jaar werkdagen]]</f>
        <v>0</v>
      </c>
      <c r="AH22" s="96"/>
      <c r="HL22" s="66"/>
    </row>
    <row r="23" spans="1:220" ht="15" customHeight="1">
      <c r="A23" s="114">
        <v>1</v>
      </c>
      <c r="B23" s="24" t="str">
        <f>VLOOKUP(Ruimtestaat[[#This Row],[Code]],Locaties[#All],2,FALSE)</f>
        <v>Hoofdgebouw</v>
      </c>
      <c r="C23" s="24" t="str">
        <f>VLOOKUP(Ruimtestaat[[#This Row],[Code]],Locaties[#All],4,FALSE)</f>
        <v>Rohofstraat 83</v>
      </c>
      <c r="D23" s="24" t="str">
        <f>VLOOKUP(Ruimtestaat[[#This Row],[Code]],Locaties[#All],5,FALSE)</f>
        <v>7605 AT</v>
      </c>
      <c r="E23" s="24" t="str">
        <f>VLOOKUP(Ruimtestaat[[#This Row],[Code]],Locaties[#All],6,FALSE)</f>
        <v>Almelo</v>
      </c>
      <c r="F23" s="61"/>
      <c r="G23" s="24" t="s">
        <v>435</v>
      </c>
      <c r="H23" s="24" t="s">
        <v>462</v>
      </c>
      <c r="I23" s="4" t="s">
        <v>463</v>
      </c>
      <c r="J23" s="24">
        <v>10</v>
      </c>
      <c r="K23" s="61" t="str">
        <f>VLOOKUP(J23,Ruimtegroepen[],2,FALSE)</f>
        <v>Trappenhuizen/lift</v>
      </c>
      <c r="L23" s="24" t="s">
        <v>106</v>
      </c>
      <c r="M23" s="24" t="s">
        <v>126</v>
      </c>
      <c r="N23" s="87">
        <v>2</v>
      </c>
      <c r="O23" s="87"/>
      <c r="P23" s="97" t="str">
        <f>LEFT(VLOOKUP(Ruimtestaat[[#This Row],[Ruimte code]],Ruimtegroepen[#All],4,1),2)</f>
        <v>Ve</v>
      </c>
      <c r="Q23" s="87"/>
      <c r="R23" s="88">
        <v>52</v>
      </c>
      <c r="S23" s="88" t="s">
        <v>2</v>
      </c>
      <c r="T23" s="89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3" s="89">
        <f>IF(T23&gt;0,VLOOKUP($J23,Ruimtegroepen[],3,FALSE)*VLOOKUP($L23,Vloersoorten[],3,FALSE)*VLOOKUP($S23,Frequenties[],3,FALSE)*VLOOKUP($A23,Locaties[],3,FALSE),0)</f>
        <v>0</v>
      </c>
      <c r="V23" s="90">
        <f>Ruimtestaat[[#This Row],[Uitvoeringen werkdagen]]*Ruimtestaat[[#This Row],[Oppervlak (netto)]]</f>
        <v>520</v>
      </c>
      <c r="W23" s="91">
        <f>IF(U23&gt;0,Ruimtestaat[[#This Row],[Prest. (m2 /jaar) werkdagen]]/Ruimtestaat[[#This Row],[Norm (m2/uur) werkdagen]],0)</f>
        <v>0</v>
      </c>
      <c r="X23" s="92">
        <f>Ruimtestaat[[#This Row],[uren / jaar werkdagen]]*Tariefsopbouw!$E$35</f>
        <v>0</v>
      </c>
      <c r="Y23" s="89"/>
      <c r="Z23" s="93">
        <f>IF(Ruimtestaat[[#This Row],[Frequentie weekend]]&gt;0,VALUE(LEFT(Y23,1))*R23,0)</f>
        <v>0</v>
      </c>
      <c r="AA23" s="89">
        <f>IF($Z23&gt;0,VLOOKUP($J23,Ruimtegroepen[],3,FALSE)*VLOOKUP($L23,Vloersoorten[],3,FALSE)*VLOOKUP($Y23,Frequenties[],3,FALSE)*VLOOKUP($A18,Locaties[],3,FALSE),0)</f>
        <v>0</v>
      </c>
      <c r="AB23" s="91">
        <f>Ruimtestaat[[#This Row],[Uitvoeringen weekend]]*Ruimtestaat[[#This Row],[Oppervlak (netto)]]</f>
        <v>0</v>
      </c>
      <c r="AC23" s="94">
        <f>IF(AB23&gt;0,Ruimtestaat[[#This Row],[Prest. (m2 /jaar) weekend]]/Ruimtestaat[[#This Row],[Norm (m2/uur) weekend]],0)</f>
        <v>0</v>
      </c>
      <c r="AD23" s="95">
        <f>Ruimtestaat[[#This Row],[uren / jaar weekend]]*Tariefsopbouw!$D$40</f>
        <v>0</v>
      </c>
      <c r="AE23" s="67">
        <f>Ruimtestaat[[#This Row],[Prest. (m2 /jaar) weekend]]+Ruimtestaat[[#This Row],[Prest. (m2 /jaar) werkdagen]]</f>
        <v>520</v>
      </c>
      <c r="AF23" s="67">
        <f>Ruimtestaat[[#This Row],[uren / jaar weekend]]+Ruimtestaat[[#This Row],[uren / jaar werkdagen]]</f>
        <v>0</v>
      </c>
      <c r="AG23" s="68">
        <f>Ruimtestaat[[#This Row],[kosten / jaar weekend]]+Ruimtestaat[[#This Row],[kosten / jaar werkdagen]]</f>
        <v>0</v>
      </c>
      <c r="AH23" s="96"/>
      <c r="HL23" s="66"/>
    </row>
    <row r="24" spans="1:220" ht="15" customHeight="1">
      <c r="A24" s="114">
        <v>1</v>
      </c>
      <c r="B24" s="24" t="str">
        <f>VLOOKUP(Ruimtestaat[[#This Row],[Code]],Locaties[#All],2,FALSE)</f>
        <v>Hoofdgebouw</v>
      </c>
      <c r="C24" s="24" t="str">
        <f>VLOOKUP(Ruimtestaat[[#This Row],[Code]],Locaties[#All],4,FALSE)</f>
        <v>Rohofstraat 83</v>
      </c>
      <c r="D24" s="24" t="str">
        <f>VLOOKUP(Ruimtestaat[[#This Row],[Code]],Locaties[#All],5,FALSE)</f>
        <v>7605 AT</v>
      </c>
      <c r="E24" s="24" t="str">
        <f>VLOOKUP(Ruimtestaat[[#This Row],[Code]],Locaties[#All],6,FALSE)</f>
        <v>Almelo</v>
      </c>
      <c r="F24" s="61"/>
      <c r="G24" s="24" t="s">
        <v>435</v>
      </c>
      <c r="H24" s="24" t="s">
        <v>464</v>
      </c>
      <c r="I24" s="4" t="s">
        <v>451</v>
      </c>
      <c r="J24" s="24">
        <v>9</v>
      </c>
      <c r="K24" s="61" t="str">
        <f>VLOOKUP(J24,Ruimtegroepen[],2,FALSE)</f>
        <v>Kantoortuin</v>
      </c>
      <c r="L24" s="24" t="s">
        <v>103</v>
      </c>
      <c r="M24" s="24" t="s">
        <v>38</v>
      </c>
      <c r="N24" s="98">
        <v>28.4</v>
      </c>
      <c r="O24" s="87"/>
      <c r="P24" s="97" t="str">
        <f>LEFT(VLOOKUP(Ruimtestaat[[#This Row],[Ruimte code]],Ruimtegroepen[#All],4,1),2)</f>
        <v>Bu</v>
      </c>
      <c r="Q24" s="87"/>
      <c r="R24" s="88">
        <v>52</v>
      </c>
      <c r="S24" s="88" t="s">
        <v>2</v>
      </c>
      <c r="T24" s="89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4" s="89">
        <f>IF(T24&gt;0,VLOOKUP($J24,Ruimtegroepen[],3,FALSE)*VLOOKUP($L24,Vloersoorten[],3,FALSE)*VLOOKUP($S24,Frequenties[],3,FALSE)*VLOOKUP($A24,Locaties[],3,FALSE),0)</f>
        <v>0</v>
      </c>
      <c r="V24" s="90">
        <f>Ruimtestaat[[#This Row],[Uitvoeringen werkdagen]]*Ruimtestaat[[#This Row],[Oppervlak (netto)]]</f>
        <v>7384</v>
      </c>
      <c r="W24" s="91">
        <f>IF(U24&gt;0,Ruimtestaat[[#This Row],[Prest. (m2 /jaar) werkdagen]]/Ruimtestaat[[#This Row],[Norm (m2/uur) werkdagen]],0)</f>
        <v>0</v>
      </c>
      <c r="X24" s="92">
        <f>Ruimtestaat[[#This Row],[uren / jaar werkdagen]]*Tariefsopbouw!$E$35</f>
        <v>0</v>
      </c>
      <c r="Y24" s="89"/>
      <c r="Z24" s="93">
        <f>IF(Ruimtestaat[[#This Row],[Frequentie weekend]]&gt;0,VALUE(LEFT(Y24,1))*R24,0)</f>
        <v>0</v>
      </c>
      <c r="AA24" s="89">
        <f>IF($Z24&gt;0,VLOOKUP($J24,Ruimtegroepen[],3,FALSE)*VLOOKUP($L24,Vloersoorten[],3,FALSE)*VLOOKUP($Y24,Frequenties[],3,FALSE)*VLOOKUP($A19,Locaties[],3,FALSE),0)</f>
        <v>0</v>
      </c>
      <c r="AB24" s="91">
        <f>Ruimtestaat[[#This Row],[Uitvoeringen weekend]]*Ruimtestaat[[#This Row],[Oppervlak (netto)]]</f>
        <v>0</v>
      </c>
      <c r="AC24" s="94">
        <f>IF(AB24&gt;0,Ruimtestaat[[#This Row],[Prest. (m2 /jaar) weekend]]/Ruimtestaat[[#This Row],[Norm (m2/uur) weekend]],0)</f>
        <v>0</v>
      </c>
      <c r="AD24" s="95">
        <f>Ruimtestaat[[#This Row],[uren / jaar weekend]]*Tariefsopbouw!$D$40</f>
        <v>0</v>
      </c>
      <c r="AE24" s="67">
        <f>Ruimtestaat[[#This Row],[Prest. (m2 /jaar) weekend]]+Ruimtestaat[[#This Row],[Prest. (m2 /jaar) werkdagen]]</f>
        <v>7384</v>
      </c>
      <c r="AF24" s="67">
        <f>Ruimtestaat[[#This Row],[uren / jaar weekend]]+Ruimtestaat[[#This Row],[uren / jaar werkdagen]]</f>
        <v>0</v>
      </c>
      <c r="AG24" s="68">
        <f>Ruimtestaat[[#This Row],[kosten / jaar weekend]]+Ruimtestaat[[#This Row],[kosten / jaar werkdagen]]</f>
        <v>0</v>
      </c>
      <c r="AH24" s="96"/>
      <c r="HL24" s="66"/>
    </row>
    <row r="25" spans="1:220" ht="15" customHeight="1">
      <c r="A25" s="114">
        <v>1</v>
      </c>
      <c r="B25" s="24" t="str">
        <f>VLOOKUP(Ruimtestaat[[#This Row],[Code]],Locaties[#All],2,FALSE)</f>
        <v>Hoofdgebouw</v>
      </c>
      <c r="C25" s="24" t="str">
        <f>VLOOKUP(Ruimtestaat[[#This Row],[Code]],Locaties[#All],4,FALSE)</f>
        <v>Rohofstraat 83</v>
      </c>
      <c r="D25" s="24" t="str">
        <f>VLOOKUP(Ruimtestaat[[#This Row],[Code]],Locaties[#All],5,FALSE)</f>
        <v>7605 AT</v>
      </c>
      <c r="E25" s="24" t="str">
        <f>VLOOKUP(Ruimtestaat[[#This Row],[Code]],Locaties[#All],6,FALSE)</f>
        <v>Almelo</v>
      </c>
      <c r="F25" s="61"/>
      <c r="G25" s="24" t="s">
        <v>435</v>
      </c>
      <c r="H25" s="24" t="s">
        <v>465</v>
      </c>
      <c r="I25" s="4" t="s">
        <v>466</v>
      </c>
      <c r="J25" s="24">
        <v>6</v>
      </c>
      <c r="K25" s="61" t="str">
        <f>VLOOKUP(J25,Ruimtegroepen[],2,FALSE)</f>
        <v>Gangen/hallen</v>
      </c>
      <c r="L25" s="24" t="s">
        <v>103</v>
      </c>
      <c r="M25" s="24" t="s">
        <v>38</v>
      </c>
      <c r="N25" s="87">
        <v>24</v>
      </c>
      <c r="O25" s="87"/>
      <c r="P25" s="97" t="str">
        <f>LEFT(VLOOKUP(Ruimtestaat[[#This Row],[Ruimte code]],Ruimtegroepen[#All],4,1),2)</f>
        <v>Ve</v>
      </c>
      <c r="Q25" s="87"/>
      <c r="R25" s="88">
        <v>52</v>
      </c>
      <c r="S25" s="88" t="s">
        <v>2</v>
      </c>
      <c r="T25" s="89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5" s="89">
        <f>IF(T25&gt;0,VLOOKUP($J25,Ruimtegroepen[],3,FALSE)*VLOOKUP($L25,Vloersoorten[],3,FALSE)*VLOOKUP($S25,Frequenties[],3,FALSE)*VLOOKUP($A25,Locaties[],3,FALSE),0)</f>
        <v>0</v>
      </c>
      <c r="V25" s="90">
        <f>Ruimtestaat[[#This Row],[Uitvoeringen werkdagen]]*Ruimtestaat[[#This Row],[Oppervlak (netto)]]</f>
        <v>6240</v>
      </c>
      <c r="W25" s="91">
        <f>IF(U25&gt;0,Ruimtestaat[[#This Row],[Prest. (m2 /jaar) werkdagen]]/Ruimtestaat[[#This Row],[Norm (m2/uur) werkdagen]],0)</f>
        <v>0</v>
      </c>
      <c r="X25" s="92">
        <f>Ruimtestaat[[#This Row],[uren / jaar werkdagen]]*Tariefsopbouw!$E$35</f>
        <v>0</v>
      </c>
      <c r="Y25" s="89"/>
      <c r="Z25" s="93">
        <f>IF(Ruimtestaat[[#This Row],[Frequentie weekend]]&gt;0,VALUE(LEFT(Y25,1))*R25,0)</f>
        <v>0</v>
      </c>
      <c r="AA25" s="89">
        <f>IF($Z25&gt;0,VLOOKUP($J25,Ruimtegroepen[],3,FALSE)*VLOOKUP($L25,Vloersoorten[],3,FALSE)*VLOOKUP($Y25,Frequenties[],3,FALSE)*VLOOKUP($A21,Locaties[],3,FALSE),0)</f>
        <v>0</v>
      </c>
      <c r="AB25" s="91">
        <f>Ruimtestaat[[#This Row],[Uitvoeringen weekend]]*Ruimtestaat[[#This Row],[Oppervlak (netto)]]</f>
        <v>0</v>
      </c>
      <c r="AC25" s="94">
        <f>IF(AB25&gt;0,Ruimtestaat[[#This Row],[Prest. (m2 /jaar) weekend]]/Ruimtestaat[[#This Row],[Norm (m2/uur) weekend]],0)</f>
        <v>0</v>
      </c>
      <c r="AD25" s="95">
        <f>Ruimtestaat[[#This Row],[uren / jaar weekend]]*Tariefsopbouw!$D$40</f>
        <v>0</v>
      </c>
      <c r="AE25" s="67">
        <f>Ruimtestaat[[#This Row],[Prest. (m2 /jaar) weekend]]+Ruimtestaat[[#This Row],[Prest. (m2 /jaar) werkdagen]]</f>
        <v>6240</v>
      </c>
      <c r="AF25" s="67">
        <f>Ruimtestaat[[#This Row],[uren / jaar weekend]]+Ruimtestaat[[#This Row],[uren / jaar werkdagen]]</f>
        <v>0</v>
      </c>
      <c r="AG25" s="68">
        <f>Ruimtestaat[[#This Row],[kosten / jaar weekend]]+Ruimtestaat[[#This Row],[kosten / jaar werkdagen]]</f>
        <v>0</v>
      </c>
      <c r="AH25" s="96"/>
      <c r="HL25" s="66"/>
    </row>
    <row r="26" spans="1:220" ht="15" customHeight="1">
      <c r="A26" s="114">
        <v>1</v>
      </c>
      <c r="B26" s="24" t="str">
        <f>VLOOKUP(Ruimtestaat[[#This Row],[Code]],Locaties[#All],2,FALSE)</f>
        <v>Hoofdgebouw</v>
      </c>
      <c r="C26" s="24" t="str">
        <f>VLOOKUP(Ruimtestaat[[#This Row],[Code]],Locaties[#All],4,FALSE)</f>
        <v>Rohofstraat 83</v>
      </c>
      <c r="D26" s="24" t="str">
        <f>VLOOKUP(Ruimtestaat[[#This Row],[Code]],Locaties[#All],5,FALSE)</f>
        <v>7605 AT</v>
      </c>
      <c r="E26" s="24" t="str">
        <f>VLOOKUP(Ruimtestaat[[#This Row],[Code]],Locaties[#All],6,FALSE)</f>
        <v>Almelo</v>
      </c>
      <c r="F26" s="61"/>
      <c r="G26" s="24" t="s">
        <v>435</v>
      </c>
      <c r="H26" s="24" t="s">
        <v>467</v>
      </c>
      <c r="I26" s="4" t="s">
        <v>468</v>
      </c>
      <c r="J26" s="24">
        <v>6</v>
      </c>
      <c r="K26" s="61" t="str">
        <f>VLOOKUP(J26,Ruimtegroepen[],2,FALSE)</f>
        <v>Gangen/hallen</v>
      </c>
      <c r="L26" s="24" t="s">
        <v>103</v>
      </c>
      <c r="M26" s="24" t="s">
        <v>38</v>
      </c>
      <c r="N26" s="87">
        <v>40.200000000000003</v>
      </c>
      <c r="O26" s="87"/>
      <c r="P26" s="97" t="str">
        <f>LEFT(VLOOKUP(Ruimtestaat[[#This Row],[Ruimte code]],Ruimtegroepen[#All],4,1),2)</f>
        <v>Ve</v>
      </c>
      <c r="Q26" s="87"/>
      <c r="R26" s="88">
        <v>52</v>
      </c>
      <c r="S26" s="88" t="s">
        <v>2</v>
      </c>
      <c r="T26" s="89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6" s="89">
        <f>IF(T26&gt;0,VLOOKUP($J26,Ruimtegroepen[],3,FALSE)*VLOOKUP($L26,Vloersoorten[],3,FALSE)*VLOOKUP($S26,Frequenties[],3,FALSE)*VLOOKUP($A26,Locaties[],3,FALSE),0)</f>
        <v>0</v>
      </c>
      <c r="V26" s="90">
        <f>Ruimtestaat[[#This Row],[Uitvoeringen werkdagen]]*Ruimtestaat[[#This Row],[Oppervlak (netto)]]</f>
        <v>10452</v>
      </c>
      <c r="W26" s="91">
        <f>IF(U26&gt;0,Ruimtestaat[[#This Row],[Prest. (m2 /jaar) werkdagen]]/Ruimtestaat[[#This Row],[Norm (m2/uur) werkdagen]],0)</f>
        <v>0</v>
      </c>
      <c r="X26" s="92">
        <f>Ruimtestaat[[#This Row],[uren / jaar werkdagen]]*Tariefsopbouw!$E$35</f>
        <v>0</v>
      </c>
      <c r="Y26" s="89"/>
      <c r="Z26" s="93">
        <f>IF(Ruimtestaat[[#This Row],[Frequentie weekend]]&gt;0,VALUE(LEFT(Y26,1))*R26,0)</f>
        <v>0</v>
      </c>
      <c r="AA26" s="89">
        <f>IF($Z26&gt;0,VLOOKUP($J26,Ruimtegroepen[],3,FALSE)*VLOOKUP($L26,Vloersoorten[],3,FALSE)*VLOOKUP($Y26,Frequenties[],3,FALSE)*VLOOKUP($A22,Locaties[],3,FALSE),0)</f>
        <v>0</v>
      </c>
      <c r="AB26" s="91">
        <f>Ruimtestaat[[#This Row],[Uitvoeringen weekend]]*Ruimtestaat[[#This Row],[Oppervlak (netto)]]</f>
        <v>0</v>
      </c>
      <c r="AC26" s="94">
        <f>IF(AB26&gt;0,Ruimtestaat[[#This Row],[Prest. (m2 /jaar) weekend]]/Ruimtestaat[[#This Row],[Norm (m2/uur) weekend]],0)</f>
        <v>0</v>
      </c>
      <c r="AD26" s="95">
        <f>Ruimtestaat[[#This Row],[uren / jaar weekend]]*Tariefsopbouw!$D$40</f>
        <v>0</v>
      </c>
      <c r="AE26" s="67">
        <f>Ruimtestaat[[#This Row],[Prest. (m2 /jaar) weekend]]+Ruimtestaat[[#This Row],[Prest. (m2 /jaar) werkdagen]]</f>
        <v>10452</v>
      </c>
      <c r="AF26" s="67">
        <f>Ruimtestaat[[#This Row],[uren / jaar weekend]]+Ruimtestaat[[#This Row],[uren / jaar werkdagen]]</f>
        <v>0</v>
      </c>
      <c r="AG26" s="68">
        <f>Ruimtestaat[[#This Row],[kosten / jaar weekend]]+Ruimtestaat[[#This Row],[kosten / jaar werkdagen]]</f>
        <v>0</v>
      </c>
      <c r="AH26" s="96"/>
      <c r="HL26" s="66"/>
    </row>
    <row r="27" spans="1:220" ht="15" customHeight="1">
      <c r="A27" s="114">
        <v>1</v>
      </c>
      <c r="B27" s="24" t="str">
        <f>VLOOKUP(Ruimtestaat[[#This Row],[Code]],Locaties[#All],2,FALSE)</f>
        <v>Hoofdgebouw</v>
      </c>
      <c r="C27" s="24" t="str">
        <f>VLOOKUP(Ruimtestaat[[#This Row],[Code]],Locaties[#All],4,FALSE)</f>
        <v>Rohofstraat 83</v>
      </c>
      <c r="D27" s="24" t="str">
        <f>VLOOKUP(Ruimtestaat[[#This Row],[Code]],Locaties[#All],5,FALSE)</f>
        <v>7605 AT</v>
      </c>
      <c r="E27" s="24" t="str">
        <f>VLOOKUP(Ruimtestaat[[#This Row],[Code]],Locaties[#All],6,FALSE)</f>
        <v>Almelo</v>
      </c>
      <c r="F27" s="61"/>
      <c r="G27" s="24" t="s">
        <v>435</v>
      </c>
      <c r="H27" s="24" t="s">
        <v>469</v>
      </c>
      <c r="I27" s="4" t="s">
        <v>470</v>
      </c>
      <c r="J27" s="24">
        <v>6</v>
      </c>
      <c r="K27" s="61" t="str">
        <f>VLOOKUP(J27,Ruimtegroepen[],2,FALSE)</f>
        <v>Gangen/hallen</v>
      </c>
      <c r="L27" s="24" t="s">
        <v>103</v>
      </c>
      <c r="M27" s="24" t="s">
        <v>38</v>
      </c>
      <c r="N27" s="87">
        <v>23</v>
      </c>
      <c r="O27" s="87"/>
      <c r="P27" s="97" t="str">
        <f>LEFT(VLOOKUP(Ruimtestaat[[#This Row],[Ruimte code]],Ruimtegroepen[#All],4,1),2)</f>
        <v>Ve</v>
      </c>
      <c r="Q27" s="87"/>
      <c r="R27" s="88">
        <v>52</v>
      </c>
      <c r="S27" s="88" t="s">
        <v>2</v>
      </c>
      <c r="T27" s="89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7" s="89">
        <f>IF(T27&gt;0,VLOOKUP($J27,Ruimtegroepen[],3,FALSE)*VLOOKUP($L27,Vloersoorten[],3,FALSE)*VLOOKUP($S27,Frequenties[],3,FALSE)*VLOOKUP($A27,Locaties[],3,FALSE),0)</f>
        <v>0</v>
      </c>
      <c r="V27" s="90">
        <f>Ruimtestaat[[#This Row],[Uitvoeringen werkdagen]]*Ruimtestaat[[#This Row],[Oppervlak (netto)]]</f>
        <v>5980</v>
      </c>
      <c r="W27" s="91">
        <f>IF(U27&gt;0,Ruimtestaat[[#This Row],[Prest. (m2 /jaar) werkdagen]]/Ruimtestaat[[#This Row],[Norm (m2/uur) werkdagen]],0)</f>
        <v>0</v>
      </c>
      <c r="X27" s="92">
        <f>Ruimtestaat[[#This Row],[uren / jaar werkdagen]]*Tariefsopbouw!$E$35</f>
        <v>0</v>
      </c>
      <c r="Y27" s="89"/>
      <c r="Z27" s="93">
        <f>IF(Ruimtestaat[[#This Row],[Frequentie weekend]]&gt;0,VALUE(LEFT(Y27,1))*R27,0)</f>
        <v>0</v>
      </c>
      <c r="AA27" s="89">
        <f>IF($Z27&gt;0,VLOOKUP($J27,Ruimtegroepen[],3,FALSE)*VLOOKUP($L27,Vloersoorten[],3,FALSE)*VLOOKUP($Y27,Frequenties[],3,FALSE)*VLOOKUP($A23,Locaties[],3,FALSE),0)</f>
        <v>0</v>
      </c>
      <c r="AB27" s="91">
        <f>Ruimtestaat[[#This Row],[Uitvoeringen weekend]]*Ruimtestaat[[#This Row],[Oppervlak (netto)]]</f>
        <v>0</v>
      </c>
      <c r="AC27" s="94">
        <f>IF(AB27&gt;0,Ruimtestaat[[#This Row],[Prest. (m2 /jaar) weekend]]/Ruimtestaat[[#This Row],[Norm (m2/uur) weekend]],0)</f>
        <v>0</v>
      </c>
      <c r="AD27" s="95">
        <f>Ruimtestaat[[#This Row],[uren / jaar weekend]]*Tariefsopbouw!$D$40</f>
        <v>0</v>
      </c>
      <c r="AE27" s="67">
        <f>Ruimtestaat[[#This Row],[Prest. (m2 /jaar) weekend]]+Ruimtestaat[[#This Row],[Prest. (m2 /jaar) werkdagen]]</f>
        <v>5980</v>
      </c>
      <c r="AF27" s="67">
        <f>Ruimtestaat[[#This Row],[uren / jaar weekend]]+Ruimtestaat[[#This Row],[uren / jaar werkdagen]]</f>
        <v>0</v>
      </c>
      <c r="AG27" s="68">
        <f>Ruimtestaat[[#This Row],[kosten / jaar weekend]]+Ruimtestaat[[#This Row],[kosten / jaar werkdagen]]</f>
        <v>0</v>
      </c>
      <c r="AH27" s="96"/>
      <c r="HL27" s="66"/>
    </row>
    <row r="28" spans="1:220" ht="15" customHeight="1">
      <c r="A28" s="114">
        <v>1</v>
      </c>
      <c r="B28" s="24" t="str">
        <f>VLOOKUP(Ruimtestaat[[#This Row],[Code]],Locaties[#All],2,FALSE)</f>
        <v>Hoofdgebouw</v>
      </c>
      <c r="C28" s="24" t="str">
        <f>VLOOKUP(Ruimtestaat[[#This Row],[Code]],Locaties[#All],4,FALSE)</f>
        <v>Rohofstraat 83</v>
      </c>
      <c r="D28" s="24" t="str">
        <f>VLOOKUP(Ruimtestaat[[#This Row],[Code]],Locaties[#All],5,FALSE)</f>
        <v>7605 AT</v>
      </c>
      <c r="E28" s="24" t="str">
        <f>VLOOKUP(Ruimtestaat[[#This Row],[Code]],Locaties[#All],6,FALSE)</f>
        <v>Almelo</v>
      </c>
      <c r="F28" s="61"/>
      <c r="G28" s="24" t="s">
        <v>435</v>
      </c>
      <c r="H28" s="24" t="s">
        <v>471</v>
      </c>
      <c r="I28" s="4" t="s">
        <v>472</v>
      </c>
      <c r="J28" s="24">
        <v>6</v>
      </c>
      <c r="K28" s="61" t="str">
        <f>VLOOKUP(J28,Ruimtegroepen[],2,FALSE)</f>
        <v>Gangen/hallen</v>
      </c>
      <c r="L28" s="24" t="s">
        <v>103</v>
      </c>
      <c r="M28" s="24" t="s">
        <v>38</v>
      </c>
      <c r="N28" s="87">
        <v>6.2</v>
      </c>
      <c r="O28" s="87"/>
      <c r="P28" s="97" t="str">
        <f>LEFT(VLOOKUP(Ruimtestaat[[#This Row],[Ruimte code]],Ruimtegroepen[#All],4,1),2)</f>
        <v>Ve</v>
      </c>
      <c r="Q28" s="87"/>
      <c r="R28" s="88">
        <v>52</v>
      </c>
      <c r="S28" s="88" t="s">
        <v>2</v>
      </c>
      <c r="T28" s="89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8" s="89">
        <f>IF(T28&gt;0,VLOOKUP($J28,Ruimtegroepen[],3,FALSE)*VLOOKUP($L28,Vloersoorten[],3,FALSE)*VLOOKUP($S28,Frequenties[],3,FALSE)*VLOOKUP($A28,Locaties[],3,FALSE),0)</f>
        <v>0</v>
      </c>
      <c r="V28" s="90">
        <f>Ruimtestaat[[#This Row],[Uitvoeringen werkdagen]]*Ruimtestaat[[#This Row],[Oppervlak (netto)]]</f>
        <v>1612</v>
      </c>
      <c r="W28" s="91">
        <f>IF(U28&gt;0,Ruimtestaat[[#This Row],[Prest. (m2 /jaar) werkdagen]]/Ruimtestaat[[#This Row],[Norm (m2/uur) werkdagen]],0)</f>
        <v>0</v>
      </c>
      <c r="X28" s="92">
        <f>Ruimtestaat[[#This Row],[uren / jaar werkdagen]]*Tariefsopbouw!$E$35</f>
        <v>0</v>
      </c>
      <c r="Y28" s="89"/>
      <c r="Z28" s="93">
        <f>IF(Ruimtestaat[[#This Row],[Frequentie weekend]]&gt;0,VALUE(LEFT(Y28,1))*R28,0)</f>
        <v>0</v>
      </c>
      <c r="AA28" s="89">
        <f>IF($Z28&gt;0,VLOOKUP($J28,Ruimtegroepen[],3,FALSE)*VLOOKUP($L28,Vloersoorten[],3,FALSE)*VLOOKUP($Y28,Frequenties[],3,FALSE)*VLOOKUP($A24,Locaties[],3,FALSE),0)</f>
        <v>0</v>
      </c>
      <c r="AB28" s="91">
        <f>Ruimtestaat[[#This Row],[Uitvoeringen weekend]]*Ruimtestaat[[#This Row],[Oppervlak (netto)]]</f>
        <v>0</v>
      </c>
      <c r="AC28" s="94">
        <f>IF(AB28&gt;0,Ruimtestaat[[#This Row],[Prest. (m2 /jaar) weekend]]/Ruimtestaat[[#This Row],[Norm (m2/uur) weekend]],0)</f>
        <v>0</v>
      </c>
      <c r="AD28" s="95">
        <f>Ruimtestaat[[#This Row],[uren / jaar weekend]]*Tariefsopbouw!$D$40</f>
        <v>0</v>
      </c>
      <c r="AE28" s="67">
        <f>Ruimtestaat[[#This Row],[Prest. (m2 /jaar) weekend]]+Ruimtestaat[[#This Row],[Prest. (m2 /jaar) werkdagen]]</f>
        <v>1612</v>
      </c>
      <c r="AF28" s="67">
        <f>Ruimtestaat[[#This Row],[uren / jaar weekend]]+Ruimtestaat[[#This Row],[uren / jaar werkdagen]]</f>
        <v>0</v>
      </c>
      <c r="AG28" s="68">
        <f>Ruimtestaat[[#This Row],[kosten / jaar weekend]]+Ruimtestaat[[#This Row],[kosten / jaar werkdagen]]</f>
        <v>0</v>
      </c>
      <c r="AH28" s="96"/>
      <c r="HL28" s="66"/>
    </row>
    <row r="29" spans="1:220" ht="15" customHeight="1">
      <c r="A29" s="164">
        <v>1</v>
      </c>
      <c r="B29" s="24" t="str">
        <f>VLOOKUP(Ruimtestaat[[#This Row],[Code]],Locaties[#All],2,FALSE)</f>
        <v>Hoofdgebouw</v>
      </c>
      <c r="C29" s="24" t="str">
        <f>VLOOKUP(Ruimtestaat[[#This Row],[Code]],Locaties[#All],4,FALSE)</f>
        <v>Rohofstraat 83</v>
      </c>
      <c r="D29" s="24" t="str">
        <f>VLOOKUP(Ruimtestaat[[#This Row],[Code]],Locaties[#All],5,FALSE)</f>
        <v>7605 AT</v>
      </c>
      <c r="E29" s="24" t="str">
        <f>VLOOKUP(Ruimtestaat[[#This Row],[Code]],Locaties[#All],6,FALSE)</f>
        <v>Almelo</v>
      </c>
      <c r="F29" s="165"/>
      <c r="G29" s="24" t="s">
        <v>435</v>
      </c>
      <c r="H29" s="24" t="s">
        <v>473</v>
      </c>
      <c r="I29" s="61" t="s">
        <v>474</v>
      </c>
      <c r="J29" s="164">
        <v>5</v>
      </c>
      <c r="K29" s="61" t="str">
        <f>VLOOKUP(J29,Ruimtegroepen[],2,FALSE)</f>
        <v>Sanitair</v>
      </c>
      <c r="L29" s="24" t="s">
        <v>105</v>
      </c>
      <c r="M29" s="24" t="s">
        <v>796</v>
      </c>
      <c r="N29" s="166">
        <v>5.6</v>
      </c>
      <c r="O29" s="166"/>
      <c r="P29" s="97" t="str">
        <f>LEFT(VLOOKUP(Ruimtestaat[[#This Row],[Ruimte code]],Ruimtegroepen[#All],4,1),2)</f>
        <v>Sa</v>
      </c>
      <c r="Q29" s="167"/>
      <c r="R29" s="88">
        <v>52</v>
      </c>
      <c r="S29" s="88" t="s">
        <v>2</v>
      </c>
      <c r="T29" s="89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9" s="89">
        <f>IF(T29&gt;0,VLOOKUP($J29,Ruimtegroepen[],3,FALSE)*VLOOKUP($L29,Vloersoorten[],3,FALSE)*VLOOKUP($S29,Frequenties[],3,FALSE)*VLOOKUP($A29,Locaties[],3,FALSE),0)</f>
        <v>0</v>
      </c>
      <c r="V29" s="90">
        <f>Ruimtestaat[[#This Row],[Uitvoeringen werkdagen]]*Ruimtestaat[[#This Row],[Oppervlak (netto)]]</f>
        <v>1456</v>
      </c>
      <c r="W29" s="91">
        <f>IF(U29&gt;0,Ruimtestaat[[#This Row],[Prest. (m2 /jaar) werkdagen]]/Ruimtestaat[[#This Row],[Norm (m2/uur) werkdagen]],0)</f>
        <v>0</v>
      </c>
      <c r="X29" s="92">
        <f>Ruimtestaat[[#This Row],[uren / jaar werkdagen]]*Tariefsopbouw!$E$35</f>
        <v>0</v>
      </c>
      <c r="Y29" s="168"/>
      <c r="Z29" s="93">
        <f>IF(Ruimtestaat[[#This Row],[Frequentie weekend]]&gt;0,VALUE(LEFT(Y29,1))*R29,0)</f>
        <v>0</v>
      </c>
      <c r="AA29" s="89">
        <f>IF($Z29&gt;0,VLOOKUP($J29,Ruimtegroepen[],3,FALSE)*VLOOKUP($L29,Vloersoorten[],3,FALSE)*VLOOKUP($Y29,Frequenties[],3,FALSE)*VLOOKUP($A25,Locaties[],3,FALSE),0)</f>
        <v>0</v>
      </c>
      <c r="AB29" s="91">
        <f>Ruimtestaat[[#This Row],[Uitvoeringen weekend]]*Ruimtestaat[[#This Row],[Oppervlak (netto)]]</f>
        <v>0</v>
      </c>
      <c r="AC29" s="94">
        <f>IF(AB29&gt;0,Ruimtestaat[[#This Row],[Prest. (m2 /jaar) weekend]]/Ruimtestaat[[#This Row],[Norm (m2/uur) weekend]],0)</f>
        <v>0</v>
      </c>
      <c r="AD29" s="95">
        <f>Ruimtestaat[[#This Row],[uren / jaar weekend]]*Tariefsopbouw!$D$40</f>
        <v>0</v>
      </c>
      <c r="AE29" s="67">
        <f>Ruimtestaat[[#This Row],[Prest. (m2 /jaar) weekend]]+Ruimtestaat[[#This Row],[Prest. (m2 /jaar) werkdagen]]</f>
        <v>1456</v>
      </c>
      <c r="AF29" s="67">
        <f>Ruimtestaat[[#This Row],[uren / jaar weekend]]+Ruimtestaat[[#This Row],[uren / jaar werkdagen]]</f>
        <v>0</v>
      </c>
      <c r="AG29" s="68">
        <f>Ruimtestaat[[#This Row],[kosten / jaar weekend]]+Ruimtestaat[[#This Row],[kosten / jaar werkdagen]]</f>
        <v>0</v>
      </c>
      <c r="AH29" s="96"/>
      <c r="HL29" s="66"/>
    </row>
    <row r="30" spans="1:220" ht="15" customHeight="1">
      <c r="A30" s="114">
        <v>1</v>
      </c>
      <c r="B30" s="24" t="str">
        <f>VLOOKUP(Ruimtestaat[[#This Row],[Code]],Locaties[#All],2,FALSE)</f>
        <v>Hoofdgebouw</v>
      </c>
      <c r="C30" s="24" t="str">
        <f>VLOOKUP(Ruimtestaat[[#This Row],[Code]],Locaties[#All],4,FALSE)</f>
        <v>Rohofstraat 83</v>
      </c>
      <c r="D30" s="24" t="str">
        <f>VLOOKUP(Ruimtestaat[[#This Row],[Code]],Locaties[#All],5,FALSE)</f>
        <v>7605 AT</v>
      </c>
      <c r="E30" s="24" t="str">
        <f>VLOOKUP(Ruimtestaat[[#This Row],[Code]],Locaties[#All],6,FALSE)</f>
        <v>Almelo</v>
      </c>
      <c r="F30" s="61"/>
      <c r="G30" s="24" t="s">
        <v>435</v>
      </c>
      <c r="H30" s="24" t="s">
        <v>475</v>
      </c>
      <c r="I30" s="4" t="s">
        <v>474</v>
      </c>
      <c r="J30" s="24">
        <v>5</v>
      </c>
      <c r="K30" s="61" t="str">
        <f>VLOOKUP(J30,Ruimtegroepen[],2,FALSE)</f>
        <v>Sanitair</v>
      </c>
      <c r="L30" s="24" t="s">
        <v>105</v>
      </c>
      <c r="M30" s="24" t="s">
        <v>796</v>
      </c>
      <c r="N30" s="87">
        <v>5.6</v>
      </c>
      <c r="O30" s="87"/>
      <c r="P30" s="97" t="str">
        <f>LEFT(VLOOKUP(Ruimtestaat[[#This Row],[Ruimte code]],Ruimtegroepen[#All],4,1),2)</f>
        <v>Sa</v>
      </c>
      <c r="Q30" s="87"/>
      <c r="R30" s="88">
        <v>52</v>
      </c>
      <c r="S30" s="88" t="s">
        <v>2</v>
      </c>
      <c r="T30" s="89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30" s="89">
        <f>IF(T30&gt;0,VLOOKUP($J30,Ruimtegroepen[],3,FALSE)*VLOOKUP($L30,Vloersoorten[],3,FALSE)*VLOOKUP($S30,Frequenties[],3,FALSE)*VLOOKUP($A30,Locaties[],3,FALSE),0)</f>
        <v>0</v>
      </c>
      <c r="V30" s="90">
        <f>Ruimtestaat[[#This Row],[Uitvoeringen werkdagen]]*Ruimtestaat[[#This Row],[Oppervlak (netto)]]</f>
        <v>1456</v>
      </c>
      <c r="W30" s="91">
        <f>IF(U30&gt;0,Ruimtestaat[[#This Row],[Prest. (m2 /jaar) werkdagen]]/Ruimtestaat[[#This Row],[Norm (m2/uur) werkdagen]],0)</f>
        <v>0</v>
      </c>
      <c r="X30" s="92">
        <f>Ruimtestaat[[#This Row],[uren / jaar werkdagen]]*Tariefsopbouw!$E$35</f>
        <v>0</v>
      </c>
      <c r="Y30" s="89"/>
      <c r="Z30" s="93">
        <f>IF(Ruimtestaat[[#This Row],[Frequentie weekend]]&gt;0,VALUE(LEFT(Y30,1))*R30,0)</f>
        <v>0</v>
      </c>
      <c r="AA30" s="89">
        <f>IF($Z30&gt;0,VLOOKUP($J30,Ruimtegroepen[],3,FALSE)*VLOOKUP($L30,Vloersoorten[],3,FALSE)*VLOOKUP($Y30,Frequenties[],3,FALSE)*VLOOKUP($A25,Locaties[],3,FALSE),0)</f>
        <v>0</v>
      </c>
      <c r="AB30" s="91">
        <f>Ruimtestaat[[#This Row],[Uitvoeringen weekend]]*Ruimtestaat[[#This Row],[Oppervlak (netto)]]</f>
        <v>0</v>
      </c>
      <c r="AC30" s="94">
        <f>IF(AB30&gt;0,Ruimtestaat[[#This Row],[Prest. (m2 /jaar) weekend]]/Ruimtestaat[[#This Row],[Norm (m2/uur) weekend]],0)</f>
        <v>0</v>
      </c>
      <c r="AD30" s="95">
        <f>Ruimtestaat[[#This Row],[uren / jaar weekend]]*Tariefsopbouw!$D$40</f>
        <v>0</v>
      </c>
      <c r="AE30" s="67">
        <f>Ruimtestaat[[#This Row],[Prest. (m2 /jaar) weekend]]+Ruimtestaat[[#This Row],[Prest. (m2 /jaar) werkdagen]]</f>
        <v>1456</v>
      </c>
      <c r="AF30" s="67">
        <f>Ruimtestaat[[#This Row],[uren / jaar weekend]]+Ruimtestaat[[#This Row],[uren / jaar werkdagen]]</f>
        <v>0</v>
      </c>
      <c r="AG30" s="68">
        <f>Ruimtestaat[[#This Row],[kosten / jaar weekend]]+Ruimtestaat[[#This Row],[kosten / jaar werkdagen]]</f>
        <v>0</v>
      </c>
      <c r="AH30" s="96"/>
      <c r="HL30" s="66"/>
    </row>
    <row r="31" spans="1:220" ht="15" customHeight="1">
      <c r="A31" s="114">
        <v>1</v>
      </c>
      <c r="B31" s="24" t="str">
        <f>VLOOKUP(Ruimtestaat[[#This Row],[Code]],Locaties[#All],2,FALSE)</f>
        <v>Hoofdgebouw</v>
      </c>
      <c r="C31" s="24" t="str">
        <f>VLOOKUP(Ruimtestaat[[#This Row],[Code]],Locaties[#All],4,FALSE)</f>
        <v>Rohofstraat 83</v>
      </c>
      <c r="D31" s="24" t="str">
        <f>VLOOKUP(Ruimtestaat[[#This Row],[Code]],Locaties[#All],5,FALSE)</f>
        <v>7605 AT</v>
      </c>
      <c r="E31" s="24" t="str">
        <f>VLOOKUP(Ruimtestaat[[#This Row],[Code]],Locaties[#All],6,FALSE)</f>
        <v>Almelo</v>
      </c>
      <c r="F31" s="61"/>
      <c r="G31" s="24" t="s">
        <v>435</v>
      </c>
      <c r="H31" s="24" t="s">
        <v>476</v>
      </c>
      <c r="I31" s="4" t="s">
        <v>477</v>
      </c>
      <c r="J31" s="24">
        <v>4</v>
      </c>
      <c r="K31" s="61" t="str">
        <f>VLOOKUP(J31,Ruimtegroepen[],2,FALSE)</f>
        <v>Vergader/spreekkamers</v>
      </c>
      <c r="L31" s="24" t="s">
        <v>103</v>
      </c>
      <c r="M31" s="24" t="s">
        <v>38</v>
      </c>
      <c r="N31" s="87">
        <v>16.5</v>
      </c>
      <c r="O31" s="87"/>
      <c r="P31" s="97" t="str">
        <f>LEFT(VLOOKUP(Ruimtestaat[[#This Row],[Ruimte code]],Ruimtegroepen[#All],4,1),2)</f>
        <v>Bu</v>
      </c>
      <c r="Q31" s="87"/>
      <c r="R31" s="88">
        <v>52</v>
      </c>
      <c r="S31" s="88" t="s">
        <v>2</v>
      </c>
      <c r="T31" s="89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31" s="89">
        <f>IF(T31&gt;0,VLOOKUP($J31,Ruimtegroepen[],3,FALSE)*VLOOKUP($L31,Vloersoorten[],3,FALSE)*VLOOKUP($S31,Frequenties[],3,FALSE)*VLOOKUP($A31,Locaties[],3,FALSE),0)</f>
        <v>0</v>
      </c>
      <c r="V31" s="90">
        <f>Ruimtestaat[[#This Row],[Uitvoeringen werkdagen]]*Ruimtestaat[[#This Row],[Oppervlak (netto)]]</f>
        <v>4290</v>
      </c>
      <c r="W31" s="91">
        <f>IF(U31&gt;0,Ruimtestaat[[#This Row],[Prest. (m2 /jaar) werkdagen]]/Ruimtestaat[[#This Row],[Norm (m2/uur) werkdagen]],0)</f>
        <v>0</v>
      </c>
      <c r="X31" s="92">
        <f>Ruimtestaat[[#This Row],[uren / jaar werkdagen]]*Tariefsopbouw!$E$35</f>
        <v>0</v>
      </c>
      <c r="Y31" s="89"/>
      <c r="Z31" s="93">
        <f>IF(Ruimtestaat[[#This Row],[Frequentie weekend]]&gt;0,VALUE(LEFT(Y31,1))*R31,0)</f>
        <v>0</v>
      </c>
      <c r="AA31" s="89">
        <f>IF($Z31&gt;0,VLOOKUP($J31,Ruimtegroepen[],3,FALSE)*VLOOKUP($L31,Vloersoorten[],3,FALSE)*VLOOKUP($Y31,Frequenties[],3,FALSE)*VLOOKUP($A26,Locaties[],3,FALSE),0)</f>
        <v>0</v>
      </c>
      <c r="AB31" s="91">
        <f>Ruimtestaat[[#This Row],[Uitvoeringen weekend]]*Ruimtestaat[[#This Row],[Oppervlak (netto)]]</f>
        <v>0</v>
      </c>
      <c r="AC31" s="94">
        <f>IF(AB31&gt;0,Ruimtestaat[[#This Row],[Prest. (m2 /jaar) weekend]]/Ruimtestaat[[#This Row],[Norm (m2/uur) weekend]],0)</f>
        <v>0</v>
      </c>
      <c r="AD31" s="95">
        <f>Ruimtestaat[[#This Row],[uren / jaar weekend]]*Tariefsopbouw!$D$40</f>
        <v>0</v>
      </c>
      <c r="AE31" s="67">
        <f>Ruimtestaat[[#This Row],[Prest. (m2 /jaar) weekend]]+Ruimtestaat[[#This Row],[Prest. (m2 /jaar) werkdagen]]</f>
        <v>4290</v>
      </c>
      <c r="AF31" s="67">
        <f>Ruimtestaat[[#This Row],[uren / jaar weekend]]+Ruimtestaat[[#This Row],[uren / jaar werkdagen]]</f>
        <v>0</v>
      </c>
      <c r="AG31" s="68">
        <f>Ruimtestaat[[#This Row],[kosten / jaar weekend]]+Ruimtestaat[[#This Row],[kosten / jaar werkdagen]]</f>
        <v>0</v>
      </c>
      <c r="AH31" s="96"/>
      <c r="HL31" s="66"/>
    </row>
    <row r="32" spans="1:220" ht="15" customHeight="1">
      <c r="A32" s="114">
        <v>1</v>
      </c>
      <c r="B32" s="24" t="str">
        <f>VLOOKUP(Ruimtestaat[[#This Row],[Code]],Locaties[#All],2,FALSE)</f>
        <v>Hoofdgebouw</v>
      </c>
      <c r="C32" s="24" t="str">
        <f>VLOOKUP(Ruimtestaat[[#This Row],[Code]],Locaties[#All],4,FALSE)</f>
        <v>Rohofstraat 83</v>
      </c>
      <c r="D32" s="24" t="str">
        <f>VLOOKUP(Ruimtestaat[[#This Row],[Code]],Locaties[#All],5,FALSE)</f>
        <v>7605 AT</v>
      </c>
      <c r="E32" s="24" t="str">
        <f>VLOOKUP(Ruimtestaat[[#This Row],[Code]],Locaties[#All],6,FALSE)</f>
        <v>Almelo</v>
      </c>
      <c r="F32" s="61"/>
      <c r="G32" s="24" t="s">
        <v>435</v>
      </c>
      <c r="H32" s="24" t="s">
        <v>478</v>
      </c>
      <c r="I32" s="4" t="s">
        <v>479</v>
      </c>
      <c r="J32" s="24">
        <v>17</v>
      </c>
      <c r="K32" s="61" t="str">
        <f>VLOOKUP(J32,Ruimtegroepen[],2,FALSE)</f>
        <v>Niet in Onderhoud</v>
      </c>
      <c r="M32" s="24"/>
      <c r="O32" s="87">
        <v>3.6</v>
      </c>
      <c r="P32" s="97" t="str">
        <f>LEFT(VLOOKUP(Ruimtestaat[[#This Row],[Ruimte code]],Ruimtegroepen[#All],4,1),2)</f>
        <v/>
      </c>
      <c r="Q32" s="87"/>
      <c r="R32" s="88"/>
      <c r="S32" s="88"/>
      <c r="T32" s="89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2" s="89">
        <f>IF(T32&gt;0,VLOOKUP($J32,Ruimtegroepen[],3,FALSE)*VLOOKUP($L32,Vloersoorten[],3,FALSE)*VLOOKUP($S32,Frequenties[],3,FALSE)*VLOOKUP($A32,Locaties[],3,FALSE),0)</f>
        <v>0</v>
      </c>
      <c r="V32" s="90">
        <f>Ruimtestaat[[#This Row],[Uitvoeringen werkdagen]]*Ruimtestaat[[#This Row],[Oppervlak (netto)]]</f>
        <v>0</v>
      </c>
      <c r="W32" s="91">
        <f>IF(U32&gt;0,Ruimtestaat[[#This Row],[Prest. (m2 /jaar) werkdagen]]/Ruimtestaat[[#This Row],[Norm (m2/uur) werkdagen]],0)</f>
        <v>0</v>
      </c>
      <c r="X32" s="92">
        <f>Ruimtestaat[[#This Row],[uren / jaar werkdagen]]*Tariefsopbouw!$E$35</f>
        <v>0</v>
      </c>
      <c r="Y32" s="89"/>
      <c r="Z32" s="93">
        <f>IF(Ruimtestaat[[#This Row],[Frequentie weekend]]&gt;0,VALUE(LEFT(Y32,1))*R32,0)</f>
        <v>0</v>
      </c>
      <c r="AA32" s="89">
        <f>IF($Z32&gt;0,VLOOKUP($J32,Ruimtegroepen[],3,FALSE)*VLOOKUP($L32,Vloersoorten[],3,FALSE)*VLOOKUP($Y32,Frequenties[],3,FALSE)*VLOOKUP($A27,Locaties[],3,FALSE),0)</f>
        <v>0</v>
      </c>
      <c r="AB32" s="91">
        <f>Ruimtestaat[[#This Row],[Uitvoeringen weekend]]*Ruimtestaat[[#This Row],[Oppervlak (netto)]]</f>
        <v>0</v>
      </c>
      <c r="AC32" s="94">
        <f>IF(AB32&gt;0,Ruimtestaat[[#This Row],[Prest. (m2 /jaar) weekend]]/Ruimtestaat[[#This Row],[Norm (m2/uur) weekend]],0)</f>
        <v>0</v>
      </c>
      <c r="AD32" s="95">
        <f>Ruimtestaat[[#This Row],[uren / jaar weekend]]*Tariefsopbouw!$D$40</f>
        <v>0</v>
      </c>
      <c r="AE32" s="67">
        <f>Ruimtestaat[[#This Row],[Prest. (m2 /jaar) weekend]]+Ruimtestaat[[#This Row],[Prest. (m2 /jaar) werkdagen]]</f>
        <v>0</v>
      </c>
      <c r="AF32" s="67">
        <f>Ruimtestaat[[#This Row],[uren / jaar weekend]]+Ruimtestaat[[#This Row],[uren / jaar werkdagen]]</f>
        <v>0</v>
      </c>
      <c r="AG32" s="68">
        <f>Ruimtestaat[[#This Row],[kosten / jaar weekend]]+Ruimtestaat[[#This Row],[kosten / jaar werkdagen]]</f>
        <v>0</v>
      </c>
      <c r="AH32" s="96"/>
      <c r="HL32" s="66"/>
    </row>
    <row r="33" spans="1:220" ht="15" customHeight="1">
      <c r="A33" s="114">
        <v>1</v>
      </c>
      <c r="B33" s="24" t="str">
        <f>VLOOKUP(Ruimtestaat[[#This Row],[Code]],Locaties[#All],2,FALSE)</f>
        <v>Hoofdgebouw</v>
      </c>
      <c r="C33" s="24" t="str">
        <f>VLOOKUP(Ruimtestaat[[#This Row],[Code]],Locaties[#All],4,FALSE)</f>
        <v>Rohofstraat 83</v>
      </c>
      <c r="D33" s="24" t="str">
        <f>VLOOKUP(Ruimtestaat[[#This Row],[Code]],Locaties[#All],5,FALSE)</f>
        <v>7605 AT</v>
      </c>
      <c r="E33" s="24" t="str">
        <f>VLOOKUP(Ruimtestaat[[#This Row],[Code]],Locaties[#All],6,FALSE)</f>
        <v>Almelo</v>
      </c>
      <c r="F33" s="61"/>
      <c r="G33" s="24" t="s">
        <v>435</v>
      </c>
      <c r="H33" s="24" t="s">
        <v>480</v>
      </c>
      <c r="I33" s="4" t="s">
        <v>481</v>
      </c>
      <c r="J33" s="24">
        <v>17</v>
      </c>
      <c r="K33" s="61" t="str">
        <f>VLOOKUP(J33,Ruimtegroepen[],2,FALSE)</f>
        <v>Niet in Onderhoud</v>
      </c>
      <c r="M33" s="24"/>
      <c r="N33" s="87"/>
      <c r="O33" s="87">
        <v>0.7</v>
      </c>
      <c r="P33" s="97" t="str">
        <f>LEFT(VLOOKUP(Ruimtestaat[[#This Row],[Ruimte code]],Ruimtegroepen[#All],4,1),2)</f>
        <v/>
      </c>
      <c r="Q33" s="87"/>
      <c r="R33" s="88"/>
      <c r="S33" s="88"/>
      <c r="T33" s="89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3" s="89">
        <f>IF(T33&gt;0,VLOOKUP($J33,Ruimtegroepen[],3,FALSE)*VLOOKUP($L33,Vloersoorten[],3,FALSE)*VLOOKUP($S33,Frequenties[],3,FALSE)*VLOOKUP($A33,Locaties[],3,FALSE),0)</f>
        <v>0</v>
      </c>
      <c r="V33" s="90">
        <f>Ruimtestaat[[#This Row],[Uitvoeringen werkdagen]]*Ruimtestaat[[#This Row],[Oppervlak (netto)]]</f>
        <v>0</v>
      </c>
      <c r="W33" s="91">
        <f>IF(U33&gt;0,Ruimtestaat[[#This Row],[Prest. (m2 /jaar) werkdagen]]/Ruimtestaat[[#This Row],[Norm (m2/uur) werkdagen]],0)</f>
        <v>0</v>
      </c>
      <c r="X33" s="92">
        <f>Ruimtestaat[[#This Row],[uren / jaar werkdagen]]*Tariefsopbouw!$E$35</f>
        <v>0</v>
      </c>
      <c r="Y33" s="89"/>
      <c r="Z33" s="93">
        <f>IF(Ruimtestaat[[#This Row],[Frequentie weekend]]&gt;0,VALUE(LEFT(Y33,1))*R33,0)</f>
        <v>0</v>
      </c>
      <c r="AA33" s="89">
        <f>IF($Z33&gt;0,VLOOKUP($J33,Ruimtegroepen[],3,FALSE)*VLOOKUP($L33,Vloersoorten[],3,FALSE)*VLOOKUP($Y33,Frequenties[],3,FALSE)*VLOOKUP($A28,Locaties[],3,FALSE),0)</f>
        <v>0</v>
      </c>
      <c r="AB33" s="91">
        <f>Ruimtestaat[[#This Row],[Uitvoeringen weekend]]*Ruimtestaat[[#This Row],[Oppervlak (netto)]]</f>
        <v>0</v>
      </c>
      <c r="AC33" s="94">
        <f>IF(AB33&gt;0,Ruimtestaat[[#This Row],[Prest. (m2 /jaar) weekend]]/Ruimtestaat[[#This Row],[Norm (m2/uur) weekend]],0)</f>
        <v>0</v>
      </c>
      <c r="AD33" s="95">
        <f>Ruimtestaat[[#This Row],[uren / jaar weekend]]*Tariefsopbouw!$D$40</f>
        <v>0</v>
      </c>
      <c r="AE33" s="67">
        <f>Ruimtestaat[[#This Row],[Prest. (m2 /jaar) weekend]]+Ruimtestaat[[#This Row],[Prest. (m2 /jaar) werkdagen]]</f>
        <v>0</v>
      </c>
      <c r="AF33" s="67">
        <f>Ruimtestaat[[#This Row],[uren / jaar weekend]]+Ruimtestaat[[#This Row],[uren / jaar werkdagen]]</f>
        <v>0</v>
      </c>
      <c r="AG33" s="68">
        <f>Ruimtestaat[[#This Row],[kosten / jaar weekend]]+Ruimtestaat[[#This Row],[kosten / jaar werkdagen]]</f>
        <v>0</v>
      </c>
      <c r="AH33" s="96"/>
      <c r="HL33" s="66"/>
    </row>
    <row r="34" spans="1:220" ht="15" customHeight="1">
      <c r="A34" s="114">
        <v>1</v>
      </c>
      <c r="B34" s="24" t="str">
        <f>VLOOKUP(Ruimtestaat[[#This Row],[Code]],Locaties[#All],2,FALSE)</f>
        <v>Hoofdgebouw</v>
      </c>
      <c r="C34" s="24" t="str">
        <f>VLOOKUP(Ruimtestaat[[#This Row],[Code]],Locaties[#All],4,FALSE)</f>
        <v>Rohofstraat 83</v>
      </c>
      <c r="D34" s="24" t="str">
        <f>VLOOKUP(Ruimtestaat[[#This Row],[Code]],Locaties[#All],5,FALSE)</f>
        <v>7605 AT</v>
      </c>
      <c r="E34" s="24" t="str">
        <f>VLOOKUP(Ruimtestaat[[#This Row],[Code]],Locaties[#All],6,FALSE)</f>
        <v>Almelo</v>
      </c>
      <c r="F34" s="61"/>
      <c r="G34" s="24" t="s">
        <v>435</v>
      </c>
      <c r="H34" s="24" t="s">
        <v>482</v>
      </c>
      <c r="I34" s="4" t="s">
        <v>483</v>
      </c>
      <c r="J34" s="24">
        <v>10</v>
      </c>
      <c r="K34" s="61" t="str">
        <f>VLOOKUP(J34,Ruimtegroepen[],2,FALSE)</f>
        <v>Trappenhuizen/lift</v>
      </c>
      <c r="L34" s="24" t="s">
        <v>106</v>
      </c>
      <c r="M34" s="24" t="s">
        <v>126</v>
      </c>
      <c r="N34" s="98">
        <v>8.5</v>
      </c>
      <c r="O34" s="87"/>
      <c r="P34" s="97" t="str">
        <f>LEFT(VLOOKUP(Ruimtestaat[[#This Row],[Ruimte code]],Ruimtegroepen[#All],4,1),2)</f>
        <v>Ve</v>
      </c>
      <c r="Q34" s="87"/>
      <c r="R34" s="88">
        <v>52</v>
      </c>
      <c r="S34" s="88" t="s">
        <v>2</v>
      </c>
      <c r="T34" s="89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34" s="89">
        <f>IF(T34&gt;0,VLOOKUP($J34,Ruimtegroepen[],3,FALSE)*VLOOKUP($L34,Vloersoorten[],3,FALSE)*VLOOKUP($S34,Frequenties[],3,FALSE)*VLOOKUP($A34,Locaties[],3,FALSE),0)</f>
        <v>0</v>
      </c>
      <c r="V34" s="90">
        <f>Ruimtestaat[[#This Row],[Uitvoeringen werkdagen]]*Ruimtestaat[[#This Row],[Oppervlak (netto)]]</f>
        <v>2210</v>
      </c>
      <c r="W34" s="91">
        <f>IF(U34&gt;0,Ruimtestaat[[#This Row],[Prest. (m2 /jaar) werkdagen]]/Ruimtestaat[[#This Row],[Norm (m2/uur) werkdagen]],0)</f>
        <v>0</v>
      </c>
      <c r="X34" s="92">
        <f>Ruimtestaat[[#This Row],[uren / jaar werkdagen]]*Tariefsopbouw!$E$35</f>
        <v>0</v>
      </c>
      <c r="Y34" s="89"/>
      <c r="Z34" s="93">
        <f>IF(Ruimtestaat[[#This Row],[Frequentie weekend]]&gt;0,VALUE(LEFT(Y34,1))*R34,0)</f>
        <v>0</v>
      </c>
      <c r="AA34" s="89">
        <f>IF($Z34&gt;0,VLOOKUP($J34,Ruimtegroepen[],3,FALSE)*VLOOKUP($L34,Vloersoorten[],3,FALSE)*VLOOKUP($Y34,Frequenties[],3,FALSE)*VLOOKUP($A30,Locaties[],3,FALSE),0)</f>
        <v>0</v>
      </c>
      <c r="AB34" s="91">
        <f>Ruimtestaat[[#This Row],[Uitvoeringen weekend]]*Ruimtestaat[[#This Row],[Oppervlak (netto)]]</f>
        <v>0</v>
      </c>
      <c r="AC34" s="94">
        <f>IF(AB34&gt;0,Ruimtestaat[[#This Row],[Prest. (m2 /jaar) weekend]]/Ruimtestaat[[#This Row],[Norm (m2/uur) weekend]],0)</f>
        <v>0</v>
      </c>
      <c r="AD34" s="95">
        <f>Ruimtestaat[[#This Row],[uren / jaar weekend]]*Tariefsopbouw!$D$40</f>
        <v>0</v>
      </c>
      <c r="AE34" s="67">
        <f>Ruimtestaat[[#This Row],[Prest. (m2 /jaar) weekend]]+Ruimtestaat[[#This Row],[Prest. (m2 /jaar) werkdagen]]</f>
        <v>2210</v>
      </c>
      <c r="AF34" s="67">
        <f>Ruimtestaat[[#This Row],[uren / jaar weekend]]+Ruimtestaat[[#This Row],[uren / jaar werkdagen]]</f>
        <v>0</v>
      </c>
      <c r="AG34" s="68">
        <f>Ruimtestaat[[#This Row],[kosten / jaar weekend]]+Ruimtestaat[[#This Row],[kosten / jaar werkdagen]]</f>
        <v>0</v>
      </c>
      <c r="AH34" s="96"/>
      <c r="HL34" s="66"/>
    </row>
    <row r="35" spans="1:220" ht="15" customHeight="1">
      <c r="A35" s="114">
        <v>1</v>
      </c>
      <c r="B35" s="24" t="str">
        <f>VLOOKUP(Ruimtestaat[[#This Row],[Code]],Locaties[#All],2,FALSE)</f>
        <v>Hoofdgebouw</v>
      </c>
      <c r="C35" s="24" t="str">
        <f>VLOOKUP(Ruimtestaat[[#This Row],[Code]],Locaties[#All],4,FALSE)</f>
        <v>Rohofstraat 83</v>
      </c>
      <c r="D35" s="24" t="str">
        <f>VLOOKUP(Ruimtestaat[[#This Row],[Code]],Locaties[#All],5,FALSE)</f>
        <v>7605 AT</v>
      </c>
      <c r="E35" s="24" t="str">
        <f>VLOOKUP(Ruimtestaat[[#This Row],[Code]],Locaties[#All],6,FALSE)</f>
        <v>Almelo</v>
      </c>
      <c r="F35" s="61"/>
      <c r="G35" s="24" t="s">
        <v>435</v>
      </c>
      <c r="H35" s="24" t="s">
        <v>484</v>
      </c>
      <c r="I35" s="4" t="s">
        <v>472</v>
      </c>
      <c r="J35" s="24">
        <v>6</v>
      </c>
      <c r="K35" s="61" t="str">
        <f>VLOOKUP(J35,Ruimtegroepen[],2,FALSE)</f>
        <v>Gangen/hallen</v>
      </c>
      <c r="L35" s="24" t="s">
        <v>103</v>
      </c>
      <c r="M35" s="24" t="s">
        <v>38</v>
      </c>
      <c r="N35" s="87">
        <v>52.9</v>
      </c>
      <c r="O35" s="87"/>
      <c r="P35" s="97" t="str">
        <f>LEFT(VLOOKUP(Ruimtestaat[[#This Row],[Ruimte code]],Ruimtegroepen[#All],4,1),2)</f>
        <v>Ve</v>
      </c>
      <c r="Q35" s="87"/>
      <c r="R35" s="88">
        <v>52</v>
      </c>
      <c r="S35" s="88" t="s">
        <v>2</v>
      </c>
      <c r="T35" s="89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35" s="89">
        <f>IF(T35&gt;0,VLOOKUP($J35,Ruimtegroepen[],3,FALSE)*VLOOKUP($L35,Vloersoorten[],3,FALSE)*VLOOKUP($S35,Frequenties[],3,FALSE)*VLOOKUP($A35,Locaties[],3,FALSE),0)</f>
        <v>0</v>
      </c>
      <c r="V35" s="90">
        <f>Ruimtestaat[[#This Row],[Uitvoeringen werkdagen]]*Ruimtestaat[[#This Row],[Oppervlak (netto)]]</f>
        <v>13754</v>
      </c>
      <c r="W35" s="91">
        <f>IF(U35&gt;0,Ruimtestaat[[#This Row],[Prest. (m2 /jaar) werkdagen]]/Ruimtestaat[[#This Row],[Norm (m2/uur) werkdagen]],0)</f>
        <v>0</v>
      </c>
      <c r="X35" s="92">
        <f>Ruimtestaat[[#This Row],[uren / jaar werkdagen]]*Tariefsopbouw!$E$35</f>
        <v>0</v>
      </c>
      <c r="Y35" s="89"/>
      <c r="Z35" s="93">
        <f>IF(Ruimtestaat[[#This Row],[Frequentie weekend]]&gt;0,VALUE(LEFT(Y35,1))*R35,0)</f>
        <v>0</v>
      </c>
      <c r="AA35" s="89">
        <f>IF($Z35&gt;0,VLOOKUP($J35,Ruimtegroepen[],3,FALSE)*VLOOKUP($L35,Vloersoorten[],3,FALSE)*VLOOKUP($Y35,Frequenties[],3,FALSE)*VLOOKUP($A31,Locaties[],3,FALSE),0)</f>
        <v>0</v>
      </c>
      <c r="AB35" s="91">
        <f>Ruimtestaat[[#This Row],[Uitvoeringen weekend]]*Ruimtestaat[[#This Row],[Oppervlak (netto)]]</f>
        <v>0</v>
      </c>
      <c r="AC35" s="94">
        <f>IF(AB35&gt;0,Ruimtestaat[[#This Row],[Prest. (m2 /jaar) weekend]]/Ruimtestaat[[#This Row],[Norm (m2/uur) weekend]],0)</f>
        <v>0</v>
      </c>
      <c r="AD35" s="95">
        <f>Ruimtestaat[[#This Row],[uren / jaar weekend]]*Tariefsopbouw!$D$40</f>
        <v>0</v>
      </c>
      <c r="AE35" s="67">
        <f>Ruimtestaat[[#This Row],[Prest. (m2 /jaar) weekend]]+Ruimtestaat[[#This Row],[Prest. (m2 /jaar) werkdagen]]</f>
        <v>13754</v>
      </c>
      <c r="AF35" s="67">
        <f>Ruimtestaat[[#This Row],[uren / jaar weekend]]+Ruimtestaat[[#This Row],[uren / jaar werkdagen]]</f>
        <v>0</v>
      </c>
      <c r="AG35" s="68">
        <f>Ruimtestaat[[#This Row],[kosten / jaar weekend]]+Ruimtestaat[[#This Row],[kosten / jaar werkdagen]]</f>
        <v>0</v>
      </c>
      <c r="AH35" s="96"/>
      <c r="HL35" s="66"/>
    </row>
    <row r="36" spans="1:220" ht="15" customHeight="1">
      <c r="A36" s="114">
        <v>1</v>
      </c>
      <c r="B36" s="24" t="str">
        <f>VLOOKUP(Ruimtestaat[[#This Row],[Code]],Locaties[#All],2,FALSE)</f>
        <v>Hoofdgebouw</v>
      </c>
      <c r="C36" s="24" t="str">
        <f>VLOOKUP(Ruimtestaat[[#This Row],[Code]],Locaties[#All],4,FALSE)</f>
        <v>Rohofstraat 83</v>
      </c>
      <c r="D36" s="24" t="str">
        <f>VLOOKUP(Ruimtestaat[[#This Row],[Code]],Locaties[#All],5,FALSE)</f>
        <v>7605 AT</v>
      </c>
      <c r="E36" s="24" t="str">
        <f>VLOOKUP(Ruimtestaat[[#This Row],[Code]],Locaties[#All],6,FALSE)</f>
        <v>Almelo</v>
      </c>
      <c r="F36" s="61"/>
      <c r="G36" s="24" t="s">
        <v>435</v>
      </c>
      <c r="H36" s="24" t="s">
        <v>485</v>
      </c>
      <c r="I36" s="4" t="s">
        <v>486</v>
      </c>
      <c r="J36" s="24">
        <v>9</v>
      </c>
      <c r="K36" s="61" t="str">
        <f>VLOOKUP(J36,Ruimtegroepen[],2,FALSE)</f>
        <v>Kantoortuin</v>
      </c>
      <c r="L36" s="24" t="s">
        <v>103</v>
      </c>
      <c r="M36" s="24" t="s">
        <v>38</v>
      </c>
      <c r="N36" s="87">
        <v>104.8</v>
      </c>
      <c r="O36" s="87"/>
      <c r="P36" s="97" t="str">
        <f>LEFT(VLOOKUP(Ruimtestaat[[#This Row],[Ruimte code]],Ruimtegroepen[#All],4,1),2)</f>
        <v>Bu</v>
      </c>
      <c r="Q36" s="87"/>
      <c r="R36" s="88">
        <v>52</v>
      </c>
      <c r="S36" s="88" t="s">
        <v>2</v>
      </c>
      <c r="T36" s="89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36" s="89">
        <f>IF(T36&gt;0,VLOOKUP($J36,Ruimtegroepen[],3,FALSE)*VLOOKUP($L36,Vloersoorten[],3,FALSE)*VLOOKUP($S36,Frequenties[],3,FALSE)*VLOOKUP($A36,Locaties[],3,FALSE),0)</f>
        <v>0</v>
      </c>
      <c r="V36" s="90">
        <f>Ruimtestaat[[#This Row],[Uitvoeringen werkdagen]]*Ruimtestaat[[#This Row],[Oppervlak (netto)]]</f>
        <v>27248</v>
      </c>
      <c r="W36" s="91">
        <f>IF(U36&gt;0,Ruimtestaat[[#This Row],[Prest. (m2 /jaar) werkdagen]]/Ruimtestaat[[#This Row],[Norm (m2/uur) werkdagen]],0)</f>
        <v>0</v>
      </c>
      <c r="X36" s="92">
        <f>Ruimtestaat[[#This Row],[uren / jaar werkdagen]]*Tariefsopbouw!$E$35</f>
        <v>0</v>
      </c>
      <c r="Y36" s="89"/>
      <c r="Z36" s="93">
        <f>IF(Ruimtestaat[[#This Row],[Frequentie weekend]]&gt;0,VALUE(LEFT(Y36,1))*R36,0)</f>
        <v>0</v>
      </c>
      <c r="AA36" s="89">
        <f>IF($Z36&gt;0,VLOOKUP($J36,Ruimtegroepen[],3,FALSE)*VLOOKUP($L36,Vloersoorten[],3,FALSE)*VLOOKUP($Y36,Frequenties[],3,FALSE)*VLOOKUP($A32,Locaties[],3,FALSE),0)</f>
        <v>0</v>
      </c>
      <c r="AB36" s="91">
        <f>Ruimtestaat[[#This Row],[Uitvoeringen weekend]]*Ruimtestaat[[#This Row],[Oppervlak (netto)]]</f>
        <v>0</v>
      </c>
      <c r="AC36" s="94">
        <f>IF(AB36&gt;0,Ruimtestaat[[#This Row],[Prest. (m2 /jaar) weekend]]/Ruimtestaat[[#This Row],[Norm (m2/uur) weekend]],0)</f>
        <v>0</v>
      </c>
      <c r="AD36" s="95">
        <f>Ruimtestaat[[#This Row],[uren / jaar weekend]]*Tariefsopbouw!$D$40</f>
        <v>0</v>
      </c>
      <c r="AE36" s="67">
        <f>Ruimtestaat[[#This Row],[Prest. (m2 /jaar) weekend]]+Ruimtestaat[[#This Row],[Prest. (m2 /jaar) werkdagen]]</f>
        <v>27248</v>
      </c>
      <c r="AF36" s="67">
        <f>Ruimtestaat[[#This Row],[uren / jaar weekend]]+Ruimtestaat[[#This Row],[uren / jaar werkdagen]]</f>
        <v>0</v>
      </c>
      <c r="AG36" s="68">
        <f>Ruimtestaat[[#This Row],[kosten / jaar weekend]]+Ruimtestaat[[#This Row],[kosten / jaar werkdagen]]</f>
        <v>0</v>
      </c>
      <c r="AH36" s="96"/>
      <c r="HL36" s="66"/>
    </row>
    <row r="37" spans="1:220" ht="15" customHeight="1">
      <c r="A37" s="114">
        <v>1</v>
      </c>
      <c r="B37" s="24" t="str">
        <f>VLOOKUP(Ruimtestaat[[#This Row],[Code]],Locaties[#All],2,FALSE)</f>
        <v>Hoofdgebouw</v>
      </c>
      <c r="C37" s="24" t="str">
        <f>VLOOKUP(Ruimtestaat[[#This Row],[Code]],Locaties[#All],4,FALSE)</f>
        <v>Rohofstraat 83</v>
      </c>
      <c r="D37" s="24" t="str">
        <f>VLOOKUP(Ruimtestaat[[#This Row],[Code]],Locaties[#All],5,FALSE)</f>
        <v>7605 AT</v>
      </c>
      <c r="E37" s="24" t="str">
        <f>VLOOKUP(Ruimtestaat[[#This Row],[Code]],Locaties[#All],6,FALSE)</f>
        <v>Almelo</v>
      </c>
      <c r="F37" s="61"/>
      <c r="G37" s="24" t="s">
        <v>435</v>
      </c>
      <c r="H37" s="24" t="s">
        <v>487</v>
      </c>
      <c r="I37" s="4" t="s">
        <v>488</v>
      </c>
      <c r="J37" s="24">
        <v>8</v>
      </c>
      <c r="K37" s="61" t="str">
        <f>VLOOKUP(J37,Ruimtegroepen[],2,FALSE)</f>
        <v>Woonkamer/aanland</v>
      </c>
      <c r="L37" s="24" t="s">
        <v>103</v>
      </c>
      <c r="M37" s="24" t="s">
        <v>38</v>
      </c>
      <c r="N37" s="87">
        <v>52.6</v>
      </c>
      <c r="O37" s="87"/>
      <c r="P37" s="97" t="str">
        <f>LEFT(VLOOKUP(Ruimtestaat[[#This Row],[Ruimte code]],Ruimtegroepen[#All],4,1),2)</f>
        <v>Ve</v>
      </c>
      <c r="Q37" s="87"/>
      <c r="R37" s="88">
        <v>52</v>
      </c>
      <c r="S37" s="88" t="s">
        <v>2</v>
      </c>
      <c r="T37" s="89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37" s="89">
        <f>IF(T37&gt;0,VLOOKUP($J37,Ruimtegroepen[],3,FALSE)*VLOOKUP($L37,Vloersoorten[],3,FALSE)*VLOOKUP($S37,Frequenties[],3,FALSE)*VLOOKUP($A37,Locaties[],3,FALSE),0)</f>
        <v>0</v>
      </c>
      <c r="V37" s="90">
        <f>Ruimtestaat[[#This Row],[Uitvoeringen werkdagen]]*Ruimtestaat[[#This Row],[Oppervlak (netto)]]</f>
        <v>13676</v>
      </c>
      <c r="W37" s="91">
        <f>IF(U37&gt;0,Ruimtestaat[[#This Row],[Prest. (m2 /jaar) werkdagen]]/Ruimtestaat[[#This Row],[Norm (m2/uur) werkdagen]],0)</f>
        <v>0</v>
      </c>
      <c r="X37" s="92">
        <f>Ruimtestaat[[#This Row],[uren / jaar werkdagen]]*Tariefsopbouw!$E$35</f>
        <v>0</v>
      </c>
      <c r="Y37" s="89"/>
      <c r="Z37" s="93">
        <f>IF(Ruimtestaat[[#This Row],[Frequentie weekend]]&gt;0,VALUE(LEFT(Y37,1))*R37,0)</f>
        <v>0</v>
      </c>
      <c r="AA37" s="89">
        <f>IF($Z37&gt;0,VLOOKUP($J37,Ruimtegroepen[],3,FALSE)*VLOOKUP($L37,Vloersoorten[],3,FALSE)*VLOOKUP($Y37,Frequenties[],3,FALSE)*VLOOKUP($A33,Locaties[],3,FALSE),0)</f>
        <v>0</v>
      </c>
      <c r="AB37" s="91">
        <f>Ruimtestaat[[#This Row],[Uitvoeringen weekend]]*Ruimtestaat[[#This Row],[Oppervlak (netto)]]</f>
        <v>0</v>
      </c>
      <c r="AC37" s="94">
        <f>IF(AB37&gt;0,Ruimtestaat[[#This Row],[Prest. (m2 /jaar) weekend]]/Ruimtestaat[[#This Row],[Norm (m2/uur) weekend]],0)</f>
        <v>0</v>
      </c>
      <c r="AD37" s="95">
        <f>Ruimtestaat[[#This Row],[uren / jaar weekend]]*Tariefsopbouw!$D$40</f>
        <v>0</v>
      </c>
      <c r="AE37" s="67">
        <f>Ruimtestaat[[#This Row],[Prest. (m2 /jaar) weekend]]+Ruimtestaat[[#This Row],[Prest. (m2 /jaar) werkdagen]]</f>
        <v>13676</v>
      </c>
      <c r="AF37" s="67">
        <f>Ruimtestaat[[#This Row],[uren / jaar weekend]]+Ruimtestaat[[#This Row],[uren / jaar werkdagen]]</f>
        <v>0</v>
      </c>
      <c r="AG37" s="68">
        <f>Ruimtestaat[[#This Row],[kosten / jaar weekend]]+Ruimtestaat[[#This Row],[kosten / jaar werkdagen]]</f>
        <v>0</v>
      </c>
      <c r="AH37" s="96"/>
      <c r="HL37" s="66"/>
    </row>
    <row r="38" spans="1:220" ht="15" customHeight="1">
      <c r="A38" s="114">
        <v>1</v>
      </c>
      <c r="B38" s="24" t="str">
        <f>VLOOKUP(Ruimtestaat[[#This Row],[Code]],Locaties[#All],2,FALSE)</f>
        <v>Hoofdgebouw</v>
      </c>
      <c r="C38" s="24" t="str">
        <f>VLOOKUP(Ruimtestaat[[#This Row],[Code]],Locaties[#All],4,FALSE)</f>
        <v>Rohofstraat 83</v>
      </c>
      <c r="D38" s="24" t="str">
        <f>VLOOKUP(Ruimtestaat[[#This Row],[Code]],Locaties[#All],5,FALSE)</f>
        <v>7605 AT</v>
      </c>
      <c r="E38" s="24" t="str">
        <f>VLOOKUP(Ruimtestaat[[#This Row],[Code]],Locaties[#All],6,FALSE)</f>
        <v>Almelo</v>
      </c>
      <c r="F38" s="61"/>
      <c r="G38" s="24" t="s">
        <v>435</v>
      </c>
      <c r="H38" s="24" t="s">
        <v>489</v>
      </c>
      <c r="I38" s="4" t="s">
        <v>472</v>
      </c>
      <c r="J38" s="24">
        <v>6</v>
      </c>
      <c r="K38" s="61" t="str">
        <f>VLOOKUP(J38,Ruimtegroepen[],2,FALSE)</f>
        <v>Gangen/hallen</v>
      </c>
      <c r="L38" s="24" t="s">
        <v>103</v>
      </c>
      <c r="M38" s="24" t="s">
        <v>38</v>
      </c>
      <c r="N38" s="98">
        <v>29</v>
      </c>
      <c r="O38" s="87"/>
      <c r="P38" s="97" t="str">
        <f>LEFT(VLOOKUP(Ruimtestaat[[#This Row],[Ruimte code]],Ruimtegroepen[#All],4,1),2)</f>
        <v>Ve</v>
      </c>
      <c r="Q38" s="87"/>
      <c r="R38" s="88">
        <v>52</v>
      </c>
      <c r="S38" s="88" t="s">
        <v>2</v>
      </c>
      <c r="T38" s="89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38" s="89">
        <f>IF(T38&gt;0,VLOOKUP($J38,Ruimtegroepen[],3,FALSE)*VLOOKUP($L38,Vloersoorten[],3,FALSE)*VLOOKUP($S38,Frequenties[],3,FALSE)*VLOOKUP($A38,Locaties[],3,FALSE),0)</f>
        <v>0</v>
      </c>
      <c r="V38" s="90">
        <f>Ruimtestaat[[#This Row],[Uitvoeringen werkdagen]]*Ruimtestaat[[#This Row],[Oppervlak (netto)]]</f>
        <v>7540</v>
      </c>
      <c r="W38" s="91">
        <f>IF(U38&gt;0,Ruimtestaat[[#This Row],[Prest. (m2 /jaar) werkdagen]]/Ruimtestaat[[#This Row],[Norm (m2/uur) werkdagen]],0)</f>
        <v>0</v>
      </c>
      <c r="X38" s="92">
        <f>Ruimtestaat[[#This Row],[uren / jaar werkdagen]]*Tariefsopbouw!$E$35</f>
        <v>0</v>
      </c>
      <c r="Y38" s="89"/>
      <c r="Z38" s="93">
        <f>IF(Ruimtestaat[[#This Row],[Frequentie weekend]]&gt;0,VALUE(LEFT(Y38,1))*R38,0)</f>
        <v>0</v>
      </c>
      <c r="AA38" s="89">
        <f>IF($Z38&gt;0,VLOOKUP($J38,Ruimtegroepen[],3,FALSE)*VLOOKUP($L38,Vloersoorten[],3,FALSE)*VLOOKUP($Y38,Frequenties[],3,FALSE)*VLOOKUP($A34,Locaties[],3,FALSE),0)</f>
        <v>0</v>
      </c>
      <c r="AB38" s="91">
        <f>Ruimtestaat[[#This Row],[Uitvoeringen weekend]]*Ruimtestaat[[#This Row],[Oppervlak (netto)]]</f>
        <v>0</v>
      </c>
      <c r="AC38" s="94">
        <f>IF(AB38&gt;0,Ruimtestaat[[#This Row],[Prest. (m2 /jaar) weekend]]/Ruimtestaat[[#This Row],[Norm (m2/uur) weekend]],0)</f>
        <v>0</v>
      </c>
      <c r="AD38" s="95">
        <f>Ruimtestaat[[#This Row],[uren / jaar weekend]]*Tariefsopbouw!$D$40</f>
        <v>0</v>
      </c>
      <c r="AE38" s="67">
        <f>Ruimtestaat[[#This Row],[Prest. (m2 /jaar) weekend]]+Ruimtestaat[[#This Row],[Prest. (m2 /jaar) werkdagen]]</f>
        <v>7540</v>
      </c>
      <c r="AF38" s="67">
        <f>Ruimtestaat[[#This Row],[uren / jaar weekend]]+Ruimtestaat[[#This Row],[uren / jaar werkdagen]]</f>
        <v>0</v>
      </c>
      <c r="AG38" s="68">
        <f>Ruimtestaat[[#This Row],[kosten / jaar weekend]]+Ruimtestaat[[#This Row],[kosten / jaar werkdagen]]</f>
        <v>0</v>
      </c>
      <c r="AH38" s="96"/>
      <c r="HL38" s="66"/>
    </row>
    <row r="39" spans="1:220" ht="15" customHeight="1">
      <c r="A39" s="114">
        <v>1</v>
      </c>
      <c r="B39" s="24" t="str">
        <f>VLOOKUP(Ruimtestaat[[#This Row],[Code]],Locaties[#All],2,FALSE)</f>
        <v>Hoofdgebouw</v>
      </c>
      <c r="C39" s="24" t="str">
        <f>VLOOKUP(Ruimtestaat[[#This Row],[Code]],Locaties[#All],4,FALSE)</f>
        <v>Rohofstraat 83</v>
      </c>
      <c r="D39" s="24" t="str">
        <f>VLOOKUP(Ruimtestaat[[#This Row],[Code]],Locaties[#All],5,FALSE)</f>
        <v>7605 AT</v>
      </c>
      <c r="E39" s="24" t="str">
        <f>VLOOKUP(Ruimtestaat[[#This Row],[Code]],Locaties[#All],6,FALSE)</f>
        <v>Almelo</v>
      </c>
      <c r="F39" s="61"/>
      <c r="G39" s="24" t="s">
        <v>435</v>
      </c>
      <c r="H39" s="24" t="s">
        <v>490</v>
      </c>
      <c r="I39" s="4" t="s">
        <v>451</v>
      </c>
      <c r="J39" s="24">
        <v>9</v>
      </c>
      <c r="K39" s="61" t="str">
        <f>VLOOKUP(J39,Ruimtegroepen[],2,FALSE)</f>
        <v>Kantoortuin</v>
      </c>
      <c r="L39" s="24" t="s">
        <v>103</v>
      </c>
      <c r="M39" s="24" t="s">
        <v>38</v>
      </c>
      <c r="N39" s="87">
        <v>101.7</v>
      </c>
      <c r="O39" s="87"/>
      <c r="P39" s="97" t="str">
        <f>LEFT(VLOOKUP(Ruimtestaat[[#This Row],[Ruimte code]],Ruimtegroepen[#All],4,1),2)</f>
        <v>Bu</v>
      </c>
      <c r="Q39" s="87"/>
      <c r="R39" s="88">
        <v>52</v>
      </c>
      <c r="S39" s="88" t="s">
        <v>2</v>
      </c>
      <c r="T39" s="89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39" s="89">
        <f>IF(T39&gt;0,VLOOKUP($J39,Ruimtegroepen[],3,FALSE)*VLOOKUP($L39,Vloersoorten[],3,FALSE)*VLOOKUP($S39,Frequenties[],3,FALSE)*VLOOKUP($A39,Locaties[],3,FALSE),0)</f>
        <v>0</v>
      </c>
      <c r="V39" s="90">
        <f>Ruimtestaat[[#This Row],[Uitvoeringen werkdagen]]*Ruimtestaat[[#This Row],[Oppervlak (netto)]]</f>
        <v>26442</v>
      </c>
      <c r="W39" s="91">
        <f>IF(U39&gt;0,Ruimtestaat[[#This Row],[Prest. (m2 /jaar) werkdagen]]/Ruimtestaat[[#This Row],[Norm (m2/uur) werkdagen]],0)</f>
        <v>0</v>
      </c>
      <c r="X39" s="92">
        <f>Ruimtestaat[[#This Row],[uren / jaar werkdagen]]*Tariefsopbouw!$E$35</f>
        <v>0</v>
      </c>
      <c r="Y39" s="89"/>
      <c r="Z39" s="93">
        <f>IF(Ruimtestaat[[#This Row],[Frequentie weekend]]&gt;0,VALUE(LEFT(Y39,1))*R39,0)</f>
        <v>0</v>
      </c>
      <c r="AA39" s="89">
        <f>IF($Z39&gt;0,VLOOKUP($J39,Ruimtegroepen[],3,FALSE)*VLOOKUP($L39,Vloersoorten[],3,FALSE)*VLOOKUP($Y39,Frequenties[],3,FALSE)*VLOOKUP($A35,Locaties[],3,FALSE),0)</f>
        <v>0</v>
      </c>
      <c r="AB39" s="91">
        <f>Ruimtestaat[[#This Row],[Uitvoeringen weekend]]*Ruimtestaat[[#This Row],[Oppervlak (netto)]]</f>
        <v>0</v>
      </c>
      <c r="AC39" s="94">
        <f>IF(AB39&gt;0,Ruimtestaat[[#This Row],[Prest. (m2 /jaar) weekend]]/Ruimtestaat[[#This Row],[Norm (m2/uur) weekend]],0)</f>
        <v>0</v>
      </c>
      <c r="AD39" s="95">
        <f>Ruimtestaat[[#This Row],[uren / jaar weekend]]*Tariefsopbouw!$D$40</f>
        <v>0</v>
      </c>
      <c r="AE39" s="67">
        <f>Ruimtestaat[[#This Row],[Prest. (m2 /jaar) weekend]]+Ruimtestaat[[#This Row],[Prest. (m2 /jaar) werkdagen]]</f>
        <v>26442</v>
      </c>
      <c r="AF39" s="67">
        <f>Ruimtestaat[[#This Row],[uren / jaar weekend]]+Ruimtestaat[[#This Row],[uren / jaar werkdagen]]</f>
        <v>0</v>
      </c>
      <c r="AG39" s="68">
        <f>Ruimtestaat[[#This Row],[kosten / jaar weekend]]+Ruimtestaat[[#This Row],[kosten / jaar werkdagen]]</f>
        <v>0</v>
      </c>
      <c r="AH39" s="96"/>
      <c r="HL39" s="66"/>
    </row>
    <row r="40" spans="1:220" ht="15" customHeight="1">
      <c r="A40" s="114">
        <v>1</v>
      </c>
      <c r="B40" s="24" t="str">
        <f>VLOOKUP(Ruimtestaat[[#This Row],[Code]],Locaties[#All],2,FALSE)</f>
        <v>Hoofdgebouw</v>
      </c>
      <c r="C40" s="24" t="str">
        <f>VLOOKUP(Ruimtestaat[[#This Row],[Code]],Locaties[#All],4,FALSE)</f>
        <v>Rohofstraat 83</v>
      </c>
      <c r="D40" s="24" t="str">
        <f>VLOOKUP(Ruimtestaat[[#This Row],[Code]],Locaties[#All],5,FALSE)</f>
        <v>7605 AT</v>
      </c>
      <c r="E40" s="24" t="str">
        <f>VLOOKUP(Ruimtestaat[[#This Row],[Code]],Locaties[#All],6,FALSE)</f>
        <v>Almelo</v>
      </c>
      <c r="F40" s="61"/>
      <c r="G40" s="24" t="s">
        <v>435</v>
      </c>
      <c r="H40" s="24" t="s">
        <v>491</v>
      </c>
      <c r="I40" s="4" t="s">
        <v>492</v>
      </c>
      <c r="J40" s="24">
        <v>8</v>
      </c>
      <c r="K40" s="61" t="str">
        <f>VLOOKUP(J40,Ruimtegroepen[],2,FALSE)</f>
        <v>Woonkamer/aanland</v>
      </c>
      <c r="L40" s="24" t="s">
        <v>103</v>
      </c>
      <c r="M40" s="24" t="s">
        <v>38</v>
      </c>
      <c r="N40" s="87">
        <v>6.7</v>
      </c>
      <c r="O40" s="87"/>
      <c r="P40" s="97" t="str">
        <f>LEFT(VLOOKUP(Ruimtestaat[[#This Row],[Ruimte code]],Ruimtegroepen[#All],4,1),2)</f>
        <v>Ve</v>
      </c>
      <c r="Q40" s="87"/>
      <c r="R40" s="88">
        <v>52</v>
      </c>
      <c r="S40" s="88" t="s">
        <v>2</v>
      </c>
      <c r="T40" s="89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0" s="89">
        <f>IF(T40&gt;0,VLOOKUP($J40,Ruimtegroepen[],3,FALSE)*VLOOKUP($L40,Vloersoorten[],3,FALSE)*VLOOKUP($S40,Frequenties[],3,FALSE)*VLOOKUP($A40,Locaties[],3,FALSE),0)</f>
        <v>0</v>
      </c>
      <c r="V40" s="90">
        <f>Ruimtestaat[[#This Row],[Uitvoeringen werkdagen]]*Ruimtestaat[[#This Row],[Oppervlak (netto)]]</f>
        <v>1742</v>
      </c>
      <c r="W40" s="91">
        <f>IF(U40&gt;0,Ruimtestaat[[#This Row],[Prest. (m2 /jaar) werkdagen]]/Ruimtestaat[[#This Row],[Norm (m2/uur) werkdagen]],0)</f>
        <v>0</v>
      </c>
      <c r="X40" s="92">
        <f>Ruimtestaat[[#This Row],[uren / jaar werkdagen]]*Tariefsopbouw!$E$35</f>
        <v>0</v>
      </c>
      <c r="Y40" s="89"/>
      <c r="Z40" s="93">
        <f>IF(Ruimtestaat[[#This Row],[Frequentie weekend]]&gt;0,VALUE(LEFT(Y40,1))*R40,0)</f>
        <v>0</v>
      </c>
      <c r="AA40" s="89">
        <f>IF($Z40&gt;0,VLOOKUP($J40,Ruimtegroepen[],3,FALSE)*VLOOKUP($L40,Vloersoorten[],3,FALSE)*VLOOKUP($Y40,Frequenties[],3,FALSE)*VLOOKUP($A36,Locaties[],3,FALSE),0)</f>
        <v>0</v>
      </c>
      <c r="AB40" s="91">
        <f>Ruimtestaat[[#This Row],[Uitvoeringen weekend]]*Ruimtestaat[[#This Row],[Oppervlak (netto)]]</f>
        <v>0</v>
      </c>
      <c r="AC40" s="94">
        <f>IF(AB40&gt;0,Ruimtestaat[[#This Row],[Prest. (m2 /jaar) weekend]]/Ruimtestaat[[#This Row],[Norm (m2/uur) weekend]],0)</f>
        <v>0</v>
      </c>
      <c r="AD40" s="95">
        <f>Ruimtestaat[[#This Row],[uren / jaar weekend]]*Tariefsopbouw!$D$40</f>
        <v>0</v>
      </c>
      <c r="AE40" s="67">
        <f>Ruimtestaat[[#This Row],[Prest. (m2 /jaar) weekend]]+Ruimtestaat[[#This Row],[Prest. (m2 /jaar) werkdagen]]</f>
        <v>1742</v>
      </c>
      <c r="AF40" s="67">
        <f>Ruimtestaat[[#This Row],[uren / jaar weekend]]+Ruimtestaat[[#This Row],[uren / jaar werkdagen]]</f>
        <v>0</v>
      </c>
      <c r="AG40" s="68">
        <f>Ruimtestaat[[#This Row],[kosten / jaar weekend]]+Ruimtestaat[[#This Row],[kosten / jaar werkdagen]]</f>
        <v>0</v>
      </c>
      <c r="AH40" s="96"/>
      <c r="HL40" s="66"/>
    </row>
    <row r="41" spans="1:220" ht="15" customHeight="1">
      <c r="A41" s="114">
        <v>1</v>
      </c>
      <c r="B41" s="24" t="str">
        <f>VLOOKUP(Ruimtestaat[[#This Row],[Code]],Locaties[#All],2,FALSE)</f>
        <v>Hoofdgebouw</v>
      </c>
      <c r="C41" s="24" t="str">
        <f>VLOOKUP(Ruimtestaat[[#This Row],[Code]],Locaties[#All],4,FALSE)</f>
        <v>Rohofstraat 83</v>
      </c>
      <c r="D41" s="24" t="str">
        <f>VLOOKUP(Ruimtestaat[[#This Row],[Code]],Locaties[#All],5,FALSE)</f>
        <v>7605 AT</v>
      </c>
      <c r="E41" s="24" t="str">
        <f>VLOOKUP(Ruimtestaat[[#This Row],[Code]],Locaties[#All],6,FALSE)</f>
        <v>Almelo</v>
      </c>
      <c r="F41" s="61"/>
      <c r="G41" s="24" t="s">
        <v>435</v>
      </c>
      <c r="H41" s="24" t="s">
        <v>493</v>
      </c>
      <c r="I41" s="4" t="s">
        <v>494</v>
      </c>
      <c r="J41" s="24">
        <v>2</v>
      </c>
      <c r="K41" s="61" t="str">
        <f>VLOOKUP(J41,Ruimtegroepen[],2,FALSE)</f>
        <v>Kantoren</v>
      </c>
      <c r="L41" s="24" t="s">
        <v>103</v>
      </c>
      <c r="M41" s="24" t="s">
        <v>38</v>
      </c>
      <c r="N41" s="87">
        <v>7.6</v>
      </c>
      <c r="O41" s="87"/>
      <c r="P41" s="97" t="str">
        <f>LEFT(VLOOKUP(Ruimtestaat[[#This Row],[Ruimte code]],Ruimtegroepen[#All],4,1),2)</f>
        <v>Bu</v>
      </c>
      <c r="Q41" s="87"/>
      <c r="R41" s="88">
        <v>52</v>
      </c>
      <c r="S41" s="88" t="s">
        <v>2</v>
      </c>
      <c r="T41" s="89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1" s="89">
        <f>IF(T41&gt;0,VLOOKUP($J41,Ruimtegroepen[],3,FALSE)*VLOOKUP($L41,Vloersoorten[],3,FALSE)*VLOOKUP($S41,Frequenties[],3,FALSE)*VLOOKUP($A41,Locaties[],3,FALSE),0)</f>
        <v>0</v>
      </c>
      <c r="V41" s="90">
        <f>Ruimtestaat[[#This Row],[Uitvoeringen werkdagen]]*Ruimtestaat[[#This Row],[Oppervlak (netto)]]</f>
        <v>1976</v>
      </c>
      <c r="W41" s="91">
        <f>IF(U41&gt;0,Ruimtestaat[[#This Row],[Prest. (m2 /jaar) werkdagen]]/Ruimtestaat[[#This Row],[Norm (m2/uur) werkdagen]],0)</f>
        <v>0</v>
      </c>
      <c r="X41" s="92">
        <f>Ruimtestaat[[#This Row],[uren / jaar werkdagen]]*Tariefsopbouw!$E$35</f>
        <v>0</v>
      </c>
      <c r="Y41" s="89"/>
      <c r="Z41" s="93">
        <f>IF(Ruimtestaat[[#This Row],[Frequentie weekend]]&gt;0,VALUE(LEFT(Y41,1))*R41,0)</f>
        <v>0</v>
      </c>
      <c r="AA41" s="89">
        <f>IF($Z41&gt;0,VLOOKUP($J41,Ruimtegroepen[],3,FALSE)*VLOOKUP($L41,Vloersoorten[],3,FALSE)*VLOOKUP($Y41,Frequenties[],3,FALSE)*VLOOKUP($A37,Locaties[],3,FALSE),0)</f>
        <v>0</v>
      </c>
      <c r="AB41" s="91">
        <f>Ruimtestaat[[#This Row],[Uitvoeringen weekend]]*Ruimtestaat[[#This Row],[Oppervlak (netto)]]</f>
        <v>0</v>
      </c>
      <c r="AC41" s="94">
        <f>IF(AB41&gt;0,Ruimtestaat[[#This Row],[Prest. (m2 /jaar) weekend]]/Ruimtestaat[[#This Row],[Norm (m2/uur) weekend]],0)</f>
        <v>0</v>
      </c>
      <c r="AD41" s="95">
        <f>Ruimtestaat[[#This Row],[uren / jaar weekend]]*Tariefsopbouw!$D$40</f>
        <v>0</v>
      </c>
      <c r="AE41" s="67">
        <f>Ruimtestaat[[#This Row],[Prest. (m2 /jaar) weekend]]+Ruimtestaat[[#This Row],[Prest. (m2 /jaar) werkdagen]]</f>
        <v>1976</v>
      </c>
      <c r="AF41" s="67">
        <f>Ruimtestaat[[#This Row],[uren / jaar weekend]]+Ruimtestaat[[#This Row],[uren / jaar werkdagen]]</f>
        <v>0</v>
      </c>
      <c r="AG41" s="68">
        <f>Ruimtestaat[[#This Row],[kosten / jaar weekend]]+Ruimtestaat[[#This Row],[kosten / jaar werkdagen]]</f>
        <v>0</v>
      </c>
      <c r="AH41" s="96"/>
      <c r="HL41" s="66"/>
    </row>
    <row r="42" spans="1:220" ht="15" customHeight="1">
      <c r="A42" s="114">
        <v>1</v>
      </c>
      <c r="B42" s="24" t="str">
        <f>VLOOKUP(Ruimtestaat[[#This Row],[Code]],Locaties[#All],2,FALSE)</f>
        <v>Hoofdgebouw</v>
      </c>
      <c r="C42" s="24" t="str">
        <f>VLOOKUP(Ruimtestaat[[#This Row],[Code]],Locaties[#All],4,FALSE)</f>
        <v>Rohofstraat 83</v>
      </c>
      <c r="D42" s="24" t="str">
        <f>VLOOKUP(Ruimtestaat[[#This Row],[Code]],Locaties[#All],5,FALSE)</f>
        <v>7605 AT</v>
      </c>
      <c r="E42" s="24" t="str">
        <f>VLOOKUP(Ruimtestaat[[#This Row],[Code]],Locaties[#All],6,FALSE)</f>
        <v>Almelo</v>
      </c>
      <c r="F42" s="61"/>
      <c r="G42" s="24" t="s">
        <v>435</v>
      </c>
      <c r="H42" s="24" t="s">
        <v>495</v>
      </c>
      <c r="I42" s="4" t="s">
        <v>496</v>
      </c>
      <c r="J42" s="24">
        <v>4</v>
      </c>
      <c r="K42" s="61" t="str">
        <f>VLOOKUP(J42,Ruimtegroepen[],2,FALSE)</f>
        <v>Vergader/spreekkamers</v>
      </c>
      <c r="L42" s="24" t="s">
        <v>103</v>
      </c>
      <c r="M42" s="24" t="s">
        <v>38</v>
      </c>
      <c r="N42" s="87">
        <v>14.8</v>
      </c>
      <c r="O42" s="87"/>
      <c r="P42" s="97" t="str">
        <f>LEFT(VLOOKUP(Ruimtestaat[[#This Row],[Ruimte code]],Ruimtegroepen[#All],4,1),2)</f>
        <v>Bu</v>
      </c>
      <c r="Q42" s="87"/>
      <c r="R42" s="88">
        <v>52</v>
      </c>
      <c r="S42" s="88" t="s">
        <v>2</v>
      </c>
      <c r="T42" s="89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2" s="89">
        <f>IF(T42&gt;0,VLOOKUP($J42,Ruimtegroepen[],3,FALSE)*VLOOKUP($L42,Vloersoorten[],3,FALSE)*VLOOKUP($S42,Frequenties[],3,FALSE)*VLOOKUP($A42,Locaties[],3,FALSE),0)</f>
        <v>0</v>
      </c>
      <c r="V42" s="90">
        <f>Ruimtestaat[[#This Row],[Uitvoeringen werkdagen]]*Ruimtestaat[[#This Row],[Oppervlak (netto)]]</f>
        <v>3848</v>
      </c>
      <c r="W42" s="91">
        <f>IF(U42&gt;0,Ruimtestaat[[#This Row],[Prest. (m2 /jaar) werkdagen]]/Ruimtestaat[[#This Row],[Norm (m2/uur) werkdagen]],0)</f>
        <v>0</v>
      </c>
      <c r="X42" s="92">
        <f>Ruimtestaat[[#This Row],[uren / jaar werkdagen]]*Tariefsopbouw!$E$35</f>
        <v>0</v>
      </c>
      <c r="Y42" s="89"/>
      <c r="Z42" s="93">
        <f>IF(Ruimtestaat[[#This Row],[Frequentie weekend]]&gt;0,VALUE(LEFT(Y42,1))*R42,0)</f>
        <v>0</v>
      </c>
      <c r="AA42" s="89">
        <f>IF($Z42&gt;0,VLOOKUP($J42,Ruimtegroepen[],3,FALSE)*VLOOKUP($L42,Vloersoorten[],3,FALSE)*VLOOKUP($Y42,Frequenties[],3,FALSE)*VLOOKUP($A38,Locaties[],3,FALSE),0)</f>
        <v>0</v>
      </c>
      <c r="AB42" s="91">
        <f>Ruimtestaat[[#This Row],[Uitvoeringen weekend]]*Ruimtestaat[[#This Row],[Oppervlak (netto)]]</f>
        <v>0</v>
      </c>
      <c r="AC42" s="94">
        <f>IF(AB42&gt;0,Ruimtestaat[[#This Row],[Prest. (m2 /jaar) weekend]]/Ruimtestaat[[#This Row],[Norm (m2/uur) weekend]],0)</f>
        <v>0</v>
      </c>
      <c r="AD42" s="95">
        <f>Ruimtestaat[[#This Row],[uren / jaar weekend]]*Tariefsopbouw!$D$40</f>
        <v>0</v>
      </c>
      <c r="AE42" s="67">
        <f>Ruimtestaat[[#This Row],[Prest. (m2 /jaar) weekend]]+Ruimtestaat[[#This Row],[Prest. (m2 /jaar) werkdagen]]</f>
        <v>3848</v>
      </c>
      <c r="AF42" s="67">
        <f>Ruimtestaat[[#This Row],[uren / jaar weekend]]+Ruimtestaat[[#This Row],[uren / jaar werkdagen]]</f>
        <v>0</v>
      </c>
      <c r="AG42" s="68">
        <f>Ruimtestaat[[#This Row],[kosten / jaar weekend]]+Ruimtestaat[[#This Row],[kosten / jaar werkdagen]]</f>
        <v>0</v>
      </c>
      <c r="AH42" s="96"/>
      <c r="HL42" s="66"/>
    </row>
    <row r="43" spans="1:220" ht="15" customHeight="1">
      <c r="A43" s="114">
        <v>1</v>
      </c>
      <c r="B43" s="24" t="str">
        <f>VLOOKUP(Ruimtestaat[[#This Row],[Code]],Locaties[#All],2,FALSE)</f>
        <v>Hoofdgebouw</v>
      </c>
      <c r="C43" s="24" t="str">
        <f>VLOOKUP(Ruimtestaat[[#This Row],[Code]],Locaties[#All],4,FALSE)</f>
        <v>Rohofstraat 83</v>
      </c>
      <c r="D43" s="24" t="str">
        <f>VLOOKUP(Ruimtestaat[[#This Row],[Code]],Locaties[#All],5,FALSE)</f>
        <v>7605 AT</v>
      </c>
      <c r="E43" s="24" t="str">
        <f>VLOOKUP(Ruimtestaat[[#This Row],[Code]],Locaties[#All],6,FALSE)</f>
        <v>Almelo</v>
      </c>
      <c r="F43" s="61"/>
      <c r="G43" s="24" t="s">
        <v>435</v>
      </c>
      <c r="H43" s="24" t="s">
        <v>497</v>
      </c>
      <c r="I43" s="4" t="s">
        <v>496</v>
      </c>
      <c r="J43" s="24">
        <v>4</v>
      </c>
      <c r="K43" s="61" t="str">
        <f>VLOOKUP(J43,Ruimtegroepen[],2,FALSE)</f>
        <v>Vergader/spreekkamers</v>
      </c>
      <c r="L43" s="24" t="s">
        <v>103</v>
      </c>
      <c r="M43" s="24" t="s">
        <v>38</v>
      </c>
      <c r="N43" s="87">
        <v>14.8</v>
      </c>
      <c r="O43" s="87"/>
      <c r="P43" s="97" t="str">
        <f>LEFT(VLOOKUP(Ruimtestaat[[#This Row],[Ruimte code]],Ruimtegroepen[#All],4,1),2)</f>
        <v>Bu</v>
      </c>
      <c r="Q43" s="87"/>
      <c r="R43" s="88">
        <v>52</v>
      </c>
      <c r="S43" s="88" t="s">
        <v>2</v>
      </c>
      <c r="T43" s="89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3" s="89">
        <f>IF(T43&gt;0,VLOOKUP($J43,Ruimtegroepen[],3,FALSE)*VLOOKUP($L43,Vloersoorten[],3,FALSE)*VLOOKUP($S43,Frequenties[],3,FALSE)*VLOOKUP($A43,Locaties[],3,FALSE),0)</f>
        <v>0</v>
      </c>
      <c r="V43" s="90">
        <f>Ruimtestaat[[#This Row],[Uitvoeringen werkdagen]]*Ruimtestaat[[#This Row],[Oppervlak (netto)]]</f>
        <v>3848</v>
      </c>
      <c r="W43" s="91">
        <f>IF(U43&gt;0,Ruimtestaat[[#This Row],[Prest. (m2 /jaar) werkdagen]]/Ruimtestaat[[#This Row],[Norm (m2/uur) werkdagen]],0)</f>
        <v>0</v>
      </c>
      <c r="X43" s="92">
        <f>Ruimtestaat[[#This Row],[uren / jaar werkdagen]]*Tariefsopbouw!$E$35</f>
        <v>0</v>
      </c>
      <c r="Y43" s="89"/>
      <c r="Z43" s="93">
        <f>IF(Ruimtestaat[[#This Row],[Frequentie weekend]]&gt;0,VALUE(LEFT(Y43,1))*R43,0)</f>
        <v>0</v>
      </c>
      <c r="AA43" s="89">
        <f>IF($Z43&gt;0,VLOOKUP($J43,Ruimtegroepen[],3,FALSE)*VLOOKUP($L43,Vloersoorten[],3,FALSE)*VLOOKUP($Y43,Frequenties[],3,FALSE)*VLOOKUP($A39,Locaties[],3,FALSE),0)</f>
        <v>0</v>
      </c>
      <c r="AB43" s="91">
        <f>Ruimtestaat[[#This Row],[Uitvoeringen weekend]]*Ruimtestaat[[#This Row],[Oppervlak (netto)]]</f>
        <v>0</v>
      </c>
      <c r="AC43" s="94">
        <f>IF(AB43&gt;0,Ruimtestaat[[#This Row],[Prest. (m2 /jaar) weekend]]/Ruimtestaat[[#This Row],[Norm (m2/uur) weekend]],0)</f>
        <v>0</v>
      </c>
      <c r="AD43" s="95">
        <f>Ruimtestaat[[#This Row],[uren / jaar weekend]]*Tariefsopbouw!$D$40</f>
        <v>0</v>
      </c>
      <c r="AE43" s="67">
        <f>Ruimtestaat[[#This Row],[Prest. (m2 /jaar) weekend]]+Ruimtestaat[[#This Row],[Prest. (m2 /jaar) werkdagen]]</f>
        <v>3848</v>
      </c>
      <c r="AF43" s="67">
        <f>Ruimtestaat[[#This Row],[uren / jaar weekend]]+Ruimtestaat[[#This Row],[uren / jaar werkdagen]]</f>
        <v>0</v>
      </c>
      <c r="AG43" s="68">
        <f>Ruimtestaat[[#This Row],[kosten / jaar weekend]]+Ruimtestaat[[#This Row],[kosten / jaar werkdagen]]</f>
        <v>0</v>
      </c>
      <c r="AH43" s="96"/>
      <c r="HL43" s="66"/>
    </row>
    <row r="44" spans="1:220" ht="15" customHeight="1">
      <c r="A44" s="114">
        <v>1</v>
      </c>
      <c r="B44" s="24" t="str">
        <f>VLOOKUP(Ruimtestaat[[#This Row],[Code]],Locaties[#All],2,FALSE)</f>
        <v>Hoofdgebouw</v>
      </c>
      <c r="C44" s="24" t="str">
        <f>VLOOKUP(Ruimtestaat[[#This Row],[Code]],Locaties[#All],4,FALSE)</f>
        <v>Rohofstraat 83</v>
      </c>
      <c r="D44" s="24" t="str">
        <f>VLOOKUP(Ruimtestaat[[#This Row],[Code]],Locaties[#All],5,FALSE)</f>
        <v>7605 AT</v>
      </c>
      <c r="E44" s="24" t="str">
        <f>VLOOKUP(Ruimtestaat[[#This Row],[Code]],Locaties[#All],6,FALSE)</f>
        <v>Almelo</v>
      </c>
      <c r="F44" s="61"/>
      <c r="G44" s="24" t="s">
        <v>435</v>
      </c>
      <c r="H44" s="24" t="s">
        <v>498</v>
      </c>
      <c r="I44" s="4" t="s">
        <v>494</v>
      </c>
      <c r="J44" s="24">
        <v>2</v>
      </c>
      <c r="K44" s="61" t="str">
        <f>VLOOKUP(J44,Ruimtegroepen[],2,FALSE)</f>
        <v>Kantoren</v>
      </c>
      <c r="L44" s="24" t="s">
        <v>103</v>
      </c>
      <c r="M44" s="24" t="s">
        <v>38</v>
      </c>
      <c r="N44" s="87">
        <v>3.9</v>
      </c>
      <c r="O44" s="87"/>
      <c r="P44" s="97" t="str">
        <f>LEFT(VLOOKUP(Ruimtestaat[[#This Row],[Ruimte code]],Ruimtegroepen[#All],4,1),2)</f>
        <v>Bu</v>
      </c>
      <c r="Q44" s="87"/>
      <c r="R44" s="88">
        <v>52</v>
      </c>
      <c r="S44" s="88" t="s">
        <v>2</v>
      </c>
      <c r="T44" s="89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4" s="89">
        <f>IF(T44&gt;0,VLOOKUP($J44,Ruimtegroepen[],3,FALSE)*VLOOKUP($L44,Vloersoorten[],3,FALSE)*VLOOKUP($S44,Frequenties[],3,FALSE)*VLOOKUP($A44,Locaties[],3,FALSE),0)</f>
        <v>0</v>
      </c>
      <c r="V44" s="90">
        <f>Ruimtestaat[[#This Row],[Uitvoeringen werkdagen]]*Ruimtestaat[[#This Row],[Oppervlak (netto)]]</f>
        <v>1014</v>
      </c>
      <c r="W44" s="91">
        <f>IF(U44&gt;0,Ruimtestaat[[#This Row],[Prest. (m2 /jaar) werkdagen]]/Ruimtestaat[[#This Row],[Norm (m2/uur) werkdagen]],0)</f>
        <v>0</v>
      </c>
      <c r="X44" s="92">
        <f>Ruimtestaat[[#This Row],[uren / jaar werkdagen]]*Tariefsopbouw!$E$35</f>
        <v>0</v>
      </c>
      <c r="Y44" s="89"/>
      <c r="Z44" s="93">
        <f>IF(Ruimtestaat[[#This Row],[Frequentie weekend]]&gt;0,VALUE(LEFT(Y44,1))*R44,0)</f>
        <v>0</v>
      </c>
      <c r="AA44" s="89">
        <f>IF($Z44&gt;0,VLOOKUP($J44,Ruimtegroepen[],3,FALSE)*VLOOKUP($L44,Vloersoorten[],3,FALSE)*VLOOKUP($Y44,Frequenties[],3,FALSE)*VLOOKUP($A40,Locaties[],3,FALSE),0)</f>
        <v>0</v>
      </c>
      <c r="AB44" s="91">
        <f>Ruimtestaat[[#This Row],[Uitvoeringen weekend]]*Ruimtestaat[[#This Row],[Oppervlak (netto)]]</f>
        <v>0</v>
      </c>
      <c r="AC44" s="94">
        <f>IF(AB44&gt;0,Ruimtestaat[[#This Row],[Prest. (m2 /jaar) weekend]]/Ruimtestaat[[#This Row],[Norm (m2/uur) weekend]],0)</f>
        <v>0</v>
      </c>
      <c r="AD44" s="95">
        <f>Ruimtestaat[[#This Row],[uren / jaar weekend]]*Tariefsopbouw!$D$40</f>
        <v>0</v>
      </c>
      <c r="AE44" s="67">
        <f>Ruimtestaat[[#This Row],[Prest. (m2 /jaar) weekend]]+Ruimtestaat[[#This Row],[Prest. (m2 /jaar) werkdagen]]</f>
        <v>1014</v>
      </c>
      <c r="AF44" s="67">
        <f>Ruimtestaat[[#This Row],[uren / jaar weekend]]+Ruimtestaat[[#This Row],[uren / jaar werkdagen]]</f>
        <v>0</v>
      </c>
      <c r="AG44" s="68">
        <f>Ruimtestaat[[#This Row],[kosten / jaar weekend]]+Ruimtestaat[[#This Row],[kosten / jaar werkdagen]]</f>
        <v>0</v>
      </c>
      <c r="AH44" s="96"/>
      <c r="HL44" s="66"/>
    </row>
    <row r="45" spans="1:220" ht="15" customHeight="1">
      <c r="A45" s="114">
        <v>1</v>
      </c>
      <c r="B45" s="24" t="str">
        <f>VLOOKUP(Ruimtestaat[[#This Row],[Code]],Locaties[#All],2,FALSE)</f>
        <v>Hoofdgebouw</v>
      </c>
      <c r="C45" s="24" t="str">
        <f>VLOOKUP(Ruimtestaat[[#This Row],[Code]],Locaties[#All],4,FALSE)</f>
        <v>Rohofstraat 83</v>
      </c>
      <c r="D45" s="24" t="str">
        <f>VLOOKUP(Ruimtestaat[[#This Row],[Code]],Locaties[#All],5,FALSE)</f>
        <v>7605 AT</v>
      </c>
      <c r="E45" s="24" t="str">
        <f>VLOOKUP(Ruimtestaat[[#This Row],[Code]],Locaties[#All],6,FALSE)</f>
        <v>Almelo</v>
      </c>
      <c r="F45" s="61"/>
      <c r="G45" s="24" t="s">
        <v>435</v>
      </c>
      <c r="H45" s="24" t="s">
        <v>499</v>
      </c>
      <c r="I45" s="4" t="s">
        <v>494</v>
      </c>
      <c r="J45" s="24">
        <v>2</v>
      </c>
      <c r="K45" s="61" t="str">
        <f>VLOOKUP(J45,Ruimtegroepen[],2,FALSE)</f>
        <v>Kantoren</v>
      </c>
      <c r="L45" s="24" t="s">
        <v>103</v>
      </c>
      <c r="M45" s="24" t="s">
        <v>38</v>
      </c>
      <c r="N45" s="87">
        <v>3.9</v>
      </c>
      <c r="O45" s="87"/>
      <c r="P45" s="97" t="str">
        <f>LEFT(VLOOKUP(Ruimtestaat[[#This Row],[Ruimte code]],Ruimtegroepen[#All],4,1),2)</f>
        <v>Bu</v>
      </c>
      <c r="Q45" s="87"/>
      <c r="R45" s="88">
        <v>52</v>
      </c>
      <c r="S45" s="88" t="s">
        <v>2</v>
      </c>
      <c r="T45" s="89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5" s="89">
        <f>IF(T45&gt;0,VLOOKUP($J45,Ruimtegroepen[],3,FALSE)*VLOOKUP($L45,Vloersoorten[],3,FALSE)*VLOOKUP($S45,Frequenties[],3,FALSE)*VLOOKUP($A45,Locaties[],3,FALSE),0)</f>
        <v>0</v>
      </c>
      <c r="V45" s="90">
        <f>Ruimtestaat[[#This Row],[Uitvoeringen werkdagen]]*Ruimtestaat[[#This Row],[Oppervlak (netto)]]</f>
        <v>1014</v>
      </c>
      <c r="W45" s="91">
        <f>IF(U45&gt;0,Ruimtestaat[[#This Row],[Prest. (m2 /jaar) werkdagen]]/Ruimtestaat[[#This Row],[Norm (m2/uur) werkdagen]],0)</f>
        <v>0</v>
      </c>
      <c r="X45" s="92">
        <f>Ruimtestaat[[#This Row],[uren / jaar werkdagen]]*Tariefsopbouw!$E$35</f>
        <v>0</v>
      </c>
      <c r="Y45" s="89"/>
      <c r="Z45" s="93">
        <f>IF(Ruimtestaat[[#This Row],[Frequentie weekend]]&gt;0,VALUE(LEFT(Y45,1))*R45,0)</f>
        <v>0</v>
      </c>
      <c r="AA45" s="89">
        <f>IF($Z45&gt;0,VLOOKUP($J45,Ruimtegroepen[],3,FALSE)*VLOOKUP($L45,Vloersoorten[],3,FALSE)*VLOOKUP($Y45,Frequenties[],3,FALSE)*VLOOKUP($A41,Locaties[],3,FALSE),0)</f>
        <v>0</v>
      </c>
      <c r="AB45" s="91">
        <f>Ruimtestaat[[#This Row],[Uitvoeringen weekend]]*Ruimtestaat[[#This Row],[Oppervlak (netto)]]</f>
        <v>0</v>
      </c>
      <c r="AC45" s="94">
        <f>IF(AB45&gt;0,Ruimtestaat[[#This Row],[Prest. (m2 /jaar) weekend]]/Ruimtestaat[[#This Row],[Norm (m2/uur) weekend]],0)</f>
        <v>0</v>
      </c>
      <c r="AD45" s="95">
        <f>Ruimtestaat[[#This Row],[uren / jaar weekend]]*Tariefsopbouw!$D$40</f>
        <v>0</v>
      </c>
      <c r="AE45" s="67">
        <f>Ruimtestaat[[#This Row],[Prest. (m2 /jaar) weekend]]+Ruimtestaat[[#This Row],[Prest. (m2 /jaar) werkdagen]]</f>
        <v>1014</v>
      </c>
      <c r="AF45" s="67">
        <f>Ruimtestaat[[#This Row],[uren / jaar weekend]]+Ruimtestaat[[#This Row],[uren / jaar werkdagen]]</f>
        <v>0</v>
      </c>
      <c r="AG45" s="68">
        <f>Ruimtestaat[[#This Row],[kosten / jaar weekend]]+Ruimtestaat[[#This Row],[kosten / jaar werkdagen]]</f>
        <v>0</v>
      </c>
      <c r="AH45" s="96"/>
      <c r="HL45" s="66"/>
    </row>
    <row r="46" spans="1:220" ht="15" customHeight="1">
      <c r="A46" s="114">
        <v>1</v>
      </c>
      <c r="B46" s="24" t="str">
        <f>VLOOKUP(Ruimtestaat[[#This Row],[Code]],Locaties[#All],2,FALSE)</f>
        <v>Hoofdgebouw</v>
      </c>
      <c r="C46" s="24" t="str">
        <f>VLOOKUP(Ruimtestaat[[#This Row],[Code]],Locaties[#All],4,FALSE)</f>
        <v>Rohofstraat 83</v>
      </c>
      <c r="D46" s="24" t="str">
        <f>VLOOKUP(Ruimtestaat[[#This Row],[Code]],Locaties[#All],5,FALSE)</f>
        <v>7605 AT</v>
      </c>
      <c r="E46" s="24" t="str">
        <f>VLOOKUP(Ruimtestaat[[#This Row],[Code]],Locaties[#All],6,FALSE)</f>
        <v>Almelo</v>
      </c>
      <c r="F46" s="61"/>
      <c r="G46" s="24" t="s">
        <v>435</v>
      </c>
      <c r="H46" s="24" t="s">
        <v>500</v>
      </c>
      <c r="I46" s="4" t="s">
        <v>494</v>
      </c>
      <c r="J46" s="24">
        <v>2</v>
      </c>
      <c r="K46" s="61" t="str">
        <f>VLOOKUP(J46,Ruimtegroepen[],2,FALSE)</f>
        <v>Kantoren</v>
      </c>
      <c r="L46" s="24" t="s">
        <v>103</v>
      </c>
      <c r="M46" s="24" t="s">
        <v>38</v>
      </c>
      <c r="N46" s="87">
        <v>3.5</v>
      </c>
      <c r="O46" s="87"/>
      <c r="P46" s="97" t="str">
        <f>LEFT(VLOOKUP(Ruimtestaat[[#This Row],[Ruimte code]],Ruimtegroepen[#All],4,1),2)</f>
        <v>Bu</v>
      </c>
      <c r="Q46" s="87"/>
      <c r="R46" s="88">
        <v>52</v>
      </c>
      <c r="S46" s="88" t="s">
        <v>2</v>
      </c>
      <c r="T46" s="89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6" s="89">
        <f>IF(T46&gt;0,VLOOKUP($J46,Ruimtegroepen[],3,FALSE)*VLOOKUP($L46,Vloersoorten[],3,FALSE)*VLOOKUP($S46,Frequenties[],3,FALSE)*VLOOKUP($A46,Locaties[],3,FALSE),0)</f>
        <v>0</v>
      </c>
      <c r="V46" s="90">
        <f>Ruimtestaat[[#This Row],[Uitvoeringen werkdagen]]*Ruimtestaat[[#This Row],[Oppervlak (netto)]]</f>
        <v>910</v>
      </c>
      <c r="W46" s="91">
        <f>IF(U46&gt;0,Ruimtestaat[[#This Row],[Prest. (m2 /jaar) werkdagen]]/Ruimtestaat[[#This Row],[Norm (m2/uur) werkdagen]],0)</f>
        <v>0</v>
      </c>
      <c r="X46" s="92">
        <f>Ruimtestaat[[#This Row],[uren / jaar werkdagen]]*Tariefsopbouw!$E$35</f>
        <v>0</v>
      </c>
      <c r="Y46" s="89"/>
      <c r="Z46" s="93">
        <f>IF(Ruimtestaat[[#This Row],[Frequentie weekend]]&gt;0,VALUE(LEFT(Y46,1))*R46,0)</f>
        <v>0</v>
      </c>
      <c r="AA46" s="89">
        <f>IF($Z46&gt;0,VLOOKUP($J46,Ruimtegroepen[],3,FALSE)*VLOOKUP($L46,Vloersoorten[],3,FALSE)*VLOOKUP($Y46,Frequenties[],3,FALSE)*VLOOKUP($A42,Locaties[],3,FALSE),0)</f>
        <v>0</v>
      </c>
      <c r="AB46" s="91">
        <f>Ruimtestaat[[#This Row],[Uitvoeringen weekend]]*Ruimtestaat[[#This Row],[Oppervlak (netto)]]</f>
        <v>0</v>
      </c>
      <c r="AC46" s="94">
        <f>IF(AB46&gt;0,Ruimtestaat[[#This Row],[Prest. (m2 /jaar) weekend]]/Ruimtestaat[[#This Row],[Norm (m2/uur) weekend]],0)</f>
        <v>0</v>
      </c>
      <c r="AD46" s="95">
        <f>Ruimtestaat[[#This Row],[uren / jaar weekend]]*Tariefsopbouw!$D$40</f>
        <v>0</v>
      </c>
      <c r="AE46" s="67">
        <f>Ruimtestaat[[#This Row],[Prest. (m2 /jaar) weekend]]+Ruimtestaat[[#This Row],[Prest. (m2 /jaar) werkdagen]]</f>
        <v>910</v>
      </c>
      <c r="AF46" s="67">
        <f>Ruimtestaat[[#This Row],[uren / jaar weekend]]+Ruimtestaat[[#This Row],[uren / jaar werkdagen]]</f>
        <v>0</v>
      </c>
      <c r="AG46" s="68">
        <f>Ruimtestaat[[#This Row],[kosten / jaar weekend]]+Ruimtestaat[[#This Row],[kosten / jaar werkdagen]]</f>
        <v>0</v>
      </c>
      <c r="AH46" s="96"/>
      <c r="HL46" s="66"/>
    </row>
    <row r="47" spans="1:220" ht="15" customHeight="1">
      <c r="A47" s="114">
        <v>1</v>
      </c>
      <c r="B47" s="24" t="str">
        <f>VLOOKUP(Ruimtestaat[[#This Row],[Code]],Locaties[#All],2,FALSE)</f>
        <v>Hoofdgebouw</v>
      </c>
      <c r="C47" s="24" t="str">
        <f>VLOOKUP(Ruimtestaat[[#This Row],[Code]],Locaties[#All],4,FALSE)</f>
        <v>Rohofstraat 83</v>
      </c>
      <c r="D47" s="24" t="str">
        <f>VLOOKUP(Ruimtestaat[[#This Row],[Code]],Locaties[#All],5,FALSE)</f>
        <v>7605 AT</v>
      </c>
      <c r="E47" s="24" t="str">
        <f>VLOOKUP(Ruimtestaat[[#This Row],[Code]],Locaties[#All],6,FALSE)</f>
        <v>Almelo</v>
      </c>
      <c r="F47" s="61"/>
      <c r="G47" s="24" t="s">
        <v>435</v>
      </c>
      <c r="H47" s="24" t="s">
        <v>501</v>
      </c>
      <c r="I47" s="4" t="s">
        <v>502</v>
      </c>
      <c r="J47" s="24">
        <v>3</v>
      </c>
      <c r="K47" s="61" t="str">
        <f>VLOOKUP(J47,Ruimtegroepen[],2,FALSE)</f>
        <v>Reproruimte</v>
      </c>
      <c r="L47" s="24" t="s">
        <v>103</v>
      </c>
      <c r="M47" s="24" t="s">
        <v>38</v>
      </c>
      <c r="N47" s="87">
        <v>3.4</v>
      </c>
      <c r="O47" s="87"/>
      <c r="P47" s="97" t="str">
        <f>LEFT(VLOOKUP(Ruimtestaat[[#This Row],[Ruimte code]],Ruimtegroepen[#All],4,1),2)</f>
        <v>Ve</v>
      </c>
      <c r="Q47" s="87"/>
      <c r="R47" s="88">
        <v>52</v>
      </c>
      <c r="S47" s="88" t="s">
        <v>2</v>
      </c>
      <c r="T47" s="89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7" s="89">
        <f>IF(T47&gt;0,VLOOKUP($J47,Ruimtegroepen[],3,FALSE)*VLOOKUP($L47,Vloersoorten[],3,FALSE)*VLOOKUP($S47,Frequenties[],3,FALSE)*VLOOKUP($A47,Locaties[],3,FALSE),0)</f>
        <v>0</v>
      </c>
      <c r="V47" s="90">
        <f>Ruimtestaat[[#This Row],[Uitvoeringen werkdagen]]*Ruimtestaat[[#This Row],[Oppervlak (netto)]]</f>
        <v>884</v>
      </c>
      <c r="W47" s="91">
        <f>IF(U47&gt;0,Ruimtestaat[[#This Row],[Prest. (m2 /jaar) werkdagen]]/Ruimtestaat[[#This Row],[Norm (m2/uur) werkdagen]],0)</f>
        <v>0</v>
      </c>
      <c r="X47" s="92">
        <f>Ruimtestaat[[#This Row],[uren / jaar werkdagen]]*Tariefsopbouw!$E$35</f>
        <v>0</v>
      </c>
      <c r="Y47" s="89"/>
      <c r="Z47" s="93">
        <f>IF(Ruimtestaat[[#This Row],[Frequentie weekend]]&gt;0,VALUE(LEFT(Y47,1))*R47,0)</f>
        <v>0</v>
      </c>
      <c r="AA47" s="89">
        <f>IF($Z47&gt;0,VLOOKUP($J47,Ruimtegroepen[],3,FALSE)*VLOOKUP($L47,Vloersoorten[],3,FALSE)*VLOOKUP($Y47,Frequenties[],3,FALSE)*VLOOKUP($A43,Locaties[],3,FALSE),0)</f>
        <v>0</v>
      </c>
      <c r="AB47" s="91">
        <f>Ruimtestaat[[#This Row],[Uitvoeringen weekend]]*Ruimtestaat[[#This Row],[Oppervlak (netto)]]</f>
        <v>0</v>
      </c>
      <c r="AC47" s="94">
        <f>IF(AB47&gt;0,Ruimtestaat[[#This Row],[Prest. (m2 /jaar) weekend]]/Ruimtestaat[[#This Row],[Norm (m2/uur) weekend]],0)</f>
        <v>0</v>
      </c>
      <c r="AD47" s="95">
        <f>Ruimtestaat[[#This Row],[uren / jaar weekend]]*Tariefsopbouw!$D$40</f>
        <v>0</v>
      </c>
      <c r="AE47" s="67">
        <f>Ruimtestaat[[#This Row],[Prest. (m2 /jaar) weekend]]+Ruimtestaat[[#This Row],[Prest. (m2 /jaar) werkdagen]]</f>
        <v>884</v>
      </c>
      <c r="AF47" s="67">
        <f>Ruimtestaat[[#This Row],[uren / jaar weekend]]+Ruimtestaat[[#This Row],[uren / jaar werkdagen]]</f>
        <v>0</v>
      </c>
      <c r="AG47" s="68">
        <f>Ruimtestaat[[#This Row],[kosten / jaar weekend]]+Ruimtestaat[[#This Row],[kosten / jaar werkdagen]]</f>
        <v>0</v>
      </c>
      <c r="AH47" s="96"/>
      <c r="HL47" s="66"/>
    </row>
    <row r="48" spans="1:220" ht="15" customHeight="1">
      <c r="A48" s="114">
        <v>1</v>
      </c>
      <c r="B48" s="24" t="str">
        <f>VLOOKUP(Ruimtestaat[[#This Row],[Code]],Locaties[#All],2,FALSE)</f>
        <v>Hoofdgebouw</v>
      </c>
      <c r="C48" s="24" t="str">
        <f>VLOOKUP(Ruimtestaat[[#This Row],[Code]],Locaties[#All],4,FALSE)</f>
        <v>Rohofstraat 83</v>
      </c>
      <c r="D48" s="24" t="str">
        <f>VLOOKUP(Ruimtestaat[[#This Row],[Code]],Locaties[#All],5,FALSE)</f>
        <v>7605 AT</v>
      </c>
      <c r="E48" s="24" t="str">
        <f>VLOOKUP(Ruimtestaat[[#This Row],[Code]],Locaties[#All],6,FALSE)</f>
        <v>Almelo</v>
      </c>
      <c r="F48" s="61"/>
      <c r="G48" s="24" t="s">
        <v>435</v>
      </c>
      <c r="H48" s="24" t="s">
        <v>503</v>
      </c>
      <c r="I48" s="4" t="s">
        <v>472</v>
      </c>
      <c r="J48" s="24">
        <v>6</v>
      </c>
      <c r="K48" s="61" t="str">
        <f>VLOOKUP(J48,Ruimtegroepen[],2,FALSE)</f>
        <v>Gangen/hallen</v>
      </c>
      <c r="L48" s="24" t="s">
        <v>103</v>
      </c>
      <c r="M48" s="24" t="s">
        <v>38</v>
      </c>
      <c r="N48" s="87">
        <v>15.9</v>
      </c>
      <c r="O48" s="87"/>
      <c r="P48" s="97" t="str">
        <f>LEFT(VLOOKUP(Ruimtestaat[[#This Row],[Ruimte code]],Ruimtegroepen[#All],4,1),2)</f>
        <v>Ve</v>
      </c>
      <c r="Q48" s="87"/>
      <c r="R48" s="88">
        <v>52</v>
      </c>
      <c r="S48" s="88" t="s">
        <v>2</v>
      </c>
      <c r="T48" s="89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8" s="89">
        <f>IF(T48&gt;0,VLOOKUP($J48,Ruimtegroepen[],3,FALSE)*VLOOKUP($L48,Vloersoorten[],3,FALSE)*VLOOKUP($S48,Frequenties[],3,FALSE)*VLOOKUP($A48,Locaties[],3,FALSE),0)</f>
        <v>0</v>
      </c>
      <c r="V48" s="90">
        <f>Ruimtestaat[[#This Row],[Uitvoeringen werkdagen]]*Ruimtestaat[[#This Row],[Oppervlak (netto)]]</f>
        <v>4134</v>
      </c>
      <c r="W48" s="91">
        <f>IF(U48&gt;0,Ruimtestaat[[#This Row],[Prest. (m2 /jaar) werkdagen]]/Ruimtestaat[[#This Row],[Norm (m2/uur) werkdagen]],0)</f>
        <v>0</v>
      </c>
      <c r="X48" s="92">
        <f>Ruimtestaat[[#This Row],[uren / jaar werkdagen]]*Tariefsopbouw!$E$35</f>
        <v>0</v>
      </c>
      <c r="Y48" s="89"/>
      <c r="Z48" s="93">
        <f>IF(Ruimtestaat[[#This Row],[Frequentie weekend]]&gt;0,VALUE(LEFT(Y48,1))*R48,0)</f>
        <v>0</v>
      </c>
      <c r="AA48" s="89">
        <f>IF($Z48&gt;0,VLOOKUP($J48,Ruimtegroepen[],3,FALSE)*VLOOKUP($L48,Vloersoorten[],3,FALSE)*VLOOKUP($Y48,Frequenties[],3,FALSE)*VLOOKUP($A43,Locaties[],3,FALSE),0)</f>
        <v>0</v>
      </c>
      <c r="AB48" s="91">
        <f>Ruimtestaat[[#This Row],[Uitvoeringen weekend]]*Ruimtestaat[[#This Row],[Oppervlak (netto)]]</f>
        <v>0</v>
      </c>
      <c r="AC48" s="94">
        <f>IF(AB48&gt;0,Ruimtestaat[[#This Row],[Prest. (m2 /jaar) weekend]]/Ruimtestaat[[#This Row],[Norm (m2/uur) weekend]],0)</f>
        <v>0</v>
      </c>
      <c r="AD48" s="95">
        <f>Ruimtestaat[[#This Row],[uren / jaar weekend]]*Tariefsopbouw!$D$40</f>
        <v>0</v>
      </c>
      <c r="AE48" s="67">
        <f>Ruimtestaat[[#This Row],[Prest. (m2 /jaar) weekend]]+Ruimtestaat[[#This Row],[Prest. (m2 /jaar) werkdagen]]</f>
        <v>4134</v>
      </c>
      <c r="AF48" s="67">
        <f>Ruimtestaat[[#This Row],[uren / jaar weekend]]+Ruimtestaat[[#This Row],[uren / jaar werkdagen]]</f>
        <v>0</v>
      </c>
      <c r="AG48" s="68">
        <f>Ruimtestaat[[#This Row],[kosten / jaar weekend]]+Ruimtestaat[[#This Row],[kosten / jaar werkdagen]]</f>
        <v>0</v>
      </c>
      <c r="AH48" s="96"/>
      <c r="HL48" s="66"/>
    </row>
    <row r="49" spans="1:220" ht="15" customHeight="1">
      <c r="A49" s="114">
        <v>1</v>
      </c>
      <c r="B49" s="24" t="str">
        <f>VLOOKUP(Ruimtestaat[[#This Row],[Code]],Locaties[#All],2,FALSE)</f>
        <v>Hoofdgebouw</v>
      </c>
      <c r="C49" s="24" t="str">
        <f>VLOOKUP(Ruimtestaat[[#This Row],[Code]],Locaties[#All],4,FALSE)</f>
        <v>Rohofstraat 83</v>
      </c>
      <c r="D49" s="24" t="str">
        <f>VLOOKUP(Ruimtestaat[[#This Row],[Code]],Locaties[#All],5,FALSE)</f>
        <v>7605 AT</v>
      </c>
      <c r="E49" s="24" t="str">
        <f>VLOOKUP(Ruimtestaat[[#This Row],[Code]],Locaties[#All],6,FALSE)</f>
        <v>Almelo</v>
      </c>
      <c r="F49" s="61"/>
      <c r="G49" s="24" t="s">
        <v>435</v>
      </c>
      <c r="H49" s="24" t="s">
        <v>504</v>
      </c>
      <c r="I49" s="4" t="s">
        <v>505</v>
      </c>
      <c r="J49" s="24">
        <v>2</v>
      </c>
      <c r="K49" s="61" t="str">
        <f>VLOOKUP(J49,Ruimtegroepen[],2,FALSE)</f>
        <v>Kantoren</v>
      </c>
      <c r="L49" s="24" t="s">
        <v>103</v>
      </c>
      <c r="M49" s="24" t="s">
        <v>38</v>
      </c>
      <c r="N49" s="87">
        <v>16.3</v>
      </c>
      <c r="O49" s="87"/>
      <c r="P49" s="97" t="str">
        <f>LEFT(VLOOKUP(Ruimtestaat[[#This Row],[Ruimte code]],Ruimtegroepen[#All],4,1),2)</f>
        <v>Bu</v>
      </c>
      <c r="Q49" s="87"/>
      <c r="R49" s="88">
        <v>52</v>
      </c>
      <c r="S49" s="88" t="s">
        <v>2</v>
      </c>
      <c r="T49" s="89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49" s="89">
        <f>IF(T49&gt;0,VLOOKUP($J49,Ruimtegroepen[],3,FALSE)*VLOOKUP($L49,Vloersoorten[],3,FALSE)*VLOOKUP($S49,Frequenties[],3,FALSE)*VLOOKUP($A49,Locaties[],3,FALSE),0)</f>
        <v>0</v>
      </c>
      <c r="V49" s="90">
        <f>Ruimtestaat[[#This Row],[Uitvoeringen werkdagen]]*Ruimtestaat[[#This Row],[Oppervlak (netto)]]</f>
        <v>4238</v>
      </c>
      <c r="W49" s="91">
        <f>IF(U49&gt;0,Ruimtestaat[[#This Row],[Prest. (m2 /jaar) werkdagen]]/Ruimtestaat[[#This Row],[Norm (m2/uur) werkdagen]],0)</f>
        <v>0</v>
      </c>
      <c r="X49" s="92">
        <f>Ruimtestaat[[#This Row],[uren / jaar werkdagen]]*Tariefsopbouw!$E$35</f>
        <v>0</v>
      </c>
      <c r="Y49" s="89"/>
      <c r="Z49" s="93">
        <f>IF(Ruimtestaat[[#This Row],[Frequentie weekend]]&gt;0,VALUE(LEFT(Y49,1))*R49,0)</f>
        <v>0</v>
      </c>
      <c r="AA49" s="89">
        <f>IF($Z49&gt;0,VLOOKUP($J49,Ruimtegroepen[],3,FALSE)*VLOOKUP($L49,Vloersoorten[],3,FALSE)*VLOOKUP($Y49,Frequenties[],3,FALSE)*VLOOKUP($A44,Locaties[],3,FALSE),0)</f>
        <v>0</v>
      </c>
      <c r="AB49" s="91">
        <f>Ruimtestaat[[#This Row],[Uitvoeringen weekend]]*Ruimtestaat[[#This Row],[Oppervlak (netto)]]</f>
        <v>0</v>
      </c>
      <c r="AC49" s="94">
        <f>IF(AB49&gt;0,Ruimtestaat[[#This Row],[Prest. (m2 /jaar) weekend]]/Ruimtestaat[[#This Row],[Norm (m2/uur) weekend]],0)</f>
        <v>0</v>
      </c>
      <c r="AD49" s="95">
        <f>Ruimtestaat[[#This Row],[uren / jaar weekend]]*Tariefsopbouw!$D$40</f>
        <v>0</v>
      </c>
      <c r="AE49" s="67">
        <f>Ruimtestaat[[#This Row],[Prest. (m2 /jaar) weekend]]+Ruimtestaat[[#This Row],[Prest. (m2 /jaar) werkdagen]]</f>
        <v>4238</v>
      </c>
      <c r="AF49" s="67">
        <f>Ruimtestaat[[#This Row],[uren / jaar weekend]]+Ruimtestaat[[#This Row],[uren / jaar werkdagen]]</f>
        <v>0</v>
      </c>
      <c r="AG49" s="68">
        <f>Ruimtestaat[[#This Row],[kosten / jaar weekend]]+Ruimtestaat[[#This Row],[kosten / jaar werkdagen]]</f>
        <v>0</v>
      </c>
      <c r="AH49" s="96"/>
      <c r="HL49" s="66"/>
    </row>
    <row r="50" spans="1:220" ht="15" customHeight="1">
      <c r="A50" s="114">
        <v>1</v>
      </c>
      <c r="B50" s="24" t="str">
        <f>VLOOKUP(Ruimtestaat[[#This Row],[Code]],Locaties[#All],2,FALSE)</f>
        <v>Hoofdgebouw</v>
      </c>
      <c r="C50" s="24" t="str">
        <f>VLOOKUP(Ruimtestaat[[#This Row],[Code]],Locaties[#All],4,FALSE)</f>
        <v>Rohofstraat 83</v>
      </c>
      <c r="D50" s="24" t="str">
        <f>VLOOKUP(Ruimtestaat[[#This Row],[Code]],Locaties[#All],5,FALSE)</f>
        <v>7605 AT</v>
      </c>
      <c r="E50" s="24" t="str">
        <f>VLOOKUP(Ruimtestaat[[#This Row],[Code]],Locaties[#All],6,FALSE)</f>
        <v>Almelo</v>
      </c>
      <c r="F50" s="61"/>
      <c r="G50" s="24" t="s">
        <v>435</v>
      </c>
      <c r="H50" s="24" t="s">
        <v>506</v>
      </c>
      <c r="I50" s="4" t="s">
        <v>451</v>
      </c>
      <c r="J50" s="24">
        <v>9</v>
      </c>
      <c r="K50" s="61" t="str">
        <f>VLOOKUP(J50,Ruimtegroepen[],2,FALSE)</f>
        <v>Kantoortuin</v>
      </c>
      <c r="L50" s="24" t="s">
        <v>103</v>
      </c>
      <c r="M50" s="24" t="s">
        <v>38</v>
      </c>
      <c r="N50" s="87">
        <v>66.7</v>
      </c>
      <c r="O50" s="87"/>
      <c r="P50" s="97" t="str">
        <f>LEFT(VLOOKUP(Ruimtestaat[[#This Row],[Ruimte code]],Ruimtegroepen[#All],4,1),2)</f>
        <v>Bu</v>
      </c>
      <c r="Q50" s="87"/>
      <c r="R50" s="88">
        <v>52</v>
      </c>
      <c r="S50" s="88" t="s">
        <v>2</v>
      </c>
      <c r="T50" s="89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50" s="89">
        <f>IF(T50&gt;0,VLOOKUP($J50,Ruimtegroepen[],3,FALSE)*VLOOKUP($L50,Vloersoorten[],3,FALSE)*VLOOKUP($S50,Frequenties[],3,FALSE)*VLOOKUP($A50,Locaties[],3,FALSE),0)</f>
        <v>0</v>
      </c>
      <c r="V50" s="90">
        <f>Ruimtestaat[[#This Row],[Uitvoeringen werkdagen]]*Ruimtestaat[[#This Row],[Oppervlak (netto)]]</f>
        <v>17342</v>
      </c>
      <c r="W50" s="91">
        <f>IF(U50&gt;0,Ruimtestaat[[#This Row],[Prest. (m2 /jaar) werkdagen]]/Ruimtestaat[[#This Row],[Norm (m2/uur) werkdagen]],0)</f>
        <v>0</v>
      </c>
      <c r="X50" s="92">
        <f>Ruimtestaat[[#This Row],[uren / jaar werkdagen]]*Tariefsopbouw!$E$35</f>
        <v>0</v>
      </c>
      <c r="Y50" s="89"/>
      <c r="Z50" s="93">
        <f>IF(Ruimtestaat[[#This Row],[Frequentie weekend]]&gt;0,VALUE(LEFT(Y50,1))*R50,0)</f>
        <v>0</v>
      </c>
      <c r="AA50" s="89">
        <f>IF($Z50&gt;0,VLOOKUP($J50,Ruimtegroepen[],3,FALSE)*VLOOKUP($L50,Vloersoorten[],3,FALSE)*VLOOKUP($Y50,Frequenties[],3,FALSE)*VLOOKUP($A45,Locaties[],3,FALSE),0)</f>
        <v>0</v>
      </c>
      <c r="AB50" s="91">
        <f>Ruimtestaat[[#This Row],[Uitvoeringen weekend]]*Ruimtestaat[[#This Row],[Oppervlak (netto)]]</f>
        <v>0</v>
      </c>
      <c r="AC50" s="94">
        <f>IF(AB50&gt;0,Ruimtestaat[[#This Row],[Prest. (m2 /jaar) weekend]]/Ruimtestaat[[#This Row],[Norm (m2/uur) weekend]],0)</f>
        <v>0</v>
      </c>
      <c r="AD50" s="95">
        <f>Ruimtestaat[[#This Row],[uren / jaar weekend]]*Tariefsopbouw!$D$40</f>
        <v>0</v>
      </c>
      <c r="AE50" s="67">
        <f>Ruimtestaat[[#This Row],[Prest. (m2 /jaar) weekend]]+Ruimtestaat[[#This Row],[Prest. (m2 /jaar) werkdagen]]</f>
        <v>17342</v>
      </c>
      <c r="AF50" s="67">
        <f>Ruimtestaat[[#This Row],[uren / jaar weekend]]+Ruimtestaat[[#This Row],[uren / jaar werkdagen]]</f>
        <v>0</v>
      </c>
      <c r="AG50" s="68">
        <f>Ruimtestaat[[#This Row],[kosten / jaar weekend]]+Ruimtestaat[[#This Row],[kosten / jaar werkdagen]]</f>
        <v>0</v>
      </c>
      <c r="AH50" s="96"/>
      <c r="HL50" s="66"/>
    </row>
    <row r="51" spans="1:220" ht="15" customHeight="1">
      <c r="A51" s="114">
        <v>1</v>
      </c>
      <c r="B51" s="24" t="str">
        <f>VLOOKUP(Ruimtestaat[[#This Row],[Code]],Locaties[#All],2,FALSE)</f>
        <v>Hoofdgebouw</v>
      </c>
      <c r="C51" s="24" t="str">
        <f>VLOOKUP(Ruimtestaat[[#This Row],[Code]],Locaties[#All],4,FALSE)</f>
        <v>Rohofstraat 83</v>
      </c>
      <c r="D51" s="24" t="str">
        <f>VLOOKUP(Ruimtestaat[[#This Row],[Code]],Locaties[#All],5,FALSE)</f>
        <v>7605 AT</v>
      </c>
      <c r="E51" s="24" t="str">
        <f>VLOOKUP(Ruimtestaat[[#This Row],[Code]],Locaties[#All],6,FALSE)</f>
        <v>Almelo</v>
      </c>
      <c r="F51" s="61"/>
      <c r="G51" s="24" t="s">
        <v>435</v>
      </c>
      <c r="H51" s="24" t="s">
        <v>507</v>
      </c>
      <c r="I51" s="4" t="s">
        <v>508</v>
      </c>
      <c r="J51" s="24">
        <v>9</v>
      </c>
      <c r="K51" s="61" t="str">
        <f>VLOOKUP(J51,Ruimtegroepen[],2,FALSE)</f>
        <v>Kantoortuin</v>
      </c>
      <c r="L51" s="24" t="s">
        <v>103</v>
      </c>
      <c r="M51" s="24" t="s">
        <v>38</v>
      </c>
      <c r="N51" s="87">
        <v>65.900000000000006</v>
      </c>
      <c r="O51" s="87"/>
      <c r="P51" s="97" t="str">
        <f>LEFT(VLOOKUP(Ruimtestaat[[#This Row],[Ruimte code]],Ruimtegroepen[#All],4,1),2)</f>
        <v>Bu</v>
      </c>
      <c r="Q51" s="87"/>
      <c r="R51" s="88">
        <v>52</v>
      </c>
      <c r="S51" s="88" t="s">
        <v>2</v>
      </c>
      <c r="T51" s="89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51" s="89">
        <f>IF(T51&gt;0,VLOOKUP($J51,Ruimtegroepen[],3,FALSE)*VLOOKUP($L51,Vloersoorten[],3,FALSE)*VLOOKUP($S51,Frequenties[],3,FALSE)*VLOOKUP($A51,Locaties[],3,FALSE),0)</f>
        <v>0</v>
      </c>
      <c r="V51" s="90">
        <f>Ruimtestaat[[#This Row],[Uitvoeringen werkdagen]]*Ruimtestaat[[#This Row],[Oppervlak (netto)]]</f>
        <v>17134</v>
      </c>
      <c r="W51" s="91">
        <f>IF(U51&gt;0,Ruimtestaat[[#This Row],[Prest. (m2 /jaar) werkdagen]]/Ruimtestaat[[#This Row],[Norm (m2/uur) werkdagen]],0)</f>
        <v>0</v>
      </c>
      <c r="X51" s="92">
        <f>Ruimtestaat[[#This Row],[uren / jaar werkdagen]]*Tariefsopbouw!$E$35</f>
        <v>0</v>
      </c>
      <c r="Y51" s="89"/>
      <c r="Z51" s="93">
        <f>IF(Ruimtestaat[[#This Row],[Frequentie weekend]]&gt;0,VALUE(LEFT(Y51,1))*R51,0)</f>
        <v>0</v>
      </c>
      <c r="AA51" s="89">
        <f>IF($Z51&gt;0,VLOOKUP($J51,Ruimtegroepen[],3,FALSE)*VLOOKUP($L51,Vloersoorten[],3,FALSE)*VLOOKUP($Y51,Frequenties[],3,FALSE)*VLOOKUP($A46,Locaties[],3,FALSE),0)</f>
        <v>0</v>
      </c>
      <c r="AB51" s="91">
        <f>Ruimtestaat[[#This Row],[Uitvoeringen weekend]]*Ruimtestaat[[#This Row],[Oppervlak (netto)]]</f>
        <v>0</v>
      </c>
      <c r="AC51" s="94">
        <f>IF(AB51&gt;0,Ruimtestaat[[#This Row],[Prest. (m2 /jaar) weekend]]/Ruimtestaat[[#This Row],[Norm (m2/uur) weekend]],0)</f>
        <v>0</v>
      </c>
      <c r="AD51" s="95">
        <f>Ruimtestaat[[#This Row],[uren / jaar weekend]]*Tariefsopbouw!$D$40</f>
        <v>0</v>
      </c>
      <c r="AE51" s="67">
        <f>Ruimtestaat[[#This Row],[Prest. (m2 /jaar) weekend]]+Ruimtestaat[[#This Row],[Prest. (m2 /jaar) werkdagen]]</f>
        <v>17134</v>
      </c>
      <c r="AF51" s="67">
        <f>Ruimtestaat[[#This Row],[uren / jaar weekend]]+Ruimtestaat[[#This Row],[uren / jaar werkdagen]]</f>
        <v>0</v>
      </c>
      <c r="AG51" s="68">
        <f>Ruimtestaat[[#This Row],[kosten / jaar weekend]]+Ruimtestaat[[#This Row],[kosten / jaar werkdagen]]</f>
        <v>0</v>
      </c>
      <c r="AH51" s="96"/>
      <c r="HL51" s="66"/>
    </row>
    <row r="52" spans="1:220" ht="15" customHeight="1">
      <c r="A52" s="114">
        <v>1</v>
      </c>
      <c r="B52" s="24" t="str">
        <f>VLOOKUP(Ruimtestaat[[#This Row],[Code]],Locaties[#All],2,FALSE)</f>
        <v>Hoofdgebouw</v>
      </c>
      <c r="C52" s="24" t="str">
        <f>VLOOKUP(Ruimtestaat[[#This Row],[Code]],Locaties[#All],4,FALSE)</f>
        <v>Rohofstraat 83</v>
      </c>
      <c r="D52" s="24" t="str">
        <f>VLOOKUP(Ruimtestaat[[#This Row],[Code]],Locaties[#All],5,FALSE)</f>
        <v>7605 AT</v>
      </c>
      <c r="E52" s="24" t="str">
        <f>VLOOKUP(Ruimtestaat[[#This Row],[Code]],Locaties[#All],6,FALSE)</f>
        <v>Almelo</v>
      </c>
      <c r="F52" s="61"/>
      <c r="G52" s="24" t="s">
        <v>435</v>
      </c>
      <c r="H52" s="24" t="s">
        <v>509</v>
      </c>
      <c r="I52" s="4" t="s">
        <v>494</v>
      </c>
      <c r="J52" s="24">
        <v>2</v>
      </c>
      <c r="K52" s="61" t="str">
        <f>VLOOKUP(J52,Ruimtegroepen[],2,FALSE)</f>
        <v>Kantoren</v>
      </c>
      <c r="L52" s="24" t="s">
        <v>103</v>
      </c>
      <c r="M52" s="24" t="s">
        <v>38</v>
      </c>
      <c r="N52" s="87">
        <v>13.3</v>
      </c>
      <c r="O52" s="87"/>
      <c r="P52" s="97" t="str">
        <f>LEFT(VLOOKUP(Ruimtestaat[[#This Row],[Ruimte code]],Ruimtegroepen[#All],4,1),2)</f>
        <v>Bu</v>
      </c>
      <c r="Q52" s="87"/>
      <c r="R52" s="88">
        <v>52</v>
      </c>
      <c r="S52" s="88" t="s">
        <v>2</v>
      </c>
      <c r="T52" s="89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52" s="89">
        <f>IF(T52&gt;0,VLOOKUP($J52,Ruimtegroepen[],3,FALSE)*VLOOKUP($L52,Vloersoorten[],3,FALSE)*VLOOKUP($S52,Frequenties[],3,FALSE)*VLOOKUP($A52,Locaties[],3,FALSE),0)</f>
        <v>0</v>
      </c>
      <c r="V52" s="90">
        <f>Ruimtestaat[[#This Row],[Uitvoeringen werkdagen]]*Ruimtestaat[[#This Row],[Oppervlak (netto)]]</f>
        <v>3458</v>
      </c>
      <c r="W52" s="91">
        <f>IF(U52&gt;0,Ruimtestaat[[#This Row],[Prest. (m2 /jaar) werkdagen]]/Ruimtestaat[[#This Row],[Norm (m2/uur) werkdagen]],0)</f>
        <v>0</v>
      </c>
      <c r="X52" s="92">
        <f>Ruimtestaat[[#This Row],[uren / jaar werkdagen]]*Tariefsopbouw!$E$35</f>
        <v>0</v>
      </c>
      <c r="Y52" s="89"/>
      <c r="Z52" s="93">
        <f>IF(Ruimtestaat[[#This Row],[Frequentie weekend]]&gt;0,VALUE(LEFT(Y52,1))*R52,0)</f>
        <v>0</v>
      </c>
      <c r="AA52" s="89">
        <f>IF($Z52&gt;0,VLOOKUP($J52,Ruimtegroepen[],3,FALSE)*VLOOKUP($L52,Vloersoorten[],3,FALSE)*VLOOKUP($Y52,Frequenties[],3,FALSE)*VLOOKUP($A48,Locaties[],3,FALSE),0)</f>
        <v>0</v>
      </c>
      <c r="AB52" s="91">
        <f>Ruimtestaat[[#This Row],[Uitvoeringen weekend]]*Ruimtestaat[[#This Row],[Oppervlak (netto)]]</f>
        <v>0</v>
      </c>
      <c r="AC52" s="94">
        <f>IF(AB52&gt;0,Ruimtestaat[[#This Row],[Prest. (m2 /jaar) weekend]]/Ruimtestaat[[#This Row],[Norm (m2/uur) weekend]],0)</f>
        <v>0</v>
      </c>
      <c r="AD52" s="95">
        <f>Ruimtestaat[[#This Row],[uren / jaar weekend]]*Tariefsopbouw!$D$40</f>
        <v>0</v>
      </c>
      <c r="AE52" s="67">
        <f>Ruimtestaat[[#This Row],[Prest. (m2 /jaar) weekend]]+Ruimtestaat[[#This Row],[Prest. (m2 /jaar) werkdagen]]</f>
        <v>3458</v>
      </c>
      <c r="AF52" s="67">
        <f>Ruimtestaat[[#This Row],[uren / jaar weekend]]+Ruimtestaat[[#This Row],[uren / jaar werkdagen]]</f>
        <v>0</v>
      </c>
      <c r="AG52" s="68">
        <f>Ruimtestaat[[#This Row],[kosten / jaar weekend]]+Ruimtestaat[[#This Row],[kosten / jaar werkdagen]]</f>
        <v>0</v>
      </c>
      <c r="AH52" s="96"/>
      <c r="HL52" s="66"/>
    </row>
    <row r="53" spans="1:220" ht="15" customHeight="1">
      <c r="A53" s="114">
        <v>1</v>
      </c>
      <c r="B53" s="24" t="str">
        <f>VLOOKUP(Ruimtestaat[[#This Row],[Code]],Locaties[#All],2,FALSE)</f>
        <v>Hoofdgebouw</v>
      </c>
      <c r="C53" s="24" t="str">
        <f>VLOOKUP(Ruimtestaat[[#This Row],[Code]],Locaties[#All],4,FALSE)</f>
        <v>Rohofstraat 83</v>
      </c>
      <c r="D53" s="24" t="str">
        <f>VLOOKUP(Ruimtestaat[[#This Row],[Code]],Locaties[#All],5,FALSE)</f>
        <v>7605 AT</v>
      </c>
      <c r="E53" s="24" t="str">
        <f>VLOOKUP(Ruimtestaat[[#This Row],[Code]],Locaties[#All],6,FALSE)</f>
        <v>Almelo</v>
      </c>
      <c r="F53" s="61"/>
      <c r="G53" s="24" t="s">
        <v>435</v>
      </c>
      <c r="H53" s="24" t="s">
        <v>510</v>
      </c>
      <c r="I53" s="4" t="s">
        <v>502</v>
      </c>
      <c r="J53" s="24">
        <v>3</v>
      </c>
      <c r="K53" s="61" t="str">
        <f>VLOOKUP(J53,Ruimtegroepen[],2,FALSE)</f>
        <v>Reproruimte</v>
      </c>
      <c r="L53" s="24" t="s">
        <v>103</v>
      </c>
      <c r="M53" s="24" t="s">
        <v>38</v>
      </c>
      <c r="N53" s="87">
        <v>9</v>
      </c>
      <c r="O53" s="87"/>
      <c r="P53" s="97" t="str">
        <f>LEFT(VLOOKUP(Ruimtestaat[[#This Row],[Ruimte code]],Ruimtegroepen[#All],4,1),2)</f>
        <v>Ve</v>
      </c>
      <c r="Q53" s="87"/>
      <c r="R53" s="88">
        <v>52</v>
      </c>
      <c r="S53" s="88" t="s">
        <v>2</v>
      </c>
      <c r="T53" s="89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53" s="89">
        <f>IF(T53&gt;0,VLOOKUP($J53,Ruimtegroepen[],3,FALSE)*VLOOKUP($L53,Vloersoorten[],3,FALSE)*VLOOKUP($S53,Frequenties[],3,FALSE)*VLOOKUP($A53,Locaties[],3,FALSE),0)</f>
        <v>0</v>
      </c>
      <c r="V53" s="90">
        <f>Ruimtestaat[[#This Row],[Uitvoeringen werkdagen]]*Ruimtestaat[[#This Row],[Oppervlak (netto)]]</f>
        <v>2340</v>
      </c>
      <c r="W53" s="91">
        <f>IF(U53&gt;0,Ruimtestaat[[#This Row],[Prest. (m2 /jaar) werkdagen]]/Ruimtestaat[[#This Row],[Norm (m2/uur) werkdagen]],0)</f>
        <v>0</v>
      </c>
      <c r="X53" s="92">
        <f>Ruimtestaat[[#This Row],[uren / jaar werkdagen]]*Tariefsopbouw!$E$35</f>
        <v>0</v>
      </c>
      <c r="Y53" s="89"/>
      <c r="Z53" s="93">
        <f>IF(Ruimtestaat[[#This Row],[Frequentie weekend]]&gt;0,VALUE(LEFT(Y53,1))*R53,0)</f>
        <v>0</v>
      </c>
      <c r="AA53" s="89">
        <f>IF($Z53&gt;0,VLOOKUP($J53,Ruimtegroepen[],3,FALSE)*VLOOKUP($L53,Vloersoorten[],3,FALSE)*VLOOKUP($Y53,Frequenties[],3,FALSE)*VLOOKUP($A49,Locaties[],3,FALSE),0)</f>
        <v>0</v>
      </c>
      <c r="AB53" s="91">
        <f>Ruimtestaat[[#This Row],[Uitvoeringen weekend]]*Ruimtestaat[[#This Row],[Oppervlak (netto)]]</f>
        <v>0</v>
      </c>
      <c r="AC53" s="94">
        <f>IF(AB53&gt;0,Ruimtestaat[[#This Row],[Prest. (m2 /jaar) weekend]]/Ruimtestaat[[#This Row],[Norm (m2/uur) weekend]],0)</f>
        <v>0</v>
      </c>
      <c r="AD53" s="95">
        <f>Ruimtestaat[[#This Row],[uren / jaar weekend]]*Tariefsopbouw!$D$40</f>
        <v>0</v>
      </c>
      <c r="AE53" s="67">
        <f>Ruimtestaat[[#This Row],[Prest. (m2 /jaar) weekend]]+Ruimtestaat[[#This Row],[Prest. (m2 /jaar) werkdagen]]</f>
        <v>2340</v>
      </c>
      <c r="AF53" s="67">
        <f>Ruimtestaat[[#This Row],[uren / jaar weekend]]+Ruimtestaat[[#This Row],[uren / jaar werkdagen]]</f>
        <v>0</v>
      </c>
      <c r="AG53" s="68">
        <f>Ruimtestaat[[#This Row],[kosten / jaar weekend]]+Ruimtestaat[[#This Row],[kosten / jaar werkdagen]]</f>
        <v>0</v>
      </c>
      <c r="AH53" s="96"/>
      <c r="HL53" s="66"/>
    </row>
    <row r="54" spans="1:220" ht="15" customHeight="1">
      <c r="A54" s="114">
        <v>1</v>
      </c>
      <c r="B54" s="24" t="str">
        <f>VLOOKUP(Ruimtestaat[[#This Row],[Code]],Locaties[#All],2,FALSE)</f>
        <v>Hoofdgebouw</v>
      </c>
      <c r="C54" s="24" t="str">
        <f>VLOOKUP(Ruimtestaat[[#This Row],[Code]],Locaties[#All],4,FALSE)</f>
        <v>Rohofstraat 83</v>
      </c>
      <c r="D54" s="24" t="str">
        <f>VLOOKUP(Ruimtestaat[[#This Row],[Code]],Locaties[#All],5,FALSE)</f>
        <v>7605 AT</v>
      </c>
      <c r="E54" s="24" t="str">
        <f>VLOOKUP(Ruimtestaat[[#This Row],[Code]],Locaties[#All],6,FALSE)</f>
        <v>Almelo</v>
      </c>
      <c r="F54" s="61"/>
      <c r="G54" s="24" t="s">
        <v>435</v>
      </c>
      <c r="H54" s="24" t="s">
        <v>511</v>
      </c>
      <c r="I54" s="4" t="s">
        <v>481</v>
      </c>
      <c r="J54" s="24">
        <v>17</v>
      </c>
      <c r="K54" s="61" t="str">
        <f>VLOOKUP(J54,Ruimtegroepen[],2,FALSE)</f>
        <v>Niet in Onderhoud</v>
      </c>
      <c r="M54" s="24"/>
      <c r="N54" s="87"/>
      <c r="O54" s="87">
        <v>81.900000000000006</v>
      </c>
      <c r="P54" s="97" t="str">
        <f>LEFT(VLOOKUP(Ruimtestaat[[#This Row],[Ruimte code]],Ruimtegroepen[#All],4,1),2)</f>
        <v/>
      </c>
      <c r="Q54" s="87"/>
      <c r="R54" s="88"/>
      <c r="S54" s="88"/>
      <c r="T54" s="89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4" s="89">
        <f>IF(T54&gt;0,VLOOKUP($J54,Ruimtegroepen[],3,FALSE)*VLOOKUP($L54,Vloersoorten[],3,FALSE)*VLOOKUP($S54,Frequenties[],3,FALSE)*VLOOKUP($A54,Locaties[],3,FALSE),0)</f>
        <v>0</v>
      </c>
      <c r="V54" s="90">
        <f>Ruimtestaat[[#This Row],[Uitvoeringen werkdagen]]*Ruimtestaat[[#This Row],[Oppervlak (netto)]]</f>
        <v>0</v>
      </c>
      <c r="W54" s="91">
        <f>IF(U54&gt;0,Ruimtestaat[[#This Row],[Prest. (m2 /jaar) werkdagen]]/Ruimtestaat[[#This Row],[Norm (m2/uur) werkdagen]],0)</f>
        <v>0</v>
      </c>
      <c r="X54" s="92">
        <f>Ruimtestaat[[#This Row],[uren / jaar werkdagen]]*Tariefsopbouw!$E$35</f>
        <v>0</v>
      </c>
      <c r="Y54" s="89"/>
      <c r="Z54" s="93">
        <f>IF(Ruimtestaat[[#This Row],[Frequentie weekend]]&gt;0,VALUE(LEFT(Y54,1))*R54,0)</f>
        <v>0</v>
      </c>
      <c r="AA54" s="89">
        <f>IF($Z54&gt;0,VLOOKUP($J54,Ruimtegroepen[],3,FALSE)*VLOOKUP($L54,Vloersoorten[],3,FALSE)*VLOOKUP($Y54,Frequenties[],3,FALSE)*VLOOKUP($A50,Locaties[],3,FALSE),0)</f>
        <v>0</v>
      </c>
      <c r="AB54" s="91">
        <f>Ruimtestaat[[#This Row],[Uitvoeringen weekend]]*Ruimtestaat[[#This Row],[Oppervlak (netto)]]</f>
        <v>0</v>
      </c>
      <c r="AC54" s="94">
        <f>IF(AB54&gt;0,Ruimtestaat[[#This Row],[Prest. (m2 /jaar) weekend]]/Ruimtestaat[[#This Row],[Norm (m2/uur) weekend]],0)</f>
        <v>0</v>
      </c>
      <c r="AD54" s="95">
        <f>Ruimtestaat[[#This Row],[uren / jaar weekend]]*Tariefsopbouw!$D$40</f>
        <v>0</v>
      </c>
      <c r="AE54" s="67">
        <f>Ruimtestaat[[#This Row],[Prest. (m2 /jaar) weekend]]+Ruimtestaat[[#This Row],[Prest. (m2 /jaar) werkdagen]]</f>
        <v>0</v>
      </c>
      <c r="AF54" s="67">
        <f>Ruimtestaat[[#This Row],[uren / jaar weekend]]+Ruimtestaat[[#This Row],[uren / jaar werkdagen]]</f>
        <v>0</v>
      </c>
      <c r="AG54" s="68">
        <f>Ruimtestaat[[#This Row],[kosten / jaar weekend]]+Ruimtestaat[[#This Row],[kosten / jaar werkdagen]]</f>
        <v>0</v>
      </c>
      <c r="AH54" s="96"/>
      <c r="HL54" s="66"/>
    </row>
    <row r="55" spans="1:220" ht="15" customHeight="1">
      <c r="A55" s="114">
        <v>1</v>
      </c>
      <c r="B55" s="24" t="str">
        <f>VLOOKUP(Ruimtestaat[[#This Row],[Code]],Locaties[#All],2,FALSE)</f>
        <v>Hoofdgebouw</v>
      </c>
      <c r="C55" s="24" t="str">
        <f>VLOOKUP(Ruimtestaat[[#This Row],[Code]],Locaties[#All],4,FALSE)</f>
        <v>Rohofstraat 83</v>
      </c>
      <c r="D55" s="24" t="str">
        <f>VLOOKUP(Ruimtestaat[[#This Row],[Code]],Locaties[#All],5,FALSE)</f>
        <v>7605 AT</v>
      </c>
      <c r="E55" s="24" t="str">
        <f>VLOOKUP(Ruimtestaat[[#This Row],[Code]],Locaties[#All],6,FALSE)</f>
        <v>Almelo</v>
      </c>
      <c r="F55" s="61"/>
      <c r="G55" s="24" t="s">
        <v>435</v>
      </c>
      <c r="H55" s="24" t="s">
        <v>512</v>
      </c>
      <c r="I55" s="4" t="s">
        <v>474</v>
      </c>
      <c r="J55" s="24">
        <v>5</v>
      </c>
      <c r="K55" s="61" t="str">
        <f>VLOOKUP(J55,Ruimtegroepen[],2,FALSE)</f>
        <v>Sanitair</v>
      </c>
      <c r="L55" s="24" t="s">
        <v>105</v>
      </c>
      <c r="M55" s="24" t="s">
        <v>796</v>
      </c>
      <c r="N55" s="87">
        <v>10.5</v>
      </c>
      <c r="O55" s="87"/>
      <c r="P55" s="97" t="str">
        <f>LEFT(VLOOKUP(Ruimtestaat[[#This Row],[Ruimte code]],Ruimtegroepen[#All],4,1),2)</f>
        <v>Sa</v>
      </c>
      <c r="Q55" s="87"/>
      <c r="R55" s="88">
        <v>52</v>
      </c>
      <c r="S55" s="88" t="s">
        <v>2</v>
      </c>
      <c r="T55" s="89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55" s="89">
        <f>IF(T55&gt;0,VLOOKUP($J55,Ruimtegroepen[],3,FALSE)*VLOOKUP($L55,Vloersoorten[],3,FALSE)*VLOOKUP($S55,Frequenties[],3,FALSE)*VLOOKUP($A55,Locaties[],3,FALSE),0)</f>
        <v>0</v>
      </c>
      <c r="V55" s="90">
        <f>Ruimtestaat[[#This Row],[Uitvoeringen werkdagen]]*Ruimtestaat[[#This Row],[Oppervlak (netto)]]</f>
        <v>2730</v>
      </c>
      <c r="W55" s="91">
        <f>IF(U55&gt;0,Ruimtestaat[[#This Row],[Prest. (m2 /jaar) werkdagen]]/Ruimtestaat[[#This Row],[Norm (m2/uur) werkdagen]],0)</f>
        <v>0</v>
      </c>
      <c r="X55" s="92">
        <f>Ruimtestaat[[#This Row],[uren / jaar werkdagen]]*Tariefsopbouw!$E$35</f>
        <v>0</v>
      </c>
      <c r="Y55" s="89"/>
      <c r="Z55" s="93">
        <f>IF(Ruimtestaat[[#This Row],[Frequentie weekend]]&gt;0,VALUE(LEFT(Y55,1))*R55,0)</f>
        <v>0</v>
      </c>
      <c r="AA55" s="89">
        <f>IF($Z55&gt;0,VLOOKUP($J55,Ruimtegroepen[],3,FALSE)*VLOOKUP($L55,Vloersoorten[],3,FALSE)*VLOOKUP($Y55,Frequenties[],3,FALSE)*VLOOKUP($A51,Locaties[],3,FALSE),0)</f>
        <v>0</v>
      </c>
      <c r="AB55" s="91">
        <f>Ruimtestaat[[#This Row],[Uitvoeringen weekend]]*Ruimtestaat[[#This Row],[Oppervlak (netto)]]</f>
        <v>0</v>
      </c>
      <c r="AC55" s="94">
        <f>IF(AB55&gt;0,Ruimtestaat[[#This Row],[Prest. (m2 /jaar) weekend]]/Ruimtestaat[[#This Row],[Norm (m2/uur) weekend]],0)</f>
        <v>0</v>
      </c>
      <c r="AD55" s="95">
        <f>Ruimtestaat[[#This Row],[uren / jaar weekend]]*Tariefsopbouw!$D$40</f>
        <v>0</v>
      </c>
      <c r="AE55" s="67">
        <f>Ruimtestaat[[#This Row],[Prest. (m2 /jaar) weekend]]+Ruimtestaat[[#This Row],[Prest. (m2 /jaar) werkdagen]]</f>
        <v>2730</v>
      </c>
      <c r="AF55" s="67">
        <f>Ruimtestaat[[#This Row],[uren / jaar weekend]]+Ruimtestaat[[#This Row],[uren / jaar werkdagen]]</f>
        <v>0</v>
      </c>
      <c r="AG55" s="68">
        <f>Ruimtestaat[[#This Row],[kosten / jaar weekend]]+Ruimtestaat[[#This Row],[kosten / jaar werkdagen]]</f>
        <v>0</v>
      </c>
      <c r="AH55" s="96"/>
      <c r="HL55" s="66"/>
    </row>
    <row r="56" spans="1:220" ht="15" customHeight="1">
      <c r="A56" s="114">
        <v>1</v>
      </c>
      <c r="B56" s="24" t="str">
        <f>VLOOKUP(Ruimtestaat[[#This Row],[Code]],Locaties[#All],2,FALSE)</f>
        <v>Hoofdgebouw</v>
      </c>
      <c r="C56" s="24" t="str">
        <f>VLOOKUP(Ruimtestaat[[#This Row],[Code]],Locaties[#All],4,FALSE)</f>
        <v>Rohofstraat 83</v>
      </c>
      <c r="D56" s="24" t="str">
        <f>VLOOKUP(Ruimtestaat[[#This Row],[Code]],Locaties[#All],5,FALSE)</f>
        <v>7605 AT</v>
      </c>
      <c r="E56" s="24" t="str">
        <f>VLOOKUP(Ruimtestaat[[#This Row],[Code]],Locaties[#All],6,FALSE)</f>
        <v>Almelo</v>
      </c>
      <c r="F56" s="61"/>
      <c r="G56" s="24" t="s">
        <v>435</v>
      </c>
      <c r="H56" s="24" t="s">
        <v>513</v>
      </c>
      <c r="I56" s="4" t="s">
        <v>474</v>
      </c>
      <c r="J56" s="24">
        <v>5</v>
      </c>
      <c r="K56" s="61" t="str">
        <f>VLOOKUP(J56,Ruimtegroepen[],2,FALSE)</f>
        <v>Sanitair</v>
      </c>
      <c r="L56" s="24" t="s">
        <v>105</v>
      </c>
      <c r="M56" s="24" t="s">
        <v>796</v>
      </c>
      <c r="N56" s="87">
        <v>7.3</v>
      </c>
      <c r="O56" s="87"/>
      <c r="P56" s="97" t="str">
        <f>LEFT(VLOOKUP(Ruimtestaat[[#This Row],[Ruimte code]],Ruimtegroepen[#All],4,1),2)</f>
        <v>Sa</v>
      </c>
      <c r="Q56" s="87"/>
      <c r="R56" s="88">
        <v>52</v>
      </c>
      <c r="S56" s="88" t="s">
        <v>2</v>
      </c>
      <c r="T56" s="89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56" s="89">
        <f>IF(T56&gt;0,VLOOKUP($J56,Ruimtegroepen[],3,FALSE)*VLOOKUP($L56,Vloersoorten[],3,FALSE)*VLOOKUP($S56,Frequenties[],3,FALSE)*VLOOKUP($A56,Locaties[],3,FALSE),0)</f>
        <v>0</v>
      </c>
      <c r="V56" s="90">
        <f>Ruimtestaat[[#This Row],[Uitvoeringen werkdagen]]*Ruimtestaat[[#This Row],[Oppervlak (netto)]]</f>
        <v>1898</v>
      </c>
      <c r="W56" s="91">
        <f>IF(U56&gt;0,Ruimtestaat[[#This Row],[Prest. (m2 /jaar) werkdagen]]/Ruimtestaat[[#This Row],[Norm (m2/uur) werkdagen]],0)</f>
        <v>0</v>
      </c>
      <c r="X56" s="92">
        <f>Ruimtestaat[[#This Row],[uren / jaar werkdagen]]*Tariefsopbouw!$E$35</f>
        <v>0</v>
      </c>
      <c r="Y56" s="89"/>
      <c r="Z56" s="93">
        <f>IF(Ruimtestaat[[#This Row],[Frequentie weekend]]&gt;0,VALUE(LEFT(Y56,1))*R56,0)</f>
        <v>0</v>
      </c>
      <c r="AA56" s="89">
        <f>IF($Z56&gt;0,VLOOKUP($J56,Ruimtegroepen[],3,FALSE)*VLOOKUP($L56,Vloersoorten[],3,FALSE)*VLOOKUP($Y56,Frequenties[],3,FALSE)*VLOOKUP($A52,Locaties[],3,FALSE),0)</f>
        <v>0</v>
      </c>
      <c r="AB56" s="91">
        <f>Ruimtestaat[[#This Row],[Uitvoeringen weekend]]*Ruimtestaat[[#This Row],[Oppervlak (netto)]]</f>
        <v>0</v>
      </c>
      <c r="AC56" s="94">
        <f>IF(AB56&gt;0,Ruimtestaat[[#This Row],[Prest. (m2 /jaar) weekend]]/Ruimtestaat[[#This Row],[Norm (m2/uur) weekend]],0)</f>
        <v>0</v>
      </c>
      <c r="AD56" s="95">
        <f>Ruimtestaat[[#This Row],[uren / jaar weekend]]*Tariefsopbouw!$D$40</f>
        <v>0</v>
      </c>
      <c r="AE56" s="67">
        <f>Ruimtestaat[[#This Row],[Prest. (m2 /jaar) weekend]]+Ruimtestaat[[#This Row],[Prest. (m2 /jaar) werkdagen]]</f>
        <v>1898</v>
      </c>
      <c r="AF56" s="67">
        <f>Ruimtestaat[[#This Row],[uren / jaar weekend]]+Ruimtestaat[[#This Row],[uren / jaar werkdagen]]</f>
        <v>0</v>
      </c>
      <c r="AG56" s="68">
        <f>Ruimtestaat[[#This Row],[kosten / jaar weekend]]+Ruimtestaat[[#This Row],[kosten / jaar werkdagen]]</f>
        <v>0</v>
      </c>
      <c r="AH56" s="96"/>
      <c r="HL56" s="66"/>
    </row>
    <row r="57" spans="1:220" ht="15" customHeight="1">
      <c r="A57" s="114">
        <v>1</v>
      </c>
      <c r="B57" s="24" t="str">
        <f>VLOOKUP(Ruimtestaat[[#This Row],[Code]],Locaties[#All],2,FALSE)</f>
        <v>Hoofdgebouw</v>
      </c>
      <c r="C57" s="24" t="str">
        <f>VLOOKUP(Ruimtestaat[[#This Row],[Code]],Locaties[#All],4,FALSE)</f>
        <v>Rohofstraat 83</v>
      </c>
      <c r="D57" s="24" t="str">
        <f>VLOOKUP(Ruimtestaat[[#This Row],[Code]],Locaties[#All],5,FALSE)</f>
        <v>7605 AT</v>
      </c>
      <c r="E57" s="24" t="str">
        <f>VLOOKUP(Ruimtestaat[[#This Row],[Code]],Locaties[#All],6,FALSE)</f>
        <v>Almelo</v>
      </c>
      <c r="F57" s="61"/>
      <c r="G57" s="24" t="s">
        <v>435</v>
      </c>
      <c r="H57" s="24" t="s">
        <v>514</v>
      </c>
      <c r="I57" s="4" t="s">
        <v>515</v>
      </c>
      <c r="J57" s="24">
        <v>10</v>
      </c>
      <c r="K57" s="61" t="str">
        <f>VLOOKUP(J57,Ruimtegroepen[],2,FALSE)</f>
        <v>Trappenhuizen/lift</v>
      </c>
      <c r="L57" s="329" t="s">
        <v>105</v>
      </c>
      <c r="M57" s="329" t="s">
        <v>786</v>
      </c>
      <c r="N57" s="87">
        <v>22</v>
      </c>
      <c r="O57" s="87"/>
      <c r="P57" s="97" t="str">
        <f>LEFT(VLOOKUP(Ruimtestaat[[#This Row],[Ruimte code]],Ruimtegroepen[#All],4,1),2)</f>
        <v>Ve</v>
      </c>
      <c r="Q57" s="87"/>
      <c r="R57" s="88">
        <v>52</v>
      </c>
      <c r="S57" s="88" t="s">
        <v>2</v>
      </c>
      <c r="T57" s="89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57" s="89">
        <f>IF(T57&gt;0,VLOOKUP($J57,Ruimtegroepen[],3,FALSE)*VLOOKUP($L57,Vloersoorten[],3,FALSE)*VLOOKUP($S57,Frequenties[],3,FALSE)*VLOOKUP($A57,Locaties[],3,FALSE),0)</f>
        <v>0</v>
      </c>
      <c r="V57" s="90">
        <f>Ruimtestaat[[#This Row],[Uitvoeringen werkdagen]]*Ruimtestaat[[#This Row],[Oppervlak (netto)]]</f>
        <v>5720</v>
      </c>
      <c r="W57" s="91">
        <f>IF(U57&gt;0,Ruimtestaat[[#This Row],[Prest. (m2 /jaar) werkdagen]]/Ruimtestaat[[#This Row],[Norm (m2/uur) werkdagen]],0)</f>
        <v>0</v>
      </c>
      <c r="X57" s="92">
        <f>Ruimtestaat[[#This Row],[uren / jaar werkdagen]]*Tariefsopbouw!$E$35</f>
        <v>0</v>
      </c>
      <c r="Y57" s="89"/>
      <c r="Z57" s="93">
        <f>IF(Ruimtestaat[[#This Row],[Frequentie weekend]]&gt;0,VALUE(LEFT(Y57,1))*R57,0)</f>
        <v>0</v>
      </c>
      <c r="AA57" s="89">
        <f>IF($Z57&gt;0,VLOOKUP($J57,Ruimtegroepen[],3,FALSE)*VLOOKUP($L57,Vloersoorten[],3,FALSE)*VLOOKUP($Y57,Frequenties[],3,FALSE)*VLOOKUP($A49,Locaties[],3,FALSE),0)</f>
        <v>0</v>
      </c>
      <c r="AB57" s="91">
        <f>Ruimtestaat[[#This Row],[Uitvoeringen weekend]]*Ruimtestaat[[#This Row],[Oppervlak (netto)]]</f>
        <v>0</v>
      </c>
      <c r="AC57" s="94">
        <f>IF(AB57&gt;0,Ruimtestaat[[#This Row],[Prest. (m2 /jaar) weekend]]/Ruimtestaat[[#This Row],[Norm (m2/uur) weekend]],0)</f>
        <v>0</v>
      </c>
      <c r="AD57" s="95">
        <f>Ruimtestaat[[#This Row],[uren / jaar weekend]]*Tariefsopbouw!$D$40</f>
        <v>0</v>
      </c>
      <c r="AE57" s="67">
        <f>Ruimtestaat[[#This Row],[Prest. (m2 /jaar) weekend]]+Ruimtestaat[[#This Row],[Prest. (m2 /jaar) werkdagen]]</f>
        <v>5720</v>
      </c>
      <c r="AF57" s="67">
        <f>Ruimtestaat[[#This Row],[uren / jaar weekend]]+Ruimtestaat[[#This Row],[uren / jaar werkdagen]]</f>
        <v>0</v>
      </c>
      <c r="AG57" s="68">
        <f>Ruimtestaat[[#This Row],[kosten / jaar weekend]]+Ruimtestaat[[#This Row],[kosten / jaar werkdagen]]</f>
        <v>0</v>
      </c>
      <c r="AH57" s="96"/>
      <c r="HL57" s="66"/>
    </row>
    <row r="58" spans="1:220" ht="15" customHeight="1">
      <c r="A58" s="114">
        <v>1</v>
      </c>
      <c r="B58" s="24" t="str">
        <f>VLOOKUP(Ruimtestaat[[#This Row],[Code]],Locaties[#All],2,FALSE)</f>
        <v>Hoofdgebouw</v>
      </c>
      <c r="C58" s="24" t="str">
        <f>VLOOKUP(Ruimtestaat[[#This Row],[Code]],Locaties[#All],4,FALSE)</f>
        <v>Rohofstraat 83</v>
      </c>
      <c r="D58" s="24" t="str">
        <f>VLOOKUP(Ruimtestaat[[#This Row],[Code]],Locaties[#All],5,FALSE)</f>
        <v>7605 AT</v>
      </c>
      <c r="E58" s="24" t="str">
        <f>VLOOKUP(Ruimtestaat[[#This Row],[Code]],Locaties[#All],6,FALSE)</f>
        <v>Almelo</v>
      </c>
      <c r="F58" s="61"/>
      <c r="G58" s="24" t="s">
        <v>435</v>
      </c>
      <c r="H58" s="24" t="s">
        <v>516</v>
      </c>
      <c r="I58" s="4" t="s">
        <v>517</v>
      </c>
      <c r="J58" s="24">
        <v>10</v>
      </c>
      <c r="K58" s="61" t="str">
        <f>VLOOKUP(J58,Ruimtegroepen[],2,FALSE)</f>
        <v>Trappenhuizen/lift</v>
      </c>
      <c r="L58" s="329" t="s">
        <v>106</v>
      </c>
      <c r="M58" s="329" t="s">
        <v>126</v>
      </c>
      <c r="N58" s="87">
        <v>3</v>
      </c>
      <c r="O58" s="87"/>
      <c r="P58" s="97" t="str">
        <f>LEFT(VLOOKUP(Ruimtestaat[[#This Row],[Ruimte code]],Ruimtegroepen[#All],4,1),2)</f>
        <v>Ve</v>
      </c>
      <c r="Q58" s="87"/>
      <c r="R58" s="88">
        <v>52</v>
      </c>
      <c r="S58" s="88" t="s">
        <v>2</v>
      </c>
      <c r="T58" s="89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58" s="89">
        <f>IF(T58&gt;0,VLOOKUP($J58,Ruimtegroepen[],3,FALSE)*VLOOKUP($L58,Vloersoorten[],3,FALSE)*VLOOKUP($S58,Frequenties[],3,FALSE)*VLOOKUP($A58,Locaties[],3,FALSE),0)</f>
        <v>0</v>
      </c>
      <c r="V58" s="90">
        <f>Ruimtestaat[[#This Row],[Uitvoeringen werkdagen]]*Ruimtestaat[[#This Row],[Oppervlak (netto)]]</f>
        <v>780</v>
      </c>
      <c r="W58" s="91">
        <f>IF(U58&gt;0,Ruimtestaat[[#This Row],[Prest. (m2 /jaar) werkdagen]]/Ruimtestaat[[#This Row],[Norm (m2/uur) werkdagen]],0)</f>
        <v>0</v>
      </c>
      <c r="X58" s="92">
        <f>Ruimtestaat[[#This Row],[uren / jaar werkdagen]]*Tariefsopbouw!$E$35</f>
        <v>0</v>
      </c>
      <c r="Y58" s="89"/>
      <c r="Z58" s="93">
        <f>IF(Ruimtestaat[[#This Row],[Frequentie weekend]]&gt;0,VALUE(LEFT(Y58,1))*R58,0)</f>
        <v>0</v>
      </c>
      <c r="AA58" s="89">
        <f>IF($Z58&gt;0,VLOOKUP($J58,Ruimtegroepen[],3,FALSE)*VLOOKUP($L58,Vloersoorten[],3,FALSE)*VLOOKUP($Y58,Frequenties[],3,FALSE)*VLOOKUP($A50,Locaties[],3,FALSE),0)</f>
        <v>0</v>
      </c>
      <c r="AB58" s="91">
        <f>Ruimtestaat[[#This Row],[Uitvoeringen weekend]]*Ruimtestaat[[#This Row],[Oppervlak (netto)]]</f>
        <v>0</v>
      </c>
      <c r="AC58" s="94">
        <f>IF(AB58&gt;0,Ruimtestaat[[#This Row],[Prest. (m2 /jaar) weekend]]/Ruimtestaat[[#This Row],[Norm (m2/uur) weekend]],0)</f>
        <v>0</v>
      </c>
      <c r="AD58" s="95">
        <f>Ruimtestaat[[#This Row],[uren / jaar weekend]]*Tariefsopbouw!$D$40</f>
        <v>0</v>
      </c>
      <c r="AE58" s="67">
        <f>Ruimtestaat[[#This Row],[Prest. (m2 /jaar) weekend]]+Ruimtestaat[[#This Row],[Prest. (m2 /jaar) werkdagen]]</f>
        <v>780</v>
      </c>
      <c r="AF58" s="67">
        <f>Ruimtestaat[[#This Row],[uren / jaar weekend]]+Ruimtestaat[[#This Row],[uren / jaar werkdagen]]</f>
        <v>0</v>
      </c>
      <c r="AG58" s="68">
        <f>Ruimtestaat[[#This Row],[kosten / jaar weekend]]+Ruimtestaat[[#This Row],[kosten / jaar werkdagen]]</f>
        <v>0</v>
      </c>
      <c r="AH58" s="96"/>
      <c r="HL58" s="66"/>
    </row>
    <row r="59" spans="1:220" ht="15" customHeight="1">
      <c r="A59" s="114">
        <v>1</v>
      </c>
      <c r="B59" s="24" t="str">
        <f>VLOOKUP(Ruimtestaat[[#This Row],[Code]],Locaties[#All],2,FALSE)</f>
        <v>Hoofdgebouw</v>
      </c>
      <c r="C59" s="24" t="str">
        <f>VLOOKUP(Ruimtestaat[[#This Row],[Code]],Locaties[#All],4,FALSE)</f>
        <v>Rohofstraat 83</v>
      </c>
      <c r="D59" s="24" t="str">
        <f>VLOOKUP(Ruimtestaat[[#This Row],[Code]],Locaties[#All],5,FALSE)</f>
        <v>7605 AT</v>
      </c>
      <c r="E59" s="24" t="str">
        <f>VLOOKUP(Ruimtestaat[[#This Row],[Code]],Locaties[#All],6,FALSE)</f>
        <v>Almelo</v>
      </c>
      <c r="F59" s="61"/>
      <c r="G59" s="24" t="s">
        <v>435</v>
      </c>
      <c r="H59" s="24" t="s">
        <v>518</v>
      </c>
      <c r="I59" s="334" t="s">
        <v>519</v>
      </c>
      <c r="J59" s="329">
        <v>5</v>
      </c>
      <c r="K59" s="330" t="str">
        <f>VLOOKUP(J59,Ruimtegroepen[],2,FALSE)</f>
        <v>Sanitair</v>
      </c>
      <c r="L59" s="329" t="s">
        <v>105</v>
      </c>
      <c r="M59" s="329" t="s">
        <v>796</v>
      </c>
      <c r="N59" s="332">
        <v>4.5999999999999996</v>
      </c>
      <c r="O59" s="87"/>
      <c r="P59" s="97" t="str">
        <f>LEFT(VLOOKUP(Ruimtestaat[[#This Row],[Ruimte code]],Ruimtegroepen[#All],4,1),2)</f>
        <v>Sa</v>
      </c>
      <c r="Q59" s="87"/>
      <c r="R59" s="88">
        <v>52</v>
      </c>
      <c r="S59" s="88" t="s">
        <v>2</v>
      </c>
      <c r="T59" s="89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59" s="89">
        <f>IF(T59&gt;0,VLOOKUP($J59,Ruimtegroepen[],3,FALSE)*VLOOKUP($L59,Vloersoorten[],3,FALSE)*VLOOKUP($S59,Frequenties[],3,FALSE)*VLOOKUP($A59,Locaties[],3,FALSE),0)</f>
        <v>0</v>
      </c>
      <c r="V59" s="90">
        <f>Ruimtestaat[[#This Row],[Uitvoeringen werkdagen]]*Ruimtestaat[[#This Row],[Oppervlak (netto)]]</f>
        <v>1196</v>
      </c>
      <c r="W59" s="91">
        <f>IF(U59&gt;0,Ruimtestaat[[#This Row],[Prest. (m2 /jaar) werkdagen]]/Ruimtestaat[[#This Row],[Norm (m2/uur) werkdagen]],0)</f>
        <v>0</v>
      </c>
      <c r="X59" s="92">
        <f>Ruimtestaat[[#This Row],[uren / jaar werkdagen]]*Tariefsopbouw!$E$35</f>
        <v>0</v>
      </c>
      <c r="Y59" s="89"/>
      <c r="Z59" s="93">
        <f>IF(Ruimtestaat[[#This Row],[Frequentie weekend]]&gt;0,VALUE(LEFT(Y59,1))*R59,0)</f>
        <v>0</v>
      </c>
      <c r="AA59" s="89">
        <f>IF($Z59&gt;0,VLOOKUP($J59,Ruimtegroepen[],3,FALSE)*VLOOKUP($L59,Vloersoorten[],3,FALSE)*VLOOKUP($Y59,Frequenties[],3,FALSE)*VLOOKUP($A51,Locaties[],3,FALSE),0)</f>
        <v>0</v>
      </c>
      <c r="AB59" s="91">
        <f>Ruimtestaat[[#This Row],[Uitvoeringen weekend]]*Ruimtestaat[[#This Row],[Oppervlak (netto)]]</f>
        <v>0</v>
      </c>
      <c r="AC59" s="94">
        <f>IF(AB59&gt;0,Ruimtestaat[[#This Row],[Prest. (m2 /jaar) weekend]]/Ruimtestaat[[#This Row],[Norm (m2/uur) weekend]],0)</f>
        <v>0</v>
      </c>
      <c r="AD59" s="95">
        <f>Ruimtestaat[[#This Row],[uren / jaar weekend]]*Tariefsopbouw!$D$40</f>
        <v>0</v>
      </c>
      <c r="AE59" s="67">
        <f>Ruimtestaat[[#This Row],[Prest. (m2 /jaar) weekend]]+Ruimtestaat[[#This Row],[Prest. (m2 /jaar) werkdagen]]</f>
        <v>1196</v>
      </c>
      <c r="AF59" s="67">
        <f>Ruimtestaat[[#This Row],[uren / jaar weekend]]+Ruimtestaat[[#This Row],[uren / jaar werkdagen]]</f>
        <v>0</v>
      </c>
      <c r="AG59" s="68">
        <f>Ruimtestaat[[#This Row],[kosten / jaar weekend]]+Ruimtestaat[[#This Row],[kosten / jaar werkdagen]]</f>
        <v>0</v>
      </c>
      <c r="AH59" s="96"/>
      <c r="HL59" s="66"/>
    </row>
    <row r="60" spans="1:220" ht="15" customHeight="1">
      <c r="A60" s="114">
        <v>1</v>
      </c>
      <c r="B60" s="24" t="str">
        <f>VLOOKUP(Ruimtestaat[[#This Row],[Code]],Locaties[#All],2,FALSE)</f>
        <v>Hoofdgebouw</v>
      </c>
      <c r="C60" s="24" t="str">
        <f>VLOOKUP(Ruimtestaat[[#This Row],[Code]],Locaties[#All],4,FALSE)</f>
        <v>Rohofstraat 83</v>
      </c>
      <c r="D60" s="24" t="str">
        <f>VLOOKUP(Ruimtestaat[[#This Row],[Code]],Locaties[#All],5,FALSE)</f>
        <v>7605 AT</v>
      </c>
      <c r="E60" s="24" t="str">
        <f>VLOOKUP(Ruimtestaat[[#This Row],[Code]],Locaties[#All],6,FALSE)</f>
        <v>Almelo</v>
      </c>
      <c r="F60" s="61"/>
      <c r="G60" s="24" t="s">
        <v>435</v>
      </c>
      <c r="H60" s="24" t="s">
        <v>520</v>
      </c>
      <c r="I60" s="334" t="s">
        <v>521</v>
      </c>
      <c r="J60" s="329">
        <v>17</v>
      </c>
      <c r="K60" s="330" t="str">
        <f>VLOOKUP(J60,Ruimtegroepen[],2,FALSE)</f>
        <v>Niet in Onderhoud</v>
      </c>
      <c r="L60" s="329"/>
      <c r="M60" s="329"/>
      <c r="N60" s="332"/>
      <c r="O60" s="87">
        <v>2.6</v>
      </c>
      <c r="P60" s="97" t="str">
        <f>LEFT(VLOOKUP(Ruimtestaat[[#This Row],[Ruimte code]],Ruimtegroepen[#All],4,1),2)</f>
        <v/>
      </c>
      <c r="Q60" s="87"/>
      <c r="R60" s="88"/>
      <c r="S60" s="88"/>
      <c r="T60" s="89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0" s="89">
        <f>IF(T60&gt;0,VLOOKUP($J60,Ruimtegroepen[],3,FALSE)*VLOOKUP($L60,Vloersoorten[],3,FALSE)*VLOOKUP($S60,Frequenties[],3,FALSE)*VLOOKUP($A60,Locaties[],3,FALSE),0)</f>
        <v>0</v>
      </c>
      <c r="V60" s="90">
        <f>Ruimtestaat[[#This Row],[Uitvoeringen werkdagen]]*Ruimtestaat[[#This Row],[Oppervlak (netto)]]</f>
        <v>0</v>
      </c>
      <c r="W60" s="91">
        <f>IF(U60&gt;0,Ruimtestaat[[#This Row],[Prest. (m2 /jaar) werkdagen]]/Ruimtestaat[[#This Row],[Norm (m2/uur) werkdagen]],0)</f>
        <v>0</v>
      </c>
      <c r="X60" s="92">
        <f>Ruimtestaat[[#This Row],[uren / jaar werkdagen]]*Tariefsopbouw!$E$35</f>
        <v>0</v>
      </c>
      <c r="Y60" s="89"/>
      <c r="Z60" s="93">
        <f>IF(Ruimtestaat[[#This Row],[Frequentie weekend]]&gt;0,VALUE(LEFT(Y60,1))*R60,0)</f>
        <v>0</v>
      </c>
      <c r="AA60" s="89">
        <f>IF($Z60&gt;0,VLOOKUP($J60,Ruimtegroepen[],3,FALSE)*VLOOKUP($L60,Vloersoorten[],3,FALSE)*VLOOKUP($Y60,Frequenties[],3,FALSE)*VLOOKUP($A52,Locaties[],3,FALSE),0)</f>
        <v>0</v>
      </c>
      <c r="AB60" s="91">
        <f>Ruimtestaat[[#This Row],[Uitvoeringen weekend]]*Ruimtestaat[[#This Row],[Oppervlak (netto)]]</f>
        <v>0</v>
      </c>
      <c r="AC60" s="94">
        <f>IF(AB60&gt;0,Ruimtestaat[[#This Row],[Prest. (m2 /jaar) weekend]]/Ruimtestaat[[#This Row],[Norm (m2/uur) weekend]],0)</f>
        <v>0</v>
      </c>
      <c r="AD60" s="95">
        <f>Ruimtestaat[[#This Row],[uren / jaar weekend]]*Tariefsopbouw!$D$40</f>
        <v>0</v>
      </c>
      <c r="AE60" s="67">
        <f>Ruimtestaat[[#This Row],[Prest. (m2 /jaar) weekend]]+Ruimtestaat[[#This Row],[Prest. (m2 /jaar) werkdagen]]</f>
        <v>0</v>
      </c>
      <c r="AF60" s="67">
        <f>Ruimtestaat[[#This Row],[uren / jaar weekend]]+Ruimtestaat[[#This Row],[uren / jaar werkdagen]]</f>
        <v>0</v>
      </c>
      <c r="AG60" s="68">
        <f>Ruimtestaat[[#This Row],[kosten / jaar weekend]]+Ruimtestaat[[#This Row],[kosten / jaar werkdagen]]</f>
        <v>0</v>
      </c>
      <c r="AH60" s="96"/>
      <c r="HL60" s="66"/>
    </row>
    <row r="61" spans="1:220" ht="15" customHeight="1">
      <c r="A61" s="114">
        <v>1</v>
      </c>
      <c r="B61" s="24" t="str">
        <f>VLOOKUP(Ruimtestaat[[#This Row],[Code]],Locaties[#All],2,FALSE)</f>
        <v>Hoofdgebouw</v>
      </c>
      <c r="C61" s="24" t="str">
        <f>VLOOKUP(Ruimtestaat[[#This Row],[Code]],Locaties[#All],4,FALSE)</f>
        <v>Rohofstraat 83</v>
      </c>
      <c r="D61" s="24" t="str">
        <f>VLOOKUP(Ruimtestaat[[#This Row],[Code]],Locaties[#All],5,FALSE)</f>
        <v>7605 AT</v>
      </c>
      <c r="E61" s="24" t="str">
        <f>VLOOKUP(Ruimtestaat[[#This Row],[Code]],Locaties[#All],6,FALSE)</f>
        <v>Almelo</v>
      </c>
      <c r="F61" s="61"/>
      <c r="G61" s="24" t="s">
        <v>435</v>
      </c>
      <c r="H61" s="24" t="s">
        <v>522</v>
      </c>
      <c r="I61" s="334" t="s">
        <v>481</v>
      </c>
      <c r="J61" s="329">
        <v>17</v>
      </c>
      <c r="K61" s="330" t="str">
        <f>VLOOKUP(J61,Ruimtegroepen[],2,FALSE)</f>
        <v>Niet in Onderhoud</v>
      </c>
      <c r="L61" s="329"/>
      <c r="M61" s="329"/>
      <c r="N61" s="332"/>
      <c r="O61" s="87">
        <v>1.8</v>
      </c>
      <c r="P61" s="97" t="str">
        <f>LEFT(VLOOKUP(Ruimtestaat[[#This Row],[Ruimte code]],Ruimtegroepen[#All],4,1),2)</f>
        <v/>
      </c>
      <c r="Q61" s="87"/>
      <c r="R61" s="88"/>
      <c r="S61" s="88"/>
      <c r="T61" s="89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1" s="89">
        <f>IF(T61&gt;0,VLOOKUP($J61,Ruimtegroepen[],3,FALSE)*VLOOKUP($L61,Vloersoorten[],3,FALSE)*VLOOKUP($S61,Frequenties[],3,FALSE)*VLOOKUP($A61,Locaties[],3,FALSE),0)</f>
        <v>0</v>
      </c>
      <c r="V61" s="90">
        <f>Ruimtestaat[[#This Row],[Uitvoeringen werkdagen]]*Ruimtestaat[[#This Row],[Oppervlak (netto)]]</f>
        <v>0</v>
      </c>
      <c r="W61" s="91">
        <f>IF(U61&gt;0,Ruimtestaat[[#This Row],[Prest. (m2 /jaar) werkdagen]]/Ruimtestaat[[#This Row],[Norm (m2/uur) werkdagen]],0)</f>
        <v>0</v>
      </c>
      <c r="X61" s="92">
        <f>Ruimtestaat[[#This Row],[uren / jaar werkdagen]]*Tariefsopbouw!$E$35</f>
        <v>0</v>
      </c>
      <c r="Y61" s="89"/>
      <c r="Z61" s="93">
        <f>IF(Ruimtestaat[[#This Row],[Frequentie weekend]]&gt;0,VALUE(LEFT(Y61,1))*R61,0)</f>
        <v>0</v>
      </c>
      <c r="AA61" s="89">
        <f>IF($Z61&gt;0,VLOOKUP($J61,Ruimtegroepen[],3,FALSE)*VLOOKUP($L61,Vloersoorten[],3,FALSE)*VLOOKUP($Y61,Frequenties[],3,FALSE)*VLOOKUP($A53,Locaties[],3,FALSE),0)</f>
        <v>0</v>
      </c>
      <c r="AB61" s="91">
        <f>Ruimtestaat[[#This Row],[Uitvoeringen weekend]]*Ruimtestaat[[#This Row],[Oppervlak (netto)]]</f>
        <v>0</v>
      </c>
      <c r="AC61" s="94">
        <f>IF(AB61&gt;0,Ruimtestaat[[#This Row],[Prest. (m2 /jaar) weekend]]/Ruimtestaat[[#This Row],[Norm (m2/uur) weekend]],0)</f>
        <v>0</v>
      </c>
      <c r="AD61" s="95">
        <f>Ruimtestaat[[#This Row],[uren / jaar weekend]]*Tariefsopbouw!$D$40</f>
        <v>0</v>
      </c>
      <c r="AE61" s="67">
        <f>Ruimtestaat[[#This Row],[Prest. (m2 /jaar) weekend]]+Ruimtestaat[[#This Row],[Prest. (m2 /jaar) werkdagen]]</f>
        <v>0</v>
      </c>
      <c r="AF61" s="67">
        <f>Ruimtestaat[[#This Row],[uren / jaar weekend]]+Ruimtestaat[[#This Row],[uren / jaar werkdagen]]</f>
        <v>0</v>
      </c>
      <c r="AG61" s="68">
        <f>Ruimtestaat[[#This Row],[kosten / jaar weekend]]+Ruimtestaat[[#This Row],[kosten / jaar werkdagen]]</f>
        <v>0</v>
      </c>
      <c r="AH61" s="96"/>
      <c r="HL61" s="66"/>
    </row>
    <row r="62" spans="1:220" ht="15" customHeight="1">
      <c r="A62" s="114">
        <v>1</v>
      </c>
      <c r="B62" s="24" t="str">
        <f>VLOOKUP(Ruimtestaat[[#This Row],[Code]],Locaties[#All],2,FALSE)</f>
        <v>Hoofdgebouw</v>
      </c>
      <c r="C62" s="24" t="str">
        <f>VLOOKUP(Ruimtestaat[[#This Row],[Code]],Locaties[#All],4,FALSE)</f>
        <v>Rohofstraat 83</v>
      </c>
      <c r="D62" s="24" t="str">
        <f>VLOOKUP(Ruimtestaat[[#This Row],[Code]],Locaties[#All],5,FALSE)</f>
        <v>7605 AT</v>
      </c>
      <c r="E62" s="24" t="str">
        <f>VLOOKUP(Ruimtestaat[[#This Row],[Code]],Locaties[#All],6,FALSE)</f>
        <v>Almelo</v>
      </c>
      <c r="F62" s="61"/>
      <c r="G62" s="24" t="s">
        <v>435</v>
      </c>
      <c r="H62" s="24" t="s">
        <v>523</v>
      </c>
      <c r="I62" s="334" t="s">
        <v>481</v>
      </c>
      <c r="J62" s="329">
        <v>17</v>
      </c>
      <c r="K62" s="330" t="str">
        <f>VLOOKUP(J62,Ruimtegroepen[],2,FALSE)</f>
        <v>Niet in Onderhoud</v>
      </c>
      <c r="L62" s="329"/>
      <c r="M62" s="329"/>
      <c r="N62" s="332"/>
      <c r="O62" s="87">
        <v>1.1000000000000001</v>
      </c>
      <c r="P62" s="97" t="str">
        <f>LEFT(VLOOKUP(Ruimtestaat[[#This Row],[Ruimte code]],Ruimtegroepen[#All],4,1),2)</f>
        <v/>
      </c>
      <c r="Q62" s="87"/>
      <c r="R62" s="88"/>
      <c r="S62" s="88"/>
      <c r="T62" s="89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2" s="89">
        <f>IF(T62&gt;0,VLOOKUP($J62,Ruimtegroepen[],3,FALSE)*VLOOKUP($L62,Vloersoorten[],3,FALSE)*VLOOKUP($S62,Frequenties[],3,FALSE)*VLOOKUP($A62,Locaties[],3,FALSE),0)</f>
        <v>0</v>
      </c>
      <c r="V62" s="90">
        <f>Ruimtestaat[[#This Row],[Uitvoeringen werkdagen]]*Ruimtestaat[[#This Row],[Oppervlak (netto)]]</f>
        <v>0</v>
      </c>
      <c r="W62" s="91">
        <f>IF(U62&gt;0,Ruimtestaat[[#This Row],[Prest. (m2 /jaar) werkdagen]]/Ruimtestaat[[#This Row],[Norm (m2/uur) werkdagen]],0)</f>
        <v>0</v>
      </c>
      <c r="X62" s="92">
        <f>Ruimtestaat[[#This Row],[uren / jaar werkdagen]]*Tariefsopbouw!$E$35</f>
        <v>0</v>
      </c>
      <c r="Y62" s="89"/>
      <c r="Z62" s="93">
        <f>IF(Ruimtestaat[[#This Row],[Frequentie weekend]]&gt;0,VALUE(LEFT(Y62,1))*R62,0)</f>
        <v>0</v>
      </c>
      <c r="AA62" s="89">
        <f>IF($Z62&gt;0,VLOOKUP($J62,Ruimtegroepen[],3,FALSE)*VLOOKUP($L62,Vloersoorten[],3,FALSE)*VLOOKUP($Y62,Frequenties[],3,FALSE)*VLOOKUP($A53,Locaties[],3,FALSE),0)</f>
        <v>0</v>
      </c>
      <c r="AB62" s="91">
        <f>Ruimtestaat[[#This Row],[Uitvoeringen weekend]]*Ruimtestaat[[#This Row],[Oppervlak (netto)]]</f>
        <v>0</v>
      </c>
      <c r="AC62" s="94">
        <f>IF(AB62&gt;0,Ruimtestaat[[#This Row],[Prest. (m2 /jaar) weekend]]/Ruimtestaat[[#This Row],[Norm (m2/uur) weekend]],0)</f>
        <v>0</v>
      </c>
      <c r="AD62" s="95">
        <f>Ruimtestaat[[#This Row],[uren / jaar weekend]]*Tariefsopbouw!$D$40</f>
        <v>0</v>
      </c>
      <c r="AE62" s="67">
        <f>Ruimtestaat[[#This Row],[Prest. (m2 /jaar) weekend]]+Ruimtestaat[[#This Row],[Prest. (m2 /jaar) werkdagen]]</f>
        <v>0</v>
      </c>
      <c r="AF62" s="67">
        <f>Ruimtestaat[[#This Row],[uren / jaar weekend]]+Ruimtestaat[[#This Row],[uren / jaar werkdagen]]</f>
        <v>0</v>
      </c>
      <c r="AG62" s="68">
        <f>Ruimtestaat[[#This Row],[kosten / jaar weekend]]+Ruimtestaat[[#This Row],[kosten / jaar werkdagen]]</f>
        <v>0</v>
      </c>
      <c r="AH62" s="96"/>
      <c r="HL62" s="66"/>
    </row>
    <row r="63" spans="1:220" ht="15" customHeight="1">
      <c r="A63" s="114">
        <v>1</v>
      </c>
      <c r="B63" s="24" t="str">
        <f>VLOOKUP(Ruimtestaat[[#This Row],[Code]],Locaties[#All],2,FALSE)</f>
        <v>Hoofdgebouw</v>
      </c>
      <c r="C63" s="24" t="str">
        <f>VLOOKUP(Ruimtestaat[[#This Row],[Code]],Locaties[#All],4,FALSE)</f>
        <v>Rohofstraat 83</v>
      </c>
      <c r="D63" s="24" t="str">
        <f>VLOOKUP(Ruimtestaat[[#This Row],[Code]],Locaties[#All],5,FALSE)</f>
        <v>7605 AT</v>
      </c>
      <c r="E63" s="24" t="str">
        <f>VLOOKUP(Ruimtestaat[[#This Row],[Code]],Locaties[#All],6,FALSE)</f>
        <v>Almelo</v>
      </c>
      <c r="F63" s="61"/>
      <c r="G63" s="24" t="s">
        <v>435</v>
      </c>
      <c r="H63" s="28" t="s">
        <v>524</v>
      </c>
      <c r="I63" s="334" t="s">
        <v>525</v>
      </c>
      <c r="J63" s="329">
        <v>17</v>
      </c>
      <c r="K63" s="330" t="str">
        <f>VLOOKUP(J63,Ruimtegroepen[],2,FALSE)</f>
        <v>Niet in Onderhoud</v>
      </c>
      <c r="L63" s="329"/>
      <c r="M63" s="329"/>
      <c r="N63" s="332"/>
      <c r="O63" s="87">
        <v>12</v>
      </c>
      <c r="P63" s="97" t="str">
        <f>LEFT(VLOOKUP(Ruimtestaat[[#This Row],[Ruimte code]],Ruimtegroepen[#All],4,1),2)</f>
        <v/>
      </c>
      <c r="Q63" s="87"/>
      <c r="R63" s="88"/>
      <c r="S63" s="88"/>
      <c r="T63" s="89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3" s="89">
        <f>IF(T63&gt;0,VLOOKUP($J63,Ruimtegroepen[],3,FALSE)*VLOOKUP($L63,Vloersoorten[],3,FALSE)*VLOOKUP($S63,Frequenties[],3,FALSE)*VLOOKUP($A63,Locaties[],3,FALSE),0)</f>
        <v>0</v>
      </c>
      <c r="V63" s="90">
        <f>Ruimtestaat[[#This Row],[Uitvoeringen werkdagen]]*Ruimtestaat[[#This Row],[Oppervlak (netto)]]</f>
        <v>0</v>
      </c>
      <c r="W63" s="91">
        <f>IF(U63&gt;0,Ruimtestaat[[#This Row],[Prest. (m2 /jaar) werkdagen]]/Ruimtestaat[[#This Row],[Norm (m2/uur) werkdagen]],0)</f>
        <v>0</v>
      </c>
      <c r="X63" s="92">
        <f>Ruimtestaat[[#This Row],[uren / jaar werkdagen]]*Tariefsopbouw!$E$35</f>
        <v>0</v>
      </c>
      <c r="Y63" s="89"/>
      <c r="Z63" s="93">
        <f>IF(Ruimtestaat[[#This Row],[Frequentie weekend]]&gt;0,VALUE(LEFT(Y63,1))*R63,0)</f>
        <v>0</v>
      </c>
      <c r="AA63" s="89">
        <f>IF($Z63&gt;0,VLOOKUP($J63,Ruimtegroepen[],3,FALSE)*VLOOKUP($L63,Vloersoorten[],3,FALSE)*VLOOKUP($Y63,Frequenties[],3,FALSE)*VLOOKUP($A54,Locaties[],3,FALSE),0)</f>
        <v>0</v>
      </c>
      <c r="AB63" s="91">
        <f>Ruimtestaat[[#This Row],[Uitvoeringen weekend]]*Ruimtestaat[[#This Row],[Oppervlak (netto)]]</f>
        <v>0</v>
      </c>
      <c r="AC63" s="94">
        <f>IF(AB63&gt;0,Ruimtestaat[[#This Row],[Prest. (m2 /jaar) weekend]]/Ruimtestaat[[#This Row],[Norm (m2/uur) weekend]],0)</f>
        <v>0</v>
      </c>
      <c r="AD63" s="95">
        <f>Ruimtestaat[[#This Row],[uren / jaar weekend]]*Tariefsopbouw!$D$40</f>
        <v>0</v>
      </c>
      <c r="AE63" s="67">
        <f>Ruimtestaat[[#This Row],[Prest. (m2 /jaar) weekend]]+Ruimtestaat[[#This Row],[Prest. (m2 /jaar) werkdagen]]</f>
        <v>0</v>
      </c>
      <c r="AF63" s="67">
        <f>Ruimtestaat[[#This Row],[uren / jaar weekend]]+Ruimtestaat[[#This Row],[uren / jaar werkdagen]]</f>
        <v>0</v>
      </c>
      <c r="AG63" s="68">
        <f>Ruimtestaat[[#This Row],[kosten / jaar weekend]]+Ruimtestaat[[#This Row],[kosten / jaar werkdagen]]</f>
        <v>0</v>
      </c>
      <c r="AH63" s="96"/>
      <c r="HL63" s="66"/>
    </row>
    <row r="64" spans="1:220" ht="15" customHeight="1">
      <c r="A64" s="114">
        <v>1</v>
      </c>
      <c r="B64" s="24" t="str">
        <f>VLOOKUP(Ruimtestaat[[#This Row],[Code]],Locaties[#All],2,FALSE)</f>
        <v>Hoofdgebouw</v>
      </c>
      <c r="C64" s="24" t="str">
        <f>VLOOKUP(Ruimtestaat[[#This Row],[Code]],Locaties[#All],4,FALSE)</f>
        <v>Rohofstraat 83</v>
      </c>
      <c r="D64" s="24" t="str">
        <f>VLOOKUP(Ruimtestaat[[#This Row],[Code]],Locaties[#All],5,FALSE)</f>
        <v>7605 AT</v>
      </c>
      <c r="E64" s="24" t="str">
        <f>VLOOKUP(Ruimtestaat[[#This Row],[Code]],Locaties[#All],6,FALSE)</f>
        <v>Almelo</v>
      </c>
      <c r="F64" s="61"/>
      <c r="G64" s="24" t="s">
        <v>435</v>
      </c>
      <c r="H64" s="28" t="s">
        <v>526</v>
      </c>
      <c r="I64" s="334" t="s">
        <v>472</v>
      </c>
      <c r="J64" s="329">
        <v>6</v>
      </c>
      <c r="K64" s="330" t="str">
        <f>VLOOKUP(J64,Ruimtegroepen[],2,FALSE)</f>
        <v>Gangen/hallen</v>
      </c>
      <c r="L64" s="329" t="s">
        <v>106</v>
      </c>
      <c r="M64" s="329" t="s">
        <v>126</v>
      </c>
      <c r="N64" s="332">
        <v>40.299999999999997</v>
      </c>
      <c r="O64" s="87"/>
      <c r="P64" s="97" t="str">
        <f>LEFT(VLOOKUP(Ruimtestaat[[#This Row],[Ruimte code]],Ruimtegroepen[#All],4,1),2)</f>
        <v>Ve</v>
      </c>
      <c r="Q64" s="87"/>
      <c r="R64" s="88">
        <v>52</v>
      </c>
      <c r="S64" s="88" t="s">
        <v>2</v>
      </c>
      <c r="T64" s="89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4" s="89">
        <f>IF(T64&gt;0,VLOOKUP($J64,Ruimtegroepen[],3,FALSE)*VLOOKUP($L64,Vloersoorten[],3,FALSE)*VLOOKUP($S64,Frequenties[],3,FALSE)*VLOOKUP($A64,Locaties[],3,FALSE),0)</f>
        <v>0</v>
      </c>
      <c r="V64" s="90">
        <f>Ruimtestaat[[#This Row],[Uitvoeringen werkdagen]]*Ruimtestaat[[#This Row],[Oppervlak (netto)]]</f>
        <v>10478</v>
      </c>
      <c r="W64" s="91">
        <f>IF(U64&gt;0,Ruimtestaat[[#This Row],[Prest. (m2 /jaar) werkdagen]]/Ruimtestaat[[#This Row],[Norm (m2/uur) werkdagen]],0)</f>
        <v>0</v>
      </c>
      <c r="X64" s="92">
        <f>Ruimtestaat[[#This Row],[uren / jaar werkdagen]]*Tariefsopbouw!$E$35</f>
        <v>0</v>
      </c>
      <c r="Y64" s="89"/>
      <c r="Z64" s="93">
        <f>IF(Ruimtestaat[[#This Row],[Frequentie weekend]]&gt;0,VALUE(LEFT(Y64,1))*R64,0)</f>
        <v>0</v>
      </c>
      <c r="AA64" s="89">
        <f>IF($Z64&gt;0,VLOOKUP($J64,Ruimtegroepen[],3,FALSE)*VLOOKUP($L64,Vloersoorten[],3,FALSE)*VLOOKUP($Y64,Frequenties[],3,FALSE)*VLOOKUP($A55,Locaties[],3,FALSE),0)</f>
        <v>0</v>
      </c>
      <c r="AB64" s="91">
        <f>Ruimtestaat[[#This Row],[Uitvoeringen weekend]]*Ruimtestaat[[#This Row],[Oppervlak (netto)]]</f>
        <v>0</v>
      </c>
      <c r="AC64" s="94">
        <f>IF(AB64&gt;0,Ruimtestaat[[#This Row],[Prest. (m2 /jaar) weekend]]/Ruimtestaat[[#This Row],[Norm (m2/uur) weekend]],0)</f>
        <v>0</v>
      </c>
      <c r="AD64" s="95">
        <f>Ruimtestaat[[#This Row],[uren / jaar weekend]]*Tariefsopbouw!$D$40</f>
        <v>0</v>
      </c>
      <c r="AE64" s="67">
        <f>Ruimtestaat[[#This Row],[Prest. (m2 /jaar) weekend]]+Ruimtestaat[[#This Row],[Prest. (m2 /jaar) werkdagen]]</f>
        <v>10478</v>
      </c>
      <c r="AF64" s="67">
        <f>Ruimtestaat[[#This Row],[uren / jaar weekend]]+Ruimtestaat[[#This Row],[uren / jaar werkdagen]]</f>
        <v>0</v>
      </c>
      <c r="AG64" s="68">
        <f>Ruimtestaat[[#This Row],[kosten / jaar weekend]]+Ruimtestaat[[#This Row],[kosten / jaar werkdagen]]</f>
        <v>0</v>
      </c>
      <c r="AH64" s="96"/>
      <c r="HL64" s="66"/>
    </row>
    <row r="65" spans="1:220" ht="15" customHeight="1">
      <c r="A65" s="114">
        <v>1</v>
      </c>
      <c r="B65" s="24" t="str">
        <f>VLOOKUP(Ruimtestaat[[#This Row],[Code]],Locaties[#All],2,FALSE)</f>
        <v>Hoofdgebouw</v>
      </c>
      <c r="C65" s="24" t="str">
        <f>VLOOKUP(Ruimtestaat[[#This Row],[Code]],Locaties[#All],4,FALSE)</f>
        <v>Rohofstraat 83</v>
      </c>
      <c r="D65" s="24" t="str">
        <f>VLOOKUP(Ruimtestaat[[#This Row],[Code]],Locaties[#All],5,FALSE)</f>
        <v>7605 AT</v>
      </c>
      <c r="E65" s="24" t="str">
        <f>VLOOKUP(Ruimtestaat[[#This Row],[Code]],Locaties[#All],6,FALSE)</f>
        <v>Almelo</v>
      </c>
      <c r="F65" s="61"/>
      <c r="G65" s="24" t="s">
        <v>435</v>
      </c>
      <c r="H65" s="28" t="s">
        <v>527</v>
      </c>
      <c r="I65" s="334" t="s">
        <v>488</v>
      </c>
      <c r="J65" s="329">
        <v>8</v>
      </c>
      <c r="K65" s="330" t="str">
        <f>VLOOKUP(J65,Ruimtegroepen[],2,FALSE)</f>
        <v>Woonkamer/aanland</v>
      </c>
      <c r="L65" s="329" t="s">
        <v>106</v>
      </c>
      <c r="M65" s="329" t="s">
        <v>126</v>
      </c>
      <c r="N65" s="332">
        <v>21.9</v>
      </c>
      <c r="O65" s="87"/>
      <c r="P65" s="97" t="str">
        <f>LEFT(VLOOKUP(Ruimtestaat[[#This Row],[Ruimte code]],Ruimtegroepen[#All],4,1),2)</f>
        <v>Ve</v>
      </c>
      <c r="Q65" s="87"/>
      <c r="R65" s="88">
        <v>52</v>
      </c>
      <c r="S65" s="88" t="s">
        <v>2</v>
      </c>
      <c r="T65" s="89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5" s="89">
        <f>IF(T65&gt;0,VLOOKUP($J65,Ruimtegroepen[],3,FALSE)*VLOOKUP($L65,Vloersoorten[],3,FALSE)*VLOOKUP($S65,Frequenties[],3,FALSE)*VLOOKUP($A65,Locaties[],3,FALSE),0)</f>
        <v>0</v>
      </c>
      <c r="V65" s="90">
        <f>Ruimtestaat[[#This Row],[Uitvoeringen werkdagen]]*Ruimtestaat[[#This Row],[Oppervlak (netto)]]</f>
        <v>5694</v>
      </c>
      <c r="W65" s="91">
        <f>IF(U65&gt;0,Ruimtestaat[[#This Row],[Prest. (m2 /jaar) werkdagen]]/Ruimtestaat[[#This Row],[Norm (m2/uur) werkdagen]],0)</f>
        <v>0</v>
      </c>
      <c r="X65" s="92">
        <f>Ruimtestaat[[#This Row],[uren / jaar werkdagen]]*Tariefsopbouw!$E$35</f>
        <v>0</v>
      </c>
      <c r="Y65" s="89"/>
      <c r="Z65" s="93">
        <f>IF(Ruimtestaat[[#This Row],[Frequentie weekend]]&gt;0,VALUE(LEFT(Y65,1))*R65,0)</f>
        <v>0</v>
      </c>
      <c r="AA65" s="89">
        <f>IF($Z65&gt;0,VLOOKUP($J65,Ruimtegroepen[],3,FALSE)*VLOOKUP($L65,Vloersoorten[],3,FALSE)*VLOOKUP($Y65,Frequenties[],3,FALSE)*VLOOKUP($A56,Locaties[],3,FALSE),0)</f>
        <v>0</v>
      </c>
      <c r="AB65" s="91">
        <f>Ruimtestaat[[#This Row],[Uitvoeringen weekend]]*Ruimtestaat[[#This Row],[Oppervlak (netto)]]</f>
        <v>0</v>
      </c>
      <c r="AC65" s="94">
        <f>IF(AB65&gt;0,Ruimtestaat[[#This Row],[Prest. (m2 /jaar) weekend]]/Ruimtestaat[[#This Row],[Norm (m2/uur) weekend]],0)</f>
        <v>0</v>
      </c>
      <c r="AD65" s="95">
        <f>Ruimtestaat[[#This Row],[uren / jaar weekend]]*Tariefsopbouw!$D$40</f>
        <v>0</v>
      </c>
      <c r="AE65" s="67">
        <f>Ruimtestaat[[#This Row],[Prest. (m2 /jaar) weekend]]+Ruimtestaat[[#This Row],[Prest. (m2 /jaar) werkdagen]]</f>
        <v>5694</v>
      </c>
      <c r="AF65" s="67">
        <f>Ruimtestaat[[#This Row],[uren / jaar weekend]]+Ruimtestaat[[#This Row],[uren / jaar werkdagen]]</f>
        <v>0</v>
      </c>
      <c r="AG65" s="68">
        <f>Ruimtestaat[[#This Row],[kosten / jaar weekend]]+Ruimtestaat[[#This Row],[kosten / jaar werkdagen]]</f>
        <v>0</v>
      </c>
      <c r="AH65" s="96"/>
      <c r="HL65" s="66"/>
    </row>
    <row r="66" spans="1:220" ht="15" customHeight="1">
      <c r="A66" s="114">
        <v>1</v>
      </c>
      <c r="B66" s="24" t="str">
        <f>VLOOKUP(Ruimtestaat[[#This Row],[Code]],Locaties[#All],2,FALSE)</f>
        <v>Hoofdgebouw</v>
      </c>
      <c r="C66" s="24" t="str">
        <f>VLOOKUP(Ruimtestaat[[#This Row],[Code]],Locaties[#All],4,FALSE)</f>
        <v>Rohofstraat 83</v>
      </c>
      <c r="D66" s="24" t="str">
        <f>VLOOKUP(Ruimtestaat[[#This Row],[Code]],Locaties[#All],5,FALSE)</f>
        <v>7605 AT</v>
      </c>
      <c r="E66" s="24" t="str">
        <f>VLOOKUP(Ruimtestaat[[#This Row],[Code]],Locaties[#All],6,FALSE)</f>
        <v>Almelo</v>
      </c>
      <c r="F66" s="61"/>
      <c r="G66" s="24" t="s">
        <v>435</v>
      </c>
      <c r="H66" s="28" t="s">
        <v>528</v>
      </c>
      <c r="I66" s="334" t="s">
        <v>453</v>
      </c>
      <c r="J66" s="329">
        <v>8</v>
      </c>
      <c r="K66" s="330" t="str">
        <f>VLOOKUP(J66,Ruimtegroepen[],2,FALSE)</f>
        <v>Woonkamer/aanland</v>
      </c>
      <c r="L66" s="329" t="s">
        <v>106</v>
      </c>
      <c r="M66" s="329" t="s">
        <v>126</v>
      </c>
      <c r="N66" s="332">
        <v>29.5</v>
      </c>
      <c r="O66" s="87"/>
      <c r="P66" s="97" t="str">
        <f>LEFT(VLOOKUP(Ruimtestaat[[#This Row],[Ruimte code]],Ruimtegroepen[#All],4,1),2)</f>
        <v>Ve</v>
      </c>
      <c r="Q66" s="87"/>
      <c r="R66" s="88">
        <v>52</v>
      </c>
      <c r="S66" s="88" t="s">
        <v>2</v>
      </c>
      <c r="T66" s="89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6" s="89">
        <f>IF(T66&gt;0,VLOOKUP($J66,Ruimtegroepen[],3,FALSE)*VLOOKUP($L66,Vloersoorten[],3,FALSE)*VLOOKUP($S66,Frequenties[],3,FALSE)*VLOOKUP($A66,Locaties[],3,FALSE),0)</f>
        <v>0</v>
      </c>
      <c r="V66" s="90">
        <f>Ruimtestaat[[#This Row],[Uitvoeringen werkdagen]]*Ruimtestaat[[#This Row],[Oppervlak (netto)]]</f>
        <v>7670</v>
      </c>
      <c r="W66" s="91">
        <f>IF(U66&gt;0,Ruimtestaat[[#This Row],[Prest. (m2 /jaar) werkdagen]]/Ruimtestaat[[#This Row],[Norm (m2/uur) werkdagen]],0)</f>
        <v>0</v>
      </c>
      <c r="X66" s="92">
        <f>Ruimtestaat[[#This Row],[uren / jaar werkdagen]]*Tariefsopbouw!$E$35</f>
        <v>0</v>
      </c>
      <c r="Y66" s="89"/>
      <c r="Z66" s="93">
        <f>IF(Ruimtestaat[[#This Row],[Frequentie weekend]]&gt;0,VALUE(LEFT(Y66,1))*R66,0)</f>
        <v>0</v>
      </c>
      <c r="AA66" s="89">
        <f>IF($Z66&gt;0,VLOOKUP($J66,Ruimtegroepen[],3,FALSE)*VLOOKUP($L66,Vloersoorten[],3,FALSE)*VLOOKUP($Y66,Frequenties[],3,FALSE)*VLOOKUP($A62,Locaties[],3,FALSE),0)</f>
        <v>0</v>
      </c>
      <c r="AB66" s="91">
        <f>Ruimtestaat[[#This Row],[Uitvoeringen weekend]]*Ruimtestaat[[#This Row],[Oppervlak (netto)]]</f>
        <v>0</v>
      </c>
      <c r="AC66" s="94">
        <f>IF(AB66&gt;0,Ruimtestaat[[#This Row],[Prest. (m2 /jaar) weekend]]/Ruimtestaat[[#This Row],[Norm (m2/uur) weekend]],0)</f>
        <v>0</v>
      </c>
      <c r="AD66" s="95">
        <f>Ruimtestaat[[#This Row],[uren / jaar weekend]]*Tariefsopbouw!$D$40</f>
        <v>0</v>
      </c>
      <c r="AE66" s="67">
        <f>Ruimtestaat[[#This Row],[Prest. (m2 /jaar) weekend]]+Ruimtestaat[[#This Row],[Prest. (m2 /jaar) werkdagen]]</f>
        <v>7670</v>
      </c>
      <c r="AF66" s="67">
        <f>Ruimtestaat[[#This Row],[uren / jaar weekend]]+Ruimtestaat[[#This Row],[uren / jaar werkdagen]]</f>
        <v>0</v>
      </c>
      <c r="AG66" s="68">
        <f>Ruimtestaat[[#This Row],[kosten / jaar weekend]]+Ruimtestaat[[#This Row],[kosten / jaar werkdagen]]</f>
        <v>0</v>
      </c>
      <c r="AH66" s="96"/>
      <c r="HL66" s="66"/>
    </row>
    <row r="67" spans="1:220" ht="15" customHeight="1">
      <c r="A67" s="114">
        <v>1</v>
      </c>
      <c r="B67" s="24" t="str">
        <f>VLOOKUP(Ruimtestaat[[#This Row],[Code]],Locaties[#All],2,FALSE)</f>
        <v>Hoofdgebouw</v>
      </c>
      <c r="C67" s="24" t="str">
        <f>VLOOKUP(Ruimtestaat[[#This Row],[Code]],Locaties[#All],4,FALSE)</f>
        <v>Rohofstraat 83</v>
      </c>
      <c r="D67" s="24" t="str">
        <f>VLOOKUP(Ruimtestaat[[#This Row],[Code]],Locaties[#All],5,FALSE)</f>
        <v>7605 AT</v>
      </c>
      <c r="E67" s="24" t="str">
        <f>VLOOKUP(Ruimtestaat[[#This Row],[Code]],Locaties[#All],6,FALSE)</f>
        <v>Almelo</v>
      </c>
      <c r="F67" s="61"/>
      <c r="G67" s="24" t="s">
        <v>435</v>
      </c>
      <c r="H67" s="28" t="s">
        <v>529</v>
      </c>
      <c r="I67" s="334" t="s">
        <v>530</v>
      </c>
      <c r="J67" s="329">
        <v>4</v>
      </c>
      <c r="K67" s="330" t="str">
        <f>VLOOKUP(J67,Ruimtegroepen[],2,FALSE)</f>
        <v>Vergader/spreekkamers</v>
      </c>
      <c r="L67" s="329" t="s">
        <v>103</v>
      </c>
      <c r="M67" s="329" t="s">
        <v>38</v>
      </c>
      <c r="N67" s="332">
        <v>14.5</v>
      </c>
      <c r="O67" s="87"/>
      <c r="P67" s="97" t="str">
        <f>LEFT(VLOOKUP(Ruimtestaat[[#This Row],[Ruimte code]],Ruimtegroepen[#All],4,1),2)</f>
        <v>Bu</v>
      </c>
      <c r="Q67" s="87"/>
      <c r="R67" s="88">
        <v>52</v>
      </c>
      <c r="S67" s="88" t="s">
        <v>2</v>
      </c>
      <c r="T67" s="89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7" s="89">
        <f>IF(T67&gt;0,VLOOKUP($J67,Ruimtegroepen[],3,FALSE)*VLOOKUP($L67,Vloersoorten[],3,FALSE)*VLOOKUP($S67,Frequenties[],3,FALSE)*VLOOKUP($A67,Locaties[],3,FALSE),0)</f>
        <v>0</v>
      </c>
      <c r="V67" s="90">
        <f>Ruimtestaat[[#This Row],[Uitvoeringen werkdagen]]*Ruimtestaat[[#This Row],[Oppervlak (netto)]]</f>
        <v>3770</v>
      </c>
      <c r="W67" s="91">
        <f>IF(U67&gt;0,Ruimtestaat[[#This Row],[Prest. (m2 /jaar) werkdagen]]/Ruimtestaat[[#This Row],[Norm (m2/uur) werkdagen]],0)</f>
        <v>0</v>
      </c>
      <c r="X67" s="92">
        <f>Ruimtestaat[[#This Row],[uren / jaar werkdagen]]*Tariefsopbouw!$E$35</f>
        <v>0</v>
      </c>
      <c r="Y67" s="89"/>
      <c r="Z67" s="93">
        <f>IF(Ruimtestaat[[#This Row],[Frequentie weekend]]&gt;0,VALUE(LEFT(Y67,1))*R67,0)</f>
        <v>0</v>
      </c>
      <c r="AA67" s="89">
        <f>IF($Z67&gt;0,VLOOKUP($J67,Ruimtegroepen[],3,FALSE)*VLOOKUP($L67,Vloersoorten[],3,FALSE)*VLOOKUP($Y67,Frequenties[],3,FALSE)*VLOOKUP($A63,Locaties[],3,FALSE),0)</f>
        <v>0</v>
      </c>
      <c r="AB67" s="91">
        <f>Ruimtestaat[[#This Row],[Uitvoeringen weekend]]*Ruimtestaat[[#This Row],[Oppervlak (netto)]]</f>
        <v>0</v>
      </c>
      <c r="AC67" s="94">
        <f>IF(AB67&gt;0,Ruimtestaat[[#This Row],[Prest. (m2 /jaar) weekend]]/Ruimtestaat[[#This Row],[Norm (m2/uur) weekend]],0)</f>
        <v>0</v>
      </c>
      <c r="AD67" s="95">
        <f>Ruimtestaat[[#This Row],[uren / jaar weekend]]*Tariefsopbouw!$D$40</f>
        <v>0</v>
      </c>
      <c r="AE67" s="67">
        <f>Ruimtestaat[[#This Row],[Prest. (m2 /jaar) weekend]]+Ruimtestaat[[#This Row],[Prest. (m2 /jaar) werkdagen]]</f>
        <v>3770</v>
      </c>
      <c r="AF67" s="67">
        <f>Ruimtestaat[[#This Row],[uren / jaar weekend]]+Ruimtestaat[[#This Row],[uren / jaar werkdagen]]</f>
        <v>0</v>
      </c>
      <c r="AG67" s="68">
        <f>Ruimtestaat[[#This Row],[kosten / jaar weekend]]+Ruimtestaat[[#This Row],[kosten / jaar werkdagen]]</f>
        <v>0</v>
      </c>
      <c r="AH67" s="96"/>
      <c r="HL67" s="66"/>
    </row>
    <row r="68" spans="1:220" ht="15" customHeight="1">
      <c r="A68" s="114">
        <v>1</v>
      </c>
      <c r="B68" s="24" t="str">
        <f>VLOOKUP(Ruimtestaat[[#This Row],[Code]],Locaties[#All],2,FALSE)</f>
        <v>Hoofdgebouw</v>
      </c>
      <c r="C68" s="24" t="str">
        <f>VLOOKUP(Ruimtestaat[[#This Row],[Code]],Locaties[#All],4,FALSE)</f>
        <v>Rohofstraat 83</v>
      </c>
      <c r="D68" s="24" t="str">
        <f>VLOOKUP(Ruimtestaat[[#This Row],[Code]],Locaties[#All],5,FALSE)</f>
        <v>7605 AT</v>
      </c>
      <c r="E68" s="24" t="str">
        <f>VLOOKUP(Ruimtestaat[[#This Row],[Code]],Locaties[#All],6,FALSE)</f>
        <v>Almelo</v>
      </c>
      <c r="F68" s="61"/>
      <c r="G68" s="24" t="s">
        <v>435</v>
      </c>
      <c r="H68" s="28" t="s">
        <v>531</v>
      </c>
      <c r="I68" s="334" t="s">
        <v>456</v>
      </c>
      <c r="J68" s="329">
        <v>2</v>
      </c>
      <c r="K68" s="330" t="str">
        <f>VLOOKUP(J68,Ruimtegroepen[],2,FALSE)</f>
        <v>Kantoren</v>
      </c>
      <c r="L68" s="329" t="s">
        <v>103</v>
      </c>
      <c r="M68" s="329" t="s">
        <v>38</v>
      </c>
      <c r="N68" s="332">
        <v>4.7</v>
      </c>
      <c r="O68" s="87"/>
      <c r="P68" s="97" t="str">
        <f>LEFT(VLOOKUP(Ruimtestaat[[#This Row],[Ruimte code]],Ruimtegroepen[#All],4,1),2)</f>
        <v>Bu</v>
      </c>
      <c r="Q68" s="87"/>
      <c r="R68" s="88">
        <v>52</v>
      </c>
      <c r="S68" s="88" t="s">
        <v>2</v>
      </c>
      <c r="T68" s="89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8" s="89">
        <f>IF(T68&gt;0,VLOOKUP($J68,Ruimtegroepen[],3,FALSE)*VLOOKUP($L68,Vloersoorten[],3,FALSE)*VLOOKUP($S68,Frequenties[],3,FALSE)*VLOOKUP($A68,Locaties[],3,FALSE),0)</f>
        <v>0</v>
      </c>
      <c r="V68" s="90">
        <f>Ruimtestaat[[#This Row],[Uitvoeringen werkdagen]]*Ruimtestaat[[#This Row],[Oppervlak (netto)]]</f>
        <v>1222</v>
      </c>
      <c r="W68" s="91">
        <f>IF(U68&gt;0,Ruimtestaat[[#This Row],[Prest. (m2 /jaar) werkdagen]]/Ruimtestaat[[#This Row],[Norm (m2/uur) werkdagen]],0)</f>
        <v>0</v>
      </c>
      <c r="X68" s="92">
        <f>Ruimtestaat[[#This Row],[uren / jaar werkdagen]]*Tariefsopbouw!$E$35</f>
        <v>0</v>
      </c>
      <c r="Y68" s="89"/>
      <c r="Z68" s="93">
        <f>IF(Ruimtestaat[[#This Row],[Frequentie weekend]]&gt;0,VALUE(LEFT(Y68,1))*R68,0)</f>
        <v>0</v>
      </c>
      <c r="AA68" s="89">
        <f>IF($Z68&gt;0,VLOOKUP($J68,Ruimtegroepen[],3,FALSE)*VLOOKUP($L68,Vloersoorten[],3,FALSE)*VLOOKUP($Y68,Frequenties[],3,FALSE)*VLOOKUP($A64,Locaties[],3,FALSE),0)</f>
        <v>0</v>
      </c>
      <c r="AB68" s="91">
        <f>Ruimtestaat[[#This Row],[Uitvoeringen weekend]]*Ruimtestaat[[#This Row],[Oppervlak (netto)]]</f>
        <v>0</v>
      </c>
      <c r="AC68" s="94">
        <f>IF(AB68&gt;0,Ruimtestaat[[#This Row],[Prest. (m2 /jaar) weekend]]/Ruimtestaat[[#This Row],[Norm (m2/uur) weekend]],0)</f>
        <v>0</v>
      </c>
      <c r="AD68" s="95">
        <f>Ruimtestaat[[#This Row],[uren / jaar weekend]]*Tariefsopbouw!$D$40</f>
        <v>0</v>
      </c>
      <c r="AE68" s="67">
        <f>Ruimtestaat[[#This Row],[Prest. (m2 /jaar) weekend]]+Ruimtestaat[[#This Row],[Prest. (m2 /jaar) werkdagen]]</f>
        <v>1222</v>
      </c>
      <c r="AF68" s="67">
        <f>Ruimtestaat[[#This Row],[uren / jaar weekend]]+Ruimtestaat[[#This Row],[uren / jaar werkdagen]]</f>
        <v>0</v>
      </c>
      <c r="AG68" s="68">
        <f>Ruimtestaat[[#This Row],[kosten / jaar weekend]]+Ruimtestaat[[#This Row],[kosten / jaar werkdagen]]</f>
        <v>0</v>
      </c>
      <c r="AH68" s="96"/>
      <c r="HL68" s="66"/>
    </row>
    <row r="69" spans="1:220" ht="15" customHeight="1">
      <c r="A69" s="114">
        <v>1</v>
      </c>
      <c r="B69" s="24" t="str">
        <f>VLOOKUP(Ruimtestaat[[#This Row],[Code]],Locaties[#All],2,FALSE)</f>
        <v>Hoofdgebouw</v>
      </c>
      <c r="C69" s="24" t="str">
        <f>VLOOKUP(Ruimtestaat[[#This Row],[Code]],Locaties[#All],4,FALSE)</f>
        <v>Rohofstraat 83</v>
      </c>
      <c r="D69" s="24" t="str">
        <f>VLOOKUP(Ruimtestaat[[#This Row],[Code]],Locaties[#All],5,FALSE)</f>
        <v>7605 AT</v>
      </c>
      <c r="E69" s="24" t="str">
        <f>VLOOKUP(Ruimtestaat[[#This Row],[Code]],Locaties[#All],6,FALSE)</f>
        <v>Almelo</v>
      </c>
      <c r="F69" s="61"/>
      <c r="G69" s="24" t="s">
        <v>435</v>
      </c>
      <c r="H69" s="28" t="s">
        <v>532</v>
      </c>
      <c r="I69" s="334" t="s">
        <v>456</v>
      </c>
      <c r="J69" s="329">
        <v>2</v>
      </c>
      <c r="K69" s="330" t="str">
        <f>VLOOKUP(J69,Ruimtegroepen[],2,FALSE)</f>
        <v>Kantoren</v>
      </c>
      <c r="L69" s="329" t="s">
        <v>103</v>
      </c>
      <c r="M69" s="329" t="s">
        <v>38</v>
      </c>
      <c r="N69" s="332">
        <v>4.7</v>
      </c>
      <c r="O69" s="87"/>
      <c r="P69" s="97" t="str">
        <f>LEFT(VLOOKUP(Ruimtestaat[[#This Row],[Ruimte code]],Ruimtegroepen[#All],4,1),2)</f>
        <v>Bu</v>
      </c>
      <c r="Q69" s="87"/>
      <c r="R69" s="88">
        <v>52</v>
      </c>
      <c r="S69" s="88" t="s">
        <v>2</v>
      </c>
      <c r="T69" s="89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69" s="89">
        <f>IF(T69&gt;0,VLOOKUP($J69,Ruimtegroepen[],3,FALSE)*VLOOKUP($L69,Vloersoorten[],3,FALSE)*VLOOKUP($S69,Frequenties[],3,FALSE)*VLOOKUP($A69,Locaties[],3,FALSE),0)</f>
        <v>0</v>
      </c>
      <c r="V69" s="90">
        <f>Ruimtestaat[[#This Row],[Uitvoeringen werkdagen]]*Ruimtestaat[[#This Row],[Oppervlak (netto)]]</f>
        <v>1222</v>
      </c>
      <c r="W69" s="91">
        <f>IF(U69&gt;0,Ruimtestaat[[#This Row],[Prest. (m2 /jaar) werkdagen]]/Ruimtestaat[[#This Row],[Norm (m2/uur) werkdagen]],0)</f>
        <v>0</v>
      </c>
      <c r="X69" s="92">
        <f>Ruimtestaat[[#This Row],[uren / jaar werkdagen]]*Tariefsopbouw!$E$35</f>
        <v>0</v>
      </c>
      <c r="Y69" s="89"/>
      <c r="Z69" s="93">
        <f>IF(Ruimtestaat[[#This Row],[Frequentie weekend]]&gt;0,VALUE(LEFT(Y69,1))*R69,0)</f>
        <v>0</v>
      </c>
      <c r="AA69" s="89">
        <f>IF($Z69&gt;0,VLOOKUP($J69,Ruimtegroepen[],3,FALSE)*VLOOKUP($L69,Vloersoorten[],3,FALSE)*VLOOKUP($Y69,Frequenties[],3,FALSE)*VLOOKUP($A65,Locaties[],3,FALSE),0)</f>
        <v>0</v>
      </c>
      <c r="AB69" s="91">
        <f>Ruimtestaat[[#This Row],[Uitvoeringen weekend]]*Ruimtestaat[[#This Row],[Oppervlak (netto)]]</f>
        <v>0</v>
      </c>
      <c r="AC69" s="94">
        <f>IF(AB69&gt;0,Ruimtestaat[[#This Row],[Prest. (m2 /jaar) weekend]]/Ruimtestaat[[#This Row],[Norm (m2/uur) weekend]],0)</f>
        <v>0</v>
      </c>
      <c r="AD69" s="95">
        <f>Ruimtestaat[[#This Row],[uren / jaar weekend]]*Tariefsopbouw!$D$40</f>
        <v>0</v>
      </c>
      <c r="AE69" s="67">
        <f>Ruimtestaat[[#This Row],[Prest. (m2 /jaar) weekend]]+Ruimtestaat[[#This Row],[Prest. (m2 /jaar) werkdagen]]</f>
        <v>1222</v>
      </c>
      <c r="AF69" s="67">
        <f>Ruimtestaat[[#This Row],[uren / jaar weekend]]+Ruimtestaat[[#This Row],[uren / jaar werkdagen]]</f>
        <v>0</v>
      </c>
      <c r="AG69" s="68">
        <f>Ruimtestaat[[#This Row],[kosten / jaar weekend]]+Ruimtestaat[[#This Row],[kosten / jaar werkdagen]]</f>
        <v>0</v>
      </c>
      <c r="AH69" s="96"/>
      <c r="HL69" s="66"/>
    </row>
    <row r="70" spans="1:220" ht="15" customHeight="1">
      <c r="A70" s="114">
        <v>1</v>
      </c>
      <c r="B70" s="24" t="str">
        <f>VLOOKUP(Ruimtestaat[[#This Row],[Code]],Locaties[#All],2,FALSE)</f>
        <v>Hoofdgebouw</v>
      </c>
      <c r="C70" s="24" t="str">
        <f>VLOOKUP(Ruimtestaat[[#This Row],[Code]],Locaties[#All],4,FALSE)</f>
        <v>Rohofstraat 83</v>
      </c>
      <c r="D70" s="24" t="str">
        <f>VLOOKUP(Ruimtestaat[[#This Row],[Code]],Locaties[#All],5,FALSE)</f>
        <v>7605 AT</v>
      </c>
      <c r="E70" s="24" t="str">
        <f>VLOOKUP(Ruimtestaat[[#This Row],[Code]],Locaties[#All],6,FALSE)</f>
        <v>Almelo</v>
      </c>
      <c r="F70" s="61"/>
      <c r="G70" s="24" t="s">
        <v>435</v>
      </c>
      <c r="H70" s="28" t="s">
        <v>533</v>
      </c>
      <c r="I70" s="4" t="s">
        <v>443</v>
      </c>
      <c r="J70" s="24">
        <v>4</v>
      </c>
      <c r="K70" s="61" t="str">
        <f>VLOOKUP(J70,Ruimtegroepen[],2,FALSE)</f>
        <v>Vergader/spreekkamers</v>
      </c>
      <c r="L70" s="24" t="s">
        <v>103</v>
      </c>
      <c r="M70" s="24" t="s">
        <v>38</v>
      </c>
      <c r="N70" s="87">
        <v>12.7</v>
      </c>
      <c r="O70" s="87"/>
      <c r="P70" s="97" t="str">
        <f>LEFT(VLOOKUP(Ruimtestaat[[#This Row],[Ruimte code]],Ruimtegroepen[#All],4,1),2)</f>
        <v>Bu</v>
      </c>
      <c r="Q70" s="87"/>
      <c r="R70" s="88">
        <v>52</v>
      </c>
      <c r="S70" s="88" t="s">
        <v>2</v>
      </c>
      <c r="T70" s="89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70" s="89">
        <f>IF(T70&gt;0,VLOOKUP($J70,Ruimtegroepen[],3,FALSE)*VLOOKUP($L70,Vloersoorten[],3,FALSE)*VLOOKUP($S70,Frequenties[],3,FALSE)*VLOOKUP($A70,Locaties[],3,FALSE),0)</f>
        <v>0</v>
      </c>
      <c r="V70" s="90">
        <f>Ruimtestaat[[#This Row],[Uitvoeringen werkdagen]]*Ruimtestaat[[#This Row],[Oppervlak (netto)]]</f>
        <v>3302</v>
      </c>
      <c r="W70" s="91">
        <f>IF(U70&gt;0,Ruimtestaat[[#This Row],[Prest. (m2 /jaar) werkdagen]]/Ruimtestaat[[#This Row],[Norm (m2/uur) werkdagen]],0)</f>
        <v>0</v>
      </c>
      <c r="X70" s="92">
        <f>Ruimtestaat[[#This Row],[uren / jaar werkdagen]]*Tariefsopbouw!$E$35</f>
        <v>0</v>
      </c>
      <c r="Y70" s="89"/>
      <c r="Z70" s="93">
        <f>IF(Ruimtestaat[[#This Row],[Frequentie weekend]]&gt;0,VALUE(LEFT(Y70,1))*R70,0)</f>
        <v>0</v>
      </c>
      <c r="AA70" s="89">
        <f>IF($Z70&gt;0,VLOOKUP($J70,Ruimtegroepen[],3,FALSE)*VLOOKUP($L70,Vloersoorten[],3,FALSE)*VLOOKUP($Y70,Frequenties[],3,FALSE)*VLOOKUP($A66,Locaties[],3,FALSE),0)</f>
        <v>0</v>
      </c>
      <c r="AB70" s="91">
        <f>Ruimtestaat[[#This Row],[Uitvoeringen weekend]]*Ruimtestaat[[#This Row],[Oppervlak (netto)]]</f>
        <v>0</v>
      </c>
      <c r="AC70" s="94">
        <f>IF(AB70&gt;0,Ruimtestaat[[#This Row],[Prest. (m2 /jaar) weekend]]/Ruimtestaat[[#This Row],[Norm (m2/uur) weekend]],0)</f>
        <v>0</v>
      </c>
      <c r="AD70" s="95">
        <f>Ruimtestaat[[#This Row],[uren / jaar weekend]]*Tariefsopbouw!$D$40</f>
        <v>0</v>
      </c>
      <c r="AE70" s="67">
        <f>Ruimtestaat[[#This Row],[Prest. (m2 /jaar) weekend]]+Ruimtestaat[[#This Row],[Prest. (m2 /jaar) werkdagen]]</f>
        <v>3302</v>
      </c>
      <c r="AF70" s="67">
        <f>Ruimtestaat[[#This Row],[uren / jaar weekend]]+Ruimtestaat[[#This Row],[uren / jaar werkdagen]]</f>
        <v>0</v>
      </c>
      <c r="AG70" s="68">
        <f>Ruimtestaat[[#This Row],[kosten / jaar weekend]]+Ruimtestaat[[#This Row],[kosten / jaar werkdagen]]</f>
        <v>0</v>
      </c>
      <c r="AH70" s="96"/>
      <c r="HL70" s="66"/>
    </row>
    <row r="71" spans="1:220" ht="15" customHeight="1">
      <c r="A71" s="114">
        <v>1</v>
      </c>
      <c r="B71" s="24" t="str">
        <f>VLOOKUP(Ruimtestaat[[#This Row],[Code]],Locaties[#All],2,FALSE)</f>
        <v>Hoofdgebouw</v>
      </c>
      <c r="C71" s="24" t="str">
        <f>VLOOKUP(Ruimtestaat[[#This Row],[Code]],Locaties[#All],4,FALSE)</f>
        <v>Rohofstraat 83</v>
      </c>
      <c r="D71" s="24" t="str">
        <f>VLOOKUP(Ruimtestaat[[#This Row],[Code]],Locaties[#All],5,FALSE)</f>
        <v>7605 AT</v>
      </c>
      <c r="E71" s="24" t="str">
        <f>VLOOKUP(Ruimtestaat[[#This Row],[Code]],Locaties[#All],6,FALSE)</f>
        <v>Almelo</v>
      </c>
      <c r="F71" s="61"/>
      <c r="G71" s="24" t="s">
        <v>435</v>
      </c>
      <c r="H71" s="28" t="s">
        <v>534</v>
      </c>
      <c r="I71" s="4" t="s">
        <v>456</v>
      </c>
      <c r="J71" s="24">
        <v>2</v>
      </c>
      <c r="K71" s="61" t="str">
        <f>VLOOKUP(J71,Ruimtegroepen[],2,FALSE)</f>
        <v>Kantoren</v>
      </c>
      <c r="L71" s="24" t="s">
        <v>103</v>
      </c>
      <c r="M71" s="24" t="s">
        <v>38</v>
      </c>
      <c r="N71" s="87">
        <v>9</v>
      </c>
      <c r="O71" s="87"/>
      <c r="P71" s="97" t="str">
        <f>LEFT(VLOOKUP(Ruimtestaat[[#This Row],[Ruimte code]],Ruimtegroepen[#All],4,1),2)</f>
        <v>Bu</v>
      </c>
      <c r="Q71" s="87"/>
      <c r="R71" s="88">
        <v>52</v>
      </c>
      <c r="S71" s="88" t="s">
        <v>2</v>
      </c>
      <c r="T71" s="89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71" s="89">
        <f>IF(T71&gt;0,VLOOKUP($J71,Ruimtegroepen[],3,FALSE)*VLOOKUP($L71,Vloersoorten[],3,FALSE)*VLOOKUP($S71,Frequenties[],3,FALSE)*VLOOKUP($A71,Locaties[],3,FALSE),0)</f>
        <v>0</v>
      </c>
      <c r="V71" s="90">
        <f>Ruimtestaat[[#This Row],[Uitvoeringen werkdagen]]*Ruimtestaat[[#This Row],[Oppervlak (netto)]]</f>
        <v>2340</v>
      </c>
      <c r="W71" s="91">
        <f>IF(U71&gt;0,Ruimtestaat[[#This Row],[Prest. (m2 /jaar) werkdagen]]/Ruimtestaat[[#This Row],[Norm (m2/uur) werkdagen]],0)</f>
        <v>0</v>
      </c>
      <c r="X71" s="92">
        <f>Ruimtestaat[[#This Row],[uren / jaar werkdagen]]*Tariefsopbouw!$E$35</f>
        <v>0</v>
      </c>
      <c r="Y71" s="89"/>
      <c r="Z71" s="93">
        <f>IF(Ruimtestaat[[#This Row],[Frequentie weekend]]&gt;0,VALUE(LEFT(Y71,1))*R71,0)</f>
        <v>0</v>
      </c>
      <c r="AA71" s="89">
        <f>IF($Z71&gt;0,VLOOKUP($J71,Ruimtegroepen[],3,FALSE)*VLOOKUP($L71,Vloersoorten[],3,FALSE)*VLOOKUP($Y71,Frequenties[],3,FALSE)*VLOOKUP($A67,Locaties[],3,FALSE),0)</f>
        <v>0</v>
      </c>
      <c r="AB71" s="91">
        <f>Ruimtestaat[[#This Row],[Uitvoeringen weekend]]*Ruimtestaat[[#This Row],[Oppervlak (netto)]]</f>
        <v>0</v>
      </c>
      <c r="AC71" s="94">
        <f>IF(AB71&gt;0,Ruimtestaat[[#This Row],[Prest. (m2 /jaar) weekend]]/Ruimtestaat[[#This Row],[Norm (m2/uur) weekend]],0)</f>
        <v>0</v>
      </c>
      <c r="AD71" s="95">
        <f>Ruimtestaat[[#This Row],[uren / jaar weekend]]*Tariefsopbouw!$D$40</f>
        <v>0</v>
      </c>
      <c r="AE71" s="67">
        <f>Ruimtestaat[[#This Row],[Prest. (m2 /jaar) weekend]]+Ruimtestaat[[#This Row],[Prest. (m2 /jaar) werkdagen]]</f>
        <v>2340</v>
      </c>
      <c r="AF71" s="67">
        <f>Ruimtestaat[[#This Row],[uren / jaar weekend]]+Ruimtestaat[[#This Row],[uren / jaar werkdagen]]</f>
        <v>0</v>
      </c>
      <c r="AG71" s="68">
        <f>Ruimtestaat[[#This Row],[kosten / jaar weekend]]+Ruimtestaat[[#This Row],[kosten / jaar werkdagen]]</f>
        <v>0</v>
      </c>
      <c r="AH71" s="96"/>
      <c r="HL71" s="66"/>
    </row>
    <row r="72" spans="1:220" ht="15" customHeight="1">
      <c r="A72" s="114">
        <v>1</v>
      </c>
      <c r="B72" s="24" t="str">
        <f>VLOOKUP(Ruimtestaat[[#This Row],[Code]],Locaties[#All],2,FALSE)</f>
        <v>Hoofdgebouw</v>
      </c>
      <c r="C72" s="24" t="str">
        <f>VLOOKUP(Ruimtestaat[[#This Row],[Code]],Locaties[#All],4,FALSE)</f>
        <v>Rohofstraat 83</v>
      </c>
      <c r="D72" s="24" t="str">
        <f>VLOOKUP(Ruimtestaat[[#This Row],[Code]],Locaties[#All],5,FALSE)</f>
        <v>7605 AT</v>
      </c>
      <c r="E72" s="24" t="str">
        <f>VLOOKUP(Ruimtestaat[[#This Row],[Code]],Locaties[#All],6,FALSE)</f>
        <v>Almelo</v>
      </c>
      <c r="F72" s="61"/>
      <c r="G72" s="24" t="s">
        <v>435</v>
      </c>
      <c r="H72" s="28" t="s">
        <v>535</v>
      </c>
      <c r="I72" s="4" t="s">
        <v>456</v>
      </c>
      <c r="J72" s="24">
        <v>2</v>
      </c>
      <c r="K72" s="61" t="str">
        <f>VLOOKUP(J72,Ruimtegroepen[],2,FALSE)</f>
        <v>Kantoren</v>
      </c>
      <c r="L72" s="24" t="s">
        <v>103</v>
      </c>
      <c r="M72" s="24" t="s">
        <v>38</v>
      </c>
      <c r="N72" s="87">
        <v>9.8000000000000007</v>
      </c>
      <c r="O72" s="87"/>
      <c r="P72" s="97" t="str">
        <f>LEFT(VLOOKUP(Ruimtestaat[[#This Row],[Ruimte code]],Ruimtegroepen[#All],4,1),2)</f>
        <v>Bu</v>
      </c>
      <c r="Q72" s="87"/>
      <c r="R72" s="88">
        <v>52</v>
      </c>
      <c r="S72" s="88" t="s">
        <v>2</v>
      </c>
      <c r="T72" s="89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72" s="89">
        <f>IF(T72&gt;0,VLOOKUP($J72,Ruimtegroepen[],3,FALSE)*VLOOKUP($L72,Vloersoorten[],3,FALSE)*VLOOKUP($S72,Frequenties[],3,FALSE)*VLOOKUP($A72,Locaties[],3,FALSE),0)</f>
        <v>0</v>
      </c>
      <c r="V72" s="90">
        <f>Ruimtestaat[[#This Row],[Uitvoeringen werkdagen]]*Ruimtestaat[[#This Row],[Oppervlak (netto)]]</f>
        <v>2548</v>
      </c>
      <c r="W72" s="91">
        <f>IF(U72&gt;0,Ruimtestaat[[#This Row],[Prest. (m2 /jaar) werkdagen]]/Ruimtestaat[[#This Row],[Norm (m2/uur) werkdagen]],0)</f>
        <v>0</v>
      </c>
      <c r="X72" s="92">
        <f>Ruimtestaat[[#This Row],[uren / jaar werkdagen]]*Tariefsopbouw!$E$35</f>
        <v>0</v>
      </c>
      <c r="Y72" s="89"/>
      <c r="Z72" s="93">
        <f>IF(Ruimtestaat[[#This Row],[Frequentie weekend]]&gt;0,VALUE(LEFT(Y72,1))*R72,0)</f>
        <v>0</v>
      </c>
      <c r="AA72" s="89">
        <f>IF($Z72&gt;0,VLOOKUP($J72,Ruimtegroepen[],3,FALSE)*VLOOKUP($L72,Vloersoorten[],3,FALSE)*VLOOKUP($Y72,Frequenties[],3,FALSE)*VLOOKUP($A68,Locaties[],3,FALSE),0)</f>
        <v>0</v>
      </c>
      <c r="AB72" s="91">
        <f>Ruimtestaat[[#This Row],[Uitvoeringen weekend]]*Ruimtestaat[[#This Row],[Oppervlak (netto)]]</f>
        <v>0</v>
      </c>
      <c r="AC72" s="94">
        <f>IF(AB72&gt;0,Ruimtestaat[[#This Row],[Prest. (m2 /jaar) weekend]]/Ruimtestaat[[#This Row],[Norm (m2/uur) weekend]],0)</f>
        <v>0</v>
      </c>
      <c r="AD72" s="95">
        <f>Ruimtestaat[[#This Row],[uren / jaar weekend]]*Tariefsopbouw!$D$40</f>
        <v>0</v>
      </c>
      <c r="AE72" s="67">
        <f>Ruimtestaat[[#This Row],[Prest. (m2 /jaar) weekend]]+Ruimtestaat[[#This Row],[Prest. (m2 /jaar) werkdagen]]</f>
        <v>2548</v>
      </c>
      <c r="AF72" s="67">
        <f>Ruimtestaat[[#This Row],[uren / jaar weekend]]+Ruimtestaat[[#This Row],[uren / jaar werkdagen]]</f>
        <v>0</v>
      </c>
      <c r="AG72" s="68">
        <f>Ruimtestaat[[#This Row],[kosten / jaar weekend]]+Ruimtestaat[[#This Row],[kosten / jaar werkdagen]]</f>
        <v>0</v>
      </c>
      <c r="AH72" s="96"/>
      <c r="HL72" s="66"/>
    </row>
    <row r="73" spans="1:220" ht="15" customHeight="1">
      <c r="A73" s="114">
        <v>1</v>
      </c>
      <c r="B73" s="24" t="str">
        <f>VLOOKUP(Ruimtestaat[[#This Row],[Code]],Locaties[#All],2,FALSE)</f>
        <v>Hoofdgebouw</v>
      </c>
      <c r="C73" s="24" t="str">
        <f>VLOOKUP(Ruimtestaat[[#This Row],[Code]],Locaties[#All],4,FALSE)</f>
        <v>Rohofstraat 83</v>
      </c>
      <c r="D73" s="24" t="str">
        <f>VLOOKUP(Ruimtestaat[[#This Row],[Code]],Locaties[#All],5,FALSE)</f>
        <v>7605 AT</v>
      </c>
      <c r="E73" s="24" t="str">
        <f>VLOOKUP(Ruimtestaat[[#This Row],[Code]],Locaties[#All],6,FALSE)</f>
        <v>Almelo</v>
      </c>
      <c r="F73" s="61"/>
      <c r="G73" s="24" t="s">
        <v>435</v>
      </c>
      <c r="H73" s="28" t="s">
        <v>536</v>
      </c>
      <c r="I73" s="4" t="s">
        <v>492</v>
      </c>
      <c r="J73" s="24">
        <v>8</v>
      </c>
      <c r="K73" s="61" t="str">
        <f>VLOOKUP(J73,Ruimtegroepen[],2,FALSE)</f>
        <v>Woonkamer/aanland</v>
      </c>
      <c r="L73" s="24" t="s">
        <v>103</v>
      </c>
      <c r="M73" s="24" t="s">
        <v>38</v>
      </c>
      <c r="N73" s="87">
        <v>11.5</v>
      </c>
      <c r="O73" s="87"/>
      <c r="P73" s="97" t="str">
        <f>LEFT(VLOOKUP(Ruimtestaat[[#This Row],[Ruimte code]],Ruimtegroepen[#All],4,1),2)</f>
        <v>Ve</v>
      </c>
      <c r="Q73" s="87"/>
      <c r="R73" s="88">
        <v>52</v>
      </c>
      <c r="S73" s="88" t="s">
        <v>2</v>
      </c>
      <c r="T73" s="89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73" s="89">
        <f>IF(T73&gt;0,VLOOKUP($J73,Ruimtegroepen[],3,FALSE)*VLOOKUP($L73,Vloersoorten[],3,FALSE)*VLOOKUP($S73,Frequenties[],3,FALSE)*VLOOKUP($A73,Locaties[],3,FALSE),0)</f>
        <v>0</v>
      </c>
      <c r="V73" s="90">
        <f>Ruimtestaat[[#This Row],[Uitvoeringen werkdagen]]*Ruimtestaat[[#This Row],[Oppervlak (netto)]]</f>
        <v>2990</v>
      </c>
      <c r="W73" s="91">
        <f>IF(U73&gt;0,Ruimtestaat[[#This Row],[Prest. (m2 /jaar) werkdagen]]/Ruimtestaat[[#This Row],[Norm (m2/uur) werkdagen]],0)</f>
        <v>0</v>
      </c>
      <c r="X73" s="92">
        <f>Ruimtestaat[[#This Row],[uren / jaar werkdagen]]*Tariefsopbouw!$E$35</f>
        <v>0</v>
      </c>
      <c r="Y73" s="89"/>
      <c r="Z73" s="93">
        <f>IF(Ruimtestaat[[#This Row],[Frequentie weekend]]&gt;0,VALUE(LEFT(Y73,1))*R73,0)</f>
        <v>0</v>
      </c>
      <c r="AA73" s="89">
        <f>IF($Z73&gt;0,VLOOKUP($J73,Ruimtegroepen[],3,FALSE)*VLOOKUP($L73,Vloersoorten[],3,FALSE)*VLOOKUP($Y73,Frequenties[],3,FALSE)*VLOOKUP($A69,Locaties[],3,FALSE),0)</f>
        <v>0</v>
      </c>
      <c r="AB73" s="91">
        <f>Ruimtestaat[[#This Row],[Uitvoeringen weekend]]*Ruimtestaat[[#This Row],[Oppervlak (netto)]]</f>
        <v>0</v>
      </c>
      <c r="AC73" s="94">
        <f>IF(AB73&gt;0,Ruimtestaat[[#This Row],[Prest. (m2 /jaar) weekend]]/Ruimtestaat[[#This Row],[Norm (m2/uur) weekend]],0)</f>
        <v>0</v>
      </c>
      <c r="AD73" s="95">
        <f>Ruimtestaat[[#This Row],[uren / jaar weekend]]*Tariefsopbouw!$D$40</f>
        <v>0</v>
      </c>
      <c r="AE73" s="67">
        <f>Ruimtestaat[[#This Row],[Prest. (m2 /jaar) weekend]]+Ruimtestaat[[#This Row],[Prest. (m2 /jaar) werkdagen]]</f>
        <v>2990</v>
      </c>
      <c r="AF73" s="67">
        <f>Ruimtestaat[[#This Row],[uren / jaar weekend]]+Ruimtestaat[[#This Row],[uren / jaar werkdagen]]</f>
        <v>0</v>
      </c>
      <c r="AG73" s="68">
        <f>Ruimtestaat[[#This Row],[kosten / jaar weekend]]+Ruimtestaat[[#This Row],[kosten / jaar werkdagen]]</f>
        <v>0</v>
      </c>
      <c r="AH73" s="96"/>
      <c r="HL73" s="66"/>
    </row>
    <row r="74" spans="1:220" ht="15" customHeight="1">
      <c r="A74" s="114">
        <v>1</v>
      </c>
      <c r="B74" s="24" t="str">
        <f>VLOOKUP(Ruimtestaat[[#This Row],[Code]],Locaties[#All],2,FALSE)</f>
        <v>Hoofdgebouw</v>
      </c>
      <c r="C74" s="24" t="str">
        <f>VLOOKUP(Ruimtestaat[[#This Row],[Code]],Locaties[#All],4,FALSE)</f>
        <v>Rohofstraat 83</v>
      </c>
      <c r="D74" s="24" t="str">
        <f>VLOOKUP(Ruimtestaat[[#This Row],[Code]],Locaties[#All],5,FALSE)</f>
        <v>7605 AT</v>
      </c>
      <c r="E74" s="24" t="str">
        <f>VLOOKUP(Ruimtestaat[[#This Row],[Code]],Locaties[#All],6,FALSE)</f>
        <v>Almelo</v>
      </c>
      <c r="F74" s="61"/>
      <c r="G74" s="24" t="s">
        <v>435</v>
      </c>
      <c r="H74" s="28" t="s">
        <v>537</v>
      </c>
      <c r="I74" s="4" t="s">
        <v>451</v>
      </c>
      <c r="J74" s="24">
        <v>9</v>
      </c>
      <c r="K74" s="61" t="str">
        <f>VLOOKUP(J74,Ruimtegroepen[],2,FALSE)</f>
        <v>Kantoortuin</v>
      </c>
      <c r="L74" s="24" t="s">
        <v>103</v>
      </c>
      <c r="M74" s="24" t="s">
        <v>38</v>
      </c>
      <c r="N74" s="87">
        <v>38.5</v>
      </c>
      <c r="O74" s="87"/>
      <c r="P74" s="97" t="str">
        <f>LEFT(VLOOKUP(Ruimtestaat[[#This Row],[Ruimte code]],Ruimtegroepen[#All],4,1),2)</f>
        <v>Bu</v>
      </c>
      <c r="Q74" s="87"/>
      <c r="R74" s="88">
        <v>52</v>
      </c>
      <c r="S74" s="88" t="s">
        <v>2</v>
      </c>
      <c r="T74" s="89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74" s="89">
        <f>IF(T74&gt;0,VLOOKUP($J74,Ruimtegroepen[],3,FALSE)*VLOOKUP($L74,Vloersoorten[],3,FALSE)*VLOOKUP($S74,Frequenties[],3,FALSE)*VLOOKUP($A74,Locaties[],3,FALSE),0)</f>
        <v>0</v>
      </c>
      <c r="V74" s="90">
        <f>Ruimtestaat[[#This Row],[Uitvoeringen werkdagen]]*Ruimtestaat[[#This Row],[Oppervlak (netto)]]</f>
        <v>10010</v>
      </c>
      <c r="W74" s="91">
        <f>IF(U74&gt;0,Ruimtestaat[[#This Row],[Prest. (m2 /jaar) werkdagen]]/Ruimtestaat[[#This Row],[Norm (m2/uur) werkdagen]],0)</f>
        <v>0</v>
      </c>
      <c r="X74" s="92">
        <f>Ruimtestaat[[#This Row],[uren / jaar werkdagen]]*Tariefsopbouw!$E$35</f>
        <v>0</v>
      </c>
      <c r="Y74" s="89"/>
      <c r="Z74" s="93">
        <f>IF(Ruimtestaat[[#This Row],[Frequentie weekend]]&gt;0,VALUE(LEFT(Y74,1))*R74,0)</f>
        <v>0</v>
      </c>
      <c r="AA74" s="89">
        <f>IF($Z74&gt;0,VLOOKUP($J74,Ruimtegroepen[],3,FALSE)*VLOOKUP($L74,Vloersoorten[],3,FALSE)*VLOOKUP($Y74,Frequenties[],3,FALSE)*VLOOKUP($A70,Locaties[],3,FALSE),0)</f>
        <v>0</v>
      </c>
      <c r="AB74" s="91">
        <f>Ruimtestaat[[#This Row],[Uitvoeringen weekend]]*Ruimtestaat[[#This Row],[Oppervlak (netto)]]</f>
        <v>0</v>
      </c>
      <c r="AC74" s="94">
        <f>IF(AB74&gt;0,Ruimtestaat[[#This Row],[Prest. (m2 /jaar) weekend]]/Ruimtestaat[[#This Row],[Norm (m2/uur) weekend]],0)</f>
        <v>0</v>
      </c>
      <c r="AD74" s="95">
        <f>Ruimtestaat[[#This Row],[uren / jaar weekend]]*Tariefsopbouw!$D$40</f>
        <v>0</v>
      </c>
      <c r="AE74" s="67">
        <f>Ruimtestaat[[#This Row],[Prest. (m2 /jaar) weekend]]+Ruimtestaat[[#This Row],[Prest. (m2 /jaar) werkdagen]]</f>
        <v>10010</v>
      </c>
      <c r="AF74" s="67">
        <f>Ruimtestaat[[#This Row],[uren / jaar weekend]]+Ruimtestaat[[#This Row],[uren / jaar werkdagen]]</f>
        <v>0</v>
      </c>
      <c r="AG74" s="68">
        <f>Ruimtestaat[[#This Row],[kosten / jaar weekend]]+Ruimtestaat[[#This Row],[kosten / jaar werkdagen]]</f>
        <v>0</v>
      </c>
      <c r="AH74" s="96"/>
      <c r="HL74" s="66"/>
    </row>
    <row r="75" spans="1:220" ht="15" customHeight="1">
      <c r="A75" s="114">
        <v>1</v>
      </c>
      <c r="B75" s="24" t="str">
        <f>VLOOKUP(Ruimtestaat[[#This Row],[Code]],Locaties[#All],2,FALSE)</f>
        <v>Hoofdgebouw</v>
      </c>
      <c r="C75" s="24" t="str">
        <f>VLOOKUP(Ruimtestaat[[#This Row],[Code]],Locaties[#All],4,FALSE)</f>
        <v>Rohofstraat 83</v>
      </c>
      <c r="D75" s="24" t="str">
        <f>VLOOKUP(Ruimtestaat[[#This Row],[Code]],Locaties[#All],5,FALSE)</f>
        <v>7605 AT</v>
      </c>
      <c r="E75" s="24" t="str">
        <f>VLOOKUP(Ruimtestaat[[#This Row],[Code]],Locaties[#All],6,FALSE)</f>
        <v>Almelo</v>
      </c>
      <c r="F75" s="61"/>
      <c r="G75" s="24" t="s">
        <v>435</v>
      </c>
      <c r="H75" s="28" t="s">
        <v>538</v>
      </c>
      <c r="I75" s="4" t="s">
        <v>451</v>
      </c>
      <c r="J75" s="24">
        <v>9</v>
      </c>
      <c r="K75" s="61" t="str">
        <f>VLOOKUP(J75,Ruimtegroepen[],2,FALSE)</f>
        <v>Kantoortuin</v>
      </c>
      <c r="L75" s="24" t="s">
        <v>103</v>
      </c>
      <c r="M75" s="24" t="s">
        <v>38</v>
      </c>
      <c r="N75" s="87">
        <v>22.4</v>
      </c>
      <c r="O75" s="87"/>
      <c r="P75" s="97" t="str">
        <f>LEFT(VLOOKUP(Ruimtestaat[[#This Row],[Ruimte code]],Ruimtegroepen[#All],4,1),2)</f>
        <v>Bu</v>
      </c>
      <c r="Q75" s="87"/>
      <c r="R75" s="88">
        <v>52</v>
      </c>
      <c r="S75" s="88" t="s">
        <v>2</v>
      </c>
      <c r="T75" s="89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75" s="89">
        <f>IF(T75&gt;0,VLOOKUP($J75,Ruimtegroepen[],3,FALSE)*VLOOKUP($L75,Vloersoorten[],3,FALSE)*VLOOKUP($S75,Frequenties[],3,FALSE)*VLOOKUP($A75,Locaties[],3,FALSE),0)</f>
        <v>0</v>
      </c>
      <c r="V75" s="90">
        <f>Ruimtestaat[[#This Row],[Uitvoeringen werkdagen]]*Ruimtestaat[[#This Row],[Oppervlak (netto)]]</f>
        <v>5824</v>
      </c>
      <c r="W75" s="91">
        <f>IF(U75&gt;0,Ruimtestaat[[#This Row],[Prest. (m2 /jaar) werkdagen]]/Ruimtestaat[[#This Row],[Norm (m2/uur) werkdagen]],0)</f>
        <v>0</v>
      </c>
      <c r="X75" s="92">
        <f>Ruimtestaat[[#This Row],[uren / jaar werkdagen]]*Tariefsopbouw!$E$35</f>
        <v>0</v>
      </c>
      <c r="Y75" s="89"/>
      <c r="Z75" s="93">
        <f>IF(Ruimtestaat[[#This Row],[Frequentie weekend]]&gt;0,VALUE(LEFT(Y75,1))*R75,0)</f>
        <v>0</v>
      </c>
      <c r="AA75" s="89">
        <f>IF($Z75&gt;0,VLOOKUP($J75,Ruimtegroepen[],3,FALSE)*VLOOKUP($L75,Vloersoorten[],3,FALSE)*VLOOKUP($Y75,Frequenties[],3,FALSE)*VLOOKUP($A71,Locaties[],3,FALSE),0)</f>
        <v>0</v>
      </c>
      <c r="AB75" s="91">
        <f>Ruimtestaat[[#This Row],[Uitvoeringen weekend]]*Ruimtestaat[[#This Row],[Oppervlak (netto)]]</f>
        <v>0</v>
      </c>
      <c r="AC75" s="94">
        <f>IF(AB75&gt;0,Ruimtestaat[[#This Row],[Prest. (m2 /jaar) weekend]]/Ruimtestaat[[#This Row],[Norm (m2/uur) weekend]],0)</f>
        <v>0</v>
      </c>
      <c r="AD75" s="95">
        <f>Ruimtestaat[[#This Row],[uren / jaar weekend]]*Tariefsopbouw!$D$40</f>
        <v>0</v>
      </c>
      <c r="AE75" s="67">
        <f>Ruimtestaat[[#This Row],[Prest. (m2 /jaar) weekend]]+Ruimtestaat[[#This Row],[Prest. (m2 /jaar) werkdagen]]</f>
        <v>5824</v>
      </c>
      <c r="AF75" s="67">
        <f>Ruimtestaat[[#This Row],[uren / jaar weekend]]+Ruimtestaat[[#This Row],[uren / jaar werkdagen]]</f>
        <v>0</v>
      </c>
      <c r="AG75" s="68">
        <f>Ruimtestaat[[#This Row],[kosten / jaar weekend]]+Ruimtestaat[[#This Row],[kosten / jaar werkdagen]]</f>
        <v>0</v>
      </c>
      <c r="AH75" s="96"/>
      <c r="HL75" s="66"/>
    </row>
    <row r="76" spans="1:220" ht="15" customHeight="1">
      <c r="A76" s="114">
        <v>1</v>
      </c>
      <c r="B76" s="24" t="str">
        <f>VLOOKUP(Ruimtestaat[[#This Row],[Code]],Locaties[#All],2,FALSE)</f>
        <v>Hoofdgebouw</v>
      </c>
      <c r="C76" s="24" t="str">
        <f>VLOOKUP(Ruimtestaat[[#This Row],[Code]],Locaties[#All],4,FALSE)</f>
        <v>Rohofstraat 83</v>
      </c>
      <c r="D76" s="24" t="str">
        <f>VLOOKUP(Ruimtestaat[[#This Row],[Code]],Locaties[#All],5,FALSE)</f>
        <v>7605 AT</v>
      </c>
      <c r="E76" s="24" t="str">
        <f>VLOOKUP(Ruimtestaat[[#This Row],[Code]],Locaties[#All],6,FALSE)</f>
        <v>Almelo</v>
      </c>
      <c r="F76" s="61"/>
      <c r="G76" s="24" t="s">
        <v>435</v>
      </c>
      <c r="H76" s="28" t="s">
        <v>539</v>
      </c>
      <c r="I76" s="4" t="s">
        <v>505</v>
      </c>
      <c r="J76" s="24">
        <v>2</v>
      </c>
      <c r="K76" s="61" t="str">
        <f>VLOOKUP(J76,Ruimtegroepen[],2,FALSE)</f>
        <v>Kantoren</v>
      </c>
      <c r="L76" s="24" t="s">
        <v>103</v>
      </c>
      <c r="M76" s="24" t="s">
        <v>38</v>
      </c>
      <c r="N76" s="87">
        <v>22.4</v>
      </c>
      <c r="O76" s="87"/>
      <c r="P76" s="97" t="str">
        <f>LEFT(VLOOKUP(Ruimtestaat[[#This Row],[Ruimte code]],Ruimtegroepen[#All],4,1),2)</f>
        <v>Bu</v>
      </c>
      <c r="Q76" s="87"/>
      <c r="R76" s="88">
        <v>52</v>
      </c>
      <c r="S76" s="88" t="s">
        <v>2</v>
      </c>
      <c r="T76" s="89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76" s="89">
        <f>IF(T76&gt;0,VLOOKUP($J76,Ruimtegroepen[],3,FALSE)*VLOOKUP($L76,Vloersoorten[],3,FALSE)*VLOOKUP($S76,Frequenties[],3,FALSE)*VLOOKUP($A76,Locaties[],3,FALSE),0)</f>
        <v>0</v>
      </c>
      <c r="V76" s="90">
        <f>Ruimtestaat[[#This Row],[Uitvoeringen werkdagen]]*Ruimtestaat[[#This Row],[Oppervlak (netto)]]</f>
        <v>5824</v>
      </c>
      <c r="W76" s="91">
        <f>IF(U76&gt;0,Ruimtestaat[[#This Row],[Prest. (m2 /jaar) werkdagen]]/Ruimtestaat[[#This Row],[Norm (m2/uur) werkdagen]],0)</f>
        <v>0</v>
      </c>
      <c r="X76" s="92">
        <f>Ruimtestaat[[#This Row],[uren / jaar werkdagen]]*Tariefsopbouw!$E$35</f>
        <v>0</v>
      </c>
      <c r="Y76" s="89"/>
      <c r="Z76" s="93">
        <f>IF(Ruimtestaat[[#This Row],[Frequentie weekend]]&gt;0,VALUE(LEFT(Y76,1))*R76,0)</f>
        <v>0</v>
      </c>
      <c r="AA76" s="89">
        <f>IF($Z76&gt;0,VLOOKUP($J76,Ruimtegroepen[],3,FALSE)*VLOOKUP($L76,Vloersoorten[],3,FALSE)*VLOOKUP($Y76,Frequenties[],3,FALSE)*VLOOKUP($A72,Locaties[],3,FALSE),0)</f>
        <v>0</v>
      </c>
      <c r="AB76" s="91">
        <f>Ruimtestaat[[#This Row],[Uitvoeringen weekend]]*Ruimtestaat[[#This Row],[Oppervlak (netto)]]</f>
        <v>0</v>
      </c>
      <c r="AC76" s="94">
        <f>IF(AB76&gt;0,Ruimtestaat[[#This Row],[Prest. (m2 /jaar) weekend]]/Ruimtestaat[[#This Row],[Norm (m2/uur) weekend]],0)</f>
        <v>0</v>
      </c>
      <c r="AD76" s="95">
        <f>Ruimtestaat[[#This Row],[uren / jaar weekend]]*Tariefsopbouw!$D$40</f>
        <v>0</v>
      </c>
      <c r="AE76" s="67">
        <f>Ruimtestaat[[#This Row],[Prest. (m2 /jaar) weekend]]+Ruimtestaat[[#This Row],[Prest. (m2 /jaar) werkdagen]]</f>
        <v>5824</v>
      </c>
      <c r="AF76" s="67">
        <f>Ruimtestaat[[#This Row],[uren / jaar weekend]]+Ruimtestaat[[#This Row],[uren / jaar werkdagen]]</f>
        <v>0</v>
      </c>
      <c r="AG76" s="68">
        <f>Ruimtestaat[[#This Row],[kosten / jaar weekend]]+Ruimtestaat[[#This Row],[kosten / jaar werkdagen]]</f>
        <v>0</v>
      </c>
      <c r="AH76" s="96"/>
      <c r="HL76" s="66"/>
    </row>
    <row r="77" spans="1:220" ht="15" customHeight="1">
      <c r="A77" s="114">
        <v>1</v>
      </c>
      <c r="B77" s="24" t="str">
        <f>VLOOKUP(Ruimtestaat[[#This Row],[Code]],Locaties[#All],2,FALSE)</f>
        <v>Hoofdgebouw</v>
      </c>
      <c r="C77" s="24" t="str">
        <f>VLOOKUP(Ruimtestaat[[#This Row],[Code]],Locaties[#All],4,FALSE)</f>
        <v>Rohofstraat 83</v>
      </c>
      <c r="D77" s="24" t="str">
        <f>VLOOKUP(Ruimtestaat[[#This Row],[Code]],Locaties[#All],5,FALSE)</f>
        <v>7605 AT</v>
      </c>
      <c r="E77" s="24" t="str">
        <f>VLOOKUP(Ruimtestaat[[#This Row],[Code]],Locaties[#All],6,FALSE)</f>
        <v>Almelo</v>
      </c>
      <c r="F77" s="61"/>
      <c r="G77" s="24" t="s">
        <v>435</v>
      </c>
      <c r="H77" s="28" t="s">
        <v>540</v>
      </c>
      <c r="I77" s="4" t="s">
        <v>472</v>
      </c>
      <c r="J77" s="24">
        <v>6</v>
      </c>
      <c r="K77" s="61" t="str">
        <f>VLOOKUP(J77,Ruimtegroepen[],2,FALSE)</f>
        <v>Gangen/hallen</v>
      </c>
      <c r="L77" s="24" t="s">
        <v>103</v>
      </c>
      <c r="M77" s="24" t="s">
        <v>38</v>
      </c>
      <c r="N77" s="87">
        <v>10.4</v>
      </c>
      <c r="O77" s="87"/>
      <c r="P77" s="97" t="str">
        <f>LEFT(VLOOKUP(Ruimtestaat[[#This Row],[Ruimte code]],Ruimtegroepen[#All],4,1),2)</f>
        <v>Ve</v>
      </c>
      <c r="Q77" s="87"/>
      <c r="R77" s="88">
        <v>52</v>
      </c>
      <c r="S77" s="88" t="s">
        <v>2</v>
      </c>
      <c r="T77" s="89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77" s="89">
        <f>IF(T77&gt;0,VLOOKUP($J77,Ruimtegroepen[],3,FALSE)*VLOOKUP($L77,Vloersoorten[],3,FALSE)*VLOOKUP($S77,Frequenties[],3,FALSE)*VLOOKUP($A77,Locaties[],3,FALSE),0)</f>
        <v>0</v>
      </c>
      <c r="V77" s="90">
        <f>Ruimtestaat[[#This Row],[Uitvoeringen werkdagen]]*Ruimtestaat[[#This Row],[Oppervlak (netto)]]</f>
        <v>2704</v>
      </c>
      <c r="W77" s="91">
        <f>IF(U77&gt;0,Ruimtestaat[[#This Row],[Prest. (m2 /jaar) werkdagen]]/Ruimtestaat[[#This Row],[Norm (m2/uur) werkdagen]],0)</f>
        <v>0</v>
      </c>
      <c r="X77" s="92">
        <f>Ruimtestaat[[#This Row],[uren / jaar werkdagen]]*Tariefsopbouw!$E$35</f>
        <v>0</v>
      </c>
      <c r="Y77" s="89"/>
      <c r="Z77" s="93">
        <f>IF(Ruimtestaat[[#This Row],[Frequentie weekend]]&gt;0,VALUE(LEFT(Y77,1))*R77,0)</f>
        <v>0</v>
      </c>
      <c r="AA77" s="89">
        <f>IF($Z77&gt;0,VLOOKUP($J77,Ruimtegroepen[],3,FALSE)*VLOOKUP($L77,Vloersoorten[],3,FALSE)*VLOOKUP($Y77,Frequenties[],3,FALSE)*VLOOKUP($A73,Locaties[],3,FALSE),0)</f>
        <v>0</v>
      </c>
      <c r="AB77" s="91">
        <f>Ruimtestaat[[#This Row],[Uitvoeringen weekend]]*Ruimtestaat[[#This Row],[Oppervlak (netto)]]</f>
        <v>0</v>
      </c>
      <c r="AC77" s="94">
        <f>IF(AB77&gt;0,Ruimtestaat[[#This Row],[Prest. (m2 /jaar) weekend]]/Ruimtestaat[[#This Row],[Norm (m2/uur) weekend]],0)</f>
        <v>0</v>
      </c>
      <c r="AD77" s="95">
        <f>Ruimtestaat[[#This Row],[uren / jaar weekend]]*Tariefsopbouw!$D$40</f>
        <v>0</v>
      </c>
      <c r="AE77" s="67">
        <f>Ruimtestaat[[#This Row],[Prest. (m2 /jaar) weekend]]+Ruimtestaat[[#This Row],[Prest. (m2 /jaar) werkdagen]]</f>
        <v>2704</v>
      </c>
      <c r="AF77" s="67">
        <f>Ruimtestaat[[#This Row],[uren / jaar weekend]]+Ruimtestaat[[#This Row],[uren / jaar werkdagen]]</f>
        <v>0</v>
      </c>
      <c r="AG77" s="68">
        <f>Ruimtestaat[[#This Row],[kosten / jaar weekend]]+Ruimtestaat[[#This Row],[kosten / jaar werkdagen]]</f>
        <v>0</v>
      </c>
      <c r="AH77" s="96"/>
      <c r="HL77" s="66"/>
    </row>
    <row r="78" spans="1:220" ht="15" customHeight="1">
      <c r="A78" s="114">
        <v>1</v>
      </c>
      <c r="B78" s="24" t="str">
        <f>VLOOKUP(Ruimtestaat[[#This Row],[Code]],Locaties[#All],2,FALSE)</f>
        <v>Hoofdgebouw</v>
      </c>
      <c r="C78" s="24" t="str">
        <f>VLOOKUP(Ruimtestaat[[#This Row],[Code]],Locaties[#All],4,FALSE)</f>
        <v>Rohofstraat 83</v>
      </c>
      <c r="D78" s="24" t="str">
        <f>VLOOKUP(Ruimtestaat[[#This Row],[Code]],Locaties[#All],5,FALSE)</f>
        <v>7605 AT</v>
      </c>
      <c r="E78" s="24" t="str">
        <f>VLOOKUP(Ruimtestaat[[#This Row],[Code]],Locaties[#All],6,FALSE)</f>
        <v>Almelo</v>
      </c>
      <c r="F78" s="61"/>
      <c r="G78" s="24" t="s">
        <v>435</v>
      </c>
      <c r="H78" s="24" t="s">
        <v>541</v>
      </c>
      <c r="I78" s="4" t="s">
        <v>481</v>
      </c>
      <c r="J78" s="24">
        <v>17</v>
      </c>
      <c r="K78" s="61" t="str">
        <f>VLOOKUP(J78,Ruimtegroepen[],2,FALSE)</f>
        <v>Niet in Onderhoud</v>
      </c>
      <c r="M78" s="24"/>
      <c r="O78" s="87">
        <v>4.0999999999999996</v>
      </c>
      <c r="P78" s="97" t="str">
        <f>LEFT(VLOOKUP(Ruimtestaat[[#This Row],[Ruimte code]],Ruimtegroepen[#All],4,1),2)</f>
        <v/>
      </c>
      <c r="Q78" s="87"/>
      <c r="R78" s="88"/>
      <c r="S78" s="88"/>
      <c r="T78" s="89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8" s="89">
        <f>IF(T78&gt;0,VLOOKUP($J78,Ruimtegroepen[],3,FALSE)*VLOOKUP($L78,Vloersoorten[],3,FALSE)*VLOOKUP($S78,Frequenties[],3,FALSE)*VLOOKUP($A78,Locaties[],3,FALSE),0)</f>
        <v>0</v>
      </c>
      <c r="V78" s="90">
        <f>Ruimtestaat[[#This Row],[Uitvoeringen werkdagen]]*Ruimtestaat[[#This Row],[Oppervlak (netto)]]</f>
        <v>0</v>
      </c>
      <c r="W78" s="91">
        <f>IF(U78&gt;0,Ruimtestaat[[#This Row],[Prest. (m2 /jaar) werkdagen]]/Ruimtestaat[[#This Row],[Norm (m2/uur) werkdagen]],0)</f>
        <v>0</v>
      </c>
      <c r="X78" s="92">
        <f>Ruimtestaat[[#This Row],[uren / jaar werkdagen]]*Tariefsopbouw!$E$35</f>
        <v>0</v>
      </c>
      <c r="Y78" s="89"/>
      <c r="Z78" s="93">
        <f>IF(Ruimtestaat[[#This Row],[Frequentie weekend]]&gt;0,VALUE(LEFT(Y78,1))*R78,0)</f>
        <v>0</v>
      </c>
      <c r="AA78" s="89">
        <f>IF($Z78&gt;0,VLOOKUP($J78,Ruimtegroepen[],3,FALSE)*VLOOKUP($L78,Vloersoorten[],3,FALSE)*VLOOKUP($Y78,Frequenties[],3,FALSE)*VLOOKUP($A74,Locaties[],3,FALSE),0)</f>
        <v>0</v>
      </c>
      <c r="AB78" s="91">
        <f>Ruimtestaat[[#This Row],[Uitvoeringen weekend]]*Ruimtestaat[[#This Row],[Oppervlak (netto)]]</f>
        <v>0</v>
      </c>
      <c r="AC78" s="94">
        <f>IF(AB78&gt;0,Ruimtestaat[[#This Row],[Prest. (m2 /jaar) weekend]]/Ruimtestaat[[#This Row],[Norm (m2/uur) weekend]],0)</f>
        <v>0</v>
      </c>
      <c r="AD78" s="95">
        <f>Ruimtestaat[[#This Row],[uren / jaar weekend]]*Tariefsopbouw!$D$40</f>
        <v>0</v>
      </c>
      <c r="AE78" s="67">
        <f>Ruimtestaat[[#This Row],[Prest. (m2 /jaar) weekend]]+Ruimtestaat[[#This Row],[Prest. (m2 /jaar) werkdagen]]</f>
        <v>0</v>
      </c>
      <c r="AF78" s="67">
        <f>Ruimtestaat[[#This Row],[uren / jaar weekend]]+Ruimtestaat[[#This Row],[uren / jaar werkdagen]]</f>
        <v>0</v>
      </c>
      <c r="AG78" s="68">
        <f>Ruimtestaat[[#This Row],[kosten / jaar weekend]]+Ruimtestaat[[#This Row],[kosten / jaar werkdagen]]</f>
        <v>0</v>
      </c>
      <c r="AH78" s="96"/>
      <c r="HL78" s="66"/>
    </row>
    <row r="79" spans="1:220" ht="15" customHeight="1">
      <c r="A79" s="114">
        <v>1</v>
      </c>
      <c r="B79" s="24" t="str">
        <f>VLOOKUP(Ruimtestaat[[#This Row],[Code]],Locaties[#All],2,FALSE)</f>
        <v>Hoofdgebouw</v>
      </c>
      <c r="C79" s="24" t="str">
        <f>VLOOKUP(Ruimtestaat[[#This Row],[Code]],Locaties[#All],4,FALSE)</f>
        <v>Rohofstraat 83</v>
      </c>
      <c r="D79" s="24" t="str">
        <f>VLOOKUP(Ruimtestaat[[#This Row],[Code]],Locaties[#All],5,FALSE)</f>
        <v>7605 AT</v>
      </c>
      <c r="E79" s="24" t="str">
        <f>VLOOKUP(Ruimtestaat[[#This Row],[Code]],Locaties[#All],6,FALSE)</f>
        <v>Almelo</v>
      </c>
      <c r="F79" s="61"/>
      <c r="G79" s="24" t="s">
        <v>435</v>
      </c>
      <c r="H79" s="28" t="s">
        <v>542</v>
      </c>
      <c r="I79" s="4" t="s">
        <v>481</v>
      </c>
      <c r="J79" s="24">
        <v>17</v>
      </c>
      <c r="K79" s="61" t="str">
        <f>VLOOKUP(J79,Ruimtegroepen[],2,FALSE)</f>
        <v>Niet in Onderhoud</v>
      </c>
      <c r="M79" s="24"/>
      <c r="O79" s="87">
        <v>22</v>
      </c>
      <c r="P79" s="97" t="str">
        <f>LEFT(VLOOKUP(Ruimtestaat[[#This Row],[Ruimte code]],Ruimtegroepen[#All],4,1),2)</f>
        <v/>
      </c>
      <c r="Q79" s="87"/>
      <c r="R79" s="88"/>
      <c r="S79" s="88"/>
      <c r="T79" s="89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9" s="89">
        <f>IF(T79&gt;0,VLOOKUP($J79,Ruimtegroepen[],3,FALSE)*VLOOKUP($L79,Vloersoorten[],3,FALSE)*VLOOKUP($S79,Frequenties[],3,FALSE)*VLOOKUP($A79,Locaties[],3,FALSE),0)</f>
        <v>0</v>
      </c>
      <c r="V79" s="90">
        <f>Ruimtestaat[[#This Row],[Uitvoeringen werkdagen]]*Ruimtestaat[[#This Row],[Oppervlak (netto)]]</f>
        <v>0</v>
      </c>
      <c r="W79" s="91">
        <f>IF(U79&gt;0,Ruimtestaat[[#This Row],[Prest. (m2 /jaar) werkdagen]]/Ruimtestaat[[#This Row],[Norm (m2/uur) werkdagen]],0)</f>
        <v>0</v>
      </c>
      <c r="X79" s="92">
        <f>Ruimtestaat[[#This Row],[uren / jaar werkdagen]]*Tariefsopbouw!$E$35</f>
        <v>0</v>
      </c>
      <c r="Y79" s="89"/>
      <c r="Z79" s="93">
        <f>IF(Ruimtestaat[[#This Row],[Frequentie weekend]]&gt;0,VALUE(LEFT(Y79,1))*R79,0)</f>
        <v>0</v>
      </c>
      <c r="AA79" s="89">
        <f>IF($Z79&gt;0,VLOOKUP($J79,Ruimtegroepen[],3,FALSE)*VLOOKUP($L79,Vloersoorten[],3,FALSE)*VLOOKUP($Y79,Frequenties[],3,FALSE)*VLOOKUP($A75,Locaties[],3,FALSE),0)</f>
        <v>0</v>
      </c>
      <c r="AB79" s="91">
        <f>Ruimtestaat[[#This Row],[Uitvoeringen weekend]]*Ruimtestaat[[#This Row],[Oppervlak (netto)]]</f>
        <v>0</v>
      </c>
      <c r="AC79" s="94">
        <f>IF(AB79&gt;0,Ruimtestaat[[#This Row],[Prest. (m2 /jaar) weekend]]/Ruimtestaat[[#This Row],[Norm (m2/uur) weekend]],0)</f>
        <v>0</v>
      </c>
      <c r="AD79" s="95">
        <f>Ruimtestaat[[#This Row],[uren / jaar weekend]]*Tariefsopbouw!$D$40</f>
        <v>0</v>
      </c>
      <c r="AE79" s="67">
        <f>Ruimtestaat[[#This Row],[Prest. (m2 /jaar) weekend]]+Ruimtestaat[[#This Row],[Prest. (m2 /jaar) werkdagen]]</f>
        <v>0</v>
      </c>
      <c r="AF79" s="67">
        <f>Ruimtestaat[[#This Row],[uren / jaar weekend]]+Ruimtestaat[[#This Row],[uren / jaar werkdagen]]</f>
        <v>0</v>
      </c>
      <c r="AG79" s="68">
        <f>Ruimtestaat[[#This Row],[kosten / jaar weekend]]+Ruimtestaat[[#This Row],[kosten / jaar werkdagen]]</f>
        <v>0</v>
      </c>
      <c r="AH79" s="96"/>
      <c r="HL79" s="66"/>
    </row>
    <row r="80" spans="1:220" ht="15" customHeight="1">
      <c r="A80" s="114">
        <v>1</v>
      </c>
      <c r="B80" s="24" t="str">
        <f>VLOOKUP(Ruimtestaat[[#This Row],[Code]],Locaties[#All],2,FALSE)</f>
        <v>Hoofdgebouw</v>
      </c>
      <c r="C80" s="24" t="str">
        <f>VLOOKUP(Ruimtestaat[[#This Row],[Code]],Locaties[#All],4,FALSE)</f>
        <v>Rohofstraat 83</v>
      </c>
      <c r="D80" s="24" t="str">
        <f>VLOOKUP(Ruimtestaat[[#This Row],[Code]],Locaties[#All],5,FALSE)</f>
        <v>7605 AT</v>
      </c>
      <c r="E80" s="24" t="str">
        <f>VLOOKUP(Ruimtestaat[[#This Row],[Code]],Locaties[#All],6,FALSE)</f>
        <v>Almelo</v>
      </c>
      <c r="F80" s="61"/>
      <c r="G80" s="24" t="s">
        <v>435</v>
      </c>
      <c r="H80" s="28" t="s">
        <v>543</v>
      </c>
      <c r="I80" s="4" t="s">
        <v>481</v>
      </c>
      <c r="J80" s="24">
        <v>17</v>
      </c>
      <c r="K80" s="61" t="str">
        <f>VLOOKUP(J80,Ruimtegroepen[],2,FALSE)</f>
        <v>Niet in Onderhoud</v>
      </c>
      <c r="M80" s="24"/>
      <c r="O80" s="87">
        <v>21.8</v>
      </c>
      <c r="P80" s="97" t="str">
        <f>LEFT(VLOOKUP(Ruimtestaat[[#This Row],[Ruimte code]],Ruimtegroepen[#All],4,1),2)</f>
        <v/>
      </c>
      <c r="Q80" s="87"/>
      <c r="R80" s="88"/>
      <c r="S80" s="88"/>
      <c r="T80" s="89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0" s="89">
        <f>IF(T80&gt;0,VLOOKUP($J80,Ruimtegroepen[],3,FALSE)*VLOOKUP($L80,Vloersoorten[],3,FALSE)*VLOOKUP($S80,Frequenties[],3,FALSE)*VLOOKUP($A80,Locaties[],3,FALSE),0)</f>
        <v>0</v>
      </c>
      <c r="V80" s="90">
        <f>Ruimtestaat[[#This Row],[Uitvoeringen werkdagen]]*Ruimtestaat[[#This Row],[Oppervlak (netto)]]</f>
        <v>0</v>
      </c>
      <c r="W80" s="91">
        <f>IF(U80&gt;0,Ruimtestaat[[#This Row],[Prest. (m2 /jaar) werkdagen]]/Ruimtestaat[[#This Row],[Norm (m2/uur) werkdagen]],0)</f>
        <v>0</v>
      </c>
      <c r="X80" s="92">
        <f>Ruimtestaat[[#This Row],[uren / jaar werkdagen]]*Tariefsopbouw!$E$35</f>
        <v>0</v>
      </c>
      <c r="Y80" s="89"/>
      <c r="Z80" s="93">
        <f>IF(Ruimtestaat[[#This Row],[Frequentie weekend]]&gt;0,VALUE(LEFT(Y80,1))*R80,0)</f>
        <v>0</v>
      </c>
      <c r="AA80" s="89">
        <f>IF($Z80&gt;0,VLOOKUP($J80,Ruimtegroepen[],3,FALSE)*VLOOKUP($L80,Vloersoorten[],3,FALSE)*VLOOKUP($Y80,Frequenties[],3,FALSE)*VLOOKUP($A76,Locaties[],3,FALSE),0)</f>
        <v>0</v>
      </c>
      <c r="AB80" s="91">
        <f>Ruimtestaat[[#This Row],[Uitvoeringen weekend]]*Ruimtestaat[[#This Row],[Oppervlak (netto)]]</f>
        <v>0</v>
      </c>
      <c r="AC80" s="94">
        <f>IF(AB80&gt;0,Ruimtestaat[[#This Row],[Prest. (m2 /jaar) weekend]]/Ruimtestaat[[#This Row],[Norm (m2/uur) weekend]],0)</f>
        <v>0</v>
      </c>
      <c r="AD80" s="95">
        <f>Ruimtestaat[[#This Row],[uren / jaar weekend]]*Tariefsopbouw!$D$40</f>
        <v>0</v>
      </c>
      <c r="AE80" s="67">
        <f>Ruimtestaat[[#This Row],[Prest. (m2 /jaar) weekend]]+Ruimtestaat[[#This Row],[Prest. (m2 /jaar) werkdagen]]</f>
        <v>0</v>
      </c>
      <c r="AF80" s="67">
        <f>Ruimtestaat[[#This Row],[uren / jaar weekend]]+Ruimtestaat[[#This Row],[uren / jaar werkdagen]]</f>
        <v>0</v>
      </c>
      <c r="AG80" s="68">
        <f>Ruimtestaat[[#This Row],[kosten / jaar weekend]]+Ruimtestaat[[#This Row],[kosten / jaar werkdagen]]</f>
        <v>0</v>
      </c>
      <c r="AH80" s="96"/>
      <c r="HL80" s="66"/>
    </row>
    <row r="81" spans="1:220" ht="15" customHeight="1">
      <c r="A81" s="114">
        <v>1</v>
      </c>
      <c r="B81" s="24" t="str">
        <f>VLOOKUP(Ruimtestaat[[#This Row],[Code]],Locaties[#All],2,FALSE)</f>
        <v>Hoofdgebouw</v>
      </c>
      <c r="C81" s="24" t="str">
        <f>VLOOKUP(Ruimtestaat[[#This Row],[Code]],Locaties[#All],4,FALSE)</f>
        <v>Rohofstraat 83</v>
      </c>
      <c r="D81" s="24" t="str">
        <f>VLOOKUP(Ruimtestaat[[#This Row],[Code]],Locaties[#All],5,FALSE)</f>
        <v>7605 AT</v>
      </c>
      <c r="E81" s="24" t="str">
        <f>VLOOKUP(Ruimtestaat[[#This Row],[Code]],Locaties[#All],6,FALSE)</f>
        <v>Almelo</v>
      </c>
      <c r="F81" s="61"/>
      <c r="G81" s="24" t="s">
        <v>435</v>
      </c>
      <c r="H81" s="28" t="s">
        <v>544</v>
      </c>
      <c r="I81" s="4" t="s">
        <v>443</v>
      </c>
      <c r="J81" s="24">
        <v>4</v>
      </c>
      <c r="K81" s="61" t="str">
        <f>VLOOKUP(J81,Ruimtegroepen[],2,FALSE)</f>
        <v>Vergader/spreekkamers</v>
      </c>
      <c r="L81" s="24" t="s">
        <v>103</v>
      </c>
      <c r="M81" s="24" t="s">
        <v>38</v>
      </c>
      <c r="N81" s="87">
        <v>34</v>
      </c>
      <c r="O81" s="87"/>
      <c r="P81" s="97" t="str">
        <f>LEFT(VLOOKUP(Ruimtestaat[[#This Row],[Ruimte code]],Ruimtegroepen[#All],4,1),2)</f>
        <v>Bu</v>
      </c>
      <c r="Q81" s="87"/>
      <c r="R81" s="88">
        <v>52</v>
      </c>
      <c r="S81" s="88" t="s">
        <v>2</v>
      </c>
      <c r="T81" s="89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81" s="89">
        <f>IF(T81&gt;0,VLOOKUP($J81,Ruimtegroepen[],3,FALSE)*VLOOKUP($L81,Vloersoorten[],3,FALSE)*VLOOKUP($S81,Frequenties[],3,FALSE)*VLOOKUP($A81,Locaties[],3,FALSE),0)</f>
        <v>0</v>
      </c>
      <c r="V81" s="90">
        <f>Ruimtestaat[[#This Row],[Uitvoeringen werkdagen]]*Ruimtestaat[[#This Row],[Oppervlak (netto)]]</f>
        <v>8840</v>
      </c>
      <c r="W81" s="91">
        <f>IF(U81&gt;0,Ruimtestaat[[#This Row],[Prest. (m2 /jaar) werkdagen]]/Ruimtestaat[[#This Row],[Norm (m2/uur) werkdagen]],0)</f>
        <v>0</v>
      </c>
      <c r="X81" s="92">
        <f>Ruimtestaat[[#This Row],[uren / jaar werkdagen]]*Tariefsopbouw!$E$35</f>
        <v>0</v>
      </c>
      <c r="Y81" s="89"/>
      <c r="Z81" s="93">
        <f>IF(Ruimtestaat[[#This Row],[Frequentie weekend]]&gt;0,VALUE(LEFT(Y81,1))*R81,0)</f>
        <v>0</v>
      </c>
      <c r="AA81" s="89">
        <f>IF($Z81&gt;0,VLOOKUP($J81,Ruimtegroepen[],3,FALSE)*VLOOKUP($L81,Vloersoorten[],3,FALSE)*VLOOKUP($Y81,Frequenties[],3,FALSE)*VLOOKUP($A77,Locaties[],3,FALSE),0)</f>
        <v>0</v>
      </c>
      <c r="AB81" s="91">
        <f>Ruimtestaat[[#This Row],[Uitvoeringen weekend]]*Ruimtestaat[[#This Row],[Oppervlak (netto)]]</f>
        <v>0</v>
      </c>
      <c r="AC81" s="94">
        <f>IF(AB81&gt;0,Ruimtestaat[[#This Row],[Prest. (m2 /jaar) weekend]]/Ruimtestaat[[#This Row],[Norm (m2/uur) weekend]],0)</f>
        <v>0</v>
      </c>
      <c r="AD81" s="95">
        <f>Ruimtestaat[[#This Row],[uren / jaar weekend]]*Tariefsopbouw!$D$40</f>
        <v>0</v>
      </c>
      <c r="AE81" s="67">
        <f>Ruimtestaat[[#This Row],[Prest. (m2 /jaar) weekend]]+Ruimtestaat[[#This Row],[Prest. (m2 /jaar) werkdagen]]</f>
        <v>8840</v>
      </c>
      <c r="AF81" s="67">
        <f>Ruimtestaat[[#This Row],[uren / jaar weekend]]+Ruimtestaat[[#This Row],[uren / jaar werkdagen]]</f>
        <v>0</v>
      </c>
      <c r="AG81" s="68">
        <f>Ruimtestaat[[#This Row],[kosten / jaar weekend]]+Ruimtestaat[[#This Row],[kosten / jaar werkdagen]]</f>
        <v>0</v>
      </c>
      <c r="AH81" s="96"/>
      <c r="HL81" s="66"/>
    </row>
    <row r="82" spans="1:220" ht="15" customHeight="1">
      <c r="A82" s="114">
        <v>1</v>
      </c>
      <c r="B82" s="24" t="str">
        <f>VLOOKUP(Ruimtestaat[[#This Row],[Code]],Locaties[#All],2,FALSE)</f>
        <v>Hoofdgebouw</v>
      </c>
      <c r="C82" s="24" t="str">
        <f>VLOOKUP(Ruimtestaat[[#This Row],[Code]],Locaties[#All],4,FALSE)</f>
        <v>Rohofstraat 83</v>
      </c>
      <c r="D82" s="24" t="str">
        <f>VLOOKUP(Ruimtestaat[[#This Row],[Code]],Locaties[#All],5,FALSE)</f>
        <v>7605 AT</v>
      </c>
      <c r="E82" s="24" t="str">
        <f>VLOOKUP(Ruimtestaat[[#This Row],[Code]],Locaties[#All],6,FALSE)</f>
        <v>Almelo</v>
      </c>
      <c r="F82" s="61"/>
      <c r="G82" s="24" t="s">
        <v>435</v>
      </c>
      <c r="H82" s="28" t="s">
        <v>545</v>
      </c>
      <c r="I82" s="4" t="s">
        <v>546</v>
      </c>
      <c r="J82" s="329">
        <v>16</v>
      </c>
      <c r="K82" s="330" t="str">
        <f>VLOOKUP(J82,Ruimtegroepen[],2,FALSE)</f>
        <v>Instructieruimte</v>
      </c>
      <c r="L82" s="329" t="s">
        <v>103</v>
      </c>
      <c r="M82" s="329" t="s">
        <v>38</v>
      </c>
      <c r="N82" s="332">
        <v>54.9</v>
      </c>
      <c r="O82" s="87"/>
      <c r="P82" s="97" t="str">
        <f>LEFT(VLOOKUP(Ruimtestaat[[#This Row],[Ruimte code]],Ruimtegroepen[#All],4,1),2)</f>
        <v>Bu</v>
      </c>
      <c r="Q82" s="87"/>
      <c r="R82" s="88">
        <v>52</v>
      </c>
      <c r="S82" s="88" t="s">
        <v>2</v>
      </c>
      <c r="T82" s="89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82" s="89">
        <f>IF(T82&gt;0,VLOOKUP($J82,Ruimtegroepen[],3,FALSE)*VLOOKUP($L82,Vloersoorten[],3,FALSE)*VLOOKUP($S82,Frequenties[],3,FALSE)*VLOOKUP($A82,Locaties[],3,FALSE),0)</f>
        <v>0</v>
      </c>
      <c r="V82" s="90">
        <f>Ruimtestaat[[#This Row],[Uitvoeringen werkdagen]]*Ruimtestaat[[#This Row],[Oppervlak (netto)]]</f>
        <v>14274</v>
      </c>
      <c r="W82" s="91">
        <f>IF(U82&gt;0,Ruimtestaat[[#This Row],[Prest. (m2 /jaar) werkdagen]]/Ruimtestaat[[#This Row],[Norm (m2/uur) werkdagen]],0)</f>
        <v>0</v>
      </c>
      <c r="X82" s="92">
        <f>Ruimtestaat[[#This Row],[uren / jaar werkdagen]]*Tariefsopbouw!$E$35</f>
        <v>0</v>
      </c>
      <c r="Y82" s="89"/>
      <c r="Z82" s="93">
        <f>IF(Ruimtestaat[[#This Row],[Frequentie weekend]]&gt;0,VALUE(LEFT(Y82,1))*R82,0)</f>
        <v>0</v>
      </c>
      <c r="AA82" s="89">
        <f>IF($Z82&gt;0,VLOOKUP($J82,Ruimtegroepen[],3,FALSE)*VLOOKUP($L82,Vloersoorten[],3,FALSE)*VLOOKUP($Y82,Frequenties[],3,FALSE)*VLOOKUP($A78,Locaties[],3,FALSE),0)</f>
        <v>0</v>
      </c>
      <c r="AB82" s="91">
        <f>Ruimtestaat[[#This Row],[Uitvoeringen weekend]]*Ruimtestaat[[#This Row],[Oppervlak (netto)]]</f>
        <v>0</v>
      </c>
      <c r="AC82" s="94">
        <f>IF(AB82&gt;0,Ruimtestaat[[#This Row],[Prest. (m2 /jaar) weekend]]/Ruimtestaat[[#This Row],[Norm (m2/uur) weekend]],0)</f>
        <v>0</v>
      </c>
      <c r="AD82" s="95">
        <f>Ruimtestaat[[#This Row],[uren / jaar weekend]]*Tariefsopbouw!$D$40</f>
        <v>0</v>
      </c>
      <c r="AE82" s="67">
        <f>Ruimtestaat[[#This Row],[Prest. (m2 /jaar) weekend]]+Ruimtestaat[[#This Row],[Prest. (m2 /jaar) werkdagen]]</f>
        <v>14274</v>
      </c>
      <c r="AF82" s="67">
        <f>Ruimtestaat[[#This Row],[uren / jaar weekend]]+Ruimtestaat[[#This Row],[uren / jaar werkdagen]]</f>
        <v>0</v>
      </c>
      <c r="AG82" s="68">
        <f>Ruimtestaat[[#This Row],[kosten / jaar weekend]]+Ruimtestaat[[#This Row],[kosten / jaar werkdagen]]</f>
        <v>0</v>
      </c>
      <c r="AH82" s="96"/>
      <c r="HL82" s="66"/>
    </row>
    <row r="83" spans="1:220" ht="15" customHeight="1">
      <c r="A83" s="114">
        <v>1</v>
      </c>
      <c r="B83" s="24" t="str">
        <f>VLOOKUP(Ruimtestaat[[#This Row],[Code]],Locaties[#All],2,FALSE)</f>
        <v>Hoofdgebouw</v>
      </c>
      <c r="C83" s="24" t="str">
        <f>VLOOKUP(Ruimtestaat[[#This Row],[Code]],Locaties[#All],4,FALSE)</f>
        <v>Rohofstraat 83</v>
      </c>
      <c r="D83" s="24" t="str">
        <f>VLOOKUP(Ruimtestaat[[#This Row],[Code]],Locaties[#All],5,FALSE)</f>
        <v>7605 AT</v>
      </c>
      <c r="E83" s="24" t="str">
        <f>VLOOKUP(Ruimtestaat[[#This Row],[Code]],Locaties[#All],6,FALSE)</f>
        <v>Almelo</v>
      </c>
      <c r="F83" s="61"/>
      <c r="G83" s="24" t="s">
        <v>435</v>
      </c>
      <c r="H83" s="28" t="s">
        <v>547</v>
      </c>
      <c r="I83" s="4" t="s">
        <v>472</v>
      </c>
      <c r="J83" s="329">
        <v>6</v>
      </c>
      <c r="K83" s="330" t="str">
        <f>VLOOKUP(J83,Ruimtegroepen[],2,FALSE)</f>
        <v>Gangen/hallen</v>
      </c>
      <c r="L83" s="329" t="s">
        <v>103</v>
      </c>
      <c r="M83" s="329" t="s">
        <v>38</v>
      </c>
      <c r="N83" s="332">
        <v>37.5</v>
      </c>
      <c r="O83" s="87"/>
      <c r="P83" s="97" t="str">
        <f>LEFT(VLOOKUP(Ruimtestaat[[#This Row],[Ruimte code]],Ruimtegroepen[#All],4,1),2)</f>
        <v>Ve</v>
      </c>
      <c r="Q83" s="87"/>
      <c r="R83" s="88">
        <v>52</v>
      </c>
      <c r="S83" s="88" t="s">
        <v>2</v>
      </c>
      <c r="T83" s="89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83" s="89">
        <f>IF(T83&gt;0,VLOOKUP($J83,Ruimtegroepen[],3,FALSE)*VLOOKUP($L83,Vloersoorten[],3,FALSE)*VLOOKUP($S83,Frequenties[],3,FALSE)*VLOOKUP($A83,Locaties[],3,FALSE),0)</f>
        <v>0</v>
      </c>
      <c r="V83" s="90">
        <f>Ruimtestaat[[#This Row],[Uitvoeringen werkdagen]]*Ruimtestaat[[#This Row],[Oppervlak (netto)]]</f>
        <v>9750</v>
      </c>
      <c r="W83" s="91">
        <f>IF(U83&gt;0,Ruimtestaat[[#This Row],[Prest. (m2 /jaar) werkdagen]]/Ruimtestaat[[#This Row],[Norm (m2/uur) werkdagen]],0)</f>
        <v>0</v>
      </c>
      <c r="X83" s="92">
        <f>Ruimtestaat[[#This Row],[uren / jaar werkdagen]]*Tariefsopbouw!$E$35</f>
        <v>0</v>
      </c>
      <c r="Y83" s="89"/>
      <c r="Z83" s="93">
        <f>IF(Ruimtestaat[[#This Row],[Frequentie weekend]]&gt;0,VALUE(LEFT(Y83,1))*R83,0)</f>
        <v>0</v>
      </c>
      <c r="AA83" s="89">
        <f>IF($Z83&gt;0,VLOOKUP($J83,Ruimtegroepen[],3,FALSE)*VLOOKUP($L83,Vloersoorten[],3,FALSE)*VLOOKUP($Y83,Frequenties[],3,FALSE)*VLOOKUP($A79,Locaties[],3,FALSE),0)</f>
        <v>0</v>
      </c>
      <c r="AB83" s="91">
        <f>Ruimtestaat[[#This Row],[Uitvoeringen weekend]]*Ruimtestaat[[#This Row],[Oppervlak (netto)]]</f>
        <v>0</v>
      </c>
      <c r="AC83" s="94">
        <f>IF(AB83&gt;0,Ruimtestaat[[#This Row],[Prest. (m2 /jaar) weekend]]/Ruimtestaat[[#This Row],[Norm (m2/uur) weekend]],0)</f>
        <v>0</v>
      </c>
      <c r="AD83" s="95">
        <f>Ruimtestaat[[#This Row],[uren / jaar weekend]]*Tariefsopbouw!$D$40</f>
        <v>0</v>
      </c>
      <c r="AE83" s="67">
        <f>Ruimtestaat[[#This Row],[Prest. (m2 /jaar) weekend]]+Ruimtestaat[[#This Row],[Prest. (m2 /jaar) werkdagen]]</f>
        <v>9750</v>
      </c>
      <c r="AF83" s="67">
        <f>Ruimtestaat[[#This Row],[uren / jaar weekend]]+Ruimtestaat[[#This Row],[uren / jaar werkdagen]]</f>
        <v>0</v>
      </c>
      <c r="AG83" s="68">
        <f>Ruimtestaat[[#This Row],[kosten / jaar weekend]]+Ruimtestaat[[#This Row],[kosten / jaar werkdagen]]</f>
        <v>0</v>
      </c>
      <c r="AH83" s="96"/>
      <c r="HL83" s="66"/>
    </row>
    <row r="84" spans="1:220" ht="15" customHeight="1">
      <c r="A84" s="114">
        <v>1</v>
      </c>
      <c r="B84" s="24" t="str">
        <f>VLOOKUP(Ruimtestaat[[#This Row],[Code]],Locaties[#All],2,FALSE)</f>
        <v>Hoofdgebouw</v>
      </c>
      <c r="C84" s="24" t="str">
        <f>VLOOKUP(Ruimtestaat[[#This Row],[Code]],Locaties[#All],4,FALSE)</f>
        <v>Rohofstraat 83</v>
      </c>
      <c r="D84" s="24" t="str">
        <f>VLOOKUP(Ruimtestaat[[#This Row],[Code]],Locaties[#All],5,FALSE)</f>
        <v>7605 AT</v>
      </c>
      <c r="E84" s="24" t="str">
        <f>VLOOKUP(Ruimtestaat[[#This Row],[Code]],Locaties[#All],6,FALSE)</f>
        <v>Almelo</v>
      </c>
      <c r="F84" s="61"/>
      <c r="G84" s="24" t="s">
        <v>435</v>
      </c>
      <c r="H84" s="28" t="s">
        <v>548</v>
      </c>
      <c r="I84" s="4" t="s">
        <v>474</v>
      </c>
      <c r="J84" s="329">
        <v>5</v>
      </c>
      <c r="K84" s="330" t="str">
        <f>VLOOKUP(J84,Ruimtegroepen[],2,FALSE)</f>
        <v>Sanitair</v>
      </c>
      <c r="L84" s="329" t="s">
        <v>105</v>
      </c>
      <c r="M84" s="329" t="s">
        <v>796</v>
      </c>
      <c r="N84" s="332">
        <v>12.9</v>
      </c>
      <c r="O84" s="87"/>
      <c r="P84" s="97" t="str">
        <f>LEFT(VLOOKUP(Ruimtestaat[[#This Row],[Ruimte code]],Ruimtegroepen[#All],4,1),2)</f>
        <v>Sa</v>
      </c>
      <c r="Q84" s="87"/>
      <c r="R84" s="88">
        <v>52</v>
      </c>
      <c r="S84" s="88" t="s">
        <v>2</v>
      </c>
      <c r="T84" s="89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84" s="89">
        <f>IF(T84&gt;0,VLOOKUP($J84,Ruimtegroepen[],3,FALSE)*VLOOKUP($L84,Vloersoorten[],3,FALSE)*VLOOKUP($S84,Frequenties[],3,FALSE)*VLOOKUP($A84,Locaties[],3,FALSE),0)</f>
        <v>0</v>
      </c>
      <c r="V84" s="90">
        <f>Ruimtestaat[[#This Row],[Uitvoeringen werkdagen]]*Ruimtestaat[[#This Row],[Oppervlak (netto)]]</f>
        <v>3354</v>
      </c>
      <c r="W84" s="91">
        <f>IF(U84&gt;0,Ruimtestaat[[#This Row],[Prest. (m2 /jaar) werkdagen]]/Ruimtestaat[[#This Row],[Norm (m2/uur) werkdagen]],0)</f>
        <v>0</v>
      </c>
      <c r="X84" s="92">
        <f>Ruimtestaat[[#This Row],[uren / jaar werkdagen]]*Tariefsopbouw!$E$35</f>
        <v>0</v>
      </c>
      <c r="Y84" s="89"/>
      <c r="Z84" s="93">
        <f>IF(Ruimtestaat[[#This Row],[Frequentie weekend]]&gt;0,VALUE(LEFT(Y84,1))*R84,0)</f>
        <v>0</v>
      </c>
      <c r="AA84" s="89">
        <f>IF($Z84&gt;0,VLOOKUP($J84,Ruimtegroepen[],3,FALSE)*VLOOKUP($L84,Vloersoorten[],3,FALSE)*VLOOKUP($Y84,Frequenties[],3,FALSE)*VLOOKUP($A80,Locaties[],3,FALSE),0)</f>
        <v>0</v>
      </c>
      <c r="AB84" s="91">
        <f>Ruimtestaat[[#This Row],[Uitvoeringen weekend]]*Ruimtestaat[[#This Row],[Oppervlak (netto)]]</f>
        <v>0</v>
      </c>
      <c r="AC84" s="94">
        <f>IF(AB84&gt;0,Ruimtestaat[[#This Row],[Prest. (m2 /jaar) weekend]]/Ruimtestaat[[#This Row],[Norm (m2/uur) weekend]],0)</f>
        <v>0</v>
      </c>
      <c r="AD84" s="95">
        <f>Ruimtestaat[[#This Row],[uren / jaar weekend]]*Tariefsopbouw!$D$40</f>
        <v>0</v>
      </c>
      <c r="AE84" s="67">
        <f>Ruimtestaat[[#This Row],[Prest. (m2 /jaar) weekend]]+Ruimtestaat[[#This Row],[Prest. (m2 /jaar) werkdagen]]</f>
        <v>3354</v>
      </c>
      <c r="AF84" s="67">
        <f>Ruimtestaat[[#This Row],[uren / jaar weekend]]+Ruimtestaat[[#This Row],[uren / jaar werkdagen]]</f>
        <v>0</v>
      </c>
      <c r="AG84" s="68">
        <f>Ruimtestaat[[#This Row],[kosten / jaar weekend]]+Ruimtestaat[[#This Row],[kosten / jaar werkdagen]]</f>
        <v>0</v>
      </c>
      <c r="AH84" s="96"/>
      <c r="HL84" s="66"/>
    </row>
    <row r="85" spans="1:220" ht="15" customHeight="1">
      <c r="A85" s="114">
        <v>1</v>
      </c>
      <c r="B85" s="24" t="str">
        <f>VLOOKUP(Ruimtestaat[[#This Row],[Code]],Locaties[#All],2,FALSE)</f>
        <v>Hoofdgebouw</v>
      </c>
      <c r="C85" s="24" t="str">
        <f>VLOOKUP(Ruimtestaat[[#This Row],[Code]],Locaties[#All],4,FALSE)</f>
        <v>Rohofstraat 83</v>
      </c>
      <c r="D85" s="24" t="str">
        <f>VLOOKUP(Ruimtestaat[[#This Row],[Code]],Locaties[#All],5,FALSE)</f>
        <v>7605 AT</v>
      </c>
      <c r="E85" s="24" t="str">
        <f>VLOOKUP(Ruimtestaat[[#This Row],[Code]],Locaties[#All],6,FALSE)</f>
        <v>Almelo</v>
      </c>
      <c r="F85" s="61"/>
      <c r="G85" s="24" t="s">
        <v>435</v>
      </c>
      <c r="H85" s="28" t="s">
        <v>549</v>
      </c>
      <c r="I85" s="4" t="s">
        <v>474</v>
      </c>
      <c r="J85" s="329">
        <v>5</v>
      </c>
      <c r="K85" s="330" t="str">
        <f>VLOOKUP(J85,Ruimtegroepen[],2,FALSE)</f>
        <v>Sanitair</v>
      </c>
      <c r="L85" s="329" t="s">
        <v>105</v>
      </c>
      <c r="M85" s="329" t="s">
        <v>796</v>
      </c>
      <c r="N85" s="332">
        <v>5.2</v>
      </c>
      <c r="O85" s="87"/>
      <c r="P85" s="97" t="str">
        <f>LEFT(VLOOKUP(Ruimtestaat[[#This Row],[Ruimte code]],Ruimtegroepen[#All],4,1),2)</f>
        <v>Sa</v>
      </c>
      <c r="Q85" s="87"/>
      <c r="R85" s="88">
        <v>52</v>
      </c>
      <c r="S85" s="88" t="s">
        <v>2</v>
      </c>
      <c r="T85" s="89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85" s="89">
        <f>IF(T85&gt;0,VLOOKUP($J85,Ruimtegroepen[],3,FALSE)*VLOOKUP($L85,Vloersoorten[],3,FALSE)*VLOOKUP($S85,Frequenties[],3,FALSE)*VLOOKUP($A85,Locaties[],3,FALSE),0)</f>
        <v>0</v>
      </c>
      <c r="V85" s="90">
        <f>Ruimtestaat[[#This Row],[Uitvoeringen werkdagen]]*Ruimtestaat[[#This Row],[Oppervlak (netto)]]</f>
        <v>1352</v>
      </c>
      <c r="W85" s="91">
        <f>IF(U85&gt;0,Ruimtestaat[[#This Row],[Prest. (m2 /jaar) werkdagen]]/Ruimtestaat[[#This Row],[Norm (m2/uur) werkdagen]],0)</f>
        <v>0</v>
      </c>
      <c r="X85" s="92">
        <f>Ruimtestaat[[#This Row],[uren / jaar werkdagen]]*Tariefsopbouw!$E$35</f>
        <v>0</v>
      </c>
      <c r="Y85" s="89"/>
      <c r="Z85" s="93">
        <f>IF(Ruimtestaat[[#This Row],[Frequentie weekend]]&gt;0,VALUE(LEFT(Y85,1))*R85,0)</f>
        <v>0</v>
      </c>
      <c r="AA85" s="89">
        <f>IF($Z85&gt;0,VLOOKUP($J85,Ruimtegroepen[],3,FALSE)*VLOOKUP($L85,Vloersoorten[],3,FALSE)*VLOOKUP($Y85,Frequenties[],3,FALSE)*VLOOKUP($A81,Locaties[],3,FALSE),0)</f>
        <v>0</v>
      </c>
      <c r="AB85" s="91">
        <f>Ruimtestaat[[#This Row],[Uitvoeringen weekend]]*Ruimtestaat[[#This Row],[Oppervlak (netto)]]</f>
        <v>0</v>
      </c>
      <c r="AC85" s="94">
        <f>IF(AB85&gt;0,Ruimtestaat[[#This Row],[Prest. (m2 /jaar) weekend]]/Ruimtestaat[[#This Row],[Norm (m2/uur) weekend]],0)</f>
        <v>0</v>
      </c>
      <c r="AD85" s="95">
        <f>Ruimtestaat[[#This Row],[uren / jaar weekend]]*Tariefsopbouw!$D$40</f>
        <v>0</v>
      </c>
      <c r="AE85" s="67">
        <f>Ruimtestaat[[#This Row],[Prest. (m2 /jaar) weekend]]+Ruimtestaat[[#This Row],[Prest. (m2 /jaar) werkdagen]]</f>
        <v>1352</v>
      </c>
      <c r="AF85" s="67">
        <f>Ruimtestaat[[#This Row],[uren / jaar weekend]]+Ruimtestaat[[#This Row],[uren / jaar werkdagen]]</f>
        <v>0</v>
      </c>
      <c r="AG85" s="68">
        <f>Ruimtestaat[[#This Row],[kosten / jaar weekend]]+Ruimtestaat[[#This Row],[kosten / jaar werkdagen]]</f>
        <v>0</v>
      </c>
      <c r="AH85" s="96"/>
      <c r="HL85" s="66"/>
    </row>
    <row r="86" spans="1:220" ht="15" customHeight="1">
      <c r="A86" s="114">
        <v>1</v>
      </c>
      <c r="B86" s="24" t="str">
        <f>VLOOKUP(Ruimtestaat[[#This Row],[Code]],Locaties[#All],2,FALSE)</f>
        <v>Hoofdgebouw</v>
      </c>
      <c r="C86" s="24" t="str">
        <f>VLOOKUP(Ruimtestaat[[#This Row],[Code]],Locaties[#All],4,FALSE)</f>
        <v>Rohofstraat 83</v>
      </c>
      <c r="D86" s="24" t="str">
        <f>VLOOKUP(Ruimtestaat[[#This Row],[Code]],Locaties[#All],5,FALSE)</f>
        <v>7605 AT</v>
      </c>
      <c r="E86" s="24" t="str">
        <f>VLOOKUP(Ruimtestaat[[#This Row],[Code]],Locaties[#All],6,FALSE)</f>
        <v>Almelo</v>
      </c>
      <c r="F86" s="61"/>
      <c r="G86" s="24" t="s">
        <v>435</v>
      </c>
      <c r="H86" s="28" t="s">
        <v>550</v>
      </c>
      <c r="I86" s="4" t="s">
        <v>551</v>
      </c>
      <c r="J86" s="329">
        <v>1</v>
      </c>
      <c r="K86" s="330" t="str">
        <f>VLOOKUP(J86,Ruimtegroepen[],2,FALSE)</f>
        <v>Magazijnen/bergingen</v>
      </c>
      <c r="L86" s="329" t="s">
        <v>106</v>
      </c>
      <c r="M86" s="329" t="s">
        <v>126</v>
      </c>
      <c r="N86" s="332">
        <v>2</v>
      </c>
      <c r="O86" s="87"/>
      <c r="P86" s="97" t="str">
        <f>LEFT(VLOOKUP(Ruimtestaat[[#This Row],[Ruimte code]],Ruimtegroepen[#All],4,1),2)</f>
        <v>Ve</v>
      </c>
      <c r="Q86" s="87"/>
      <c r="R86" s="88">
        <v>52</v>
      </c>
      <c r="S86" s="88" t="s">
        <v>16</v>
      </c>
      <c r="T86" s="89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86" s="89">
        <f>IF(T86&gt;0,VLOOKUP($J86,Ruimtegroepen[],3,FALSE)*VLOOKUP($L86,Vloersoorten[],3,FALSE)*VLOOKUP($S86,Frequenties[],3,FALSE)*VLOOKUP($A86,Locaties[],3,FALSE),0)</f>
        <v>0</v>
      </c>
      <c r="V86" s="90">
        <f>Ruimtestaat[[#This Row],[Uitvoeringen werkdagen]]*Ruimtestaat[[#This Row],[Oppervlak (netto)]]</f>
        <v>24</v>
      </c>
      <c r="W86" s="91">
        <f>IF(U86&gt;0,Ruimtestaat[[#This Row],[Prest. (m2 /jaar) werkdagen]]/Ruimtestaat[[#This Row],[Norm (m2/uur) werkdagen]],0)</f>
        <v>0</v>
      </c>
      <c r="X86" s="92">
        <f>Ruimtestaat[[#This Row],[uren / jaar werkdagen]]*Tariefsopbouw!$E$35</f>
        <v>0</v>
      </c>
      <c r="Y86" s="89"/>
      <c r="Z86" s="93">
        <f>IF(Ruimtestaat[[#This Row],[Frequentie weekend]]&gt;0,VALUE(LEFT(Y86,1))*R86,0)</f>
        <v>0</v>
      </c>
      <c r="AA86" s="89">
        <f>IF($Z86&gt;0,VLOOKUP($J86,Ruimtegroepen[],3,FALSE)*VLOOKUP($L86,Vloersoorten[],3,FALSE)*VLOOKUP($Y86,Frequenties[],3,FALSE)*VLOOKUP($A82,Locaties[],3,FALSE),0)</f>
        <v>0</v>
      </c>
      <c r="AB86" s="91">
        <f>Ruimtestaat[[#This Row],[Uitvoeringen weekend]]*Ruimtestaat[[#This Row],[Oppervlak (netto)]]</f>
        <v>0</v>
      </c>
      <c r="AC86" s="94">
        <f>IF(AB86&gt;0,Ruimtestaat[[#This Row],[Prest. (m2 /jaar) weekend]]/Ruimtestaat[[#This Row],[Norm (m2/uur) weekend]],0)</f>
        <v>0</v>
      </c>
      <c r="AD86" s="95">
        <f>Ruimtestaat[[#This Row],[uren / jaar weekend]]*Tariefsopbouw!$D$40</f>
        <v>0</v>
      </c>
      <c r="AE86" s="67">
        <f>Ruimtestaat[[#This Row],[Prest. (m2 /jaar) weekend]]+Ruimtestaat[[#This Row],[Prest. (m2 /jaar) werkdagen]]</f>
        <v>24</v>
      </c>
      <c r="AF86" s="67">
        <f>Ruimtestaat[[#This Row],[uren / jaar weekend]]+Ruimtestaat[[#This Row],[uren / jaar werkdagen]]</f>
        <v>0</v>
      </c>
      <c r="AG86" s="68">
        <f>Ruimtestaat[[#This Row],[kosten / jaar weekend]]+Ruimtestaat[[#This Row],[kosten / jaar werkdagen]]</f>
        <v>0</v>
      </c>
      <c r="AH86" s="96"/>
      <c r="HL86" s="66"/>
    </row>
    <row r="87" spans="1:220" ht="15" customHeight="1">
      <c r="A87" s="114">
        <v>1</v>
      </c>
      <c r="B87" s="24" t="str">
        <f>VLOOKUP(Ruimtestaat[[#This Row],[Code]],Locaties[#All],2,FALSE)</f>
        <v>Hoofdgebouw</v>
      </c>
      <c r="C87" s="24" t="str">
        <f>VLOOKUP(Ruimtestaat[[#This Row],[Code]],Locaties[#All],4,FALSE)</f>
        <v>Rohofstraat 83</v>
      </c>
      <c r="D87" s="24" t="str">
        <f>VLOOKUP(Ruimtestaat[[#This Row],[Code]],Locaties[#All],5,FALSE)</f>
        <v>7605 AT</v>
      </c>
      <c r="E87" s="24" t="str">
        <f>VLOOKUP(Ruimtestaat[[#This Row],[Code]],Locaties[#All],6,FALSE)</f>
        <v>Almelo</v>
      </c>
      <c r="F87" s="61"/>
      <c r="G87" s="24" t="s">
        <v>435</v>
      </c>
      <c r="H87" s="28" t="s">
        <v>552</v>
      </c>
      <c r="I87" s="4" t="s">
        <v>553</v>
      </c>
      <c r="J87" s="329">
        <v>12</v>
      </c>
      <c r="K87" s="330" t="str">
        <f>VLOOKUP(J87,Ruimtegroepen[],2,FALSE)</f>
        <v>Kantine/Aula</v>
      </c>
      <c r="L87" s="329" t="s">
        <v>106</v>
      </c>
      <c r="M87" s="329" t="s">
        <v>126</v>
      </c>
      <c r="N87" s="332">
        <v>160.4</v>
      </c>
      <c r="O87" s="87"/>
      <c r="P87" s="97" t="str">
        <f>LEFT(VLOOKUP(Ruimtestaat[[#This Row],[Ruimte code]],Ruimtegroepen[#All],4,1),2)</f>
        <v>Ve</v>
      </c>
      <c r="Q87" s="97"/>
      <c r="R87" s="88">
        <v>52</v>
      </c>
      <c r="S87" s="88" t="s">
        <v>2</v>
      </c>
      <c r="T87" s="89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87" s="89">
        <f>IF(T87&gt;0,VLOOKUP($J87,Ruimtegroepen[],3,FALSE)*VLOOKUP($L87,Vloersoorten[],3,FALSE)*VLOOKUP($S87,Frequenties[],3,FALSE)*VLOOKUP($A87,Locaties[],3,FALSE),0)</f>
        <v>0</v>
      </c>
      <c r="V87" s="90">
        <f>Ruimtestaat[[#This Row],[Uitvoeringen werkdagen]]*Ruimtestaat[[#This Row],[Oppervlak (netto)]]</f>
        <v>41704</v>
      </c>
      <c r="W87" s="91">
        <f>IF(U87&gt;0,Ruimtestaat[[#This Row],[Prest. (m2 /jaar) werkdagen]]/Ruimtestaat[[#This Row],[Norm (m2/uur) werkdagen]],0)</f>
        <v>0</v>
      </c>
      <c r="X87" s="92">
        <f>Ruimtestaat[[#This Row],[uren / jaar werkdagen]]*Tariefsopbouw!$E$35</f>
        <v>0</v>
      </c>
      <c r="Y87" s="89"/>
      <c r="Z87" s="93">
        <f>IF(Ruimtestaat[[#This Row],[Frequentie weekend]]&gt;0,VALUE(LEFT(Y87,1))*R87,0)</f>
        <v>0</v>
      </c>
      <c r="AA87" s="89">
        <f>IF($Z87&gt;0,VLOOKUP($J87,Ruimtegroepen[],3,FALSE)*VLOOKUP($L87,Vloersoorten[],3,FALSE)*VLOOKUP($Y87,Frequenties[],3,FALSE)*VLOOKUP($A83,Locaties[],3,FALSE),0)</f>
        <v>0</v>
      </c>
      <c r="AB87" s="91">
        <f>Ruimtestaat[[#This Row],[Uitvoeringen weekend]]*Ruimtestaat[[#This Row],[Oppervlak (netto)]]</f>
        <v>0</v>
      </c>
      <c r="AC87" s="94">
        <f>IF(AB87&gt;0,Ruimtestaat[[#This Row],[Prest. (m2 /jaar) weekend]]/Ruimtestaat[[#This Row],[Norm (m2/uur) weekend]],0)</f>
        <v>0</v>
      </c>
      <c r="AD87" s="95">
        <f>Ruimtestaat[[#This Row],[uren / jaar weekend]]*Tariefsopbouw!$D$40</f>
        <v>0</v>
      </c>
      <c r="AE87" s="67">
        <f>Ruimtestaat[[#This Row],[Prest. (m2 /jaar) weekend]]+Ruimtestaat[[#This Row],[Prest. (m2 /jaar) werkdagen]]</f>
        <v>41704</v>
      </c>
      <c r="AF87" s="67">
        <f>Ruimtestaat[[#This Row],[uren / jaar weekend]]+Ruimtestaat[[#This Row],[uren / jaar werkdagen]]</f>
        <v>0</v>
      </c>
      <c r="AG87" s="68">
        <f>Ruimtestaat[[#This Row],[kosten / jaar weekend]]+Ruimtestaat[[#This Row],[kosten / jaar werkdagen]]</f>
        <v>0</v>
      </c>
      <c r="AH87" s="96"/>
      <c r="HL87" s="66"/>
    </row>
    <row r="88" spans="1:220" ht="15" customHeight="1">
      <c r="A88" s="114">
        <v>1</v>
      </c>
      <c r="B88" s="24" t="str">
        <f>VLOOKUP(Ruimtestaat[[#This Row],[Code]],Locaties[#All],2,FALSE)</f>
        <v>Hoofdgebouw</v>
      </c>
      <c r="C88" s="24" t="str">
        <f>VLOOKUP(Ruimtestaat[[#This Row],[Code]],Locaties[#All],4,FALSE)</f>
        <v>Rohofstraat 83</v>
      </c>
      <c r="D88" s="24" t="str">
        <f>VLOOKUP(Ruimtestaat[[#This Row],[Code]],Locaties[#All],5,FALSE)</f>
        <v>7605 AT</v>
      </c>
      <c r="E88" s="24" t="str">
        <f>VLOOKUP(Ruimtestaat[[#This Row],[Code]],Locaties[#All],6,FALSE)</f>
        <v>Almelo</v>
      </c>
      <c r="F88" s="61"/>
      <c r="G88" s="24" t="s">
        <v>435</v>
      </c>
      <c r="H88" s="28" t="s">
        <v>797</v>
      </c>
      <c r="I88" s="4" t="s">
        <v>798</v>
      </c>
      <c r="J88" s="329">
        <v>15</v>
      </c>
      <c r="K88" s="330" t="str">
        <f>VLOOKUP(J88,Ruimtegroepen[],2,FALSE)</f>
        <v>Keuken/pantry</v>
      </c>
      <c r="L88" s="329" t="s">
        <v>799</v>
      </c>
      <c r="M88" s="329" t="s">
        <v>702</v>
      </c>
      <c r="N88" s="332">
        <v>25</v>
      </c>
      <c r="O88" s="87"/>
      <c r="P88" s="97" t="str">
        <f>LEFT(VLOOKUP(Ruimtestaat[[#This Row],[Ruimte code]],Ruimtegroepen[#All],4,1),2)</f>
        <v>Ve</v>
      </c>
      <c r="Q88" s="97"/>
      <c r="R88" s="88">
        <v>52</v>
      </c>
      <c r="S88" s="88" t="s">
        <v>2</v>
      </c>
      <c r="T88" s="89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88" s="89">
        <f>IF(T88&gt;0,VLOOKUP($J88,Ruimtegroepen[],3,FALSE)*VLOOKUP($L88,Vloersoorten[],3,FALSE)*VLOOKUP($S88,Frequenties[],3,FALSE)*VLOOKUP($A88,Locaties[],3,FALSE),0)</f>
        <v>0</v>
      </c>
      <c r="V88" s="90">
        <f>Ruimtestaat[[#This Row],[Uitvoeringen werkdagen]]*Ruimtestaat[[#This Row],[Oppervlak (netto)]]</f>
        <v>6500</v>
      </c>
      <c r="W88" s="91">
        <f>IF(U88&gt;0,Ruimtestaat[[#This Row],[Prest. (m2 /jaar) werkdagen]]/Ruimtestaat[[#This Row],[Norm (m2/uur) werkdagen]],0)</f>
        <v>0</v>
      </c>
      <c r="X88" s="92">
        <f>Ruimtestaat[[#This Row],[uren / jaar werkdagen]]*Tariefsopbouw!$E$35</f>
        <v>0</v>
      </c>
      <c r="Y88" s="89"/>
      <c r="Z88" s="93">
        <f>IF(Ruimtestaat[[#This Row],[Frequentie weekend]]&gt;0,VALUE(LEFT(Y88,1))*R88,0)</f>
        <v>0</v>
      </c>
      <c r="AA88" s="89">
        <f>IF($Z88&gt;0,VLOOKUP($J88,Ruimtegroepen[],3,FALSE)*VLOOKUP($L88,Vloersoorten[],3,FALSE)*VLOOKUP($Y88,Frequenties[],3,FALSE)*VLOOKUP($A84,Locaties[],3,FALSE),0)</f>
        <v>0</v>
      </c>
      <c r="AB88" s="91">
        <f>Ruimtestaat[[#This Row],[Uitvoeringen weekend]]*Ruimtestaat[[#This Row],[Oppervlak (netto)]]</f>
        <v>0</v>
      </c>
      <c r="AC88" s="94">
        <f>IF(AB88&gt;0,Ruimtestaat[[#This Row],[Prest. (m2 /jaar) weekend]]/Ruimtestaat[[#This Row],[Norm (m2/uur) weekend]],0)</f>
        <v>0</v>
      </c>
      <c r="AD88" s="95">
        <f>Ruimtestaat[[#This Row],[uren / jaar weekend]]*Tariefsopbouw!$D$40</f>
        <v>0</v>
      </c>
      <c r="AE88" s="67">
        <f>Ruimtestaat[[#This Row],[Prest. (m2 /jaar) weekend]]+Ruimtestaat[[#This Row],[Prest. (m2 /jaar) werkdagen]]</f>
        <v>6500</v>
      </c>
      <c r="AF88" s="67">
        <f>Ruimtestaat[[#This Row],[uren / jaar weekend]]+Ruimtestaat[[#This Row],[uren / jaar werkdagen]]</f>
        <v>0</v>
      </c>
      <c r="AG88" s="68">
        <f>Ruimtestaat[[#This Row],[kosten / jaar weekend]]+Ruimtestaat[[#This Row],[kosten / jaar werkdagen]]</f>
        <v>0</v>
      </c>
      <c r="AH88" s="96"/>
      <c r="HL88" s="66"/>
    </row>
    <row r="89" spans="1:220" ht="15" customHeight="1">
      <c r="A89" s="114">
        <v>1</v>
      </c>
      <c r="B89" s="24" t="str">
        <f>VLOOKUP(Ruimtestaat[[#This Row],[Code]],Locaties[#All],2,FALSE)</f>
        <v>Hoofdgebouw</v>
      </c>
      <c r="C89" s="24" t="str">
        <f>VLOOKUP(Ruimtestaat[[#This Row],[Code]],Locaties[#All],4,FALSE)</f>
        <v>Rohofstraat 83</v>
      </c>
      <c r="D89" s="24" t="str">
        <f>VLOOKUP(Ruimtestaat[[#This Row],[Code]],Locaties[#All],5,FALSE)</f>
        <v>7605 AT</v>
      </c>
      <c r="E89" s="24" t="str">
        <f>VLOOKUP(Ruimtestaat[[#This Row],[Code]],Locaties[#All],6,FALSE)</f>
        <v>Almelo</v>
      </c>
      <c r="F89" s="61"/>
      <c r="G89" s="24" t="s">
        <v>435</v>
      </c>
      <c r="H89" s="28" t="s">
        <v>554</v>
      </c>
      <c r="I89" s="4" t="s">
        <v>551</v>
      </c>
      <c r="J89" s="329">
        <v>1</v>
      </c>
      <c r="K89" s="330" t="str">
        <f>VLOOKUP(J89,Ruimtegroepen[],2,FALSE)</f>
        <v>Magazijnen/bergingen</v>
      </c>
      <c r="L89" s="329" t="s">
        <v>106</v>
      </c>
      <c r="M89" s="329" t="s">
        <v>126</v>
      </c>
      <c r="N89" s="332">
        <v>13.5</v>
      </c>
      <c r="O89" s="87"/>
      <c r="P89" s="97" t="str">
        <f>LEFT(VLOOKUP(Ruimtestaat[[#This Row],[Ruimte code]],Ruimtegroepen[#All],4,1),2)</f>
        <v>Ve</v>
      </c>
      <c r="Q89" s="97"/>
      <c r="R89" s="88">
        <v>52</v>
      </c>
      <c r="S89" s="88" t="s">
        <v>16</v>
      </c>
      <c r="T89" s="89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89" s="89">
        <f>IF(T89&gt;0,VLOOKUP($J89,Ruimtegroepen[],3,FALSE)*VLOOKUP($L89,Vloersoorten[],3,FALSE)*VLOOKUP($S89,Frequenties[],3,FALSE)*VLOOKUP($A89,Locaties[],3,FALSE),0)</f>
        <v>0</v>
      </c>
      <c r="V89" s="90">
        <f>Ruimtestaat[[#This Row],[Uitvoeringen werkdagen]]*Ruimtestaat[[#This Row],[Oppervlak (netto)]]</f>
        <v>162</v>
      </c>
      <c r="W89" s="91">
        <f>IF(U89&gt;0,Ruimtestaat[[#This Row],[Prest. (m2 /jaar) werkdagen]]/Ruimtestaat[[#This Row],[Norm (m2/uur) werkdagen]],0)</f>
        <v>0</v>
      </c>
      <c r="X89" s="92">
        <f>Ruimtestaat[[#This Row],[uren / jaar werkdagen]]*Tariefsopbouw!$E$35</f>
        <v>0</v>
      </c>
      <c r="Y89" s="89"/>
      <c r="Z89" s="93">
        <f>IF(Ruimtestaat[[#This Row],[Frequentie weekend]]&gt;0,VALUE(LEFT(Y89,1))*R89,0)</f>
        <v>0</v>
      </c>
      <c r="AA89" s="89">
        <f>IF($Z89&gt;0,VLOOKUP($J89,Ruimtegroepen[],3,FALSE)*VLOOKUP($L89,Vloersoorten[],3,FALSE)*VLOOKUP($Y89,Frequenties[],3,FALSE)*VLOOKUP($A84,Locaties[],3,FALSE),0)</f>
        <v>0</v>
      </c>
      <c r="AB89" s="91">
        <f>Ruimtestaat[[#This Row],[Uitvoeringen weekend]]*Ruimtestaat[[#This Row],[Oppervlak (netto)]]</f>
        <v>0</v>
      </c>
      <c r="AC89" s="94">
        <f>IF(AB89&gt;0,Ruimtestaat[[#This Row],[Prest. (m2 /jaar) weekend]]/Ruimtestaat[[#This Row],[Norm (m2/uur) weekend]],0)</f>
        <v>0</v>
      </c>
      <c r="AD89" s="95">
        <f>Ruimtestaat[[#This Row],[uren / jaar weekend]]*Tariefsopbouw!$D$40</f>
        <v>0</v>
      </c>
      <c r="AE89" s="67">
        <f>Ruimtestaat[[#This Row],[Prest. (m2 /jaar) weekend]]+Ruimtestaat[[#This Row],[Prest. (m2 /jaar) werkdagen]]</f>
        <v>162</v>
      </c>
      <c r="AF89" s="67">
        <f>Ruimtestaat[[#This Row],[uren / jaar weekend]]+Ruimtestaat[[#This Row],[uren / jaar werkdagen]]</f>
        <v>0</v>
      </c>
      <c r="AG89" s="68">
        <f>Ruimtestaat[[#This Row],[kosten / jaar weekend]]+Ruimtestaat[[#This Row],[kosten / jaar werkdagen]]</f>
        <v>0</v>
      </c>
      <c r="AH89" s="96"/>
      <c r="HL89" s="66"/>
    </row>
    <row r="90" spans="1:220" ht="15" customHeight="1">
      <c r="A90" s="114">
        <v>1</v>
      </c>
      <c r="B90" s="24" t="str">
        <f>VLOOKUP(Ruimtestaat[[#This Row],[Code]],Locaties[#All],2,FALSE)</f>
        <v>Hoofdgebouw</v>
      </c>
      <c r="C90" s="24" t="str">
        <f>VLOOKUP(Ruimtestaat[[#This Row],[Code]],Locaties[#All],4,FALSE)</f>
        <v>Rohofstraat 83</v>
      </c>
      <c r="D90" s="24" t="str">
        <f>VLOOKUP(Ruimtestaat[[#This Row],[Code]],Locaties[#All],5,FALSE)</f>
        <v>7605 AT</v>
      </c>
      <c r="E90" s="24" t="str">
        <f>VLOOKUP(Ruimtestaat[[#This Row],[Code]],Locaties[#All],6,FALSE)</f>
        <v>Almelo</v>
      </c>
      <c r="F90" s="61"/>
      <c r="G90" s="24" t="s">
        <v>435</v>
      </c>
      <c r="H90" s="28" t="s">
        <v>555</v>
      </c>
      <c r="I90" s="4" t="s">
        <v>551</v>
      </c>
      <c r="J90" s="329">
        <v>1</v>
      </c>
      <c r="K90" s="330" t="str">
        <f>VLOOKUP(J90,Ruimtegroepen[],2,FALSE)</f>
        <v>Magazijnen/bergingen</v>
      </c>
      <c r="L90" s="329" t="s">
        <v>105</v>
      </c>
      <c r="M90" s="329" t="s">
        <v>702</v>
      </c>
      <c r="N90" s="332">
        <v>12.9</v>
      </c>
      <c r="O90" s="87"/>
      <c r="P90" s="97" t="str">
        <f>LEFT(VLOOKUP(Ruimtestaat[[#This Row],[Ruimte code]],Ruimtegroepen[#All],4,1),2)</f>
        <v>Ve</v>
      </c>
      <c r="Q90" s="97"/>
      <c r="R90" s="88">
        <v>52</v>
      </c>
      <c r="S90" s="88" t="s">
        <v>16</v>
      </c>
      <c r="T90" s="89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90" s="89">
        <f>IF(T90&gt;0,VLOOKUP($J90,Ruimtegroepen[],3,FALSE)*VLOOKUP($L90,Vloersoorten[],3,FALSE)*VLOOKUP($S90,Frequenties[],3,FALSE)*VLOOKUP($A90,Locaties[],3,FALSE),0)</f>
        <v>0</v>
      </c>
      <c r="V90" s="90">
        <f>Ruimtestaat[[#This Row],[Uitvoeringen werkdagen]]*Ruimtestaat[[#This Row],[Oppervlak (netto)]]</f>
        <v>154.80000000000001</v>
      </c>
      <c r="W90" s="91">
        <f>IF(U90&gt;0,Ruimtestaat[[#This Row],[Prest. (m2 /jaar) werkdagen]]/Ruimtestaat[[#This Row],[Norm (m2/uur) werkdagen]],0)</f>
        <v>0</v>
      </c>
      <c r="X90" s="92">
        <f>Ruimtestaat[[#This Row],[uren / jaar werkdagen]]*Tariefsopbouw!$E$35</f>
        <v>0</v>
      </c>
      <c r="Y90" s="89"/>
      <c r="Z90" s="93">
        <f>IF(Ruimtestaat[[#This Row],[Frequentie weekend]]&gt;0,VALUE(LEFT(Y90,1))*R90,0)</f>
        <v>0</v>
      </c>
      <c r="AA90" s="89">
        <f>IF($Z90&gt;0,VLOOKUP($J90,Ruimtegroepen[],3,FALSE)*VLOOKUP($L90,Vloersoorten[],3,FALSE)*VLOOKUP($Y90,Frequenties[],3,FALSE)*VLOOKUP($A84,Locaties[],3,FALSE),0)</f>
        <v>0</v>
      </c>
      <c r="AB90" s="91">
        <f>Ruimtestaat[[#This Row],[Uitvoeringen weekend]]*Ruimtestaat[[#This Row],[Oppervlak (netto)]]</f>
        <v>0</v>
      </c>
      <c r="AC90" s="94">
        <f>IF(AB90&gt;0,Ruimtestaat[[#This Row],[Prest. (m2 /jaar) weekend]]/Ruimtestaat[[#This Row],[Norm (m2/uur) weekend]],0)</f>
        <v>0</v>
      </c>
      <c r="AD90" s="95">
        <f>Ruimtestaat[[#This Row],[uren / jaar weekend]]*Tariefsopbouw!$D$40</f>
        <v>0</v>
      </c>
      <c r="AE90" s="67">
        <f>Ruimtestaat[[#This Row],[Prest. (m2 /jaar) weekend]]+Ruimtestaat[[#This Row],[Prest. (m2 /jaar) werkdagen]]</f>
        <v>154.80000000000001</v>
      </c>
      <c r="AF90" s="67">
        <f>Ruimtestaat[[#This Row],[uren / jaar weekend]]+Ruimtestaat[[#This Row],[uren / jaar werkdagen]]</f>
        <v>0</v>
      </c>
      <c r="AG90" s="68">
        <f>Ruimtestaat[[#This Row],[kosten / jaar weekend]]+Ruimtestaat[[#This Row],[kosten / jaar werkdagen]]</f>
        <v>0</v>
      </c>
      <c r="AH90" s="96"/>
      <c r="HL90" s="66"/>
    </row>
    <row r="91" spans="1:220" ht="15" customHeight="1">
      <c r="A91" s="114">
        <v>1</v>
      </c>
      <c r="B91" s="24" t="str">
        <f>VLOOKUP(Ruimtestaat[[#This Row],[Code]],Locaties[#All],2,FALSE)</f>
        <v>Hoofdgebouw</v>
      </c>
      <c r="C91" s="24" t="str">
        <f>VLOOKUP(Ruimtestaat[[#This Row],[Code]],Locaties[#All],4,FALSE)</f>
        <v>Rohofstraat 83</v>
      </c>
      <c r="D91" s="24" t="str">
        <f>VLOOKUP(Ruimtestaat[[#This Row],[Code]],Locaties[#All],5,FALSE)</f>
        <v>7605 AT</v>
      </c>
      <c r="E91" s="24" t="str">
        <f>VLOOKUP(Ruimtestaat[[#This Row],[Code]],Locaties[#All],6,FALSE)</f>
        <v>Almelo</v>
      </c>
      <c r="F91" s="61"/>
      <c r="G91" s="24" t="s">
        <v>435</v>
      </c>
      <c r="H91" s="28" t="s">
        <v>556</v>
      </c>
      <c r="I91" s="4" t="s">
        <v>551</v>
      </c>
      <c r="J91" s="329">
        <v>1</v>
      </c>
      <c r="K91" s="330" t="str">
        <f>VLOOKUP(J91,Ruimtegroepen[],2,FALSE)</f>
        <v>Magazijnen/bergingen</v>
      </c>
      <c r="L91" s="329" t="s">
        <v>106</v>
      </c>
      <c r="M91" s="329" t="s">
        <v>126</v>
      </c>
      <c r="N91" s="332">
        <v>66</v>
      </c>
      <c r="O91" s="87"/>
      <c r="P91" s="97" t="str">
        <f>LEFT(VLOOKUP(Ruimtestaat[[#This Row],[Ruimte code]],Ruimtegroepen[#All],4,1),2)</f>
        <v>Ve</v>
      </c>
      <c r="Q91" s="97"/>
      <c r="R91" s="88">
        <v>52</v>
      </c>
      <c r="S91" s="88" t="s">
        <v>16</v>
      </c>
      <c r="T91" s="89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91" s="89">
        <f>IF(T91&gt;0,VLOOKUP($J91,Ruimtegroepen[],3,FALSE)*VLOOKUP($L91,Vloersoorten[],3,FALSE)*VLOOKUP($S91,Frequenties[],3,FALSE)*VLOOKUP($A91,Locaties[],3,FALSE),0)</f>
        <v>0</v>
      </c>
      <c r="V91" s="90">
        <f>Ruimtestaat[[#This Row],[Uitvoeringen werkdagen]]*Ruimtestaat[[#This Row],[Oppervlak (netto)]]</f>
        <v>792</v>
      </c>
      <c r="W91" s="91">
        <f>IF(U91&gt;0,Ruimtestaat[[#This Row],[Prest. (m2 /jaar) werkdagen]]/Ruimtestaat[[#This Row],[Norm (m2/uur) werkdagen]],0)</f>
        <v>0</v>
      </c>
      <c r="X91" s="92">
        <f>Ruimtestaat[[#This Row],[uren / jaar werkdagen]]*Tariefsopbouw!$E$35</f>
        <v>0</v>
      </c>
      <c r="Y91" s="89"/>
      <c r="Z91" s="93">
        <f>IF(Ruimtestaat[[#This Row],[Frequentie weekend]]&gt;0,VALUE(LEFT(Y91,1))*R91,0)</f>
        <v>0</v>
      </c>
      <c r="AA91" s="89">
        <f>IF($Z91&gt;0,VLOOKUP($J91,Ruimtegroepen[],3,FALSE)*VLOOKUP($L91,Vloersoorten[],3,FALSE)*VLOOKUP($Y91,Frequenties[],3,FALSE)*VLOOKUP($A85,Locaties[],3,FALSE),0)</f>
        <v>0</v>
      </c>
      <c r="AB91" s="91">
        <f>Ruimtestaat[[#This Row],[Uitvoeringen weekend]]*Ruimtestaat[[#This Row],[Oppervlak (netto)]]</f>
        <v>0</v>
      </c>
      <c r="AC91" s="94">
        <f>IF(AB91&gt;0,Ruimtestaat[[#This Row],[Prest. (m2 /jaar) weekend]]/Ruimtestaat[[#This Row],[Norm (m2/uur) weekend]],0)</f>
        <v>0</v>
      </c>
      <c r="AD91" s="95">
        <f>Ruimtestaat[[#This Row],[uren / jaar weekend]]*Tariefsopbouw!$D$40</f>
        <v>0</v>
      </c>
      <c r="AE91" s="67">
        <f>Ruimtestaat[[#This Row],[Prest. (m2 /jaar) weekend]]+Ruimtestaat[[#This Row],[Prest. (m2 /jaar) werkdagen]]</f>
        <v>792</v>
      </c>
      <c r="AF91" s="67">
        <f>Ruimtestaat[[#This Row],[uren / jaar weekend]]+Ruimtestaat[[#This Row],[uren / jaar werkdagen]]</f>
        <v>0</v>
      </c>
      <c r="AG91" s="68">
        <f>Ruimtestaat[[#This Row],[kosten / jaar weekend]]+Ruimtestaat[[#This Row],[kosten / jaar werkdagen]]</f>
        <v>0</v>
      </c>
      <c r="AH91" s="96"/>
      <c r="HL91" s="66"/>
    </row>
    <row r="92" spans="1:220" ht="15" customHeight="1">
      <c r="A92" s="114">
        <v>1</v>
      </c>
      <c r="B92" s="24" t="str">
        <f>VLOOKUP(Ruimtestaat[[#This Row],[Code]],Locaties[#All],2,FALSE)</f>
        <v>Hoofdgebouw</v>
      </c>
      <c r="C92" s="24" t="str">
        <f>VLOOKUP(Ruimtestaat[[#This Row],[Code]],Locaties[#All],4,FALSE)</f>
        <v>Rohofstraat 83</v>
      </c>
      <c r="D92" s="24" t="str">
        <f>VLOOKUP(Ruimtestaat[[#This Row],[Code]],Locaties[#All],5,FALSE)</f>
        <v>7605 AT</v>
      </c>
      <c r="E92" s="24" t="str">
        <f>VLOOKUP(Ruimtestaat[[#This Row],[Code]],Locaties[#All],6,FALSE)</f>
        <v>Almelo</v>
      </c>
      <c r="F92" s="61"/>
      <c r="G92" s="24" t="s">
        <v>435</v>
      </c>
      <c r="H92" s="28" t="s">
        <v>557</v>
      </c>
      <c r="I92" s="4" t="s">
        <v>481</v>
      </c>
      <c r="J92" s="329">
        <v>17</v>
      </c>
      <c r="K92" s="330" t="str">
        <f>VLOOKUP(J92,Ruimtegroepen[],2,FALSE)</f>
        <v>Niet in Onderhoud</v>
      </c>
      <c r="L92" s="329"/>
      <c r="M92" s="329"/>
      <c r="N92" s="332"/>
      <c r="O92" s="87">
        <v>1</v>
      </c>
      <c r="P92" s="97" t="str">
        <f>LEFT(VLOOKUP(Ruimtestaat[[#This Row],[Ruimte code]],Ruimtegroepen[#All],4,1),2)</f>
        <v/>
      </c>
      <c r="Q92" s="97"/>
      <c r="R92" s="88"/>
      <c r="S92" s="88"/>
      <c r="T92" s="89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2" s="89">
        <f>IF(T92&gt;0,VLOOKUP($J92,Ruimtegroepen[],3,FALSE)*VLOOKUP($L92,Vloersoorten[],3,FALSE)*VLOOKUP($S92,Frequenties[],3,FALSE)*VLOOKUP($A92,Locaties[],3,FALSE),0)</f>
        <v>0</v>
      </c>
      <c r="V92" s="90">
        <f>Ruimtestaat[[#This Row],[Uitvoeringen werkdagen]]*Ruimtestaat[[#This Row],[Oppervlak (netto)]]</f>
        <v>0</v>
      </c>
      <c r="W92" s="91">
        <f>IF(U92&gt;0,Ruimtestaat[[#This Row],[Prest. (m2 /jaar) werkdagen]]/Ruimtestaat[[#This Row],[Norm (m2/uur) werkdagen]],0)</f>
        <v>0</v>
      </c>
      <c r="X92" s="92">
        <f>Ruimtestaat[[#This Row],[uren / jaar werkdagen]]*Tariefsopbouw!$E$35</f>
        <v>0</v>
      </c>
      <c r="Y92" s="89"/>
      <c r="Z92" s="93">
        <f>IF(Ruimtestaat[[#This Row],[Frequentie weekend]]&gt;0,VALUE(LEFT(Y92,1))*R92,0)</f>
        <v>0</v>
      </c>
      <c r="AA92" s="89">
        <f>IF($Z92&gt;0,VLOOKUP($J92,Ruimtegroepen[],3,FALSE)*VLOOKUP($L92,Vloersoorten[],3,FALSE)*VLOOKUP($Y92,Frequenties[],3,FALSE)*VLOOKUP($A86,Locaties[],3,FALSE),0)</f>
        <v>0</v>
      </c>
      <c r="AB92" s="91">
        <f>Ruimtestaat[[#This Row],[Uitvoeringen weekend]]*Ruimtestaat[[#This Row],[Oppervlak (netto)]]</f>
        <v>0</v>
      </c>
      <c r="AC92" s="94">
        <f>IF(AB92&gt;0,Ruimtestaat[[#This Row],[Prest. (m2 /jaar) weekend]]/Ruimtestaat[[#This Row],[Norm (m2/uur) weekend]],0)</f>
        <v>0</v>
      </c>
      <c r="AD92" s="95">
        <f>Ruimtestaat[[#This Row],[uren / jaar weekend]]*Tariefsopbouw!$D$40</f>
        <v>0</v>
      </c>
      <c r="AE92" s="67">
        <f>Ruimtestaat[[#This Row],[Prest. (m2 /jaar) weekend]]+Ruimtestaat[[#This Row],[Prest. (m2 /jaar) werkdagen]]</f>
        <v>0</v>
      </c>
      <c r="AF92" s="67">
        <f>Ruimtestaat[[#This Row],[uren / jaar weekend]]+Ruimtestaat[[#This Row],[uren / jaar werkdagen]]</f>
        <v>0</v>
      </c>
      <c r="AG92" s="68">
        <f>Ruimtestaat[[#This Row],[kosten / jaar weekend]]+Ruimtestaat[[#This Row],[kosten / jaar werkdagen]]</f>
        <v>0</v>
      </c>
      <c r="AH92" s="96"/>
      <c r="HL92" s="66"/>
    </row>
    <row r="93" spans="1:220" ht="15" customHeight="1">
      <c r="A93" s="114">
        <v>1</v>
      </c>
      <c r="B93" s="24" t="str">
        <f>VLOOKUP(Ruimtestaat[[#This Row],[Code]],Locaties[#All],2,FALSE)</f>
        <v>Hoofdgebouw</v>
      </c>
      <c r="C93" s="24" t="str">
        <f>VLOOKUP(Ruimtestaat[[#This Row],[Code]],Locaties[#All],4,FALSE)</f>
        <v>Rohofstraat 83</v>
      </c>
      <c r="D93" s="24" t="str">
        <f>VLOOKUP(Ruimtestaat[[#This Row],[Code]],Locaties[#All],5,FALSE)</f>
        <v>7605 AT</v>
      </c>
      <c r="E93" s="24" t="str">
        <f>VLOOKUP(Ruimtestaat[[#This Row],[Code]],Locaties[#All],6,FALSE)</f>
        <v>Almelo</v>
      </c>
      <c r="F93" s="61"/>
      <c r="G93" s="24" t="s">
        <v>435</v>
      </c>
      <c r="H93" s="28" t="s">
        <v>558</v>
      </c>
      <c r="I93" s="4" t="s">
        <v>559</v>
      </c>
      <c r="J93" s="329">
        <v>17</v>
      </c>
      <c r="K93" s="330" t="str">
        <f>VLOOKUP(J93,Ruimtegroepen[],2,FALSE)</f>
        <v>Niet in Onderhoud</v>
      </c>
      <c r="L93" s="329"/>
      <c r="M93" s="329"/>
      <c r="N93" s="332"/>
      <c r="O93" s="87">
        <v>9.6999999999999993</v>
      </c>
      <c r="P93" s="97" t="str">
        <f>LEFT(VLOOKUP(Ruimtestaat[[#This Row],[Ruimte code]],Ruimtegroepen[#All],4,1),2)</f>
        <v/>
      </c>
      <c r="Q93" s="97"/>
      <c r="R93" s="88"/>
      <c r="S93" s="88"/>
      <c r="T93" s="89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3" s="89">
        <f>IF(T93&gt;0,VLOOKUP($J93,Ruimtegroepen[],3,FALSE)*VLOOKUP($L93,Vloersoorten[],3,FALSE)*VLOOKUP($S93,Frequenties[],3,FALSE)*VLOOKUP($A93,Locaties[],3,FALSE),0)</f>
        <v>0</v>
      </c>
      <c r="V93" s="90">
        <f>Ruimtestaat[[#This Row],[Uitvoeringen werkdagen]]*Ruimtestaat[[#This Row],[Oppervlak (netto)]]</f>
        <v>0</v>
      </c>
      <c r="W93" s="91">
        <f>IF(U93&gt;0,Ruimtestaat[[#This Row],[Prest. (m2 /jaar) werkdagen]]/Ruimtestaat[[#This Row],[Norm (m2/uur) werkdagen]],0)</f>
        <v>0</v>
      </c>
      <c r="X93" s="92">
        <f>Ruimtestaat[[#This Row],[uren / jaar werkdagen]]*Tariefsopbouw!$E$35</f>
        <v>0</v>
      </c>
      <c r="Y93" s="89"/>
      <c r="Z93" s="93">
        <f>IF(Ruimtestaat[[#This Row],[Frequentie weekend]]&gt;0,VALUE(LEFT(Y93,1))*R93,0)</f>
        <v>0</v>
      </c>
      <c r="AA93" s="89">
        <f>IF($Z93&gt;0,VLOOKUP($J93,Ruimtegroepen[],3,FALSE)*VLOOKUP($L93,Vloersoorten[],3,FALSE)*VLOOKUP($Y93,Frequenties[],3,FALSE)*VLOOKUP($A87,Locaties[],3,FALSE),0)</f>
        <v>0</v>
      </c>
      <c r="AB93" s="91">
        <f>Ruimtestaat[[#This Row],[Uitvoeringen weekend]]*Ruimtestaat[[#This Row],[Oppervlak (netto)]]</f>
        <v>0</v>
      </c>
      <c r="AC93" s="94">
        <f>IF(AB93&gt;0,Ruimtestaat[[#This Row],[Prest. (m2 /jaar) weekend]]/Ruimtestaat[[#This Row],[Norm (m2/uur) weekend]],0)</f>
        <v>0</v>
      </c>
      <c r="AD93" s="95">
        <f>Ruimtestaat[[#This Row],[uren / jaar weekend]]*Tariefsopbouw!$D$40</f>
        <v>0</v>
      </c>
      <c r="AE93" s="67">
        <f>Ruimtestaat[[#This Row],[Prest. (m2 /jaar) weekend]]+Ruimtestaat[[#This Row],[Prest. (m2 /jaar) werkdagen]]</f>
        <v>0</v>
      </c>
      <c r="AF93" s="67">
        <f>Ruimtestaat[[#This Row],[uren / jaar weekend]]+Ruimtestaat[[#This Row],[uren / jaar werkdagen]]</f>
        <v>0</v>
      </c>
      <c r="AG93" s="68">
        <f>Ruimtestaat[[#This Row],[kosten / jaar weekend]]+Ruimtestaat[[#This Row],[kosten / jaar werkdagen]]</f>
        <v>0</v>
      </c>
      <c r="AH93" s="96"/>
      <c r="HL93" s="66"/>
    </row>
    <row r="94" spans="1:220" ht="15" customHeight="1">
      <c r="A94" s="114">
        <v>1</v>
      </c>
      <c r="B94" s="24" t="str">
        <f>VLOOKUP(Ruimtestaat[[#This Row],[Code]],Locaties[#All],2,FALSE)</f>
        <v>Hoofdgebouw</v>
      </c>
      <c r="C94" s="24" t="str">
        <f>VLOOKUP(Ruimtestaat[[#This Row],[Code]],Locaties[#All],4,FALSE)</f>
        <v>Rohofstraat 83</v>
      </c>
      <c r="D94" s="24" t="str">
        <f>VLOOKUP(Ruimtestaat[[#This Row],[Code]],Locaties[#All],5,FALSE)</f>
        <v>7605 AT</v>
      </c>
      <c r="E94" s="24" t="str">
        <f>VLOOKUP(Ruimtestaat[[#This Row],[Code]],Locaties[#All],6,FALSE)</f>
        <v>Almelo</v>
      </c>
      <c r="F94" s="61"/>
      <c r="G94" s="24" t="s">
        <v>435</v>
      </c>
      <c r="H94" s="28" t="s">
        <v>560</v>
      </c>
      <c r="I94" s="4" t="s">
        <v>477</v>
      </c>
      <c r="J94" s="329">
        <v>4</v>
      </c>
      <c r="K94" s="330" t="str">
        <f>VLOOKUP(J94,Ruimtegroepen[],2,FALSE)</f>
        <v>Vergader/spreekkamers</v>
      </c>
      <c r="L94" s="329" t="s">
        <v>103</v>
      </c>
      <c r="M94" s="329" t="s">
        <v>38</v>
      </c>
      <c r="N94" s="332">
        <v>11.5</v>
      </c>
      <c r="O94" s="87"/>
      <c r="P94" s="97" t="str">
        <f>LEFT(VLOOKUP(Ruimtestaat[[#This Row],[Ruimte code]],Ruimtegroepen[#All],4,1),2)</f>
        <v>Bu</v>
      </c>
      <c r="Q94" s="97"/>
      <c r="R94" s="88">
        <v>52</v>
      </c>
      <c r="S94" s="88" t="s">
        <v>2</v>
      </c>
      <c r="T94" s="89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94" s="89">
        <f>IF(T94&gt;0,VLOOKUP($J94,Ruimtegroepen[],3,FALSE)*VLOOKUP($L94,Vloersoorten[],3,FALSE)*VLOOKUP($S94,Frequenties[],3,FALSE)*VLOOKUP($A94,Locaties[],3,FALSE),0)</f>
        <v>0</v>
      </c>
      <c r="V94" s="90">
        <f>Ruimtestaat[[#This Row],[Uitvoeringen werkdagen]]*Ruimtestaat[[#This Row],[Oppervlak (netto)]]</f>
        <v>2990</v>
      </c>
      <c r="W94" s="91">
        <f>IF(U94&gt;0,Ruimtestaat[[#This Row],[Prest. (m2 /jaar) werkdagen]]/Ruimtestaat[[#This Row],[Norm (m2/uur) werkdagen]],0)</f>
        <v>0</v>
      </c>
      <c r="X94" s="92">
        <f>Ruimtestaat[[#This Row],[uren / jaar werkdagen]]*Tariefsopbouw!$E$35</f>
        <v>0</v>
      </c>
      <c r="Y94" s="89"/>
      <c r="Z94" s="93">
        <f>IF(Ruimtestaat[[#This Row],[Frequentie weekend]]&gt;0,VALUE(LEFT(Y94,1))*R94,0)</f>
        <v>0</v>
      </c>
      <c r="AA94" s="89">
        <f>IF($Z94&gt;0,VLOOKUP($J94,Ruimtegroepen[],3,FALSE)*VLOOKUP($L94,Vloersoorten[],3,FALSE)*VLOOKUP($Y94,Frequenties[],3,FALSE)*VLOOKUP($A89,Locaties[],3,FALSE),0)</f>
        <v>0</v>
      </c>
      <c r="AB94" s="91">
        <f>Ruimtestaat[[#This Row],[Uitvoeringen weekend]]*Ruimtestaat[[#This Row],[Oppervlak (netto)]]</f>
        <v>0</v>
      </c>
      <c r="AC94" s="94">
        <f>IF(AB94&gt;0,Ruimtestaat[[#This Row],[Prest. (m2 /jaar) weekend]]/Ruimtestaat[[#This Row],[Norm (m2/uur) weekend]],0)</f>
        <v>0</v>
      </c>
      <c r="AD94" s="95">
        <f>Ruimtestaat[[#This Row],[uren / jaar weekend]]*Tariefsopbouw!$D$40</f>
        <v>0</v>
      </c>
      <c r="AE94" s="67">
        <f>Ruimtestaat[[#This Row],[Prest. (m2 /jaar) weekend]]+Ruimtestaat[[#This Row],[Prest. (m2 /jaar) werkdagen]]</f>
        <v>2990</v>
      </c>
      <c r="AF94" s="67">
        <f>Ruimtestaat[[#This Row],[uren / jaar weekend]]+Ruimtestaat[[#This Row],[uren / jaar werkdagen]]</f>
        <v>0</v>
      </c>
      <c r="AG94" s="68">
        <f>Ruimtestaat[[#This Row],[kosten / jaar weekend]]+Ruimtestaat[[#This Row],[kosten / jaar werkdagen]]</f>
        <v>0</v>
      </c>
      <c r="AH94" s="96"/>
      <c r="HL94" s="66"/>
    </row>
    <row r="95" spans="1:220" ht="15" customHeight="1">
      <c r="A95" s="114">
        <v>1</v>
      </c>
      <c r="B95" s="24" t="str">
        <f>VLOOKUP(Ruimtestaat[[#This Row],[Code]],Locaties[#All],2,FALSE)</f>
        <v>Hoofdgebouw</v>
      </c>
      <c r="C95" s="24" t="str">
        <f>VLOOKUP(Ruimtestaat[[#This Row],[Code]],Locaties[#All],4,FALSE)</f>
        <v>Rohofstraat 83</v>
      </c>
      <c r="D95" s="24" t="str">
        <f>VLOOKUP(Ruimtestaat[[#This Row],[Code]],Locaties[#All],5,FALSE)</f>
        <v>7605 AT</v>
      </c>
      <c r="E95" s="24" t="str">
        <f>VLOOKUP(Ruimtestaat[[#This Row],[Code]],Locaties[#All],6,FALSE)</f>
        <v>Almelo</v>
      </c>
      <c r="F95" s="61"/>
      <c r="G95" s="24" t="s">
        <v>435</v>
      </c>
      <c r="H95" s="28" t="s">
        <v>561</v>
      </c>
      <c r="I95" s="61" t="s">
        <v>477</v>
      </c>
      <c r="J95" s="333">
        <v>4</v>
      </c>
      <c r="K95" s="330" t="str">
        <f>VLOOKUP(J95,Ruimtegroepen[],2,FALSE)</f>
        <v>Vergader/spreekkamers</v>
      </c>
      <c r="L95" s="329" t="s">
        <v>103</v>
      </c>
      <c r="M95" s="329" t="s">
        <v>38</v>
      </c>
      <c r="N95" s="332">
        <v>11.6</v>
      </c>
      <c r="O95" s="159"/>
      <c r="P95" s="160" t="str">
        <f>LEFT(VLOOKUP(Ruimtestaat[[#This Row],[Ruimte code]],Ruimtegroepen[#All],4,1),2)</f>
        <v>Bu</v>
      </c>
      <c r="Q95" s="161"/>
      <c r="R95" s="88">
        <v>52</v>
      </c>
      <c r="S95" s="88" t="s">
        <v>2</v>
      </c>
      <c r="T95" s="89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95" s="89">
        <f>IF(T95&gt;0,VLOOKUP($J95,Ruimtegroepen[],3,FALSE)*VLOOKUP($L95,Vloersoorten[],3,FALSE)*VLOOKUP($S95,Frequenties[],3,FALSE)*VLOOKUP($A95,Locaties[],3,FALSE),0)</f>
        <v>0</v>
      </c>
      <c r="V95" s="90">
        <f>Ruimtestaat[[#This Row],[Uitvoeringen werkdagen]]*Ruimtestaat[[#This Row],[Oppervlak (netto)]]</f>
        <v>3016</v>
      </c>
      <c r="W95" s="91">
        <f>IF(U95&gt;0,Ruimtestaat[[#This Row],[Prest. (m2 /jaar) werkdagen]]/Ruimtestaat[[#This Row],[Norm (m2/uur) werkdagen]],0)</f>
        <v>0</v>
      </c>
      <c r="X95" s="92">
        <f>Ruimtestaat[[#This Row],[uren / jaar werkdagen]]*Tariefsopbouw!$E$35</f>
        <v>0</v>
      </c>
      <c r="Y95" s="89"/>
      <c r="Z95" s="93">
        <f>IF(Ruimtestaat[[#This Row],[Frequentie weekend]]&gt;0,VALUE(LEFT(Y95,1))*R95,0)</f>
        <v>0</v>
      </c>
      <c r="AA95" s="89">
        <f>IF($Z95&gt;0,VLOOKUP($J95,Ruimtegroepen[],3,FALSE)*VLOOKUP($L95,Vloersoorten[],3,FALSE)*VLOOKUP($Y95,Frequenties[],3,FALSE)*VLOOKUP($A91,Locaties[],3,FALSE),0)</f>
        <v>0</v>
      </c>
      <c r="AB95" s="91">
        <f>Ruimtestaat[[#This Row],[Uitvoeringen weekend]]*Ruimtestaat[[#This Row],[Oppervlak (netto)]]</f>
        <v>0</v>
      </c>
      <c r="AC95" s="94">
        <f>IF(AB95&gt;0,Ruimtestaat[[#This Row],[Prest. (m2 /jaar) weekend]]/Ruimtestaat[[#This Row],[Norm (m2/uur) weekend]],0)</f>
        <v>0</v>
      </c>
      <c r="AD95" s="95">
        <f>Ruimtestaat[[#This Row],[uren / jaar weekend]]*Tariefsopbouw!$D$40</f>
        <v>0</v>
      </c>
      <c r="AE95" s="67">
        <f>Ruimtestaat[[#This Row],[Prest. (m2 /jaar) weekend]]+Ruimtestaat[[#This Row],[Prest. (m2 /jaar) werkdagen]]</f>
        <v>3016</v>
      </c>
      <c r="AF95" s="67">
        <f>Ruimtestaat[[#This Row],[uren / jaar weekend]]+Ruimtestaat[[#This Row],[uren / jaar werkdagen]]</f>
        <v>0</v>
      </c>
      <c r="AG95" s="68">
        <f>Ruimtestaat[[#This Row],[kosten / jaar weekend]]+Ruimtestaat[[#This Row],[kosten / jaar werkdagen]]</f>
        <v>0</v>
      </c>
      <c r="AH95" s="96"/>
      <c r="HL95" s="66"/>
    </row>
    <row r="96" spans="1:220" ht="15" customHeight="1">
      <c r="A96" s="114">
        <v>1</v>
      </c>
      <c r="B96" s="24" t="str">
        <f>VLOOKUP(Ruimtestaat[[#This Row],[Code]],Locaties[#All],2,FALSE)</f>
        <v>Hoofdgebouw</v>
      </c>
      <c r="C96" s="24" t="str">
        <f>VLOOKUP(Ruimtestaat[[#This Row],[Code]],Locaties[#All],4,FALSE)</f>
        <v>Rohofstraat 83</v>
      </c>
      <c r="D96" s="24" t="str">
        <f>VLOOKUP(Ruimtestaat[[#This Row],[Code]],Locaties[#All],5,FALSE)</f>
        <v>7605 AT</v>
      </c>
      <c r="E96" s="24" t="str">
        <f>VLOOKUP(Ruimtestaat[[#This Row],[Code]],Locaties[#All],6,FALSE)</f>
        <v>Almelo</v>
      </c>
      <c r="F96" s="61"/>
      <c r="G96" s="24" t="s">
        <v>435</v>
      </c>
      <c r="H96" s="28" t="s">
        <v>562</v>
      </c>
      <c r="I96" s="4" t="s">
        <v>481</v>
      </c>
      <c r="J96" s="329">
        <v>17</v>
      </c>
      <c r="K96" s="330" t="str">
        <f>VLOOKUP(J96,Ruimtegroepen[],2,FALSE)</f>
        <v>Niet in Onderhoud</v>
      </c>
      <c r="L96" s="329"/>
      <c r="M96" s="329"/>
      <c r="N96" s="332"/>
      <c r="O96" s="87">
        <v>1</v>
      </c>
      <c r="P96" s="97" t="str">
        <f>LEFT(VLOOKUP(Ruimtestaat[[#This Row],[Ruimte code]],Ruimtegroepen[#All],4,1),2)</f>
        <v/>
      </c>
      <c r="Q96" s="97"/>
      <c r="R96" s="88"/>
      <c r="S96" s="88"/>
      <c r="T96" s="89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6" s="89">
        <f>IF(T96&gt;0,VLOOKUP($J96,Ruimtegroepen[],3,FALSE)*VLOOKUP($L96,Vloersoorten[],3,FALSE)*VLOOKUP($S96,Frequenties[],3,FALSE)*VLOOKUP($A96,Locaties[],3,FALSE),0)</f>
        <v>0</v>
      </c>
      <c r="V96" s="90">
        <f>Ruimtestaat[[#This Row],[Uitvoeringen werkdagen]]*Ruimtestaat[[#This Row],[Oppervlak (netto)]]</f>
        <v>0</v>
      </c>
      <c r="W96" s="91">
        <f>IF(U96&gt;0,Ruimtestaat[[#This Row],[Prest. (m2 /jaar) werkdagen]]/Ruimtestaat[[#This Row],[Norm (m2/uur) werkdagen]],0)</f>
        <v>0</v>
      </c>
      <c r="X96" s="92">
        <f>Ruimtestaat[[#This Row],[uren / jaar werkdagen]]*Tariefsopbouw!$E$35</f>
        <v>0</v>
      </c>
      <c r="Y96" s="89"/>
      <c r="Z96" s="93">
        <f>IF(Ruimtestaat[[#This Row],[Frequentie weekend]]&gt;0,VALUE(LEFT(Y96,1))*R96,0)</f>
        <v>0</v>
      </c>
      <c r="AA96" s="89">
        <f>IF($Z96&gt;0,VLOOKUP($J96,Ruimtegroepen[],3,FALSE)*VLOOKUP($L96,Vloersoorten[],3,FALSE)*VLOOKUP($Y96,Frequenties[],3,FALSE)*VLOOKUP($A92,Locaties[],3,FALSE),0)</f>
        <v>0</v>
      </c>
      <c r="AB96" s="91">
        <f>Ruimtestaat[[#This Row],[Uitvoeringen weekend]]*Ruimtestaat[[#This Row],[Oppervlak (netto)]]</f>
        <v>0</v>
      </c>
      <c r="AC96" s="94">
        <f>IF(AB96&gt;0,Ruimtestaat[[#This Row],[Prest. (m2 /jaar) weekend]]/Ruimtestaat[[#This Row],[Norm (m2/uur) weekend]],0)</f>
        <v>0</v>
      </c>
      <c r="AD96" s="95">
        <f>Ruimtestaat[[#This Row],[uren / jaar weekend]]*Tariefsopbouw!$D$40</f>
        <v>0</v>
      </c>
      <c r="AE96" s="67">
        <f>Ruimtestaat[[#This Row],[Prest. (m2 /jaar) weekend]]+Ruimtestaat[[#This Row],[Prest. (m2 /jaar) werkdagen]]</f>
        <v>0</v>
      </c>
      <c r="AF96" s="67">
        <f>Ruimtestaat[[#This Row],[uren / jaar weekend]]+Ruimtestaat[[#This Row],[uren / jaar werkdagen]]</f>
        <v>0</v>
      </c>
      <c r="AG96" s="68">
        <f>Ruimtestaat[[#This Row],[kosten / jaar weekend]]+Ruimtestaat[[#This Row],[kosten / jaar werkdagen]]</f>
        <v>0</v>
      </c>
      <c r="AH96" s="96"/>
      <c r="HL96" s="66"/>
    </row>
    <row r="97" spans="1:220" ht="15" customHeight="1">
      <c r="A97" s="114">
        <v>1</v>
      </c>
      <c r="B97" s="24" t="str">
        <f>VLOOKUP(Ruimtestaat[[#This Row],[Code]],Locaties[#All],2,FALSE)</f>
        <v>Hoofdgebouw</v>
      </c>
      <c r="C97" s="24" t="str">
        <f>VLOOKUP(Ruimtestaat[[#This Row],[Code]],Locaties[#All],4,FALSE)</f>
        <v>Rohofstraat 83</v>
      </c>
      <c r="D97" s="24" t="str">
        <f>VLOOKUP(Ruimtestaat[[#This Row],[Code]],Locaties[#All],5,FALSE)</f>
        <v>7605 AT</v>
      </c>
      <c r="E97" s="24" t="str">
        <f>VLOOKUP(Ruimtestaat[[#This Row],[Code]],Locaties[#All],6,FALSE)</f>
        <v>Almelo</v>
      </c>
      <c r="F97" s="61"/>
      <c r="G97" s="24" t="s">
        <v>435</v>
      </c>
      <c r="H97" s="28" t="s">
        <v>563</v>
      </c>
      <c r="I97" s="4" t="s">
        <v>437</v>
      </c>
      <c r="J97" s="329">
        <v>7</v>
      </c>
      <c r="K97" s="330" t="str">
        <f>VLOOKUP(J97,Ruimtegroepen[],2,FALSE)</f>
        <v>Entree</v>
      </c>
      <c r="L97" s="329" t="s">
        <v>103</v>
      </c>
      <c r="M97" s="329" t="s">
        <v>800</v>
      </c>
      <c r="N97" s="332">
        <v>36</v>
      </c>
      <c r="O97" s="87"/>
      <c r="P97" s="97" t="str">
        <f>LEFT(VLOOKUP(Ruimtestaat[[#This Row],[Ruimte code]],Ruimtegroepen[#All],4,1),2)</f>
        <v>Ve</v>
      </c>
      <c r="Q97" s="97"/>
      <c r="R97" s="88">
        <v>52</v>
      </c>
      <c r="S97" s="88" t="s">
        <v>2</v>
      </c>
      <c r="T97" s="89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97" s="89">
        <f>IF(T97&gt;0,VLOOKUP($J97,Ruimtegroepen[],3,FALSE)*VLOOKUP($L97,Vloersoorten[],3,FALSE)*VLOOKUP($S97,Frequenties[],3,FALSE)*VLOOKUP($A97,Locaties[],3,FALSE),0)</f>
        <v>0</v>
      </c>
      <c r="V97" s="90">
        <f>Ruimtestaat[[#This Row],[Uitvoeringen werkdagen]]*Ruimtestaat[[#This Row],[Oppervlak (netto)]]</f>
        <v>9360</v>
      </c>
      <c r="W97" s="91">
        <f>IF(U97&gt;0,Ruimtestaat[[#This Row],[Prest. (m2 /jaar) werkdagen]]/Ruimtestaat[[#This Row],[Norm (m2/uur) werkdagen]],0)</f>
        <v>0</v>
      </c>
      <c r="X97" s="92">
        <f>Ruimtestaat[[#This Row],[uren / jaar werkdagen]]*Tariefsopbouw!$E$35</f>
        <v>0</v>
      </c>
      <c r="Y97" s="89"/>
      <c r="Z97" s="93">
        <f>IF(Ruimtestaat[[#This Row],[Frequentie weekend]]&gt;0,VALUE(LEFT(Y97,1))*R97,0)</f>
        <v>0</v>
      </c>
      <c r="AA97" s="89">
        <f>IF($Z97&gt;0,VLOOKUP($J97,Ruimtegroepen[],3,FALSE)*VLOOKUP($L97,Vloersoorten[],3,FALSE)*VLOOKUP($Y97,Frequenties[],3,FALSE)*VLOOKUP($A93,Locaties[],3,FALSE),0)</f>
        <v>0</v>
      </c>
      <c r="AB97" s="91">
        <f>Ruimtestaat[[#This Row],[Uitvoeringen weekend]]*Ruimtestaat[[#This Row],[Oppervlak (netto)]]</f>
        <v>0</v>
      </c>
      <c r="AC97" s="94">
        <f>IF(AB97&gt;0,Ruimtestaat[[#This Row],[Prest. (m2 /jaar) weekend]]/Ruimtestaat[[#This Row],[Norm (m2/uur) weekend]],0)</f>
        <v>0</v>
      </c>
      <c r="AD97" s="95">
        <f>Ruimtestaat[[#This Row],[uren / jaar weekend]]*Tariefsopbouw!$D$40</f>
        <v>0</v>
      </c>
      <c r="AE97" s="67">
        <f>Ruimtestaat[[#This Row],[Prest. (m2 /jaar) weekend]]+Ruimtestaat[[#This Row],[Prest. (m2 /jaar) werkdagen]]</f>
        <v>9360</v>
      </c>
      <c r="AF97" s="67">
        <f>Ruimtestaat[[#This Row],[uren / jaar weekend]]+Ruimtestaat[[#This Row],[uren / jaar werkdagen]]</f>
        <v>0</v>
      </c>
      <c r="AG97" s="68">
        <f>Ruimtestaat[[#This Row],[kosten / jaar weekend]]+Ruimtestaat[[#This Row],[kosten / jaar werkdagen]]</f>
        <v>0</v>
      </c>
      <c r="AH97" s="96"/>
      <c r="HL97" s="66"/>
    </row>
    <row r="98" spans="1:220" ht="15" customHeight="1">
      <c r="A98" s="114">
        <v>1</v>
      </c>
      <c r="B98" s="24" t="str">
        <f>VLOOKUP(Ruimtestaat[[#This Row],[Code]],Locaties[#All],2,FALSE)</f>
        <v>Hoofdgebouw</v>
      </c>
      <c r="C98" s="24" t="str">
        <f>VLOOKUP(Ruimtestaat[[#This Row],[Code]],Locaties[#All],4,FALSE)</f>
        <v>Rohofstraat 83</v>
      </c>
      <c r="D98" s="24" t="str">
        <f>VLOOKUP(Ruimtestaat[[#This Row],[Code]],Locaties[#All],5,FALSE)</f>
        <v>7605 AT</v>
      </c>
      <c r="E98" s="24" t="str">
        <f>VLOOKUP(Ruimtestaat[[#This Row],[Code]],Locaties[#All],6,FALSE)</f>
        <v>Almelo</v>
      </c>
      <c r="F98" s="61"/>
      <c r="G98" s="24" t="s">
        <v>435</v>
      </c>
      <c r="H98" s="28" t="s">
        <v>564</v>
      </c>
      <c r="I98" s="4" t="s">
        <v>565</v>
      </c>
      <c r="J98" s="329">
        <v>13</v>
      </c>
      <c r="K98" s="330" t="str">
        <f>VLOOKUP(J98,Ruimtegroepen[],2,FALSE)</f>
        <v>atrium</v>
      </c>
      <c r="L98" s="329" t="s">
        <v>106</v>
      </c>
      <c r="M98" s="329" t="s">
        <v>126</v>
      </c>
      <c r="N98" s="332">
        <v>466.3</v>
      </c>
      <c r="O98" s="87"/>
      <c r="P98" s="97" t="str">
        <f>LEFT(VLOOKUP(Ruimtestaat[[#This Row],[Ruimte code]],Ruimtegroepen[#All],4,1),2)</f>
        <v>Ve</v>
      </c>
      <c r="Q98" s="97"/>
      <c r="R98" s="88">
        <v>52</v>
      </c>
      <c r="S98" s="88" t="s">
        <v>2</v>
      </c>
      <c r="T98" s="89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98" s="89">
        <f>IF(T98&gt;0,VLOOKUP($J98,Ruimtegroepen[],3,FALSE)*VLOOKUP($L98,Vloersoorten[],3,FALSE)*VLOOKUP($S98,Frequenties[],3,FALSE)*VLOOKUP($A98,Locaties[],3,FALSE),0)</f>
        <v>0</v>
      </c>
      <c r="V98" s="90">
        <f>Ruimtestaat[[#This Row],[Uitvoeringen werkdagen]]*Ruimtestaat[[#This Row],[Oppervlak (netto)]]</f>
        <v>121238</v>
      </c>
      <c r="W98" s="91">
        <f>IF(U98&gt;0,Ruimtestaat[[#This Row],[Prest. (m2 /jaar) werkdagen]]/Ruimtestaat[[#This Row],[Norm (m2/uur) werkdagen]],0)</f>
        <v>0</v>
      </c>
      <c r="X98" s="92">
        <f>Ruimtestaat[[#This Row],[uren / jaar werkdagen]]*Tariefsopbouw!$E$35</f>
        <v>0</v>
      </c>
      <c r="Y98" s="89"/>
      <c r="Z98" s="93">
        <f>IF(Ruimtestaat[[#This Row],[Frequentie weekend]]&gt;0,VALUE(LEFT(Y98,1))*R98,0)</f>
        <v>0</v>
      </c>
      <c r="AA98" s="89">
        <f>IF($Z98&gt;0,VLOOKUP($J98,Ruimtegroepen[],3,FALSE)*VLOOKUP($L98,Vloersoorten[],3,FALSE)*VLOOKUP($Y98,Frequenties[],3,FALSE)*VLOOKUP($A94,Locaties[],3,FALSE),0)</f>
        <v>0</v>
      </c>
      <c r="AB98" s="91">
        <f>Ruimtestaat[[#This Row],[Uitvoeringen weekend]]*Ruimtestaat[[#This Row],[Oppervlak (netto)]]</f>
        <v>0</v>
      </c>
      <c r="AC98" s="94">
        <f>IF(AB98&gt;0,Ruimtestaat[[#This Row],[Prest. (m2 /jaar) weekend]]/Ruimtestaat[[#This Row],[Norm (m2/uur) weekend]],0)</f>
        <v>0</v>
      </c>
      <c r="AD98" s="95">
        <f>Ruimtestaat[[#This Row],[uren / jaar weekend]]*Tariefsopbouw!$D$40</f>
        <v>0</v>
      </c>
      <c r="AE98" s="67">
        <f>Ruimtestaat[[#This Row],[Prest. (m2 /jaar) weekend]]+Ruimtestaat[[#This Row],[Prest. (m2 /jaar) werkdagen]]</f>
        <v>121238</v>
      </c>
      <c r="AF98" s="67">
        <f>Ruimtestaat[[#This Row],[uren / jaar weekend]]+Ruimtestaat[[#This Row],[uren / jaar werkdagen]]</f>
        <v>0</v>
      </c>
      <c r="AG98" s="68">
        <f>Ruimtestaat[[#This Row],[kosten / jaar weekend]]+Ruimtestaat[[#This Row],[kosten / jaar werkdagen]]</f>
        <v>0</v>
      </c>
      <c r="AH98" s="96"/>
      <c r="HL98" s="66"/>
    </row>
    <row r="99" spans="1:220" ht="15" customHeight="1">
      <c r="A99" s="114">
        <v>1</v>
      </c>
      <c r="B99" s="24" t="str">
        <f>VLOOKUP(Ruimtestaat[[#This Row],[Code]],Locaties[#All],2,FALSE)</f>
        <v>Hoofdgebouw</v>
      </c>
      <c r="C99" s="24" t="str">
        <f>VLOOKUP(Ruimtestaat[[#This Row],[Code]],Locaties[#All],4,FALSE)</f>
        <v>Rohofstraat 83</v>
      </c>
      <c r="D99" s="24" t="str">
        <f>VLOOKUP(Ruimtestaat[[#This Row],[Code]],Locaties[#All],5,FALSE)</f>
        <v>7605 AT</v>
      </c>
      <c r="E99" s="24" t="str">
        <f>VLOOKUP(Ruimtestaat[[#This Row],[Code]],Locaties[#All],6,FALSE)</f>
        <v>Almelo</v>
      </c>
      <c r="F99" s="61"/>
      <c r="G99" s="24" t="s">
        <v>435</v>
      </c>
      <c r="H99" s="28" t="s">
        <v>566</v>
      </c>
      <c r="I99" s="4" t="s">
        <v>567</v>
      </c>
      <c r="J99" s="329">
        <v>14</v>
      </c>
      <c r="K99" s="330" t="str">
        <f>VLOOKUP(J99,Ruimtegroepen[],2,FALSE)</f>
        <v>Receptie</v>
      </c>
      <c r="L99" s="329" t="s">
        <v>103</v>
      </c>
      <c r="M99" s="329" t="s">
        <v>38</v>
      </c>
      <c r="N99" s="332">
        <v>11.7</v>
      </c>
      <c r="O99" s="87"/>
      <c r="P99" s="97" t="str">
        <f>LEFT(VLOOKUP(Ruimtestaat[[#This Row],[Ruimte code]],Ruimtegroepen[#All],4,1),2)</f>
        <v>Bu</v>
      </c>
      <c r="Q99" s="97"/>
      <c r="R99" s="88">
        <v>52</v>
      </c>
      <c r="S99" s="88" t="s">
        <v>2</v>
      </c>
      <c r="T99" s="89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99" s="89">
        <f>IF(T99&gt;0,VLOOKUP($J99,Ruimtegroepen[],3,FALSE)*VLOOKUP($L99,Vloersoorten[],3,FALSE)*VLOOKUP($S99,Frequenties[],3,FALSE)*VLOOKUP($A99,Locaties[],3,FALSE),0)</f>
        <v>0</v>
      </c>
      <c r="V99" s="90">
        <f>Ruimtestaat[[#This Row],[Uitvoeringen werkdagen]]*Ruimtestaat[[#This Row],[Oppervlak (netto)]]</f>
        <v>3042</v>
      </c>
      <c r="W99" s="91">
        <f>IF(U99&gt;0,Ruimtestaat[[#This Row],[Prest. (m2 /jaar) werkdagen]]/Ruimtestaat[[#This Row],[Norm (m2/uur) werkdagen]],0)</f>
        <v>0</v>
      </c>
      <c r="X99" s="92">
        <f>Ruimtestaat[[#This Row],[uren / jaar werkdagen]]*Tariefsopbouw!$E$35</f>
        <v>0</v>
      </c>
      <c r="Y99" s="89"/>
      <c r="Z99" s="93">
        <f>IF(Ruimtestaat[[#This Row],[Frequentie weekend]]&gt;0,VALUE(LEFT(Y99,1))*R99,0)</f>
        <v>0</v>
      </c>
      <c r="AA99" s="89">
        <f>IF($Z99&gt;0,VLOOKUP($J99,Ruimtegroepen[],3,FALSE)*VLOOKUP($L99,Vloersoorten[],3,FALSE)*VLOOKUP($Y99,Frequenties[],3,FALSE)*VLOOKUP($A95,Locaties[],3,FALSE),0)</f>
        <v>0</v>
      </c>
      <c r="AB99" s="91">
        <f>Ruimtestaat[[#This Row],[Uitvoeringen weekend]]*Ruimtestaat[[#This Row],[Oppervlak (netto)]]</f>
        <v>0</v>
      </c>
      <c r="AC99" s="94">
        <f>IF(AB99&gt;0,Ruimtestaat[[#This Row],[Prest. (m2 /jaar) weekend]]/Ruimtestaat[[#This Row],[Norm (m2/uur) weekend]],0)</f>
        <v>0</v>
      </c>
      <c r="AD99" s="95">
        <f>Ruimtestaat[[#This Row],[uren / jaar weekend]]*Tariefsopbouw!$D$40</f>
        <v>0</v>
      </c>
      <c r="AE99" s="67">
        <f>Ruimtestaat[[#This Row],[Prest. (m2 /jaar) weekend]]+Ruimtestaat[[#This Row],[Prest. (m2 /jaar) werkdagen]]</f>
        <v>3042</v>
      </c>
      <c r="AF99" s="67">
        <f>Ruimtestaat[[#This Row],[uren / jaar weekend]]+Ruimtestaat[[#This Row],[uren / jaar werkdagen]]</f>
        <v>0</v>
      </c>
      <c r="AG99" s="68">
        <f>Ruimtestaat[[#This Row],[kosten / jaar weekend]]+Ruimtestaat[[#This Row],[kosten / jaar werkdagen]]</f>
        <v>0</v>
      </c>
      <c r="AH99" s="96"/>
      <c r="HL99" s="66"/>
    </row>
    <row r="100" spans="1:220" ht="15" customHeight="1">
      <c r="A100" s="114">
        <v>1</v>
      </c>
      <c r="B100" s="24" t="str">
        <f>VLOOKUP(Ruimtestaat[[#This Row],[Code]],Locaties[#All],2,FALSE)</f>
        <v>Hoofdgebouw</v>
      </c>
      <c r="C100" s="24" t="str">
        <f>VLOOKUP(Ruimtestaat[[#This Row],[Code]],Locaties[#All],4,FALSE)</f>
        <v>Rohofstraat 83</v>
      </c>
      <c r="D100" s="24" t="str">
        <f>VLOOKUP(Ruimtestaat[[#This Row],[Code]],Locaties[#All],5,FALSE)</f>
        <v>7605 AT</v>
      </c>
      <c r="E100" s="24" t="str">
        <f>VLOOKUP(Ruimtestaat[[#This Row],[Code]],Locaties[#All],6,FALSE)</f>
        <v>Almelo</v>
      </c>
      <c r="F100" s="61"/>
      <c r="G100" s="24" t="s">
        <v>435</v>
      </c>
      <c r="H100" s="28" t="s">
        <v>568</v>
      </c>
      <c r="I100" s="4" t="s">
        <v>517</v>
      </c>
      <c r="J100" s="329">
        <v>10</v>
      </c>
      <c r="K100" s="330" t="str">
        <f>VLOOKUP(J100,Ruimtegroepen[],2,FALSE)</f>
        <v>Trappenhuizen/lift</v>
      </c>
      <c r="L100" s="329" t="s">
        <v>106</v>
      </c>
      <c r="M100" s="329" t="s">
        <v>126</v>
      </c>
      <c r="N100" s="332">
        <v>2.9</v>
      </c>
      <c r="O100" s="87"/>
      <c r="P100" s="97" t="str">
        <f>LEFT(VLOOKUP(Ruimtestaat[[#This Row],[Ruimte code]],Ruimtegroepen[#All],4,1),2)</f>
        <v>Ve</v>
      </c>
      <c r="Q100" s="97"/>
      <c r="R100" s="88">
        <v>52</v>
      </c>
      <c r="S100" s="88" t="s">
        <v>2</v>
      </c>
      <c r="T100" s="89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00" s="89">
        <f>IF(T100&gt;0,VLOOKUP($J100,Ruimtegroepen[],3,FALSE)*VLOOKUP($L100,Vloersoorten[],3,FALSE)*VLOOKUP($S100,Frequenties[],3,FALSE)*VLOOKUP($A100,Locaties[],3,FALSE),0)</f>
        <v>0</v>
      </c>
      <c r="V100" s="90">
        <f>Ruimtestaat[[#This Row],[Uitvoeringen werkdagen]]*Ruimtestaat[[#This Row],[Oppervlak (netto)]]</f>
        <v>754</v>
      </c>
      <c r="W100" s="91">
        <f>IF(U100&gt;0,Ruimtestaat[[#This Row],[Prest. (m2 /jaar) werkdagen]]/Ruimtestaat[[#This Row],[Norm (m2/uur) werkdagen]],0)</f>
        <v>0</v>
      </c>
      <c r="X100" s="92">
        <f>Ruimtestaat[[#This Row],[uren / jaar werkdagen]]*Tariefsopbouw!$E$35</f>
        <v>0</v>
      </c>
      <c r="Y100" s="89"/>
      <c r="Z100" s="93">
        <f>IF(Ruimtestaat[[#This Row],[Frequentie weekend]]&gt;0,VALUE(LEFT(Y100,1))*R100,0)</f>
        <v>0</v>
      </c>
      <c r="AA100" s="89">
        <f>IF($Z100&gt;0,VLOOKUP($J100,Ruimtegroepen[],3,FALSE)*VLOOKUP($L100,Vloersoorten[],3,FALSE)*VLOOKUP($Y100,Frequenties[],3,FALSE)*VLOOKUP($A96,Locaties[],3,FALSE),0)</f>
        <v>0</v>
      </c>
      <c r="AB100" s="91">
        <f>Ruimtestaat[[#This Row],[Uitvoeringen weekend]]*Ruimtestaat[[#This Row],[Oppervlak (netto)]]</f>
        <v>0</v>
      </c>
      <c r="AC100" s="94">
        <f>IF(AB100&gt;0,Ruimtestaat[[#This Row],[Prest. (m2 /jaar) weekend]]/Ruimtestaat[[#This Row],[Norm (m2/uur) weekend]],0)</f>
        <v>0</v>
      </c>
      <c r="AD100" s="95">
        <f>Ruimtestaat[[#This Row],[uren / jaar weekend]]*Tariefsopbouw!$D$40</f>
        <v>0</v>
      </c>
      <c r="AE100" s="67">
        <f>Ruimtestaat[[#This Row],[Prest. (m2 /jaar) weekend]]+Ruimtestaat[[#This Row],[Prest. (m2 /jaar) werkdagen]]</f>
        <v>754</v>
      </c>
      <c r="AF100" s="67">
        <f>Ruimtestaat[[#This Row],[uren / jaar weekend]]+Ruimtestaat[[#This Row],[uren / jaar werkdagen]]</f>
        <v>0</v>
      </c>
      <c r="AG100" s="68">
        <f>Ruimtestaat[[#This Row],[kosten / jaar weekend]]+Ruimtestaat[[#This Row],[kosten / jaar werkdagen]]</f>
        <v>0</v>
      </c>
      <c r="AH100" s="96"/>
      <c r="HL100" s="66"/>
    </row>
    <row r="101" spans="1:220" ht="15" customHeight="1">
      <c r="A101" s="114">
        <v>1</v>
      </c>
      <c r="B101" s="24" t="str">
        <f>VLOOKUP(Ruimtestaat[[#This Row],[Code]],Locaties[#All],2,FALSE)</f>
        <v>Hoofdgebouw</v>
      </c>
      <c r="C101" s="24" t="str">
        <f>VLOOKUP(Ruimtestaat[[#This Row],[Code]],Locaties[#All],4,FALSE)</f>
        <v>Rohofstraat 83</v>
      </c>
      <c r="D101" s="24" t="str">
        <f>VLOOKUP(Ruimtestaat[[#This Row],[Code]],Locaties[#All],5,FALSE)</f>
        <v>7605 AT</v>
      </c>
      <c r="E101" s="24" t="str">
        <f>VLOOKUP(Ruimtestaat[[#This Row],[Code]],Locaties[#All],6,FALSE)</f>
        <v>Almelo</v>
      </c>
      <c r="F101" s="61"/>
      <c r="G101" s="24" t="s">
        <v>435</v>
      </c>
      <c r="H101" s="28" t="s">
        <v>569</v>
      </c>
      <c r="I101" s="4" t="s">
        <v>481</v>
      </c>
      <c r="J101" s="329">
        <v>17</v>
      </c>
      <c r="K101" s="330" t="str">
        <f>VLOOKUP(J101,Ruimtegroepen[],2,FALSE)</f>
        <v>Niet in Onderhoud</v>
      </c>
      <c r="L101" s="329"/>
      <c r="M101" s="329"/>
      <c r="N101" s="332"/>
      <c r="O101" s="87">
        <v>1.6</v>
      </c>
      <c r="P101" s="97" t="str">
        <f>LEFT(VLOOKUP(Ruimtestaat[[#This Row],[Ruimte code]],Ruimtegroepen[#All],4,1),2)</f>
        <v/>
      </c>
      <c r="Q101" s="97"/>
      <c r="R101" s="88"/>
      <c r="S101" s="88"/>
      <c r="T101" s="89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1" s="89">
        <f>IF(T101&gt;0,VLOOKUP($J101,Ruimtegroepen[],3,FALSE)*VLOOKUP($L101,Vloersoorten[],3,FALSE)*VLOOKUP($S101,Frequenties[],3,FALSE)*VLOOKUP($A101,Locaties[],3,FALSE),0)</f>
        <v>0</v>
      </c>
      <c r="V101" s="90">
        <f>Ruimtestaat[[#This Row],[Uitvoeringen werkdagen]]*Ruimtestaat[[#This Row],[Oppervlak (netto)]]</f>
        <v>0</v>
      </c>
      <c r="W101" s="91">
        <f>IF(U101&gt;0,Ruimtestaat[[#This Row],[Prest. (m2 /jaar) werkdagen]]/Ruimtestaat[[#This Row],[Norm (m2/uur) werkdagen]],0)</f>
        <v>0</v>
      </c>
      <c r="X101" s="92">
        <f>Ruimtestaat[[#This Row],[uren / jaar werkdagen]]*Tariefsopbouw!$E$35</f>
        <v>0</v>
      </c>
      <c r="Y101" s="89"/>
      <c r="Z101" s="93">
        <f>IF(Ruimtestaat[[#This Row],[Frequentie weekend]]&gt;0,VALUE(LEFT(Y101,1))*R101,0)</f>
        <v>0</v>
      </c>
      <c r="AA101" s="89">
        <f>IF($Z101&gt;0,VLOOKUP($J101,Ruimtegroepen[],3,FALSE)*VLOOKUP($L101,Vloersoorten[],3,FALSE)*VLOOKUP($Y101,Frequenties[],3,FALSE)*VLOOKUP($A97,Locaties[],3,FALSE),0)</f>
        <v>0</v>
      </c>
      <c r="AB101" s="91">
        <f>Ruimtestaat[[#This Row],[Uitvoeringen weekend]]*Ruimtestaat[[#This Row],[Oppervlak (netto)]]</f>
        <v>0</v>
      </c>
      <c r="AC101" s="94">
        <f>IF(AB101&gt;0,Ruimtestaat[[#This Row],[Prest. (m2 /jaar) weekend]]/Ruimtestaat[[#This Row],[Norm (m2/uur) weekend]],0)</f>
        <v>0</v>
      </c>
      <c r="AD101" s="95">
        <f>Ruimtestaat[[#This Row],[uren / jaar weekend]]*Tariefsopbouw!$D$40</f>
        <v>0</v>
      </c>
      <c r="AE101" s="67">
        <f>Ruimtestaat[[#This Row],[Prest. (m2 /jaar) weekend]]+Ruimtestaat[[#This Row],[Prest. (m2 /jaar) werkdagen]]</f>
        <v>0</v>
      </c>
      <c r="AF101" s="67">
        <f>Ruimtestaat[[#This Row],[uren / jaar weekend]]+Ruimtestaat[[#This Row],[uren / jaar werkdagen]]</f>
        <v>0</v>
      </c>
      <c r="AG101" s="68">
        <f>Ruimtestaat[[#This Row],[kosten / jaar weekend]]+Ruimtestaat[[#This Row],[kosten / jaar werkdagen]]</f>
        <v>0</v>
      </c>
      <c r="AH101" s="96"/>
      <c r="HL101" s="66"/>
    </row>
    <row r="102" spans="1:220" ht="15" customHeight="1">
      <c r="A102" s="114">
        <v>1</v>
      </c>
      <c r="B102" s="24" t="str">
        <f>VLOOKUP(Ruimtestaat[[#This Row],[Code]],Locaties[#All],2,FALSE)</f>
        <v>Hoofdgebouw</v>
      </c>
      <c r="C102" s="24" t="str">
        <f>VLOOKUP(Ruimtestaat[[#This Row],[Code]],Locaties[#All],4,FALSE)</f>
        <v>Rohofstraat 83</v>
      </c>
      <c r="D102" s="24" t="str">
        <f>VLOOKUP(Ruimtestaat[[#This Row],[Code]],Locaties[#All],5,FALSE)</f>
        <v>7605 AT</v>
      </c>
      <c r="E102" s="24" t="str">
        <f>VLOOKUP(Ruimtestaat[[#This Row],[Code]],Locaties[#All],6,FALSE)</f>
        <v>Almelo</v>
      </c>
      <c r="F102" s="61"/>
      <c r="G102" s="24" t="s">
        <v>435</v>
      </c>
      <c r="H102" s="28" t="s">
        <v>570</v>
      </c>
      <c r="I102" s="4" t="s">
        <v>481</v>
      </c>
      <c r="J102" s="329">
        <v>17</v>
      </c>
      <c r="K102" s="330" t="str">
        <f>VLOOKUP(J102,Ruimtegroepen[],2,FALSE)</f>
        <v>Niet in Onderhoud</v>
      </c>
      <c r="L102" s="329"/>
      <c r="M102" s="329"/>
      <c r="N102" s="332"/>
      <c r="O102" s="87">
        <v>1.4</v>
      </c>
      <c r="P102" s="97" t="str">
        <f>LEFT(VLOOKUP(Ruimtestaat[[#This Row],[Ruimte code]],Ruimtegroepen[#All],4,1),2)</f>
        <v/>
      </c>
      <c r="Q102" s="97"/>
      <c r="R102" s="88"/>
      <c r="S102" s="88"/>
      <c r="T102" s="89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02" s="89">
        <f>IF(T102&gt;0,VLOOKUP($J102,Ruimtegroepen[],3,FALSE)*VLOOKUP($L102,Vloersoorten[],3,FALSE)*VLOOKUP($S102,Frequenties[],3,FALSE)*VLOOKUP($A102,Locaties[],3,FALSE),0)</f>
        <v>0</v>
      </c>
      <c r="V102" s="90">
        <f>Ruimtestaat[[#This Row],[Uitvoeringen werkdagen]]*Ruimtestaat[[#This Row],[Oppervlak (netto)]]</f>
        <v>0</v>
      </c>
      <c r="W102" s="91">
        <f>IF(U102&gt;0,Ruimtestaat[[#This Row],[Prest. (m2 /jaar) werkdagen]]/Ruimtestaat[[#This Row],[Norm (m2/uur) werkdagen]],0)</f>
        <v>0</v>
      </c>
      <c r="X102" s="92">
        <f>Ruimtestaat[[#This Row],[uren / jaar werkdagen]]*Tariefsopbouw!$E$35</f>
        <v>0</v>
      </c>
      <c r="Y102" s="89"/>
      <c r="Z102" s="93">
        <f>IF(Ruimtestaat[[#This Row],[Frequentie weekend]]&gt;0,VALUE(LEFT(Y102,1))*R102,0)</f>
        <v>0</v>
      </c>
      <c r="AA102" s="89">
        <f>IF($Z102&gt;0,VLOOKUP($J102,Ruimtegroepen[],3,FALSE)*VLOOKUP($L102,Vloersoorten[],3,FALSE)*VLOOKUP($Y102,Frequenties[],3,FALSE)*VLOOKUP($A98,Locaties[],3,FALSE),0)</f>
        <v>0</v>
      </c>
      <c r="AB102" s="91">
        <f>Ruimtestaat[[#This Row],[Uitvoeringen weekend]]*Ruimtestaat[[#This Row],[Oppervlak (netto)]]</f>
        <v>0</v>
      </c>
      <c r="AC102" s="94">
        <f>IF(AB102&gt;0,Ruimtestaat[[#This Row],[Prest. (m2 /jaar) weekend]]/Ruimtestaat[[#This Row],[Norm (m2/uur) weekend]],0)</f>
        <v>0</v>
      </c>
      <c r="AD102" s="95">
        <f>Ruimtestaat[[#This Row],[uren / jaar weekend]]*Tariefsopbouw!$D$40</f>
        <v>0</v>
      </c>
      <c r="AE102" s="67">
        <f>Ruimtestaat[[#This Row],[Prest. (m2 /jaar) weekend]]+Ruimtestaat[[#This Row],[Prest. (m2 /jaar) werkdagen]]</f>
        <v>0</v>
      </c>
      <c r="AF102" s="67">
        <f>Ruimtestaat[[#This Row],[uren / jaar weekend]]+Ruimtestaat[[#This Row],[uren / jaar werkdagen]]</f>
        <v>0</v>
      </c>
      <c r="AG102" s="68">
        <f>Ruimtestaat[[#This Row],[kosten / jaar weekend]]+Ruimtestaat[[#This Row],[kosten / jaar werkdagen]]</f>
        <v>0</v>
      </c>
      <c r="AH102" s="96"/>
      <c r="HL102" s="66"/>
    </row>
    <row r="103" spans="1:220" ht="15" customHeight="1">
      <c r="A103" s="114">
        <v>1</v>
      </c>
      <c r="B103" s="24" t="str">
        <f>VLOOKUP(Ruimtestaat[[#This Row],[Code]],Locaties[#All],2,FALSE)</f>
        <v>Hoofdgebouw</v>
      </c>
      <c r="C103" s="24" t="str">
        <f>VLOOKUP(Ruimtestaat[[#This Row],[Code]],Locaties[#All],4,FALSE)</f>
        <v>Rohofstraat 83</v>
      </c>
      <c r="D103" s="24" t="str">
        <f>VLOOKUP(Ruimtestaat[[#This Row],[Code]],Locaties[#All],5,FALSE)</f>
        <v>7605 AT</v>
      </c>
      <c r="E103" s="24" t="str">
        <f>VLOOKUP(Ruimtestaat[[#This Row],[Code]],Locaties[#All],6,FALSE)</f>
        <v>Almelo</v>
      </c>
      <c r="F103" s="61"/>
      <c r="G103" s="24" t="s">
        <v>435</v>
      </c>
      <c r="H103" s="28" t="s">
        <v>571</v>
      </c>
      <c r="I103" s="4" t="s">
        <v>553</v>
      </c>
      <c r="J103" s="329">
        <v>12</v>
      </c>
      <c r="K103" s="330" t="str">
        <f>VLOOKUP(J103,Ruimtegroepen[],2,FALSE)</f>
        <v>Kantine/Aula</v>
      </c>
      <c r="L103" s="329" t="s">
        <v>106</v>
      </c>
      <c r="M103" s="329" t="s">
        <v>126</v>
      </c>
      <c r="N103" s="332">
        <v>55.9</v>
      </c>
      <c r="O103" s="87"/>
      <c r="P103" s="97" t="str">
        <f>LEFT(VLOOKUP(Ruimtestaat[[#This Row],[Ruimte code]],Ruimtegroepen[#All],4,1),2)</f>
        <v>Ve</v>
      </c>
      <c r="Q103" s="97"/>
      <c r="R103" s="88">
        <v>52</v>
      </c>
      <c r="S103" s="88" t="s">
        <v>2</v>
      </c>
      <c r="T103" s="89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03" s="89">
        <f>IF(T103&gt;0,VLOOKUP($J103,Ruimtegroepen[],3,FALSE)*VLOOKUP($L103,Vloersoorten[],3,FALSE)*VLOOKUP($S103,Frequenties[],3,FALSE)*VLOOKUP($A103,Locaties[],3,FALSE),0)</f>
        <v>0</v>
      </c>
      <c r="V103" s="90">
        <f>Ruimtestaat[[#This Row],[Uitvoeringen werkdagen]]*Ruimtestaat[[#This Row],[Oppervlak (netto)]]</f>
        <v>14534</v>
      </c>
      <c r="W103" s="91">
        <f>IF(U103&gt;0,Ruimtestaat[[#This Row],[Prest. (m2 /jaar) werkdagen]]/Ruimtestaat[[#This Row],[Norm (m2/uur) werkdagen]],0)</f>
        <v>0</v>
      </c>
      <c r="X103" s="92">
        <f>Ruimtestaat[[#This Row],[uren / jaar werkdagen]]*Tariefsopbouw!$E$35</f>
        <v>0</v>
      </c>
      <c r="Y103" s="89"/>
      <c r="Z103" s="93">
        <f>IF(Ruimtestaat[[#This Row],[Frequentie weekend]]&gt;0,VALUE(LEFT(Y103,1))*R103,0)</f>
        <v>0</v>
      </c>
      <c r="AA103" s="89">
        <f>IF($Z103&gt;0,VLOOKUP($J103,Ruimtegroepen[],3,FALSE)*VLOOKUP($L103,Vloersoorten[],3,FALSE)*VLOOKUP($Y103,Frequenties[],3,FALSE)*VLOOKUP($A97,Locaties[],3,FALSE),0)</f>
        <v>0</v>
      </c>
      <c r="AB103" s="91">
        <f>Ruimtestaat[[#This Row],[Uitvoeringen weekend]]*Ruimtestaat[[#This Row],[Oppervlak (netto)]]</f>
        <v>0</v>
      </c>
      <c r="AC103" s="94">
        <f>IF(AB103&gt;0,Ruimtestaat[[#This Row],[Prest. (m2 /jaar) weekend]]/Ruimtestaat[[#This Row],[Norm (m2/uur) weekend]],0)</f>
        <v>0</v>
      </c>
      <c r="AD103" s="95">
        <f>Ruimtestaat[[#This Row],[uren / jaar weekend]]*Tariefsopbouw!$D$40</f>
        <v>0</v>
      </c>
      <c r="AE103" s="67">
        <f>Ruimtestaat[[#This Row],[Prest. (m2 /jaar) weekend]]+Ruimtestaat[[#This Row],[Prest. (m2 /jaar) werkdagen]]</f>
        <v>14534</v>
      </c>
      <c r="AF103" s="67">
        <f>Ruimtestaat[[#This Row],[uren / jaar weekend]]+Ruimtestaat[[#This Row],[uren / jaar werkdagen]]</f>
        <v>0</v>
      </c>
      <c r="AG103" s="68">
        <f>Ruimtestaat[[#This Row],[kosten / jaar weekend]]+Ruimtestaat[[#This Row],[kosten / jaar werkdagen]]</f>
        <v>0</v>
      </c>
      <c r="AH103" s="96"/>
      <c r="HL103" s="66"/>
    </row>
    <row r="104" spans="1:220" ht="15" customHeight="1">
      <c r="A104" s="114">
        <v>1</v>
      </c>
      <c r="B104" s="24" t="str">
        <f>VLOOKUP(Ruimtestaat[[#This Row],[Code]],Locaties[#All],2,FALSE)</f>
        <v>Hoofdgebouw</v>
      </c>
      <c r="C104" s="24" t="str">
        <f>VLOOKUP(Ruimtestaat[[#This Row],[Code]],Locaties[#All],4,FALSE)</f>
        <v>Rohofstraat 83</v>
      </c>
      <c r="D104" s="24" t="str">
        <f>VLOOKUP(Ruimtestaat[[#This Row],[Code]],Locaties[#All],5,FALSE)</f>
        <v>7605 AT</v>
      </c>
      <c r="E104" s="24" t="str">
        <f>VLOOKUP(Ruimtestaat[[#This Row],[Code]],Locaties[#All],6,FALSE)</f>
        <v>Almelo</v>
      </c>
      <c r="F104" s="61"/>
      <c r="G104" s="24" t="s">
        <v>435</v>
      </c>
      <c r="H104" s="28" t="s">
        <v>572</v>
      </c>
      <c r="I104" s="4" t="s">
        <v>472</v>
      </c>
      <c r="J104" s="329">
        <v>6</v>
      </c>
      <c r="K104" s="330" t="str">
        <f>VLOOKUP(J104,Ruimtegroepen[],2,FALSE)</f>
        <v>Gangen/hallen</v>
      </c>
      <c r="L104" s="329" t="s">
        <v>106</v>
      </c>
      <c r="M104" s="329" t="s">
        <v>126</v>
      </c>
      <c r="N104" s="332">
        <v>18.899999999999999</v>
      </c>
      <c r="O104" s="87"/>
      <c r="P104" s="97" t="str">
        <f>LEFT(VLOOKUP(Ruimtestaat[[#This Row],[Ruimte code]],Ruimtegroepen[#All],4,1),2)</f>
        <v>Ve</v>
      </c>
      <c r="Q104" s="97"/>
      <c r="R104" s="88">
        <v>52</v>
      </c>
      <c r="S104" s="88" t="s">
        <v>2</v>
      </c>
      <c r="T104" s="89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04" s="89">
        <f>IF(T104&gt;0,VLOOKUP($J104,Ruimtegroepen[],3,FALSE)*VLOOKUP($L104,Vloersoorten[],3,FALSE)*VLOOKUP($S104,Frequenties[],3,FALSE)*VLOOKUP($A104,Locaties[],3,FALSE),0)</f>
        <v>0</v>
      </c>
      <c r="V104" s="90">
        <f>Ruimtestaat[[#This Row],[Uitvoeringen werkdagen]]*Ruimtestaat[[#This Row],[Oppervlak (netto)]]</f>
        <v>4914</v>
      </c>
      <c r="W104" s="91">
        <f>IF(U104&gt;0,Ruimtestaat[[#This Row],[Prest. (m2 /jaar) werkdagen]]/Ruimtestaat[[#This Row],[Norm (m2/uur) werkdagen]],0)</f>
        <v>0</v>
      </c>
      <c r="X104" s="92">
        <f>Ruimtestaat[[#This Row],[uren / jaar werkdagen]]*Tariefsopbouw!$E$35</f>
        <v>0</v>
      </c>
      <c r="Y104" s="89"/>
      <c r="Z104" s="93">
        <f>IF(Ruimtestaat[[#This Row],[Frequentie weekend]]&gt;0,VALUE(LEFT(Y104,1))*R104,0)</f>
        <v>0</v>
      </c>
      <c r="AA104" s="89">
        <f>IF($Z104&gt;0,VLOOKUP($J104,Ruimtegroepen[],3,FALSE)*VLOOKUP($L104,Vloersoorten[],3,FALSE)*VLOOKUP($Y104,Frequenties[],3,FALSE)*VLOOKUP($A98,Locaties[],3,FALSE),0)</f>
        <v>0</v>
      </c>
      <c r="AB104" s="91">
        <f>Ruimtestaat[[#This Row],[Uitvoeringen weekend]]*Ruimtestaat[[#This Row],[Oppervlak (netto)]]</f>
        <v>0</v>
      </c>
      <c r="AC104" s="94">
        <f>IF(AB104&gt;0,Ruimtestaat[[#This Row],[Prest. (m2 /jaar) weekend]]/Ruimtestaat[[#This Row],[Norm (m2/uur) weekend]],0)</f>
        <v>0</v>
      </c>
      <c r="AD104" s="95">
        <f>Ruimtestaat[[#This Row],[uren / jaar weekend]]*Tariefsopbouw!$D$40</f>
        <v>0</v>
      </c>
      <c r="AE104" s="67">
        <f>Ruimtestaat[[#This Row],[Prest. (m2 /jaar) weekend]]+Ruimtestaat[[#This Row],[Prest. (m2 /jaar) werkdagen]]</f>
        <v>4914</v>
      </c>
      <c r="AF104" s="67">
        <f>Ruimtestaat[[#This Row],[uren / jaar weekend]]+Ruimtestaat[[#This Row],[uren / jaar werkdagen]]</f>
        <v>0</v>
      </c>
      <c r="AG104" s="68">
        <f>Ruimtestaat[[#This Row],[kosten / jaar weekend]]+Ruimtestaat[[#This Row],[kosten / jaar werkdagen]]</f>
        <v>0</v>
      </c>
      <c r="AH104" s="96"/>
      <c r="HL104" s="66"/>
    </row>
    <row r="105" spans="1:220" ht="15" customHeight="1">
      <c r="A105" s="114">
        <v>1</v>
      </c>
      <c r="B105" s="24" t="str">
        <f>VLOOKUP(Ruimtestaat[[#This Row],[Code]],Locaties[#All],2,FALSE)</f>
        <v>Hoofdgebouw</v>
      </c>
      <c r="C105" s="24" t="str">
        <f>VLOOKUP(Ruimtestaat[[#This Row],[Code]],Locaties[#All],4,FALSE)</f>
        <v>Rohofstraat 83</v>
      </c>
      <c r="D105" s="24" t="str">
        <f>VLOOKUP(Ruimtestaat[[#This Row],[Code]],Locaties[#All],5,FALSE)</f>
        <v>7605 AT</v>
      </c>
      <c r="E105" s="24" t="str">
        <f>VLOOKUP(Ruimtestaat[[#This Row],[Code]],Locaties[#All],6,FALSE)</f>
        <v>Almelo</v>
      </c>
      <c r="F105" s="61"/>
      <c r="G105" s="24" t="s">
        <v>435</v>
      </c>
      <c r="H105" s="28" t="s">
        <v>573</v>
      </c>
      <c r="I105" s="4" t="s">
        <v>437</v>
      </c>
      <c r="J105" s="329">
        <v>7</v>
      </c>
      <c r="K105" s="330" t="str">
        <f>VLOOKUP(J105,Ruimtegroepen[],2,FALSE)</f>
        <v>Entree</v>
      </c>
      <c r="L105" s="329" t="s">
        <v>103</v>
      </c>
      <c r="M105" s="329" t="s">
        <v>800</v>
      </c>
      <c r="N105" s="332">
        <v>30.3</v>
      </c>
      <c r="O105" s="87"/>
      <c r="P105" s="97" t="str">
        <f>LEFT(VLOOKUP(Ruimtestaat[[#This Row],[Ruimte code]],Ruimtegroepen[#All],4,1),2)</f>
        <v>Ve</v>
      </c>
      <c r="Q105" s="97"/>
      <c r="R105" s="88">
        <v>52</v>
      </c>
      <c r="S105" s="88" t="s">
        <v>2</v>
      </c>
      <c r="T105" s="89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05" s="89">
        <f>IF(T105&gt;0,VLOOKUP($J105,Ruimtegroepen[],3,FALSE)*VLOOKUP($L105,Vloersoorten[],3,FALSE)*VLOOKUP($S105,Frequenties[],3,FALSE)*VLOOKUP($A105,Locaties[],3,FALSE),0)</f>
        <v>0</v>
      </c>
      <c r="V105" s="90">
        <f>Ruimtestaat[[#This Row],[Uitvoeringen werkdagen]]*Ruimtestaat[[#This Row],[Oppervlak (netto)]]</f>
        <v>7878</v>
      </c>
      <c r="W105" s="91">
        <f>IF(U105&gt;0,Ruimtestaat[[#This Row],[Prest. (m2 /jaar) werkdagen]]/Ruimtestaat[[#This Row],[Norm (m2/uur) werkdagen]],0)</f>
        <v>0</v>
      </c>
      <c r="X105" s="92">
        <f>Ruimtestaat[[#This Row],[uren / jaar werkdagen]]*Tariefsopbouw!$E$35</f>
        <v>0</v>
      </c>
      <c r="Y105" s="89"/>
      <c r="Z105" s="93">
        <f>IF(Ruimtestaat[[#This Row],[Frequentie weekend]]&gt;0,VALUE(LEFT(Y105,1))*R105,0)</f>
        <v>0</v>
      </c>
      <c r="AA105" s="89">
        <f>IF($Z105&gt;0,VLOOKUP($J105,Ruimtegroepen[],3,FALSE)*VLOOKUP($L105,Vloersoorten[],3,FALSE)*VLOOKUP($Y105,Frequenties[],3,FALSE)*VLOOKUP($A99,Locaties[],3,FALSE),0)</f>
        <v>0</v>
      </c>
      <c r="AB105" s="91">
        <f>Ruimtestaat[[#This Row],[Uitvoeringen weekend]]*Ruimtestaat[[#This Row],[Oppervlak (netto)]]</f>
        <v>0</v>
      </c>
      <c r="AC105" s="94">
        <f>IF(AB105&gt;0,Ruimtestaat[[#This Row],[Prest. (m2 /jaar) weekend]]/Ruimtestaat[[#This Row],[Norm (m2/uur) weekend]],0)</f>
        <v>0</v>
      </c>
      <c r="AD105" s="95">
        <f>Ruimtestaat[[#This Row],[uren / jaar weekend]]*Tariefsopbouw!$D$40</f>
        <v>0</v>
      </c>
      <c r="AE105" s="67">
        <f>Ruimtestaat[[#This Row],[Prest. (m2 /jaar) weekend]]+Ruimtestaat[[#This Row],[Prest. (m2 /jaar) werkdagen]]</f>
        <v>7878</v>
      </c>
      <c r="AF105" s="67">
        <f>Ruimtestaat[[#This Row],[uren / jaar weekend]]+Ruimtestaat[[#This Row],[uren / jaar werkdagen]]</f>
        <v>0</v>
      </c>
      <c r="AG105" s="68">
        <f>Ruimtestaat[[#This Row],[kosten / jaar weekend]]+Ruimtestaat[[#This Row],[kosten / jaar werkdagen]]</f>
        <v>0</v>
      </c>
      <c r="AH105" s="96"/>
      <c r="HL105" s="66"/>
    </row>
    <row r="106" spans="1:220" ht="15" customHeight="1">
      <c r="A106" s="114">
        <v>1</v>
      </c>
      <c r="B106" s="24" t="str">
        <f>VLOOKUP(Ruimtestaat[[#This Row],[Code]],Locaties[#All],2,FALSE)</f>
        <v>Hoofdgebouw</v>
      </c>
      <c r="C106" s="24" t="str">
        <f>VLOOKUP(Ruimtestaat[[#This Row],[Code]],Locaties[#All],4,FALSE)</f>
        <v>Rohofstraat 83</v>
      </c>
      <c r="D106" s="24" t="str">
        <f>VLOOKUP(Ruimtestaat[[#This Row],[Code]],Locaties[#All],5,FALSE)</f>
        <v>7605 AT</v>
      </c>
      <c r="E106" s="24" t="str">
        <f>VLOOKUP(Ruimtestaat[[#This Row],[Code]],Locaties[#All],6,FALSE)</f>
        <v>Almelo</v>
      </c>
      <c r="F106" s="61"/>
      <c r="G106" s="24" t="s">
        <v>574</v>
      </c>
      <c r="H106" s="28" t="s">
        <v>575</v>
      </c>
      <c r="I106" s="4" t="s">
        <v>472</v>
      </c>
      <c r="J106" s="329">
        <v>6</v>
      </c>
      <c r="K106" s="330" t="str">
        <f>VLOOKUP(J106,Ruimtegroepen[],2,FALSE)</f>
        <v>Gangen/hallen</v>
      </c>
      <c r="L106" s="329" t="s">
        <v>103</v>
      </c>
      <c r="M106" s="329" t="s">
        <v>38</v>
      </c>
      <c r="N106" s="332">
        <v>161.69999999999999</v>
      </c>
      <c r="O106" s="87"/>
      <c r="P106" s="97" t="str">
        <f>LEFT(VLOOKUP(Ruimtestaat[[#This Row],[Ruimte code]],Ruimtegroepen[#All],4,1),2)</f>
        <v>Ve</v>
      </c>
      <c r="Q106" s="97"/>
      <c r="R106" s="88">
        <v>52</v>
      </c>
      <c r="S106" s="88" t="s">
        <v>2</v>
      </c>
      <c r="T106" s="89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06" s="89">
        <f>IF(T106&gt;0,VLOOKUP($J106,Ruimtegroepen[],3,FALSE)*VLOOKUP($L106,Vloersoorten[],3,FALSE)*VLOOKUP($S106,Frequenties[],3,FALSE)*VLOOKUP($A106,Locaties[],3,FALSE),0)</f>
        <v>0</v>
      </c>
      <c r="V106" s="90">
        <f>Ruimtestaat[[#This Row],[Uitvoeringen werkdagen]]*Ruimtestaat[[#This Row],[Oppervlak (netto)]]</f>
        <v>42042</v>
      </c>
      <c r="W106" s="91">
        <f>IF(U106&gt;0,Ruimtestaat[[#This Row],[Prest. (m2 /jaar) werkdagen]]/Ruimtestaat[[#This Row],[Norm (m2/uur) werkdagen]],0)</f>
        <v>0</v>
      </c>
      <c r="X106" s="92">
        <f>Ruimtestaat[[#This Row],[uren / jaar werkdagen]]*Tariefsopbouw!$E$35</f>
        <v>0</v>
      </c>
      <c r="Y106" s="89"/>
      <c r="Z106" s="93">
        <f>IF(Ruimtestaat[[#This Row],[Frequentie weekend]]&gt;0,VALUE(LEFT(Y106,1))*R106,0)</f>
        <v>0</v>
      </c>
      <c r="AA106" s="89">
        <f>IF($Z106&gt;0,VLOOKUP($J106,Ruimtegroepen[],3,FALSE)*VLOOKUP($L106,Vloersoorten[],3,FALSE)*VLOOKUP($Y106,Frequenties[],3,FALSE)*VLOOKUP($A100,Locaties[],3,FALSE),0)</f>
        <v>0</v>
      </c>
      <c r="AB106" s="91">
        <f>Ruimtestaat[[#This Row],[Uitvoeringen weekend]]*Ruimtestaat[[#This Row],[Oppervlak (netto)]]</f>
        <v>0</v>
      </c>
      <c r="AC106" s="94">
        <f>IF(AB106&gt;0,Ruimtestaat[[#This Row],[Prest. (m2 /jaar) weekend]]/Ruimtestaat[[#This Row],[Norm (m2/uur) weekend]],0)</f>
        <v>0</v>
      </c>
      <c r="AD106" s="95">
        <f>Ruimtestaat[[#This Row],[uren / jaar weekend]]*Tariefsopbouw!$D$40</f>
        <v>0</v>
      </c>
      <c r="AE106" s="67">
        <f>Ruimtestaat[[#This Row],[Prest. (m2 /jaar) weekend]]+Ruimtestaat[[#This Row],[Prest. (m2 /jaar) werkdagen]]</f>
        <v>42042</v>
      </c>
      <c r="AF106" s="67">
        <f>Ruimtestaat[[#This Row],[uren / jaar weekend]]+Ruimtestaat[[#This Row],[uren / jaar werkdagen]]</f>
        <v>0</v>
      </c>
      <c r="AG106" s="68">
        <f>Ruimtestaat[[#This Row],[kosten / jaar weekend]]+Ruimtestaat[[#This Row],[kosten / jaar werkdagen]]</f>
        <v>0</v>
      </c>
      <c r="AH106" s="96"/>
      <c r="HL106" s="66"/>
    </row>
    <row r="107" spans="1:220" ht="15" customHeight="1">
      <c r="A107" s="114">
        <v>1</v>
      </c>
      <c r="B107" s="24" t="str">
        <f>VLOOKUP(Ruimtestaat[[#This Row],[Code]],Locaties[#All],2,FALSE)</f>
        <v>Hoofdgebouw</v>
      </c>
      <c r="C107" s="24" t="str">
        <f>VLOOKUP(Ruimtestaat[[#This Row],[Code]],Locaties[#All],4,FALSE)</f>
        <v>Rohofstraat 83</v>
      </c>
      <c r="D107" s="24" t="str">
        <f>VLOOKUP(Ruimtestaat[[#This Row],[Code]],Locaties[#All],5,FALSE)</f>
        <v>7605 AT</v>
      </c>
      <c r="E107" s="24" t="str">
        <f>VLOOKUP(Ruimtestaat[[#This Row],[Code]],Locaties[#All],6,FALSE)</f>
        <v>Almelo</v>
      </c>
      <c r="F107" s="61"/>
      <c r="G107" s="24" t="s">
        <v>574</v>
      </c>
      <c r="H107" s="28" t="s">
        <v>576</v>
      </c>
      <c r="I107" s="4" t="s">
        <v>577</v>
      </c>
      <c r="J107" s="329">
        <v>8</v>
      </c>
      <c r="K107" s="330" t="str">
        <f>VLOOKUP(J107,Ruimtegroepen[],2,FALSE)</f>
        <v>Woonkamer/aanland</v>
      </c>
      <c r="L107" s="329" t="s">
        <v>103</v>
      </c>
      <c r="M107" s="329" t="s">
        <v>38</v>
      </c>
      <c r="N107" s="332">
        <v>40.299999999999997</v>
      </c>
      <c r="O107" s="87"/>
      <c r="P107" s="97" t="str">
        <f>LEFT(VLOOKUP(Ruimtestaat[[#This Row],[Ruimte code]],Ruimtegroepen[#All],4,1),2)</f>
        <v>Ve</v>
      </c>
      <c r="Q107" s="97"/>
      <c r="R107" s="88">
        <v>52</v>
      </c>
      <c r="S107" s="88" t="s">
        <v>2</v>
      </c>
      <c r="T107" s="89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07" s="89">
        <f>IF(T107&gt;0,VLOOKUP($J107,Ruimtegroepen[],3,FALSE)*VLOOKUP($L107,Vloersoorten[],3,FALSE)*VLOOKUP($S107,Frequenties[],3,FALSE)*VLOOKUP($A107,Locaties[],3,FALSE),0)</f>
        <v>0</v>
      </c>
      <c r="V107" s="90">
        <f>Ruimtestaat[[#This Row],[Uitvoeringen werkdagen]]*Ruimtestaat[[#This Row],[Oppervlak (netto)]]</f>
        <v>10478</v>
      </c>
      <c r="W107" s="91">
        <f>IF(U107&gt;0,Ruimtestaat[[#This Row],[Prest. (m2 /jaar) werkdagen]]/Ruimtestaat[[#This Row],[Norm (m2/uur) werkdagen]],0)</f>
        <v>0</v>
      </c>
      <c r="X107" s="92">
        <f>Ruimtestaat[[#This Row],[uren / jaar werkdagen]]*Tariefsopbouw!$E$35</f>
        <v>0</v>
      </c>
      <c r="Y107" s="89"/>
      <c r="Z107" s="93">
        <f>IF(Ruimtestaat[[#This Row],[Frequentie weekend]]&gt;0,VALUE(LEFT(Y107,1))*R107,0)</f>
        <v>0</v>
      </c>
      <c r="AA107" s="89">
        <f>IF($Z107&gt;0,VLOOKUP($J107,Ruimtegroepen[],3,FALSE)*VLOOKUP($L107,Vloersoorten[],3,FALSE)*VLOOKUP($Y107,Frequenties[],3,FALSE)*VLOOKUP($A103,Locaties[],3,FALSE),0)</f>
        <v>0</v>
      </c>
      <c r="AB107" s="91">
        <f>Ruimtestaat[[#This Row],[Uitvoeringen weekend]]*Ruimtestaat[[#This Row],[Oppervlak (netto)]]</f>
        <v>0</v>
      </c>
      <c r="AC107" s="94">
        <f>IF(AB107&gt;0,Ruimtestaat[[#This Row],[Prest. (m2 /jaar) weekend]]/Ruimtestaat[[#This Row],[Norm (m2/uur) weekend]],0)</f>
        <v>0</v>
      </c>
      <c r="AD107" s="95">
        <f>Ruimtestaat[[#This Row],[uren / jaar weekend]]*Tariefsopbouw!$D$40</f>
        <v>0</v>
      </c>
      <c r="AE107" s="67">
        <f>Ruimtestaat[[#This Row],[Prest. (m2 /jaar) weekend]]+Ruimtestaat[[#This Row],[Prest. (m2 /jaar) werkdagen]]</f>
        <v>10478</v>
      </c>
      <c r="AF107" s="67">
        <f>Ruimtestaat[[#This Row],[uren / jaar weekend]]+Ruimtestaat[[#This Row],[uren / jaar werkdagen]]</f>
        <v>0</v>
      </c>
      <c r="AG107" s="68">
        <f>Ruimtestaat[[#This Row],[kosten / jaar weekend]]+Ruimtestaat[[#This Row],[kosten / jaar werkdagen]]</f>
        <v>0</v>
      </c>
      <c r="AH107" s="96"/>
      <c r="HL107" s="66"/>
    </row>
    <row r="108" spans="1:220" ht="15" customHeight="1">
      <c r="A108" s="114">
        <v>1</v>
      </c>
      <c r="B108" s="24" t="str">
        <f>VLOOKUP(Ruimtestaat[[#This Row],[Code]],Locaties[#All],2,FALSE)</f>
        <v>Hoofdgebouw</v>
      </c>
      <c r="C108" s="24" t="str">
        <f>VLOOKUP(Ruimtestaat[[#This Row],[Code]],Locaties[#All],4,FALSE)</f>
        <v>Rohofstraat 83</v>
      </c>
      <c r="D108" s="24" t="str">
        <f>VLOOKUP(Ruimtestaat[[#This Row],[Code]],Locaties[#All],5,FALSE)</f>
        <v>7605 AT</v>
      </c>
      <c r="E108" s="24" t="str">
        <f>VLOOKUP(Ruimtestaat[[#This Row],[Code]],Locaties[#All],6,FALSE)</f>
        <v>Almelo</v>
      </c>
      <c r="F108" s="61"/>
      <c r="G108" s="24" t="s">
        <v>574</v>
      </c>
      <c r="H108" s="28" t="s">
        <v>578</v>
      </c>
      <c r="I108" s="4" t="s">
        <v>579</v>
      </c>
      <c r="J108" s="24">
        <v>8</v>
      </c>
      <c r="K108" s="61" t="str">
        <f>VLOOKUP(J108,Ruimtegroepen[],2,FALSE)</f>
        <v>Woonkamer/aanland</v>
      </c>
      <c r="L108" s="24" t="s">
        <v>103</v>
      </c>
      <c r="M108" s="24" t="s">
        <v>38</v>
      </c>
      <c r="N108" s="87">
        <v>12.7</v>
      </c>
      <c r="O108" s="87"/>
      <c r="P108" s="97" t="str">
        <f>LEFT(VLOOKUP(Ruimtestaat[[#This Row],[Ruimte code]],Ruimtegroepen[#All],4,1),2)</f>
        <v>Ve</v>
      </c>
      <c r="Q108" s="97"/>
      <c r="R108" s="88">
        <v>52</v>
      </c>
      <c r="S108" s="88" t="s">
        <v>2</v>
      </c>
      <c r="T108" s="89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08" s="89">
        <f>IF(T108&gt;0,VLOOKUP($J108,Ruimtegroepen[],3,FALSE)*VLOOKUP($L108,Vloersoorten[],3,FALSE)*VLOOKUP($S108,Frequenties[],3,FALSE)*VLOOKUP($A108,Locaties[],3,FALSE),0)</f>
        <v>0</v>
      </c>
      <c r="V108" s="90">
        <f>Ruimtestaat[[#This Row],[Uitvoeringen werkdagen]]*Ruimtestaat[[#This Row],[Oppervlak (netto)]]</f>
        <v>3302</v>
      </c>
      <c r="W108" s="91">
        <f>IF(U108&gt;0,Ruimtestaat[[#This Row],[Prest. (m2 /jaar) werkdagen]]/Ruimtestaat[[#This Row],[Norm (m2/uur) werkdagen]],0)</f>
        <v>0</v>
      </c>
      <c r="X108" s="92">
        <f>Ruimtestaat[[#This Row],[uren / jaar werkdagen]]*Tariefsopbouw!$E$35</f>
        <v>0</v>
      </c>
      <c r="Y108" s="89"/>
      <c r="Z108" s="93">
        <f>IF(Ruimtestaat[[#This Row],[Frequentie weekend]]&gt;0,VALUE(LEFT(Y108,1))*R108,0)</f>
        <v>0</v>
      </c>
      <c r="AA108" s="89">
        <f>IF($Z108&gt;0,VLOOKUP($J108,Ruimtegroepen[],3,FALSE)*VLOOKUP($L108,Vloersoorten[],3,FALSE)*VLOOKUP($Y108,Frequenties[],3,FALSE)*VLOOKUP($A104,Locaties[],3,FALSE),0)</f>
        <v>0</v>
      </c>
      <c r="AB108" s="91">
        <f>Ruimtestaat[[#This Row],[Uitvoeringen weekend]]*Ruimtestaat[[#This Row],[Oppervlak (netto)]]</f>
        <v>0</v>
      </c>
      <c r="AC108" s="94">
        <f>IF(AB108&gt;0,Ruimtestaat[[#This Row],[Prest. (m2 /jaar) weekend]]/Ruimtestaat[[#This Row],[Norm (m2/uur) weekend]],0)</f>
        <v>0</v>
      </c>
      <c r="AD108" s="95">
        <f>Ruimtestaat[[#This Row],[uren / jaar weekend]]*Tariefsopbouw!$D$40</f>
        <v>0</v>
      </c>
      <c r="AE108" s="67">
        <f>Ruimtestaat[[#This Row],[Prest. (m2 /jaar) weekend]]+Ruimtestaat[[#This Row],[Prest. (m2 /jaar) werkdagen]]</f>
        <v>3302</v>
      </c>
      <c r="AF108" s="67">
        <f>Ruimtestaat[[#This Row],[uren / jaar weekend]]+Ruimtestaat[[#This Row],[uren / jaar werkdagen]]</f>
        <v>0</v>
      </c>
      <c r="AG108" s="68">
        <f>Ruimtestaat[[#This Row],[kosten / jaar weekend]]+Ruimtestaat[[#This Row],[kosten / jaar werkdagen]]</f>
        <v>0</v>
      </c>
      <c r="AH108" s="96"/>
      <c r="HL108" s="66"/>
    </row>
    <row r="109" spans="1:220" ht="15" customHeight="1">
      <c r="A109" s="114">
        <v>1</v>
      </c>
      <c r="B109" s="24" t="str">
        <f>VLOOKUP(Ruimtestaat[[#This Row],[Code]],Locaties[#All],2,FALSE)</f>
        <v>Hoofdgebouw</v>
      </c>
      <c r="C109" s="24" t="str">
        <f>VLOOKUP(Ruimtestaat[[#This Row],[Code]],Locaties[#All],4,FALSE)</f>
        <v>Rohofstraat 83</v>
      </c>
      <c r="D109" s="24" t="str">
        <f>VLOOKUP(Ruimtestaat[[#This Row],[Code]],Locaties[#All],5,FALSE)</f>
        <v>7605 AT</v>
      </c>
      <c r="E109" s="24" t="str">
        <f>VLOOKUP(Ruimtestaat[[#This Row],[Code]],Locaties[#All],6,FALSE)</f>
        <v>Almelo</v>
      </c>
      <c r="F109" s="61"/>
      <c r="G109" s="24" t="s">
        <v>574</v>
      </c>
      <c r="H109" s="28" t="s">
        <v>580</v>
      </c>
      <c r="I109" s="4" t="s">
        <v>581</v>
      </c>
      <c r="J109" s="24">
        <v>2</v>
      </c>
      <c r="K109" s="61" t="str">
        <f>VLOOKUP(J109,Ruimtegroepen[],2,FALSE)</f>
        <v>Kantoren</v>
      </c>
      <c r="L109" s="24" t="s">
        <v>103</v>
      </c>
      <c r="M109" s="24" t="s">
        <v>38</v>
      </c>
      <c r="N109" s="87">
        <v>19</v>
      </c>
      <c r="O109" s="87"/>
      <c r="P109" s="97" t="str">
        <f>LEFT(VLOOKUP(Ruimtestaat[[#This Row],[Ruimte code]],Ruimtegroepen[#All],4,1),2)</f>
        <v>Bu</v>
      </c>
      <c r="Q109" s="97"/>
      <c r="R109" s="88">
        <v>52</v>
      </c>
      <c r="S109" s="88" t="s">
        <v>2</v>
      </c>
      <c r="T109" s="89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09" s="89">
        <f>IF(T109&gt;0,VLOOKUP($J109,Ruimtegroepen[],3,FALSE)*VLOOKUP($L109,Vloersoorten[],3,FALSE)*VLOOKUP($S109,Frequenties[],3,FALSE)*VLOOKUP($A109,Locaties[],3,FALSE),0)</f>
        <v>0</v>
      </c>
      <c r="V109" s="90">
        <f>Ruimtestaat[[#This Row],[Uitvoeringen werkdagen]]*Ruimtestaat[[#This Row],[Oppervlak (netto)]]</f>
        <v>4940</v>
      </c>
      <c r="W109" s="91">
        <f>IF(U109&gt;0,Ruimtestaat[[#This Row],[Prest. (m2 /jaar) werkdagen]]/Ruimtestaat[[#This Row],[Norm (m2/uur) werkdagen]],0)</f>
        <v>0</v>
      </c>
      <c r="X109" s="92">
        <f>Ruimtestaat[[#This Row],[uren / jaar werkdagen]]*Tariefsopbouw!$E$35</f>
        <v>0</v>
      </c>
      <c r="Y109" s="89"/>
      <c r="Z109" s="93">
        <f>IF(Ruimtestaat[[#This Row],[Frequentie weekend]]&gt;0,VALUE(LEFT(Y109,1))*R109,0)</f>
        <v>0</v>
      </c>
      <c r="AA109" s="89">
        <f>IF($Z109&gt;0,VLOOKUP($J109,Ruimtegroepen[],3,FALSE)*VLOOKUP($L109,Vloersoorten[],3,FALSE)*VLOOKUP($Y109,Frequenties[],3,FALSE)*VLOOKUP($A104,Locaties[],3,FALSE),0)</f>
        <v>0</v>
      </c>
      <c r="AB109" s="91">
        <f>Ruimtestaat[[#This Row],[Uitvoeringen weekend]]*Ruimtestaat[[#This Row],[Oppervlak (netto)]]</f>
        <v>0</v>
      </c>
      <c r="AC109" s="94">
        <f>IF(AB109&gt;0,Ruimtestaat[[#This Row],[Prest. (m2 /jaar) weekend]]/Ruimtestaat[[#This Row],[Norm (m2/uur) weekend]],0)</f>
        <v>0</v>
      </c>
      <c r="AD109" s="95">
        <f>Ruimtestaat[[#This Row],[uren / jaar weekend]]*Tariefsopbouw!$D$40</f>
        <v>0</v>
      </c>
      <c r="AE109" s="67">
        <f>Ruimtestaat[[#This Row],[Prest. (m2 /jaar) weekend]]+Ruimtestaat[[#This Row],[Prest. (m2 /jaar) werkdagen]]</f>
        <v>4940</v>
      </c>
      <c r="AF109" s="67">
        <f>Ruimtestaat[[#This Row],[uren / jaar weekend]]+Ruimtestaat[[#This Row],[uren / jaar werkdagen]]</f>
        <v>0</v>
      </c>
      <c r="AG109" s="68">
        <f>Ruimtestaat[[#This Row],[kosten / jaar weekend]]+Ruimtestaat[[#This Row],[kosten / jaar werkdagen]]</f>
        <v>0</v>
      </c>
      <c r="AH109" s="96"/>
      <c r="HL109" s="66"/>
    </row>
    <row r="110" spans="1:220" ht="15" customHeight="1">
      <c r="A110" s="114">
        <v>1</v>
      </c>
      <c r="B110" s="24" t="str">
        <f>VLOOKUP(Ruimtestaat[[#This Row],[Code]],Locaties[#All],2,FALSE)</f>
        <v>Hoofdgebouw</v>
      </c>
      <c r="C110" s="24" t="str">
        <f>VLOOKUP(Ruimtestaat[[#This Row],[Code]],Locaties[#All],4,FALSE)</f>
        <v>Rohofstraat 83</v>
      </c>
      <c r="D110" s="24" t="str">
        <f>VLOOKUP(Ruimtestaat[[#This Row],[Code]],Locaties[#All],5,FALSE)</f>
        <v>7605 AT</v>
      </c>
      <c r="E110" s="24" t="str">
        <f>VLOOKUP(Ruimtestaat[[#This Row],[Code]],Locaties[#All],6,FALSE)</f>
        <v>Almelo</v>
      </c>
      <c r="F110" s="61"/>
      <c r="G110" s="24" t="s">
        <v>574</v>
      </c>
      <c r="H110" s="28" t="s">
        <v>582</v>
      </c>
      <c r="I110" s="4" t="s">
        <v>581</v>
      </c>
      <c r="J110" s="24">
        <v>2</v>
      </c>
      <c r="K110" s="61" t="str">
        <f>VLOOKUP(J110,Ruimtegroepen[],2,FALSE)</f>
        <v>Kantoren</v>
      </c>
      <c r="L110" s="24" t="s">
        <v>103</v>
      </c>
      <c r="M110" s="24" t="s">
        <v>38</v>
      </c>
      <c r="N110" s="87">
        <v>14.6</v>
      </c>
      <c r="O110" s="87"/>
      <c r="P110" s="97" t="str">
        <f>LEFT(VLOOKUP(Ruimtestaat[[#This Row],[Ruimte code]],Ruimtegroepen[#All],4,1),2)</f>
        <v>Bu</v>
      </c>
      <c r="Q110" s="97"/>
      <c r="R110" s="88">
        <v>52</v>
      </c>
      <c r="S110" s="88" t="s">
        <v>2</v>
      </c>
      <c r="T110" s="89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0" s="89">
        <f>IF(T110&gt;0,VLOOKUP($J110,Ruimtegroepen[],3,FALSE)*VLOOKUP($L110,Vloersoorten[],3,FALSE)*VLOOKUP($S110,Frequenties[],3,FALSE)*VLOOKUP($A110,Locaties[],3,FALSE),0)</f>
        <v>0</v>
      </c>
      <c r="V110" s="90">
        <f>Ruimtestaat[[#This Row],[Uitvoeringen werkdagen]]*Ruimtestaat[[#This Row],[Oppervlak (netto)]]</f>
        <v>3796</v>
      </c>
      <c r="W110" s="91">
        <f>IF(U110&gt;0,Ruimtestaat[[#This Row],[Prest. (m2 /jaar) werkdagen]]/Ruimtestaat[[#This Row],[Norm (m2/uur) werkdagen]],0)</f>
        <v>0</v>
      </c>
      <c r="X110" s="92">
        <f>Ruimtestaat[[#This Row],[uren / jaar werkdagen]]*Tariefsopbouw!$E$35</f>
        <v>0</v>
      </c>
      <c r="Y110" s="89"/>
      <c r="Z110" s="93">
        <f>IF(Ruimtestaat[[#This Row],[Frequentie weekend]]&gt;0,VALUE(LEFT(Y110,1))*R110,0)</f>
        <v>0</v>
      </c>
      <c r="AA110" s="89">
        <f>IF($Z110&gt;0,VLOOKUP($J110,Ruimtegroepen[],3,FALSE)*VLOOKUP($L110,Vloersoorten[],3,FALSE)*VLOOKUP($Y110,Frequenties[],3,FALSE)*VLOOKUP($A105,Locaties[],3,FALSE),0)</f>
        <v>0</v>
      </c>
      <c r="AB110" s="91">
        <f>Ruimtestaat[[#This Row],[Uitvoeringen weekend]]*Ruimtestaat[[#This Row],[Oppervlak (netto)]]</f>
        <v>0</v>
      </c>
      <c r="AC110" s="94">
        <f>IF(AB110&gt;0,Ruimtestaat[[#This Row],[Prest. (m2 /jaar) weekend]]/Ruimtestaat[[#This Row],[Norm (m2/uur) weekend]],0)</f>
        <v>0</v>
      </c>
      <c r="AD110" s="95">
        <f>Ruimtestaat[[#This Row],[uren / jaar weekend]]*Tariefsopbouw!$D$40</f>
        <v>0</v>
      </c>
      <c r="AE110" s="67">
        <f>Ruimtestaat[[#This Row],[Prest. (m2 /jaar) weekend]]+Ruimtestaat[[#This Row],[Prest. (m2 /jaar) werkdagen]]</f>
        <v>3796</v>
      </c>
      <c r="AF110" s="67">
        <f>Ruimtestaat[[#This Row],[uren / jaar weekend]]+Ruimtestaat[[#This Row],[uren / jaar werkdagen]]</f>
        <v>0</v>
      </c>
      <c r="AG110" s="68">
        <f>Ruimtestaat[[#This Row],[kosten / jaar weekend]]+Ruimtestaat[[#This Row],[kosten / jaar werkdagen]]</f>
        <v>0</v>
      </c>
      <c r="AH110" s="96"/>
      <c r="HL110" s="66"/>
    </row>
    <row r="111" spans="1:220" ht="15" customHeight="1">
      <c r="A111" s="114">
        <v>1</v>
      </c>
      <c r="B111" s="24" t="str">
        <f>VLOOKUP(Ruimtestaat[[#This Row],[Code]],Locaties[#All],2,FALSE)</f>
        <v>Hoofdgebouw</v>
      </c>
      <c r="C111" s="24" t="str">
        <f>VLOOKUP(Ruimtestaat[[#This Row],[Code]],Locaties[#All],4,FALSE)</f>
        <v>Rohofstraat 83</v>
      </c>
      <c r="D111" s="24" t="str">
        <f>VLOOKUP(Ruimtestaat[[#This Row],[Code]],Locaties[#All],5,FALSE)</f>
        <v>7605 AT</v>
      </c>
      <c r="E111" s="24" t="str">
        <f>VLOOKUP(Ruimtestaat[[#This Row],[Code]],Locaties[#All],6,FALSE)</f>
        <v>Almelo</v>
      </c>
      <c r="F111" s="61"/>
      <c r="G111" s="24" t="s">
        <v>574</v>
      </c>
      <c r="H111" s="28" t="s">
        <v>583</v>
      </c>
      <c r="I111" s="4" t="s">
        <v>581</v>
      </c>
      <c r="J111" s="24">
        <v>2</v>
      </c>
      <c r="K111" s="61" t="str">
        <f>VLOOKUP(J111,Ruimtegroepen[],2,FALSE)</f>
        <v>Kantoren</v>
      </c>
      <c r="L111" s="24" t="s">
        <v>103</v>
      </c>
      <c r="M111" s="24" t="s">
        <v>38</v>
      </c>
      <c r="N111" s="87">
        <v>14.6</v>
      </c>
      <c r="O111" s="87"/>
      <c r="P111" s="97" t="str">
        <f>LEFT(VLOOKUP(Ruimtestaat[[#This Row],[Ruimte code]],Ruimtegroepen[#All],4,1),2)</f>
        <v>Bu</v>
      </c>
      <c r="Q111" s="97"/>
      <c r="R111" s="88">
        <v>52</v>
      </c>
      <c r="S111" s="88" t="s">
        <v>2</v>
      </c>
      <c r="T111" s="89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1" s="89">
        <f>IF(T111&gt;0,VLOOKUP($J111,Ruimtegroepen[],3,FALSE)*VLOOKUP($L111,Vloersoorten[],3,FALSE)*VLOOKUP($S111,Frequenties[],3,FALSE)*VLOOKUP($A111,Locaties[],3,FALSE),0)</f>
        <v>0</v>
      </c>
      <c r="V111" s="90">
        <f>Ruimtestaat[[#This Row],[Uitvoeringen werkdagen]]*Ruimtestaat[[#This Row],[Oppervlak (netto)]]</f>
        <v>3796</v>
      </c>
      <c r="W111" s="91">
        <f>IF(U111&gt;0,Ruimtestaat[[#This Row],[Prest. (m2 /jaar) werkdagen]]/Ruimtestaat[[#This Row],[Norm (m2/uur) werkdagen]],0)</f>
        <v>0</v>
      </c>
      <c r="X111" s="92">
        <f>Ruimtestaat[[#This Row],[uren / jaar werkdagen]]*Tariefsopbouw!$E$35</f>
        <v>0</v>
      </c>
      <c r="Y111" s="89"/>
      <c r="Z111" s="93">
        <f>IF(Ruimtestaat[[#This Row],[Frequentie weekend]]&gt;0,VALUE(LEFT(Y111,1))*R111,0)</f>
        <v>0</v>
      </c>
      <c r="AA111" s="89">
        <f>IF($Z111&gt;0,VLOOKUP($J111,Ruimtegroepen[],3,FALSE)*VLOOKUP($L111,Vloersoorten[],3,FALSE)*VLOOKUP($Y111,Frequenties[],3,FALSE)*VLOOKUP($A106,Locaties[],3,FALSE),0)</f>
        <v>0</v>
      </c>
      <c r="AB111" s="91">
        <f>Ruimtestaat[[#This Row],[Uitvoeringen weekend]]*Ruimtestaat[[#This Row],[Oppervlak (netto)]]</f>
        <v>0</v>
      </c>
      <c r="AC111" s="94">
        <f>IF(AB111&gt;0,Ruimtestaat[[#This Row],[Prest. (m2 /jaar) weekend]]/Ruimtestaat[[#This Row],[Norm (m2/uur) weekend]],0)</f>
        <v>0</v>
      </c>
      <c r="AD111" s="95">
        <f>Ruimtestaat[[#This Row],[uren / jaar weekend]]*Tariefsopbouw!$D$40</f>
        <v>0</v>
      </c>
      <c r="AE111" s="67">
        <f>Ruimtestaat[[#This Row],[Prest. (m2 /jaar) weekend]]+Ruimtestaat[[#This Row],[Prest. (m2 /jaar) werkdagen]]</f>
        <v>3796</v>
      </c>
      <c r="AF111" s="67">
        <f>Ruimtestaat[[#This Row],[uren / jaar weekend]]+Ruimtestaat[[#This Row],[uren / jaar werkdagen]]</f>
        <v>0</v>
      </c>
      <c r="AG111" s="68">
        <f>Ruimtestaat[[#This Row],[kosten / jaar weekend]]+Ruimtestaat[[#This Row],[kosten / jaar werkdagen]]</f>
        <v>0</v>
      </c>
      <c r="AH111" s="96"/>
      <c r="HL111" s="66"/>
    </row>
    <row r="112" spans="1:220" ht="15" customHeight="1">
      <c r="A112" s="114">
        <v>1</v>
      </c>
      <c r="B112" s="24" t="str">
        <f>VLOOKUP(Ruimtestaat[[#This Row],[Code]],Locaties[#All],2,FALSE)</f>
        <v>Hoofdgebouw</v>
      </c>
      <c r="C112" s="24" t="str">
        <f>VLOOKUP(Ruimtestaat[[#This Row],[Code]],Locaties[#All],4,FALSE)</f>
        <v>Rohofstraat 83</v>
      </c>
      <c r="D112" s="24" t="str">
        <f>VLOOKUP(Ruimtestaat[[#This Row],[Code]],Locaties[#All],5,FALSE)</f>
        <v>7605 AT</v>
      </c>
      <c r="E112" s="24" t="str">
        <f>VLOOKUP(Ruimtestaat[[#This Row],[Code]],Locaties[#All],6,FALSE)</f>
        <v>Almelo</v>
      </c>
      <c r="F112" s="61"/>
      <c r="G112" s="24" t="s">
        <v>574</v>
      </c>
      <c r="H112" s="28" t="s">
        <v>584</v>
      </c>
      <c r="I112" s="4" t="s">
        <v>581</v>
      </c>
      <c r="J112" s="24">
        <v>2</v>
      </c>
      <c r="K112" s="61" t="str">
        <f>VLOOKUP(J112,Ruimtegroepen[],2,FALSE)</f>
        <v>Kantoren</v>
      </c>
      <c r="L112" s="24" t="s">
        <v>103</v>
      </c>
      <c r="M112" s="24" t="s">
        <v>38</v>
      </c>
      <c r="N112" s="87">
        <v>14.6</v>
      </c>
      <c r="O112" s="87"/>
      <c r="P112" s="97" t="str">
        <f>LEFT(VLOOKUP(Ruimtestaat[[#This Row],[Ruimte code]],Ruimtegroepen[#All],4,1),2)</f>
        <v>Bu</v>
      </c>
      <c r="Q112" s="97"/>
      <c r="R112" s="88">
        <v>52</v>
      </c>
      <c r="S112" s="88" t="s">
        <v>2</v>
      </c>
      <c r="T112" s="89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2" s="89">
        <f>IF(T112&gt;0,VLOOKUP($J112,Ruimtegroepen[],3,FALSE)*VLOOKUP($L112,Vloersoorten[],3,FALSE)*VLOOKUP($S112,Frequenties[],3,FALSE)*VLOOKUP($A112,Locaties[],3,FALSE),0)</f>
        <v>0</v>
      </c>
      <c r="V112" s="90">
        <f>Ruimtestaat[[#This Row],[Uitvoeringen werkdagen]]*Ruimtestaat[[#This Row],[Oppervlak (netto)]]</f>
        <v>3796</v>
      </c>
      <c r="W112" s="91">
        <f>IF(U112&gt;0,Ruimtestaat[[#This Row],[Prest. (m2 /jaar) werkdagen]]/Ruimtestaat[[#This Row],[Norm (m2/uur) werkdagen]],0)</f>
        <v>0</v>
      </c>
      <c r="X112" s="92">
        <f>Ruimtestaat[[#This Row],[uren / jaar werkdagen]]*Tariefsopbouw!$E$35</f>
        <v>0</v>
      </c>
      <c r="Y112" s="89"/>
      <c r="Z112" s="93">
        <f>IF(Ruimtestaat[[#This Row],[Frequentie weekend]]&gt;0,VALUE(LEFT(Y112,1))*R112,0)</f>
        <v>0</v>
      </c>
      <c r="AA112" s="89">
        <f>IF($Z112&gt;0,VLOOKUP($J112,Ruimtegroepen[],3,FALSE)*VLOOKUP($L112,Vloersoorten[],3,FALSE)*VLOOKUP($Y112,Frequenties[],3,FALSE)*VLOOKUP($A107,Locaties[],3,FALSE),0)</f>
        <v>0</v>
      </c>
      <c r="AB112" s="91">
        <f>Ruimtestaat[[#This Row],[Uitvoeringen weekend]]*Ruimtestaat[[#This Row],[Oppervlak (netto)]]</f>
        <v>0</v>
      </c>
      <c r="AC112" s="94">
        <f>IF(AB112&gt;0,Ruimtestaat[[#This Row],[Prest. (m2 /jaar) weekend]]/Ruimtestaat[[#This Row],[Norm (m2/uur) weekend]],0)</f>
        <v>0</v>
      </c>
      <c r="AD112" s="95">
        <f>Ruimtestaat[[#This Row],[uren / jaar weekend]]*Tariefsopbouw!$D$40</f>
        <v>0</v>
      </c>
      <c r="AE112" s="67">
        <f>Ruimtestaat[[#This Row],[Prest. (m2 /jaar) weekend]]+Ruimtestaat[[#This Row],[Prest. (m2 /jaar) werkdagen]]</f>
        <v>3796</v>
      </c>
      <c r="AF112" s="67">
        <f>Ruimtestaat[[#This Row],[uren / jaar weekend]]+Ruimtestaat[[#This Row],[uren / jaar werkdagen]]</f>
        <v>0</v>
      </c>
      <c r="AG112" s="68">
        <f>Ruimtestaat[[#This Row],[kosten / jaar weekend]]+Ruimtestaat[[#This Row],[kosten / jaar werkdagen]]</f>
        <v>0</v>
      </c>
      <c r="AH112" s="96"/>
      <c r="HL112" s="66"/>
    </row>
    <row r="113" spans="1:220" ht="15" customHeight="1">
      <c r="A113" s="114">
        <v>1</v>
      </c>
      <c r="B113" s="24" t="str">
        <f>VLOOKUP(Ruimtestaat[[#This Row],[Code]],Locaties[#All],2,FALSE)</f>
        <v>Hoofdgebouw</v>
      </c>
      <c r="C113" s="24" t="str">
        <f>VLOOKUP(Ruimtestaat[[#This Row],[Code]],Locaties[#All],4,FALSE)</f>
        <v>Rohofstraat 83</v>
      </c>
      <c r="D113" s="24" t="str">
        <f>VLOOKUP(Ruimtestaat[[#This Row],[Code]],Locaties[#All],5,FALSE)</f>
        <v>7605 AT</v>
      </c>
      <c r="E113" s="24" t="str">
        <f>VLOOKUP(Ruimtestaat[[#This Row],[Code]],Locaties[#All],6,FALSE)</f>
        <v>Almelo</v>
      </c>
      <c r="F113" s="61"/>
      <c r="G113" s="24" t="s">
        <v>574</v>
      </c>
      <c r="H113" s="28" t="s">
        <v>585</v>
      </c>
      <c r="I113" s="4" t="s">
        <v>581</v>
      </c>
      <c r="J113" s="24">
        <v>2</v>
      </c>
      <c r="K113" s="61" t="str">
        <f>VLOOKUP(J113,Ruimtegroepen[],2,FALSE)</f>
        <v>Kantoren</v>
      </c>
      <c r="L113" s="24" t="s">
        <v>103</v>
      </c>
      <c r="M113" s="24" t="s">
        <v>38</v>
      </c>
      <c r="N113" s="87">
        <v>19</v>
      </c>
      <c r="O113" s="87"/>
      <c r="P113" s="97" t="str">
        <f>LEFT(VLOOKUP(Ruimtestaat[[#This Row],[Ruimte code]],Ruimtegroepen[#All],4,1),2)</f>
        <v>Bu</v>
      </c>
      <c r="Q113" s="97"/>
      <c r="R113" s="88">
        <v>52</v>
      </c>
      <c r="S113" s="88" t="s">
        <v>2</v>
      </c>
      <c r="T113" s="89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3" s="89">
        <f>IF(T113&gt;0,VLOOKUP($J113,Ruimtegroepen[],3,FALSE)*VLOOKUP($L113,Vloersoorten[],3,FALSE)*VLOOKUP($S113,Frequenties[],3,FALSE)*VLOOKUP($A113,Locaties[],3,FALSE),0)</f>
        <v>0</v>
      </c>
      <c r="V113" s="90">
        <f>Ruimtestaat[[#This Row],[Uitvoeringen werkdagen]]*Ruimtestaat[[#This Row],[Oppervlak (netto)]]</f>
        <v>4940</v>
      </c>
      <c r="W113" s="91">
        <f>IF(U113&gt;0,Ruimtestaat[[#This Row],[Prest. (m2 /jaar) werkdagen]]/Ruimtestaat[[#This Row],[Norm (m2/uur) werkdagen]],0)</f>
        <v>0</v>
      </c>
      <c r="X113" s="92">
        <f>Ruimtestaat[[#This Row],[uren / jaar werkdagen]]*Tariefsopbouw!$E$35</f>
        <v>0</v>
      </c>
      <c r="Y113" s="89"/>
      <c r="Z113" s="93">
        <f>IF(Ruimtestaat[[#This Row],[Frequentie weekend]]&gt;0,VALUE(LEFT(Y113,1))*R113,0)</f>
        <v>0</v>
      </c>
      <c r="AA113" s="89">
        <f>IF($Z113&gt;0,VLOOKUP($J113,Ruimtegroepen[],3,FALSE)*VLOOKUP($L113,Vloersoorten[],3,FALSE)*VLOOKUP($Y113,Frequenties[],3,FALSE)*VLOOKUP($A109,Locaties[],3,FALSE),0)</f>
        <v>0</v>
      </c>
      <c r="AB113" s="91">
        <f>Ruimtestaat[[#This Row],[Uitvoeringen weekend]]*Ruimtestaat[[#This Row],[Oppervlak (netto)]]</f>
        <v>0</v>
      </c>
      <c r="AC113" s="94">
        <f>IF(AB113&gt;0,Ruimtestaat[[#This Row],[Prest. (m2 /jaar) weekend]]/Ruimtestaat[[#This Row],[Norm (m2/uur) weekend]],0)</f>
        <v>0</v>
      </c>
      <c r="AD113" s="95">
        <f>Ruimtestaat[[#This Row],[uren / jaar weekend]]*Tariefsopbouw!$D$40</f>
        <v>0</v>
      </c>
      <c r="AE113" s="67">
        <f>Ruimtestaat[[#This Row],[Prest. (m2 /jaar) weekend]]+Ruimtestaat[[#This Row],[Prest. (m2 /jaar) werkdagen]]</f>
        <v>4940</v>
      </c>
      <c r="AF113" s="67">
        <f>Ruimtestaat[[#This Row],[uren / jaar weekend]]+Ruimtestaat[[#This Row],[uren / jaar werkdagen]]</f>
        <v>0</v>
      </c>
      <c r="AG113" s="68">
        <f>Ruimtestaat[[#This Row],[kosten / jaar weekend]]+Ruimtestaat[[#This Row],[kosten / jaar werkdagen]]</f>
        <v>0</v>
      </c>
      <c r="AH113" s="96"/>
      <c r="HL113" s="66"/>
    </row>
    <row r="114" spans="1:220" ht="15" customHeight="1">
      <c r="A114" s="114">
        <v>1</v>
      </c>
      <c r="B114" s="24" t="str">
        <f>VLOOKUP(Ruimtestaat[[#This Row],[Code]],Locaties[#All],2,FALSE)</f>
        <v>Hoofdgebouw</v>
      </c>
      <c r="C114" s="24" t="str">
        <f>VLOOKUP(Ruimtestaat[[#This Row],[Code]],Locaties[#All],4,FALSE)</f>
        <v>Rohofstraat 83</v>
      </c>
      <c r="D114" s="24" t="str">
        <f>VLOOKUP(Ruimtestaat[[#This Row],[Code]],Locaties[#All],5,FALSE)</f>
        <v>7605 AT</v>
      </c>
      <c r="E114" s="24" t="str">
        <f>VLOOKUP(Ruimtestaat[[#This Row],[Code]],Locaties[#All],6,FALSE)</f>
        <v>Almelo</v>
      </c>
      <c r="F114" s="61"/>
      <c r="G114" s="24" t="s">
        <v>574</v>
      </c>
      <c r="H114" s="28" t="s">
        <v>586</v>
      </c>
      <c r="I114" s="4" t="s">
        <v>587</v>
      </c>
      <c r="J114" s="24">
        <v>2</v>
      </c>
      <c r="K114" s="61" t="str">
        <f>VLOOKUP(J114,Ruimtegroepen[],2,FALSE)</f>
        <v>Kantoren</v>
      </c>
      <c r="L114" s="24" t="s">
        <v>103</v>
      </c>
      <c r="M114" s="24" t="s">
        <v>38</v>
      </c>
      <c r="N114" s="87">
        <v>8.4</v>
      </c>
      <c r="O114" s="87"/>
      <c r="P114" s="97" t="str">
        <f>LEFT(VLOOKUP(Ruimtestaat[[#This Row],[Ruimte code]],Ruimtegroepen[#All],4,1),2)</f>
        <v>Bu</v>
      </c>
      <c r="Q114" s="97"/>
      <c r="R114" s="88">
        <v>52</v>
      </c>
      <c r="S114" s="88" t="s">
        <v>2</v>
      </c>
      <c r="T114" s="89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4" s="89">
        <f>IF(T114&gt;0,VLOOKUP($J114,Ruimtegroepen[],3,FALSE)*VLOOKUP($L114,Vloersoorten[],3,FALSE)*VLOOKUP($S114,Frequenties[],3,FALSE)*VLOOKUP($A114,Locaties[],3,FALSE),0)</f>
        <v>0</v>
      </c>
      <c r="V114" s="90">
        <f>Ruimtestaat[[#This Row],[Uitvoeringen werkdagen]]*Ruimtestaat[[#This Row],[Oppervlak (netto)]]</f>
        <v>2184</v>
      </c>
      <c r="W114" s="91">
        <f>IF(U114&gt;0,Ruimtestaat[[#This Row],[Prest. (m2 /jaar) werkdagen]]/Ruimtestaat[[#This Row],[Norm (m2/uur) werkdagen]],0)</f>
        <v>0</v>
      </c>
      <c r="X114" s="92">
        <f>Ruimtestaat[[#This Row],[uren / jaar werkdagen]]*Tariefsopbouw!$E$35</f>
        <v>0</v>
      </c>
      <c r="Y114" s="89"/>
      <c r="Z114" s="93">
        <f>IF(Ruimtestaat[[#This Row],[Frequentie weekend]]&gt;0,VALUE(LEFT(Y114,1))*R114,0)</f>
        <v>0</v>
      </c>
      <c r="AA114" s="89">
        <f>IF($Z114&gt;0,VLOOKUP($J114,Ruimtegroepen[],3,FALSE)*VLOOKUP($L114,Vloersoorten[],3,FALSE)*VLOOKUP($Y114,Frequenties[],3,FALSE)*VLOOKUP($A110,Locaties[],3,FALSE),0)</f>
        <v>0</v>
      </c>
      <c r="AB114" s="91">
        <f>Ruimtestaat[[#This Row],[Uitvoeringen weekend]]*Ruimtestaat[[#This Row],[Oppervlak (netto)]]</f>
        <v>0</v>
      </c>
      <c r="AC114" s="94">
        <f>IF(AB114&gt;0,Ruimtestaat[[#This Row],[Prest. (m2 /jaar) weekend]]/Ruimtestaat[[#This Row],[Norm (m2/uur) weekend]],0)</f>
        <v>0</v>
      </c>
      <c r="AD114" s="95">
        <f>Ruimtestaat[[#This Row],[uren / jaar weekend]]*Tariefsopbouw!$D$40</f>
        <v>0</v>
      </c>
      <c r="AE114" s="67">
        <f>Ruimtestaat[[#This Row],[Prest. (m2 /jaar) weekend]]+Ruimtestaat[[#This Row],[Prest. (m2 /jaar) werkdagen]]</f>
        <v>2184</v>
      </c>
      <c r="AF114" s="67">
        <f>Ruimtestaat[[#This Row],[uren / jaar weekend]]+Ruimtestaat[[#This Row],[uren / jaar werkdagen]]</f>
        <v>0</v>
      </c>
      <c r="AG114" s="68">
        <f>Ruimtestaat[[#This Row],[kosten / jaar weekend]]+Ruimtestaat[[#This Row],[kosten / jaar werkdagen]]</f>
        <v>0</v>
      </c>
      <c r="AH114" s="96"/>
      <c r="HL114" s="66"/>
    </row>
    <row r="115" spans="1:220" ht="15" customHeight="1">
      <c r="A115" s="114">
        <v>1</v>
      </c>
      <c r="B115" s="24" t="str">
        <f>VLOOKUP(Ruimtestaat[[#This Row],[Code]],Locaties[#All],2,FALSE)</f>
        <v>Hoofdgebouw</v>
      </c>
      <c r="C115" s="24" t="str">
        <f>VLOOKUP(Ruimtestaat[[#This Row],[Code]],Locaties[#All],4,FALSE)</f>
        <v>Rohofstraat 83</v>
      </c>
      <c r="D115" s="24" t="str">
        <f>VLOOKUP(Ruimtestaat[[#This Row],[Code]],Locaties[#All],5,FALSE)</f>
        <v>7605 AT</v>
      </c>
      <c r="E115" s="24" t="str">
        <f>VLOOKUP(Ruimtestaat[[#This Row],[Code]],Locaties[#All],6,FALSE)</f>
        <v>Almelo</v>
      </c>
      <c r="F115" s="61"/>
      <c r="G115" s="24" t="s">
        <v>574</v>
      </c>
      <c r="H115" s="28" t="s">
        <v>588</v>
      </c>
      <c r="I115" s="4" t="s">
        <v>443</v>
      </c>
      <c r="J115" s="24">
        <v>4</v>
      </c>
      <c r="K115" s="61" t="str">
        <f>VLOOKUP(J115,Ruimtegroepen[],2,FALSE)</f>
        <v>Vergader/spreekkamers</v>
      </c>
      <c r="L115" s="24" t="s">
        <v>103</v>
      </c>
      <c r="M115" s="24" t="s">
        <v>38</v>
      </c>
      <c r="N115" s="87">
        <v>18.7</v>
      </c>
      <c r="O115" s="87"/>
      <c r="P115" s="97" t="str">
        <f>LEFT(VLOOKUP(Ruimtestaat[[#This Row],[Ruimte code]],Ruimtegroepen[#All],4,1),2)</f>
        <v>Bu</v>
      </c>
      <c r="Q115" s="97"/>
      <c r="R115" s="88">
        <v>52</v>
      </c>
      <c r="S115" s="88" t="s">
        <v>2</v>
      </c>
      <c r="T115" s="89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5" s="89">
        <f>IF(T115&gt;0,VLOOKUP($J115,Ruimtegroepen[],3,FALSE)*VLOOKUP($L115,Vloersoorten[],3,FALSE)*VLOOKUP($S115,Frequenties[],3,FALSE)*VLOOKUP($A115,Locaties[],3,FALSE),0)</f>
        <v>0</v>
      </c>
      <c r="V115" s="90">
        <f>Ruimtestaat[[#This Row],[Uitvoeringen werkdagen]]*Ruimtestaat[[#This Row],[Oppervlak (netto)]]</f>
        <v>4862</v>
      </c>
      <c r="W115" s="91">
        <f>IF(U115&gt;0,Ruimtestaat[[#This Row],[Prest. (m2 /jaar) werkdagen]]/Ruimtestaat[[#This Row],[Norm (m2/uur) werkdagen]],0)</f>
        <v>0</v>
      </c>
      <c r="X115" s="92">
        <f>Ruimtestaat[[#This Row],[uren / jaar werkdagen]]*Tariefsopbouw!$E$35</f>
        <v>0</v>
      </c>
      <c r="Y115" s="89"/>
      <c r="Z115" s="93">
        <f>IF(Ruimtestaat[[#This Row],[Frequentie weekend]]&gt;0,VALUE(LEFT(Y115,1))*R115,0)</f>
        <v>0</v>
      </c>
      <c r="AA115" s="89">
        <f>IF($Z115&gt;0,VLOOKUP($J115,Ruimtegroepen[],3,FALSE)*VLOOKUP($L115,Vloersoorten[],3,FALSE)*VLOOKUP($Y115,Frequenties[],3,FALSE)*VLOOKUP($A111,Locaties[],3,FALSE),0)</f>
        <v>0</v>
      </c>
      <c r="AB115" s="91">
        <f>Ruimtestaat[[#This Row],[Uitvoeringen weekend]]*Ruimtestaat[[#This Row],[Oppervlak (netto)]]</f>
        <v>0</v>
      </c>
      <c r="AC115" s="94">
        <f>IF(AB115&gt;0,Ruimtestaat[[#This Row],[Prest. (m2 /jaar) weekend]]/Ruimtestaat[[#This Row],[Norm (m2/uur) weekend]],0)</f>
        <v>0</v>
      </c>
      <c r="AD115" s="95">
        <f>Ruimtestaat[[#This Row],[uren / jaar weekend]]*Tariefsopbouw!$D$40</f>
        <v>0</v>
      </c>
      <c r="AE115" s="67">
        <f>Ruimtestaat[[#This Row],[Prest. (m2 /jaar) weekend]]+Ruimtestaat[[#This Row],[Prest. (m2 /jaar) werkdagen]]</f>
        <v>4862</v>
      </c>
      <c r="AF115" s="67">
        <f>Ruimtestaat[[#This Row],[uren / jaar weekend]]+Ruimtestaat[[#This Row],[uren / jaar werkdagen]]</f>
        <v>0</v>
      </c>
      <c r="AG115" s="68">
        <f>Ruimtestaat[[#This Row],[kosten / jaar weekend]]+Ruimtestaat[[#This Row],[kosten / jaar werkdagen]]</f>
        <v>0</v>
      </c>
      <c r="AH115" s="96"/>
      <c r="HL115" s="66"/>
    </row>
    <row r="116" spans="1:220" ht="15" customHeight="1">
      <c r="A116" s="114">
        <v>1</v>
      </c>
      <c r="B116" s="24" t="str">
        <f>VLOOKUP(Ruimtestaat[[#This Row],[Code]],Locaties[#All],2,FALSE)</f>
        <v>Hoofdgebouw</v>
      </c>
      <c r="C116" s="24" t="str">
        <f>VLOOKUP(Ruimtestaat[[#This Row],[Code]],Locaties[#All],4,FALSE)</f>
        <v>Rohofstraat 83</v>
      </c>
      <c r="D116" s="24" t="str">
        <f>VLOOKUP(Ruimtestaat[[#This Row],[Code]],Locaties[#All],5,FALSE)</f>
        <v>7605 AT</v>
      </c>
      <c r="E116" s="24" t="str">
        <f>VLOOKUP(Ruimtestaat[[#This Row],[Code]],Locaties[#All],6,FALSE)</f>
        <v>Almelo</v>
      </c>
      <c r="F116" s="61"/>
      <c r="G116" s="24" t="s">
        <v>574</v>
      </c>
      <c r="H116" s="28" t="s">
        <v>589</v>
      </c>
      <c r="I116" s="4" t="s">
        <v>443</v>
      </c>
      <c r="J116" s="24">
        <v>4</v>
      </c>
      <c r="K116" s="61" t="str">
        <f>VLOOKUP(J116,Ruimtegroepen[],2,FALSE)</f>
        <v>Vergader/spreekkamers</v>
      </c>
      <c r="L116" s="24" t="s">
        <v>103</v>
      </c>
      <c r="M116" s="24" t="s">
        <v>38</v>
      </c>
      <c r="N116" s="87">
        <v>13.9</v>
      </c>
      <c r="O116" s="87"/>
      <c r="P116" s="97" t="str">
        <f>LEFT(VLOOKUP(Ruimtestaat[[#This Row],[Ruimte code]],Ruimtegroepen[#All],4,1),2)</f>
        <v>Bu</v>
      </c>
      <c r="Q116" s="97"/>
      <c r="R116" s="88">
        <v>52</v>
      </c>
      <c r="S116" s="88" t="s">
        <v>2</v>
      </c>
      <c r="T116" s="89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6" s="89">
        <f>IF(T116&gt;0,VLOOKUP($J116,Ruimtegroepen[],3,FALSE)*VLOOKUP($L116,Vloersoorten[],3,FALSE)*VLOOKUP($S116,Frequenties[],3,FALSE)*VLOOKUP($A116,Locaties[],3,FALSE),0)</f>
        <v>0</v>
      </c>
      <c r="V116" s="90">
        <f>Ruimtestaat[[#This Row],[Uitvoeringen werkdagen]]*Ruimtestaat[[#This Row],[Oppervlak (netto)]]</f>
        <v>3614</v>
      </c>
      <c r="W116" s="91">
        <f>IF(U116&gt;0,Ruimtestaat[[#This Row],[Prest. (m2 /jaar) werkdagen]]/Ruimtestaat[[#This Row],[Norm (m2/uur) werkdagen]],0)</f>
        <v>0</v>
      </c>
      <c r="X116" s="92">
        <f>Ruimtestaat[[#This Row],[uren / jaar werkdagen]]*Tariefsopbouw!$E$35</f>
        <v>0</v>
      </c>
      <c r="Y116" s="89"/>
      <c r="Z116" s="93">
        <f>IF(Ruimtestaat[[#This Row],[Frequentie weekend]]&gt;0,VALUE(LEFT(Y116,1))*R116,0)</f>
        <v>0</v>
      </c>
      <c r="AA116" s="89">
        <f>IF($Z116&gt;0,VLOOKUP($J116,Ruimtegroepen[],3,FALSE)*VLOOKUP($L116,Vloersoorten[],3,FALSE)*VLOOKUP($Y116,Frequenties[],3,FALSE)*VLOOKUP($A112,Locaties[],3,FALSE),0)</f>
        <v>0</v>
      </c>
      <c r="AB116" s="91">
        <f>Ruimtestaat[[#This Row],[Uitvoeringen weekend]]*Ruimtestaat[[#This Row],[Oppervlak (netto)]]</f>
        <v>0</v>
      </c>
      <c r="AC116" s="94">
        <f>IF(AB116&gt;0,Ruimtestaat[[#This Row],[Prest. (m2 /jaar) weekend]]/Ruimtestaat[[#This Row],[Norm (m2/uur) weekend]],0)</f>
        <v>0</v>
      </c>
      <c r="AD116" s="95">
        <f>Ruimtestaat[[#This Row],[uren / jaar weekend]]*Tariefsopbouw!$D$40</f>
        <v>0</v>
      </c>
      <c r="AE116" s="67">
        <f>Ruimtestaat[[#This Row],[Prest. (m2 /jaar) weekend]]+Ruimtestaat[[#This Row],[Prest. (m2 /jaar) werkdagen]]</f>
        <v>3614</v>
      </c>
      <c r="AF116" s="67">
        <f>Ruimtestaat[[#This Row],[uren / jaar weekend]]+Ruimtestaat[[#This Row],[uren / jaar werkdagen]]</f>
        <v>0</v>
      </c>
      <c r="AG116" s="68">
        <f>Ruimtestaat[[#This Row],[kosten / jaar weekend]]+Ruimtestaat[[#This Row],[kosten / jaar werkdagen]]</f>
        <v>0</v>
      </c>
      <c r="AH116" s="96"/>
      <c r="HL116" s="66"/>
    </row>
    <row r="117" spans="1:220" ht="15" customHeight="1">
      <c r="A117" s="114">
        <v>1</v>
      </c>
      <c r="B117" s="24" t="str">
        <f>VLOOKUP(Ruimtestaat[[#This Row],[Code]],Locaties[#All],2,FALSE)</f>
        <v>Hoofdgebouw</v>
      </c>
      <c r="C117" s="24" t="str">
        <f>VLOOKUP(Ruimtestaat[[#This Row],[Code]],Locaties[#All],4,FALSE)</f>
        <v>Rohofstraat 83</v>
      </c>
      <c r="D117" s="24" t="str">
        <f>VLOOKUP(Ruimtestaat[[#This Row],[Code]],Locaties[#All],5,FALSE)</f>
        <v>7605 AT</v>
      </c>
      <c r="E117" s="24" t="str">
        <f>VLOOKUP(Ruimtestaat[[#This Row],[Code]],Locaties[#All],6,FALSE)</f>
        <v>Almelo</v>
      </c>
      <c r="F117" s="61"/>
      <c r="G117" s="24" t="s">
        <v>574</v>
      </c>
      <c r="H117" s="28" t="s">
        <v>590</v>
      </c>
      <c r="I117" s="4" t="s">
        <v>443</v>
      </c>
      <c r="J117" s="24">
        <v>4</v>
      </c>
      <c r="K117" s="61" t="str">
        <f>VLOOKUP(J117,Ruimtegroepen[],2,FALSE)</f>
        <v>Vergader/spreekkamers</v>
      </c>
      <c r="L117" s="24" t="s">
        <v>103</v>
      </c>
      <c r="M117" s="24" t="s">
        <v>38</v>
      </c>
      <c r="N117" s="87">
        <v>12.7</v>
      </c>
      <c r="O117" s="87"/>
      <c r="P117" s="97" t="str">
        <f>LEFT(VLOOKUP(Ruimtestaat[[#This Row],[Ruimte code]],Ruimtegroepen[#All],4,1),2)</f>
        <v>Bu</v>
      </c>
      <c r="Q117" s="97"/>
      <c r="R117" s="88">
        <v>52</v>
      </c>
      <c r="S117" s="88" t="s">
        <v>2</v>
      </c>
      <c r="T117" s="89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7" s="89">
        <f>IF(T117&gt;0,VLOOKUP($J117,Ruimtegroepen[],3,FALSE)*VLOOKUP($L117,Vloersoorten[],3,FALSE)*VLOOKUP($S117,Frequenties[],3,FALSE)*VLOOKUP($A117,Locaties[],3,FALSE),0)</f>
        <v>0</v>
      </c>
      <c r="V117" s="90">
        <f>Ruimtestaat[[#This Row],[Uitvoeringen werkdagen]]*Ruimtestaat[[#This Row],[Oppervlak (netto)]]</f>
        <v>3302</v>
      </c>
      <c r="W117" s="91">
        <f>IF(U117&gt;0,Ruimtestaat[[#This Row],[Prest. (m2 /jaar) werkdagen]]/Ruimtestaat[[#This Row],[Norm (m2/uur) werkdagen]],0)</f>
        <v>0</v>
      </c>
      <c r="X117" s="92">
        <f>Ruimtestaat[[#This Row],[uren / jaar werkdagen]]*Tariefsopbouw!$E$35</f>
        <v>0</v>
      </c>
      <c r="Y117" s="89"/>
      <c r="Z117" s="93">
        <f>IF(Ruimtestaat[[#This Row],[Frequentie weekend]]&gt;0,VALUE(LEFT(Y117,1))*R117,0)</f>
        <v>0</v>
      </c>
      <c r="AA117" s="89">
        <f>IF($Z117&gt;0,VLOOKUP($J117,Ruimtegroepen[],3,FALSE)*VLOOKUP($L117,Vloersoorten[],3,FALSE)*VLOOKUP($Y117,Frequenties[],3,FALSE)*VLOOKUP($A113,Locaties[],3,FALSE),0)</f>
        <v>0</v>
      </c>
      <c r="AB117" s="91">
        <f>Ruimtestaat[[#This Row],[Uitvoeringen weekend]]*Ruimtestaat[[#This Row],[Oppervlak (netto)]]</f>
        <v>0</v>
      </c>
      <c r="AC117" s="94">
        <f>IF(AB117&gt;0,Ruimtestaat[[#This Row],[Prest. (m2 /jaar) weekend]]/Ruimtestaat[[#This Row],[Norm (m2/uur) weekend]],0)</f>
        <v>0</v>
      </c>
      <c r="AD117" s="95">
        <f>Ruimtestaat[[#This Row],[uren / jaar weekend]]*Tariefsopbouw!$D$40</f>
        <v>0</v>
      </c>
      <c r="AE117" s="67">
        <f>Ruimtestaat[[#This Row],[Prest. (m2 /jaar) weekend]]+Ruimtestaat[[#This Row],[Prest. (m2 /jaar) werkdagen]]</f>
        <v>3302</v>
      </c>
      <c r="AF117" s="67">
        <f>Ruimtestaat[[#This Row],[uren / jaar weekend]]+Ruimtestaat[[#This Row],[uren / jaar werkdagen]]</f>
        <v>0</v>
      </c>
      <c r="AG117" s="68">
        <f>Ruimtestaat[[#This Row],[kosten / jaar weekend]]+Ruimtestaat[[#This Row],[kosten / jaar werkdagen]]</f>
        <v>0</v>
      </c>
      <c r="AH117" s="96"/>
      <c r="HL117" s="66"/>
    </row>
    <row r="118" spans="1:220" ht="15" customHeight="1">
      <c r="A118" s="114">
        <v>1</v>
      </c>
      <c r="B118" s="24" t="str">
        <f>VLOOKUP(Ruimtestaat[[#This Row],[Code]],Locaties[#All],2,FALSE)</f>
        <v>Hoofdgebouw</v>
      </c>
      <c r="C118" s="24" t="str">
        <f>VLOOKUP(Ruimtestaat[[#This Row],[Code]],Locaties[#All],4,FALSE)</f>
        <v>Rohofstraat 83</v>
      </c>
      <c r="D118" s="24" t="str">
        <f>VLOOKUP(Ruimtestaat[[#This Row],[Code]],Locaties[#All],5,FALSE)</f>
        <v>7605 AT</v>
      </c>
      <c r="E118" s="24" t="str">
        <f>VLOOKUP(Ruimtestaat[[#This Row],[Code]],Locaties[#All],6,FALSE)</f>
        <v>Almelo</v>
      </c>
      <c r="F118" s="61"/>
      <c r="G118" s="24" t="s">
        <v>574</v>
      </c>
      <c r="H118" s="28" t="s">
        <v>591</v>
      </c>
      <c r="I118" s="4" t="s">
        <v>456</v>
      </c>
      <c r="J118" s="24">
        <v>2</v>
      </c>
      <c r="K118" s="61" t="str">
        <f>VLOOKUP(J118,Ruimtegroepen[],2,FALSE)</f>
        <v>Kantoren</v>
      </c>
      <c r="L118" s="24" t="s">
        <v>103</v>
      </c>
      <c r="M118" s="24" t="s">
        <v>38</v>
      </c>
      <c r="N118" s="87">
        <v>8.6999999999999993</v>
      </c>
      <c r="O118" s="87"/>
      <c r="P118" s="97" t="str">
        <f>LEFT(VLOOKUP(Ruimtestaat[[#This Row],[Ruimte code]],Ruimtegroepen[#All],4,1),2)</f>
        <v>Bu</v>
      </c>
      <c r="Q118" s="97"/>
      <c r="R118" s="88">
        <v>52</v>
      </c>
      <c r="S118" s="88" t="s">
        <v>2</v>
      </c>
      <c r="T118" s="89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8" s="89">
        <f>IF(T118&gt;0,VLOOKUP($J118,Ruimtegroepen[],3,FALSE)*VLOOKUP($L118,Vloersoorten[],3,FALSE)*VLOOKUP($S118,Frequenties[],3,FALSE)*VLOOKUP($A118,Locaties[],3,FALSE),0)</f>
        <v>0</v>
      </c>
      <c r="V118" s="90">
        <f>Ruimtestaat[[#This Row],[Uitvoeringen werkdagen]]*Ruimtestaat[[#This Row],[Oppervlak (netto)]]</f>
        <v>2262</v>
      </c>
      <c r="W118" s="91">
        <f>IF(U118&gt;0,Ruimtestaat[[#This Row],[Prest. (m2 /jaar) werkdagen]]/Ruimtestaat[[#This Row],[Norm (m2/uur) werkdagen]],0)</f>
        <v>0</v>
      </c>
      <c r="X118" s="92">
        <f>Ruimtestaat[[#This Row],[uren / jaar werkdagen]]*Tariefsopbouw!$E$35</f>
        <v>0</v>
      </c>
      <c r="Y118" s="89"/>
      <c r="Z118" s="93">
        <f>IF(Ruimtestaat[[#This Row],[Frequentie weekend]]&gt;0,VALUE(LEFT(Y118,1))*R118,0)</f>
        <v>0</v>
      </c>
      <c r="AA118" s="89">
        <f>IF($Z118&gt;0,VLOOKUP($J118,Ruimtegroepen[],3,FALSE)*VLOOKUP($L118,Vloersoorten[],3,FALSE)*VLOOKUP($Y118,Frequenties[],3,FALSE)*VLOOKUP($A114,Locaties[],3,FALSE),0)</f>
        <v>0</v>
      </c>
      <c r="AB118" s="91">
        <f>Ruimtestaat[[#This Row],[Uitvoeringen weekend]]*Ruimtestaat[[#This Row],[Oppervlak (netto)]]</f>
        <v>0</v>
      </c>
      <c r="AC118" s="94">
        <f>IF(AB118&gt;0,Ruimtestaat[[#This Row],[Prest. (m2 /jaar) weekend]]/Ruimtestaat[[#This Row],[Norm (m2/uur) weekend]],0)</f>
        <v>0</v>
      </c>
      <c r="AD118" s="95">
        <f>Ruimtestaat[[#This Row],[uren / jaar weekend]]*Tariefsopbouw!$D$40</f>
        <v>0</v>
      </c>
      <c r="AE118" s="67">
        <f>Ruimtestaat[[#This Row],[Prest. (m2 /jaar) weekend]]+Ruimtestaat[[#This Row],[Prest. (m2 /jaar) werkdagen]]</f>
        <v>2262</v>
      </c>
      <c r="AF118" s="67">
        <f>Ruimtestaat[[#This Row],[uren / jaar weekend]]+Ruimtestaat[[#This Row],[uren / jaar werkdagen]]</f>
        <v>0</v>
      </c>
      <c r="AG118" s="68">
        <f>Ruimtestaat[[#This Row],[kosten / jaar weekend]]+Ruimtestaat[[#This Row],[kosten / jaar werkdagen]]</f>
        <v>0</v>
      </c>
      <c r="AH118" s="96"/>
      <c r="HL118" s="66"/>
    </row>
    <row r="119" spans="1:220" ht="15" customHeight="1">
      <c r="A119" s="114">
        <v>1</v>
      </c>
      <c r="B119" s="24" t="str">
        <f>VLOOKUP(Ruimtestaat[[#This Row],[Code]],Locaties[#All],2,FALSE)</f>
        <v>Hoofdgebouw</v>
      </c>
      <c r="C119" s="24" t="str">
        <f>VLOOKUP(Ruimtestaat[[#This Row],[Code]],Locaties[#All],4,FALSE)</f>
        <v>Rohofstraat 83</v>
      </c>
      <c r="D119" s="24" t="str">
        <f>VLOOKUP(Ruimtestaat[[#This Row],[Code]],Locaties[#All],5,FALSE)</f>
        <v>7605 AT</v>
      </c>
      <c r="E119" s="24" t="str">
        <f>VLOOKUP(Ruimtestaat[[#This Row],[Code]],Locaties[#All],6,FALSE)</f>
        <v>Almelo</v>
      </c>
      <c r="F119" s="61"/>
      <c r="G119" s="24" t="s">
        <v>574</v>
      </c>
      <c r="H119" s="28" t="s">
        <v>592</v>
      </c>
      <c r="I119" s="4" t="s">
        <v>451</v>
      </c>
      <c r="J119" s="24">
        <v>9</v>
      </c>
      <c r="K119" s="61" t="str">
        <f>VLOOKUP(J119,Ruimtegroepen[],2,FALSE)</f>
        <v>Kantoortuin</v>
      </c>
      <c r="L119" s="24" t="s">
        <v>103</v>
      </c>
      <c r="M119" s="24" t="s">
        <v>38</v>
      </c>
      <c r="N119" s="87">
        <v>48.4</v>
      </c>
      <c r="O119" s="87"/>
      <c r="P119" s="97" t="str">
        <f>LEFT(VLOOKUP(Ruimtestaat[[#This Row],[Ruimte code]],Ruimtegroepen[#All],4,1),2)</f>
        <v>Bu</v>
      </c>
      <c r="Q119" s="97"/>
      <c r="R119" s="88">
        <v>52</v>
      </c>
      <c r="S119" s="88" t="s">
        <v>2</v>
      </c>
      <c r="T119" s="89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19" s="89">
        <f>IF(T119&gt;0,VLOOKUP($J119,Ruimtegroepen[],3,FALSE)*VLOOKUP($L119,Vloersoorten[],3,FALSE)*VLOOKUP($S119,Frequenties[],3,FALSE)*VLOOKUP($A119,Locaties[],3,FALSE),0)</f>
        <v>0</v>
      </c>
      <c r="V119" s="90">
        <f>Ruimtestaat[[#This Row],[Uitvoeringen werkdagen]]*Ruimtestaat[[#This Row],[Oppervlak (netto)]]</f>
        <v>12584</v>
      </c>
      <c r="W119" s="91">
        <f>IF(U119&gt;0,Ruimtestaat[[#This Row],[Prest. (m2 /jaar) werkdagen]]/Ruimtestaat[[#This Row],[Norm (m2/uur) werkdagen]],0)</f>
        <v>0</v>
      </c>
      <c r="X119" s="92">
        <f>Ruimtestaat[[#This Row],[uren / jaar werkdagen]]*Tariefsopbouw!$E$35</f>
        <v>0</v>
      </c>
      <c r="Y119" s="89"/>
      <c r="Z119" s="93">
        <f>IF(Ruimtestaat[[#This Row],[Frequentie weekend]]&gt;0,VALUE(LEFT(Y119,1))*R119,0)</f>
        <v>0</v>
      </c>
      <c r="AA119" s="89">
        <f>IF($Z119&gt;0,VLOOKUP($J119,Ruimtegroepen[],3,FALSE)*VLOOKUP($L119,Vloersoorten[],3,FALSE)*VLOOKUP($Y119,Frequenties[],3,FALSE)*VLOOKUP($A115,Locaties[],3,FALSE),0)</f>
        <v>0</v>
      </c>
      <c r="AB119" s="91">
        <f>Ruimtestaat[[#This Row],[Uitvoeringen weekend]]*Ruimtestaat[[#This Row],[Oppervlak (netto)]]</f>
        <v>0</v>
      </c>
      <c r="AC119" s="94">
        <f>IF(AB119&gt;0,Ruimtestaat[[#This Row],[Prest. (m2 /jaar) weekend]]/Ruimtestaat[[#This Row],[Norm (m2/uur) weekend]],0)</f>
        <v>0</v>
      </c>
      <c r="AD119" s="95">
        <f>Ruimtestaat[[#This Row],[uren / jaar weekend]]*Tariefsopbouw!$D$40</f>
        <v>0</v>
      </c>
      <c r="AE119" s="67">
        <f>Ruimtestaat[[#This Row],[Prest. (m2 /jaar) weekend]]+Ruimtestaat[[#This Row],[Prest. (m2 /jaar) werkdagen]]</f>
        <v>12584</v>
      </c>
      <c r="AF119" s="67">
        <f>Ruimtestaat[[#This Row],[uren / jaar weekend]]+Ruimtestaat[[#This Row],[uren / jaar werkdagen]]</f>
        <v>0</v>
      </c>
      <c r="AG119" s="68">
        <f>Ruimtestaat[[#This Row],[kosten / jaar weekend]]+Ruimtestaat[[#This Row],[kosten / jaar werkdagen]]</f>
        <v>0</v>
      </c>
      <c r="AH119" s="96"/>
      <c r="HL119" s="66"/>
    </row>
    <row r="120" spans="1:220" ht="15" customHeight="1">
      <c r="A120" s="114">
        <v>1</v>
      </c>
      <c r="B120" s="24" t="str">
        <f>VLOOKUP(Ruimtestaat[[#This Row],[Code]],Locaties[#All],2,FALSE)</f>
        <v>Hoofdgebouw</v>
      </c>
      <c r="C120" s="24" t="str">
        <f>VLOOKUP(Ruimtestaat[[#This Row],[Code]],Locaties[#All],4,FALSE)</f>
        <v>Rohofstraat 83</v>
      </c>
      <c r="D120" s="24" t="str">
        <f>VLOOKUP(Ruimtestaat[[#This Row],[Code]],Locaties[#All],5,FALSE)</f>
        <v>7605 AT</v>
      </c>
      <c r="E120" s="24" t="str">
        <f>VLOOKUP(Ruimtestaat[[#This Row],[Code]],Locaties[#All],6,FALSE)</f>
        <v>Almelo</v>
      </c>
      <c r="F120" s="61"/>
      <c r="G120" s="24" t="s">
        <v>574</v>
      </c>
      <c r="H120" s="28" t="s">
        <v>593</v>
      </c>
      <c r="I120" s="4" t="s">
        <v>505</v>
      </c>
      <c r="J120" s="24">
        <v>9</v>
      </c>
      <c r="K120" s="61" t="str">
        <f>VLOOKUP(J120,Ruimtegroepen[],2,FALSE)</f>
        <v>Kantoortuin</v>
      </c>
      <c r="L120" s="24" t="s">
        <v>103</v>
      </c>
      <c r="M120" s="24" t="s">
        <v>38</v>
      </c>
      <c r="N120" s="87">
        <v>40.299999999999997</v>
      </c>
      <c r="O120" s="87"/>
      <c r="P120" s="97" t="str">
        <f>LEFT(VLOOKUP(Ruimtestaat[[#This Row],[Ruimte code]],Ruimtegroepen[#All],4,1),2)</f>
        <v>Bu</v>
      </c>
      <c r="Q120" s="97"/>
      <c r="R120" s="88">
        <v>52</v>
      </c>
      <c r="S120" s="88" t="s">
        <v>2</v>
      </c>
      <c r="T120" s="89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20" s="89">
        <f>IF(T120&gt;0,VLOOKUP($J120,Ruimtegroepen[],3,FALSE)*VLOOKUP($L120,Vloersoorten[],3,FALSE)*VLOOKUP($S120,Frequenties[],3,FALSE)*VLOOKUP($A120,Locaties[],3,FALSE),0)</f>
        <v>0</v>
      </c>
      <c r="V120" s="90">
        <f>Ruimtestaat[[#This Row],[Uitvoeringen werkdagen]]*Ruimtestaat[[#This Row],[Oppervlak (netto)]]</f>
        <v>10478</v>
      </c>
      <c r="W120" s="91">
        <f>IF(U120&gt;0,Ruimtestaat[[#This Row],[Prest. (m2 /jaar) werkdagen]]/Ruimtestaat[[#This Row],[Norm (m2/uur) werkdagen]],0)</f>
        <v>0</v>
      </c>
      <c r="X120" s="92">
        <f>Ruimtestaat[[#This Row],[uren / jaar werkdagen]]*Tariefsopbouw!$E$35</f>
        <v>0</v>
      </c>
      <c r="Y120" s="89"/>
      <c r="Z120" s="93">
        <f>IF(Ruimtestaat[[#This Row],[Frequentie weekend]]&gt;0,VALUE(LEFT(Y120,1))*R120,0)</f>
        <v>0</v>
      </c>
      <c r="AA120" s="89">
        <f>IF($Z120&gt;0,VLOOKUP($J120,Ruimtegroepen[],3,FALSE)*VLOOKUP($L120,Vloersoorten[],3,FALSE)*VLOOKUP($Y120,Frequenties[],3,FALSE)*VLOOKUP($A115,Locaties[],3,FALSE),0)</f>
        <v>0</v>
      </c>
      <c r="AB120" s="91">
        <f>Ruimtestaat[[#This Row],[Uitvoeringen weekend]]*Ruimtestaat[[#This Row],[Oppervlak (netto)]]</f>
        <v>0</v>
      </c>
      <c r="AC120" s="94">
        <f>IF(AB120&gt;0,Ruimtestaat[[#This Row],[Prest. (m2 /jaar) weekend]]/Ruimtestaat[[#This Row],[Norm (m2/uur) weekend]],0)</f>
        <v>0</v>
      </c>
      <c r="AD120" s="95">
        <f>Ruimtestaat[[#This Row],[uren / jaar weekend]]*Tariefsopbouw!$D$40</f>
        <v>0</v>
      </c>
      <c r="AE120" s="67">
        <f>Ruimtestaat[[#This Row],[Prest. (m2 /jaar) weekend]]+Ruimtestaat[[#This Row],[Prest. (m2 /jaar) werkdagen]]</f>
        <v>10478</v>
      </c>
      <c r="AF120" s="67">
        <f>Ruimtestaat[[#This Row],[uren / jaar weekend]]+Ruimtestaat[[#This Row],[uren / jaar werkdagen]]</f>
        <v>0</v>
      </c>
      <c r="AG120" s="68">
        <f>Ruimtestaat[[#This Row],[kosten / jaar weekend]]+Ruimtestaat[[#This Row],[kosten / jaar werkdagen]]</f>
        <v>0</v>
      </c>
      <c r="AH120" s="96"/>
      <c r="HL120" s="66"/>
    </row>
    <row r="121" spans="1:220" ht="15" customHeight="1">
      <c r="A121" s="114">
        <v>1</v>
      </c>
      <c r="B121" s="24" t="str">
        <f>VLOOKUP(Ruimtestaat[[#This Row],[Code]],Locaties[#All],2,FALSE)</f>
        <v>Hoofdgebouw</v>
      </c>
      <c r="C121" s="24" t="str">
        <f>VLOOKUP(Ruimtestaat[[#This Row],[Code]],Locaties[#All],4,FALSE)</f>
        <v>Rohofstraat 83</v>
      </c>
      <c r="D121" s="24" t="str">
        <f>VLOOKUP(Ruimtestaat[[#This Row],[Code]],Locaties[#All],5,FALSE)</f>
        <v>7605 AT</v>
      </c>
      <c r="E121" s="24" t="str">
        <f>VLOOKUP(Ruimtestaat[[#This Row],[Code]],Locaties[#All],6,FALSE)</f>
        <v>Almelo</v>
      </c>
      <c r="F121" s="61"/>
      <c r="G121" s="24" t="s">
        <v>574</v>
      </c>
      <c r="H121" s="28" t="s">
        <v>594</v>
      </c>
      <c r="I121" s="4" t="s">
        <v>451</v>
      </c>
      <c r="J121" s="24">
        <v>9</v>
      </c>
      <c r="K121" s="61" t="str">
        <f>VLOOKUP(J121,Ruimtegroepen[],2,FALSE)</f>
        <v>Kantoortuin</v>
      </c>
      <c r="L121" s="24" t="s">
        <v>103</v>
      </c>
      <c r="M121" s="24" t="s">
        <v>38</v>
      </c>
      <c r="N121" s="87">
        <v>48.5</v>
      </c>
      <c r="O121" s="87"/>
      <c r="P121" s="97" t="str">
        <f>LEFT(VLOOKUP(Ruimtestaat[[#This Row],[Ruimte code]],Ruimtegroepen[#All],4,1),2)</f>
        <v>Bu</v>
      </c>
      <c r="Q121" s="97"/>
      <c r="R121" s="88">
        <v>52</v>
      </c>
      <c r="S121" s="88" t="s">
        <v>2</v>
      </c>
      <c r="T121" s="89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21" s="89">
        <f>IF(T121&gt;0,VLOOKUP($J121,Ruimtegroepen[],3,FALSE)*VLOOKUP($L121,Vloersoorten[],3,FALSE)*VLOOKUP($S121,Frequenties[],3,FALSE)*VLOOKUP($A121,Locaties[],3,FALSE),0)</f>
        <v>0</v>
      </c>
      <c r="V121" s="90">
        <f>Ruimtestaat[[#This Row],[Uitvoeringen werkdagen]]*Ruimtestaat[[#This Row],[Oppervlak (netto)]]</f>
        <v>12610</v>
      </c>
      <c r="W121" s="91">
        <f>IF(U121&gt;0,Ruimtestaat[[#This Row],[Prest. (m2 /jaar) werkdagen]]/Ruimtestaat[[#This Row],[Norm (m2/uur) werkdagen]],0)</f>
        <v>0</v>
      </c>
      <c r="X121" s="92">
        <f>Ruimtestaat[[#This Row],[uren / jaar werkdagen]]*Tariefsopbouw!$E$35</f>
        <v>0</v>
      </c>
      <c r="Y121" s="89"/>
      <c r="Z121" s="93">
        <f>IF(Ruimtestaat[[#This Row],[Frequentie weekend]]&gt;0,VALUE(LEFT(Y121,1))*R121,0)</f>
        <v>0</v>
      </c>
      <c r="AA121" s="89">
        <f>IF($Z121&gt;0,VLOOKUP($J121,Ruimtegroepen[],3,FALSE)*VLOOKUP($L121,Vloersoorten[],3,FALSE)*VLOOKUP($Y121,Frequenties[],3,FALSE)*VLOOKUP($A116,Locaties[],3,FALSE),0)</f>
        <v>0</v>
      </c>
      <c r="AB121" s="91">
        <f>Ruimtestaat[[#This Row],[Uitvoeringen weekend]]*Ruimtestaat[[#This Row],[Oppervlak (netto)]]</f>
        <v>0</v>
      </c>
      <c r="AC121" s="94">
        <f>IF(AB121&gt;0,Ruimtestaat[[#This Row],[Prest. (m2 /jaar) weekend]]/Ruimtestaat[[#This Row],[Norm (m2/uur) weekend]],0)</f>
        <v>0</v>
      </c>
      <c r="AD121" s="95">
        <f>Ruimtestaat[[#This Row],[uren / jaar weekend]]*Tariefsopbouw!$D$40</f>
        <v>0</v>
      </c>
      <c r="AE121" s="67">
        <f>Ruimtestaat[[#This Row],[Prest. (m2 /jaar) weekend]]+Ruimtestaat[[#This Row],[Prest. (m2 /jaar) werkdagen]]</f>
        <v>12610</v>
      </c>
      <c r="AF121" s="67">
        <f>Ruimtestaat[[#This Row],[uren / jaar weekend]]+Ruimtestaat[[#This Row],[uren / jaar werkdagen]]</f>
        <v>0</v>
      </c>
      <c r="AG121" s="68">
        <f>Ruimtestaat[[#This Row],[kosten / jaar weekend]]+Ruimtestaat[[#This Row],[kosten / jaar werkdagen]]</f>
        <v>0</v>
      </c>
      <c r="AH121" s="96"/>
      <c r="HL121" s="66"/>
    </row>
    <row r="122" spans="1:220" ht="15" customHeight="1">
      <c r="A122" s="114">
        <v>1</v>
      </c>
      <c r="B122" s="24" t="str">
        <f>VLOOKUP(Ruimtestaat[[#This Row],[Code]],Locaties[#All],2,FALSE)</f>
        <v>Hoofdgebouw</v>
      </c>
      <c r="C122" s="24" t="str">
        <f>VLOOKUP(Ruimtestaat[[#This Row],[Code]],Locaties[#All],4,FALSE)</f>
        <v>Rohofstraat 83</v>
      </c>
      <c r="D122" s="24" t="str">
        <f>VLOOKUP(Ruimtestaat[[#This Row],[Code]],Locaties[#All],5,FALSE)</f>
        <v>7605 AT</v>
      </c>
      <c r="E122" s="24" t="str">
        <f>VLOOKUP(Ruimtestaat[[#This Row],[Code]],Locaties[#All],6,FALSE)</f>
        <v>Almelo</v>
      </c>
      <c r="F122" s="61"/>
      <c r="G122" s="24" t="s">
        <v>574</v>
      </c>
      <c r="H122" s="28" t="s">
        <v>595</v>
      </c>
      <c r="I122" s="4" t="s">
        <v>456</v>
      </c>
      <c r="J122" s="24">
        <v>2</v>
      </c>
      <c r="K122" s="61" t="str">
        <f>VLOOKUP(J122,Ruimtegroepen[],2,FALSE)</f>
        <v>Kantoren</v>
      </c>
      <c r="L122" s="24" t="s">
        <v>103</v>
      </c>
      <c r="M122" s="24" t="s">
        <v>38</v>
      </c>
      <c r="N122" s="87">
        <v>5.6</v>
      </c>
      <c r="O122" s="87"/>
      <c r="P122" s="97" t="str">
        <f>LEFT(VLOOKUP(Ruimtestaat[[#This Row],[Ruimte code]],Ruimtegroepen[#All],4,1),2)</f>
        <v>Bu</v>
      </c>
      <c r="Q122" s="97"/>
      <c r="R122" s="88">
        <v>52</v>
      </c>
      <c r="S122" s="88" t="s">
        <v>2</v>
      </c>
      <c r="T122" s="89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22" s="89">
        <f>IF(T122&gt;0,VLOOKUP($J122,Ruimtegroepen[],3,FALSE)*VLOOKUP($L122,Vloersoorten[],3,FALSE)*VLOOKUP($S122,Frequenties[],3,FALSE)*VLOOKUP($A122,Locaties[],3,FALSE),0)</f>
        <v>0</v>
      </c>
      <c r="V122" s="90">
        <f>Ruimtestaat[[#This Row],[Uitvoeringen werkdagen]]*Ruimtestaat[[#This Row],[Oppervlak (netto)]]</f>
        <v>1456</v>
      </c>
      <c r="W122" s="91">
        <f>IF(U122&gt;0,Ruimtestaat[[#This Row],[Prest. (m2 /jaar) werkdagen]]/Ruimtestaat[[#This Row],[Norm (m2/uur) werkdagen]],0)</f>
        <v>0</v>
      </c>
      <c r="X122" s="92">
        <f>Ruimtestaat[[#This Row],[uren / jaar werkdagen]]*Tariefsopbouw!$E$35</f>
        <v>0</v>
      </c>
      <c r="Y122" s="89"/>
      <c r="Z122" s="93">
        <f>IF(Ruimtestaat[[#This Row],[Frequentie weekend]]&gt;0,VALUE(LEFT(Y122,1))*R122,0)</f>
        <v>0</v>
      </c>
      <c r="AA122" s="89">
        <f>IF($Z122&gt;0,VLOOKUP($J122,Ruimtegroepen[],3,FALSE)*VLOOKUP($L122,Vloersoorten[],3,FALSE)*VLOOKUP($Y122,Frequenties[],3,FALSE)*VLOOKUP($A117,Locaties[],3,FALSE),0)</f>
        <v>0</v>
      </c>
      <c r="AB122" s="91">
        <f>Ruimtestaat[[#This Row],[Uitvoeringen weekend]]*Ruimtestaat[[#This Row],[Oppervlak (netto)]]</f>
        <v>0</v>
      </c>
      <c r="AC122" s="94">
        <f>IF(AB122&gt;0,Ruimtestaat[[#This Row],[Prest. (m2 /jaar) weekend]]/Ruimtestaat[[#This Row],[Norm (m2/uur) weekend]],0)</f>
        <v>0</v>
      </c>
      <c r="AD122" s="95">
        <f>Ruimtestaat[[#This Row],[uren / jaar weekend]]*Tariefsopbouw!$D$40</f>
        <v>0</v>
      </c>
      <c r="AE122" s="67">
        <f>Ruimtestaat[[#This Row],[Prest. (m2 /jaar) weekend]]+Ruimtestaat[[#This Row],[Prest. (m2 /jaar) werkdagen]]</f>
        <v>1456</v>
      </c>
      <c r="AF122" s="67">
        <f>Ruimtestaat[[#This Row],[uren / jaar weekend]]+Ruimtestaat[[#This Row],[uren / jaar werkdagen]]</f>
        <v>0</v>
      </c>
      <c r="AG122" s="68">
        <f>Ruimtestaat[[#This Row],[kosten / jaar weekend]]+Ruimtestaat[[#This Row],[kosten / jaar werkdagen]]</f>
        <v>0</v>
      </c>
      <c r="AH122" s="96"/>
      <c r="HL122" s="66"/>
    </row>
    <row r="123" spans="1:220" ht="15" customHeight="1">
      <c r="A123" s="114">
        <v>1</v>
      </c>
      <c r="B123" s="24" t="str">
        <f>VLOOKUP(Ruimtestaat[[#This Row],[Code]],Locaties[#All],2,FALSE)</f>
        <v>Hoofdgebouw</v>
      </c>
      <c r="C123" s="24" t="str">
        <f>VLOOKUP(Ruimtestaat[[#This Row],[Code]],Locaties[#All],4,FALSE)</f>
        <v>Rohofstraat 83</v>
      </c>
      <c r="D123" s="24" t="str">
        <f>VLOOKUP(Ruimtestaat[[#This Row],[Code]],Locaties[#All],5,FALSE)</f>
        <v>7605 AT</v>
      </c>
      <c r="E123" s="24" t="str">
        <f>VLOOKUP(Ruimtestaat[[#This Row],[Code]],Locaties[#All],6,FALSE)</f>
        <v>Almelo</v>
      </c>
      <c r="F123" s="61"/>
      <c r="G123" s="24" t="s">
        <v>574</v>
      </c>
      <c r="H123" s="28" t="s">
        <v>596</v>
      </c>
      <c r="I123" s="4" t="s">
        <v>456</v>
      </c>
      <c r="J123" s="24">
        <v>2</v>
      </c>
      <c r="K123" s="61" t="str">
        <f>VLOOKUP(J123,Ruimtegroepen[],2,FALSE)</f>
        <v>Kantoren</v>
      </c>
      <c r="L123" s="24" t="s">
        <v>103</v>
      </c>
      <c r="M123" s="24" t="s">
        <v>38</v>
      </c>
      <c r="N123" s="87">
        <v>11.6</v>
      </c>
      <c r="O123" s="87"/>
      <c r="P123" s="97" t="str">
        <f>LEFT(VLOOKUP(Ruimtestaat[[#This Row],[Ruimte code]],Ruimtegroepen[#All],4,1),2)</f>
        <v>Bu</v>
      </c>
      <c r="Q123" s="97"/>
      <c r="R123" s="88">
        <v>52</v>
      </c>
      <c r="S123" s="88" t="s">
        <v>2</v>
      </c>
      <c r="T123" s="89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23" s="89">
        <f>IF(T123&gt;0,VLOOKUP($J123,Ruimtegroepen[],3,FALSE)*VLOOKUP($L123,Vloersoorten[],3,FALSE)*VLOOKUP($S123,Frequenties[],3,FALSE)*VLOOKUP($A123,Locaties[],3,FALSE),0)</f>
        <v>0</v>
      </c>
      <c r="V123" s="90">
        <f>Ruimtestaat[[#This Row],[Uitvoeringen werkdagen]]*Ruimtestaat[[#This Row],[Oppervlak (netto)]]</f>
        <v>3016</v>
      </c>
      <c r="W123" s="91">
        <f>IF(U123&gt;0,Ruimtestaat[[#This Row],[Prest. (m2 /jaar) werkdagen]]/Ruimtestaat[[#This Row],[Norm (m2/uur) werkdagen]],0)</f>
        <v>0</v>
      </c>
      <c r="X123" s="92">
        <f>Ruimtestaat[[#This Row],[uren / jaar werkdagen]]*Tariefsopbouw!$E$35</f>
        <v>0</v>
      </c>
      <c r="Y123" s="89"/>
      <c r="Z123" s="93">
        <f>IF(Ruimtestaat[[#This Row],[Frequentie weekend]]&gt;0,VALUE(LEFT(Y123,1))*R123,0)</f>
        <v>0</v>
      </c>
      <c r="AA123" s="89">
        <f>IF($Z123&gt;0,VLOOKUP($J123,Ruimtegroepen[],3,FALSE)*VLOOKUP($L123,Vloersoorten[],3,FALSE)*VLOOKUP($Y123,Frequenties[],3,FALSE)*VLOOKUP($A118,Locaties[],3,FALSE),0)</f>
        <v>0</v>
      </c>
      <c r="AB123" s="91">
        <f>Ruimtestaat[[#This Row],[Uitvoeringen weekend]]*Ruimtestaat[[#This Row],[Oppervlak (netto)]]</f>
        <v>0</v>
      </c>
      <c r="AC123" s="94">
        <f>IF(AB123&gt;0,Ruimtestaat[[#This Row],[Prest. (m2 /jaar) weekend]]/Ruimtestaat[[#This Row],[Norm (m2/uur) weekend]],0)</f>
        <v>0</v>
      </c>
      <c r="AD123" s="95">
        <f>Ruimtestaat[[#This Row],[uren / jaar weekend]]*Tariefsopbouw!$D$40</f>
        <v>0</v>
      </c>
      <c r="AE123" s="67">
        <f>Ruimtestaat[[#This Row],[Prest. (m2 /jaar) weekend]]+Ruimtestaat[[#This Row],[Prest. (m2 /jaar) werkdagen]]</f>
        <v>3016</v>
      </c>
      <c r="AF123" s="67">
        <f>Ruimtestaat[[#This Row],[uren / jaar weekend]]+Ruimtestaat[[#This Row],[uren / jaar werkdagen]]</f>
        <v>0</v>
      </c>
      <c r="AG123" s="68">
        <f>Ruimtestaat[[#This Row],[kosten / jaar weekend]]+Ruimtestaat[[#This Row],[kosten / jaar werkdagen]]</f>
        <v>0</v>
      </c>
      <c r="AH123" s="96"/>
      <c r="HL123" s="66"/>
    </row>
    <row r="124" spans="1:220" ht="15" customHeight="1">
      <c r="A124" s="114">
        <v>1</v>
      </c>
      <c r="B124" s="24" t="str">
        <f>VLOOKUP(Ruimtestaat[[#This Row],[Code]],Locaties[#All],2,FALSE)</f>
        <v>Hoofdgebouw</v>
      </c>
      <c r="C124" s="24" t="str">
        <f>VLOOKUP(Ruimtestaat[[#This Row],[Code]],Locaties[#All],4,FALSE)</f>
        <v>Rohofstraat 83</v>
      </c>
      <c r="D124" s="24" t="str">
        <f>VLOOKUP(Ruimtestaat[[#This Row],[Code]],Locaties[#All],5,FALSE)</f>
        <v>7605 AT</v>
      </c>
      <c r="E124" s="24" t="str">
        <f>VLOOKUP(Ruimtestaat[[#This Row],[Code]],Locaties[#All],6,FALSE)</f>
        <v>Almelo</v>
      </c>
      <c r="F124" s="61"/>
      <c r="G124" s="24" t="s">
        <v>574</v>
      </c>
      <c r="H124" s="28" t="s">
        <v>597</v>
      </c>
      <c r="I124" s="4" t="s">
        <v>456</v>
      </c>
      <c r="J124" s="24">
        <v>2</v>
      </c>
      <c r="K124" s="61" t="str">
        <f>VLOOKUP(J124,Ruimtegroepen[],2,FALSE)</f>
        <v>Kantoren</v>
      </c>
      <c r="L124" s="24" t="s">
        <v>103</v>
      </c>
      <c r="M124" s="24" t="s">
        <v>38</v>
      </c>
      <c r="N124" s="87">
        <v>5.6</v>
      </c>
      <c r="O124" s="87"/>
      <c r="P124" s="97" t="str">
        <f>LEFT(VLOOKUP(Ruimtestaat[[#This Row],[Ruimte code]],Ruimtegroepen[#All],4,1),2)</f>
        <v>Bu</v>
      </c>
      <c r="Q124" s="97"/>
      <c r="R124" s="88">
        <v>52</v>
      </c>
      <c r="S124" s="88" t="s">
        <v>2</v>
      </c>
      <c r="T124" s="89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24" s="89">
        <f>IF(T124&gt;0,VLOOKUP($J124,Ruimtegroepen[],3,FALSE)*VLOOKUP($L124,Vloersoorten[],3,FALSE)*VLOOKUP($S124,Frequenties[],3,FALSE)*VLOOKUP($A124,Locaties[],3,FALSE),0)</f>
        <v>0</v>
      </c>
      <c r="V124" s="90">
        <f>Ruimtestaat[[#This Row],[Uitvoeringen werkdagen]]*Ruimtestaat[[#This Row],[Oppervlak (netto)]]</f>
        <v>1456</v>
      </c>
      <c r="W124" s="91">
        <f>IF(U124&gt;0,Ruimtestaat[[#This Row],[Prest. (m2 /jaar) werkdagen]]/Ruimtestaat[[#This Row],[Norm (m2/uur) werkdagen]],0)</f>
        <v>0</v>
      </c>
      <c r="X124" s="92">
        <f>Ruimtestaat[[#This Row],[uren / jaar werkdagen]]*Tariefsopbouw!$E$35</f>
        <v>0</v>
      </c>
      <c r="Y124" s="89"/>
      <c r="Z124" s="93">
        <f>IF(Ruimtestaat[[#This Row],[Frequentie weekend]]&gt;0,VALUE(LEFT(Y124,1))*R124,0)</f>
        <v>0</v>
      </c>
      <c r="AA124" s="89">
        <f>IF($Z124&gt;0,VLOOKUP($J124,Ruimtegroepen[],3,FALSE)*VLOOKUP($L124,Vloersoorten[],3,FALSE)*VLOOKUP($Y124,Frequenties[],3,FALSE)*VLOOKUP($A120,Locaties[],3,FALSE),0)</f>
        <v>0</v>
      </c>
      <c r="AB124" s="91">
        <f>Ruimtestaat[[#This Row],[Uitvoeringen weekend]]*Ruimtestaat[[#This Row],[Oppervlak (netto)]]</f>
        <v>0</v>
      </c>
      <c r="AC124" s="94">
        <f>IF(AB124&gt;0,Ruimtestaat[[#This Row],[Prest. (m2 /jaar) weekend]]/Ruimtestaat[[#This Row],[Norm (m2/uur) weekend]],0)</f>
        <v>0</v>
      </c>
      <c r="AD124" s="95">
        <f>Ruimtestaat[[#This Row],[uren / jaar weekend]]*Tariefsopbouw!$D$40</f>
        <v>0</v>
      </c>
      <c r="AE124" s="67">
        <f>Ruimtestaat[[#This Row],[Prest. (m2 /jaar) weekend]]+Ruimtestaat[[#This Row],[Prest. (m2 /jaar) werkdagen]]</f>
        <v>1456</v>
      </c>
      <c r="AF124" s="67">
        <f>Ruimtestaat[[#This Row],[uren / jaar weekend]]+Ruimtestaat[[#This Row],[uren / jaar werkdagen]]</f>
        <v>0</v>
      </c>
      <c r="AG124" s="68">
        <f>Ruimtestaat[[#This Row],[kosten / jaar weekend]]+Ruimtestaat[[#This Row],[kosten / jaar werkdagen]]</f>
        <v>0</v>
      </c>
      <c r="AH124" s="96"/>
      <c r="HL124" s="66"/>
    </row>
    <row r="125" spans="1:220" ht="15" customHeight="1">
      <c r="A125" s="114">
        <v>1</v>
      </c>
      <c r="B125" s="24" t="str">
        <f>VLOOKUP(Ruimtestaat[[#This Row],[Code]],Locaties[#All],2,FALSE)</f>
        <v>Hoofdgebouw</v>
      </c>
      <c r="C125" s="24" t="str">
        <f>VLOOKUP(Ruimtestaat[[#This Row],[Code]],Locaties[#All],4,FALSE)</f>
        <v>Rohofstraat 83</v>
      </c>
      <c r="D125" s="24" t="str">
        <f>VLOOKUP(Ruimtestaat[[#This Row],[Code]],Locaties[#All],5,FALSE)</f>
        <v>7605 AT</v>
      </c>
      <c r="E125" s="24" t="str">
        <f>VLOOKUP(Ruimtestaat[[#This Row],[Code]],Locaties[#All],6,FALSE)</f>
        <v>Almelo</v>
      </c>
      <c r="F125" s="61"/>
      <c r="G125" s="24" t="s">
        <v>574</v>
      </c>
      <c r="H125" s="28" t="s">
        <v>598</v>
      </c>
      <c r="I125" s="4" t="s">
        <v>456</v>
      </c>
      <c r="J125" s="24">
        <v>2</v>
      </c>
      <c r="K125" s="61" t="str">
        <f>VLOOKUP(J125,Ruimtegroepen[],2,FALSE)</f>
        <v>Kantoren</v>
      </c>
      <c r="L125" s="24" t="s">
        <v>103</v>
      </c>
      <c r="M125" s="24" t="s">
        <v>38</v>
      </c>
      <c r="N125" s="87">
        <v>6.66</v>
      </c>
      <c r="O125" s="87"/>
      <c r="P125" s="97" t="str">
        <f>LEFT(VLOOKUP(Ruimtestaat[[#This Row],[Ruimte code]],Ruimtegroepen[#All],4,1),2)</f>
        <v>Bu</v>
      </c>
      <c r="Q125" s="97"/>
      <c r="R125" s="88">
        <v>52</v>
      </c>
      <c r="S125" s="88" t="s">
        <v>2</v>
      </c>
      <c r="T125" s="89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25" s="89">
        <f>IF(T125&gt;0,VLOOKUP($J125,Ruimtegroepen[],3,FALSE)*VLOOKUP($L125,Vloersoorten[],3,FALSE)*VLOOKUP($S125,Frequenties[],3,FALSE)*VLOOKUP($A125,Locaties[],3,FALSE),0)</f>
        <v>0</v>
      </c>
      <c r="V125" s="90">
        <f>Ruimtestaat[[#This Row],[Uitvoeringen werkdagen]]*Ruimtestaat[[#This Row],[Oppervlak (netto)]]</f>
        <v>1731.6000000000001</v>
      </c>
      <c r="W125" s="91">
        <f>IF(U125&gt;0,Ruimtestaat[[#This Row],[Prest. (m2 /jaar) werkdagen]]/Ruimtestaat[[#This Row],[Norm (m2/uur) werkdagen]],0)</f>
        <v>0</v>
      </c>
      <c r="X125" s="92">
        <f>Ruimtestaat[[#This Row],[uren / jaar werkdagen]]*Tariefsopbouw!$E$35</f>
        <v>0</v>
      </c>
      <c r="Y125" s="89"/>
      <c r="Z125" s="93">
        <f>IF(Ruimtestaat[[#This Row],[Frequentie weekend]]&gt;0,VALUE(LEFT(Y125,1))*R125,0)</f>
        <v>0</v>
      </c>
      <c r="AA125" s="89">
        <f>IF($Z125&gt;0,VLOOKUP($J125,Ruimtegroepen[],3,FALSE)*VLOOKUP($L125,Vloersoorten[],3,FALSE)*VLOOKUP($Y125,Frequenties[],3,FALSE)*VLOOKUP($A121,Locaties[],3,FALSE),0)</f>
        <v>0</v>
      </c>
      <c r="AB125" s="91">
        <f>Ruimtestaat[[#This Row],[Uitvoeringen weekend]]*Ruimtestaat[[#This Row],[Oppervlak (netto)]]</f>
        <v>0</v>
      </c>
      <c r="AC125" s="94">
        <f>IF(AB125&gt;0,Ruimtestaat[[#This Row],[Prest. (m2 /jaar) weekend]]/Ruimtestaat[[#This Row],[Norm (m2/uur) weekend]],0)</f>
        <v>0</v>
      </c>
      <c r="AD125" s="95">
        <f>Ruimtestaat[[#This Row],[uren / jaar weekend]]*Tariefsopbouw!$D$40</f>
        <v>0</v>
      </c>
      <c r="AE125" s="67">
        <f>Ruimtestaat[[#This Row],[Prest. (m2 /jaar) weekend]]+Ruimtestaat[[#This Row],[Prest. (m2 /jaar) werkdagen]]</f>
        <v>1731.6000000000001</v>
      </c>
      <c r="AF125" s="67">
        <f>Ruimtestaat[[#This Row],[uren / jaar weekend]]+Ruimtestaat[[#This Row],[uren / jaar werkdagen]]</f>
        <v>0</v>
      </c>
      <c r="AG125" s="68">
        <f>Ruimtestaat[[#This Row],[kosten / jaar weekend]]+Ruimtestaat[[#This Row],[kosten / jaar werkdagen]]</f>
        <v>0</v>
      </c>
      <c r="AH125" s="96"/>
      <c r="HL125" s="66"/>
    </row>
    <row r="126" spans="1:220" ht="15" customHeight="1">
      <c r="A126" s="114">
        <v>1</v>
      </c>
      <c r="B126" s="24" t="str">
        <f>VLOOKUP(Ruimtestaat[[#This Row],[Code]],Locaties[#All],2,FALSE)</f>
        <v>Hoofdgebouw</v>
      </c>
      <c r="C126" s="24" t="str">
        <f>VLOOKUP(Ruimtestaat[[#This Row],[Code]],Locaties[#All],4,FALSE)</f>
        <v>Rohofstraat 83</v>
      </c>
      <c r="D126" s="24" t="str">
        <f>VLOOKUP(Ruimtestaat[[#This Row],[Code]],Locaties[#All],5,FALSE)</f>
        <v>7605 AT</v>
      </c>
      <c r="E126" s="24" t="str">
        <f>VLOOKUP(Ruimtestaat[[#This Row],[Code]],Locaties[#All],6,FALSE)</f>
        <v>Almelo</v>
      </c>
      <c r="F126" s="61"/>
      <c r="G126" s="24" t="s">
        <v>574</v>
      </c>
      <c r="H126" s="28" t="s">
        <v>599</v>
      </c>
      <c r="I126" s="4" t="s">
        <v>551</v>
      </c>
      <c r="J126" s="24">
        <v>1</v>
      </c>
      <c r="K126" s="61" t="str">
        <f>VLOOKUP(J126,Ruimtegroepen[],2,FALSE)</f>
        <v>Magazijnen/bergingen</v>
      </c>
      <c r="L126" s="24" t="s">
        <v>106</v>
      </c>
      <c r="M126" s="24" t="s">
        <v>126</v>
      </c>
      <c r="N126" s="87">
        <v>19.600000000000001</v>
      </c>
      <c r="O126" s="87"/>
      <c r="P126" s="97" t="str">
        <f>LEFT(VLOOKUP(Ruimtestaat[[#This Row],[Ruimte code]],Ruimtegroepen[#All],4,1),2)</f>
        <v>Ve</v>
      </c>
      <c r="Q126" s="97"/>
      <c r="R126" s="88">
        <v>52</v>
      </c>
      <c r="S126" s="88" t="s">
        <v>16</v>
      </c>
      <c r="T126" s="89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26" s="89">
        <f>IF(T126&gt;0,VLOOKUP($J126,Ruimtegroepen[],3,FALSE)*VLOOKUP($L126,Vloersoorten[],3,FALSE)*VLOOKUP($S126,Frequenties[],3,FALSE)*VLOOKUP($A126,Locaties[],3,FALSE),0)</f>
        <v>0</v>
      </c>
      <c r="V126" s="90">
        <f>Ruimtestaat[[#This Row],[Uitvoeringen werkdagen]]*Ruimtestaat[[#This Row],[Oppervlak (netto)]]</f>
        <v>235.20000000000002</v>
      </c>
      <c r="W126" s="91">
        <f>IF(U126&gt;0,Ruimtestaat[[#This Row],[Prest. (m2 /jaar) werkdagen]]/Ruimtestaat[[#This Row],[Norm (m2/uur) werkdagen]],0)</f>
        <v>0</v>
      </c>
      <c r="X126" s="92">
        <f>Ruimtestaat[[#This Row],[uren / jaar werkdagen]]*Tariefsopbouw!$E$35</f>
        <v>0</v>
      </c>
      <c r="Y126" s="89"/>
      <c r="Z126" s="93">
        <f>IF(Ruimtestaat[[#This Row],[Frequentie weekend]]&gt;0,VALUE(LEFT(Y126,1))*R126,0)</f>
        <v>0</v>
      </c>
      <c r="AA126" s="89">
        <f>IF($Z126&gt;0,VLOOKUP($J126,Ruimtegroepen[],3,FALSE)*VLOOKUP($L126,Vloersoorten[],3,FALSE)*VLOOKUP($Y126,Frequenties[],3,FALSE)*VLOOKUP($A122,Locaties[],3,FALSE),0)</f>
        <v>0</v>
      </c>
      <c r="AB126" s="91">
        <f>Ruimtestaat[[#This Row],[Uitvoeringen weekend]]*Ruimtestaat[[#This Row],[Oppervlak (netto)]]</f>
        <v>0</v>
      </c>
      <c r="AC126" s="94">
        <f>IF(AB126&gt;0,Ruimtestaat[[#This Row],[Prest. (m2 /jaar) weekend]]/Ruimtestaat[[#This Row],[Norm (m2/uur) weekend]],0)</f>
        <v>0</v>
      </c>
      <c r="AD126" s="95">
        <f>Ruimtestaat[[#This Row],[uren / jaar weekend]]*Tariefsopbouw!$D$40</f>
        <v>0</v>
      </c>
      <c r="AE126" s="67">
        <f>Ruimtestaat[[#This Row],[Prest. (m2 /jaar) weekend]]+Ruimtestaat[[#This Row],[Prest. (m2 /jaar) werkdagen]]</f>
        <v>235.20000000000002</v>
      </c>
      <c r="AF126" s="67">
        <f>Ruimtestaat[[#This Row],[uren / jaar weekend]]+Ruimtestaat[[#This Row],[uren / jaar werkdagen]]</f>
        <v>0</v>
      </c>
      <c r="AG126" s="68">
        <f>Ruimtestaat[[#This Row],[kosten / jaar weekend]]+Ruimtestaat[[#This Row],[kosten / jaar werkdagen]]</f>
        <v>0</v>
      </c>
      <c r="AH126" s="96"/>
      <c r="HL126" s="66"/>
    </row>
    <row r="127" spans="1:220" ht="15" customHeight="1">
      <c r="A127" s="114">
        <v>1</v>
      </c>
      <c r="B127" s="24" t="str">
        <f>VLOOKUP(Ruimtestaat[[#This Row],[Code]],Locaties[#All],2,FALSE)</f>
        <v>Hoofdgebouw</v>
      </c>
      <c r="C127" s="24" t="str">
        <f>VLOOKUP(Ruimtestaat[[#This Row],[Code]],Locaties[#All],4,FALSE)</f>
        <v>Rohofstraat 83</v>
      </c>
      <c r="D127" s="24" t="str">
        <f>VLOOKUP(Ruimtestaat[[#This Row],[Code]],Locaties[#All],5,FALSE)</f>
        <v>7605 AT</v>
      </c>
      <c r="E127" s="24" t="str">
        <f>VLOOKUP(Ruimtestaat[[#This Row],[Code]],Locaties[#All],6,FALSE)</f>
        <v>Almelo</v>
      </c>
      <c r="F127" s="61"/>
      <c r="G127" s="24" t="s">
        <v>574</v>
      </c>
      <c r="H127" s="28" t="s">
        <v>600</v>
      </c>
      <c r="I127" s="4" t="s">
        <v>479</v>
      </c>
      <c r="J127" s="24">
        <v>17</v>
      </c>
      <c r="K127" s="61" t="str">
        <f>VLOOKUP(J127,Ruimtegroepen[],2,FALSE)</f>
        <v>Niet in Onderhoud</v>
      </c>
      <c r="M127" s="24"/>
      <c r="N127" s="87"/>
      <c r="O127" s="87">
        <v>3.5</v>
      </c>
      <c r="P127" s="97" t="str">
        <f>LEFT(VLOOKUP(Ruimtestaat[[#This Row],[Ruimte code]],Ruimtegroepen[#All],4,1),2)</f>
        <v/>
      </c>
      <c r="Q127" s="97"/>
      <c r="R127" s="88"/>
      <c r="S127" s="88"/>
      <c r="T127" s="89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7" s="89">
        <f>IF(T127&gt;0,VLOOKUP($J127,Ruimtegroepen[],3,FALSE)*VLOOKUP($L127,Vloersoorten[],3,FALSE)*VLOOKUP($S127,Frequenties[],3,FALSE)*VLOOKUP($A127,Locaties[],3,FALSE),0)</f>
        <v>0</v>
      </c>
      <c r="V127" s="90">
        <f>Ruimtestaat[[#This Row],[Uitvoeringen werkdagen]]*Ruimtestaat[[#This Row],[Oppervlak (netto)]]</f>
        <v>0</v>
      </c>
      <c r="W127" s="91">
        <f>IF(U127&gt;0,Ruimtestaat[[#This Row],[Prest. (m2 /jaar) werkdagen]]/Ruimtestaat[[#This Row],[Norm (m2/uur) werkdagen]],0)</f>
        <v>0</v>
      </c>
      <c r="X127" s="92">
        <f>Ruimtestaat[[#This Row],[uren / jaar werkdagen]]*Tariefsopbouw!$E$35</f>
        <v>0</v>
      </c>
      <c r="Y127" s="89"/>
      <c r="Z127" s="93">
        <f>IF(Ruimtestaat[[#This Row],[Frequentie weekend]]&gt;0,VALUE(LEFT(Y127,1))*R127,0)</f>
        <v>0</v>
      </c>
      <c r="AA127" s="89">
        <f>IF($Z127&gt;0,VLOOKUP($J127,Ruimtegroepen[],3,FALSE)*VLOOKUP($L127,Vloersoorten[],3,FALSE)*VLOOKUP($Y127,Frequenties[],3,FALSE)*VLOOKUP($A123,Locaties[],3,FALSE),0)</f>
        <v>0</v>
      </c>
      <c r="AB127" s="91">
        <f>Ruimtestaat[[#This Row],[Uitvoeringen weekend]]*Ruimtestaat[[#This Row],[Oppervlak (netto)]]</f>
        <v>0</v>
      </c>
      <c r="AC127" s="94">
        <f>IF(AB127&gt;0,Ruimtestaat[[#This Row],[Prest. (m2 /jaar) weekend]]/Ruimtestaat[[#This Row],[Norm (m2/uur) weekend]],0)</f>
        <v>0</v>
      </c>
      <c r="AD127" s="95">
        <f>Ruimtestaat[[#This Row],[uren / jaar weekend]]*Tariefsopbouw!$D$40</f>
        <v>0</v>
      </c>
      <c r="AE127" s="67">
        <f>Ruimtestaat[[#This Row],[Prest. (m2 /jaar) weekend]]+Ruimtestaat[[#This Row],[Prest. (m2 /jaar) werkdagen]]</f>
        <v>0</v>
      </c>
      <c r="AF127" s="67">
        <f>Ruimtestaat[[#This Row],[uren / jaar weekend]]+Ruimtestaat[[#This Row],[uren / jaar werkdagen]]</f>
        <v>0</v>
      </c>
      <c r="AG127" s="68">
        <f>Ruimtestaat[[#This Row],[kosten / jaar weekend]]+Ruimtestaat[[#This Row],[kosten / jaar werkdagen]]</f>
        <v>0</v>
      </c>
      <c r="AH127" s="96"/>
      <c r="HL127" s="66"/>
    </row>
    <row r="128" spans="1:220" ht="15" customHeight="1">
      <c r="A128" s="114">
        <v>1</v>
      </c>
      <c r="B128" s="24" t="str">
        <f>VLOOKUP(Ruimtestaat[[#This Row],[Code]],Locaties[#All],2,FALSE)</f>
        <v>Hoofdgebouw</v>
      </c>
      <c r="C128" s="24" t="str">
        <f>VLOOKUP(Ruimtestaat[[#This Row],[Code]],Locaties[#All],4,FALSE)</f>
        <v>Rohofstraat 83</v>
      </c>
      <c r="D128" s="24" t="str">
        <f>VLOOKUP(Ruimtestaat[[#This Row],[Code]],Locaties[#All],5,FALSE)</f>
        <v>7605 AT</v>
      </c>
      <c r="E128" s="24" t="str">
        <f>VLOOKUP(Ruimtestaat[[#This Row],[Code]],Locaties[#All],6,FALSE)</f>
        <v>Almelo</v>
      </c>
      <c r="F128" s="61"/>
      <c r="G128" s="24" t="s">
        <v>574</v>
      </c>
      <c r="H128" s="28" t="s">
        <v>601</v>
      </c>
      <c r="I128" s="4" t="s">
        <v>481</v>
      </c>
      <c r="J128" s="24">
        <v>17</v>
      </c>
      <c r="K128" s="61" t="str">
        <f>VLOOKUP(J128,Ruimtegroepen[],2,FALSE)</f>
        <v>Niet in Onderhoud</v>
      </c>
      <c r="M128" s="24"/>
      <c r="N128" s="87"/>
      <c r="O128" s="87">
        <v>0.7</v>
      </c>
      <c r="P128" s="97" t="str">
        <f>LEFT(VLOOKUP(Ruimtestaat[[#This Row],[Ruimte code]],Ruimtegroepen[#All],4,1),2)</f>
        <v/>
      </c>
      <c r="Q128" s="97"/>
      <c r="R128" s="88"/>
      <c r="S128" s="88"/>
      <c r="T128" s="89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8" s="89">
        <f>IF(T128&gt;0,VLOOKUP($J128,Ruimtegroepen[],3,FALSE)*VLOOKUP($L128,Vloersoorten[],3,FALSE)*VLOOKUP($S128,Frequenties[],3,FALSE)*VLOOKUP($A128,Locaties[],3,FALSE),0)</f>
        <v>0</v>
      </c>
      <c r="V128" s="90">
        <f>Ruimtestaat[[#This Row],[Uitvoeringen werkdagen]]*Ruimtestaat[[#This Row],[Oppervlak (netto)]]</f>
        <v>0</v>
      </c>
      <c r="W128" s="91">
        <f>IF(U128&gt;0,Ruimtestaat[[#This Row],[Prest. (m2 /jaar) werkdagen]]/Ruimtestaat[[#This Row],[Norm (m2/uur) werkdagen]],0)</f>
        <v>0</v>
      </c>
      <c r="X128" s="92">
        <f>Ruimtestaat[[#This Row],[uren / jaar werkdagen]]*Tariefsopbouw!$E$35</f>
        <v>0</v>
      </c>
      <c r="Y128" s="89"/>
      <c r="Z128" s="93">
        <f>IF(Ruimtestaat[[#This Row],[Frequentie weekend]]&gt;0,VALUE(LEFT(Y128,1))*R128,0)</f>
        <v>0</v>
      </c>
      <c r="AA128" s="89">
        <f>IF($Z128&gt;0,VLOOKUP($J128,Ruimtegroepen[],3,FALSE)*VLOOKUP($L128,Vloersoorten[],3,FALSE)*VLOOKUP($Y128,Frequenties[],3,FALSE)*VLOOKUP($A99,Locaties[],3,FALSE),0)</f>
        <v>0</v>
      </c>
      <c r="AB128" s="91">
        <f>Ruimtestaat[[#This Row],[Uitvoeringen weekend]]*Ruimtestaat[[#This Row],[Oppervlak (netto)]]</f>
        <v>0</v>
      </c>
      <c r="AC128" s="94">
        <f>IF(AB128&gt;0,Ruimtestaat[[#This Row],[Prest. (m2 /jaar) weekend]]/Ruimtestaat[[#This Row],[Norm (m2/uur) weekend]],0)</f>
        <v>0</v>
      </c>
      <c r="AD128" s="95">
        <f>Ruimtestaat[[#This Row],[uren / jaar weekend]]*Tariefsopbouw!$D$40</f>
        <v>0</v>
      </c>
      <c r="AE128" s="67">
        <f>Ruimtestaat[[#This Row],[Prest. (m2 /jaar) weekend]]+Ruimtestaat[[#This Row],[Prest. (m2 /jaar) werkdagen]]</f>
        <v>0</v>
      </c>
      <c r="AF128" s="67">
        <f>Ruimtestaat[[#This Row],[uren / jaar weekend]]+Ruimtestaat[[#This Row],[uren / jaar werkdagen]]</f>
        <v>0</v>
      </c>
      <c r="AG128" s="68">
        <f>Ruimtestaat[[#This Row],[kosten / jaar weekend]]+Ruimtestaat[[#This Row],[kosten / jaar werkdagen]]</f>
        <v>0</v>
      </c>
      <c r="AH128" s="96"/>
      <c r="HL128" s="66"/>
    </row>
    <row r="129" spans="1:220" ht="15" customHeight="1">
      <c r="A129" s="114">
        <v>1</v>
      </c>
      <c r="B129" s="24" t="str">
        <f>VLOOKUP(Ruimtestaat[[#This Row],[Code]],Locaties[#All],2,FALSE)</f>
        <v>Hoofdgebouw</v>
      </c>
      <c r="C129" s="24" t="str">
        <f>VLOOKUP(Ruimtestaat[[#This Row],[Code]],Locaties[#All],4,FALSE)</f>
        <v>Rohofstraat 83</v>
      </c>
      <c r="D129" s="24" t="str">
        <f>VLOOKUP(Ruimtestaat[[#This Row],[Code]],Locaties[#All],5,FALSE)</f>
        <v>7605 AT</v>
      </c>
      <c r="E129" s="24" t="str">
        <f>VLOOKUP(Ruimtestaat[[#This Row],[Code]],Locaties[#All],6,FALSE)</f>
        <v>Almelo</v>
      </c>
      <c r="F129" s="61"/>
      <c r="G129" s="24" t="s">
        <v>574</v>
      </c>
      <c r="H129" s="28" t="s">
        <v>602</v>
      </c>
      <c r="I129" s="4" t="s">
        <v>474</v>
      </c>
      <c r="J129" s="24">
        <v>5</v>
      </c>
      <c r="K129" s="61" t="str">
        <f>VLOOKUP(J129,Ruimtegroepen[],2,FALSE)</f>
        <v>Sanitair</v>
      </c>
      <c r="L129" s="24" t="s">
        <v>105</v>
      </c>
      <c r="M129" s="24" t="s">
        <v>796</v>
      </c>
      <c r="N129" s="87">
        <v>6.9</v>
      </c>
      <c r="O129" s="87"/>
      <c r="P129" s="97" t="str">
        <f>LEFT(VLOOKUP(Ruimtestaat[[#This Row],[Ruimte code]],Ruimtegroepen[#All],4,1),2)</f>
        <v>Sa</v>
      </c>
      <c r="Q129" s="97"/>
      <c r="R129" s="88">
        <v>52</v>
      </c>
      <c r="S129" s="88" t="s">
        <v>2</v>
      </c>
      <c r="T129" s="89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29" s="89">
        <f>IF(T129&gt;0,VLOOKUP($J129,Ruimtegroepen[],3,FALSE)*VLOOKUP($L129,Vloersoorten[],3,FALSE)*VLOOKUP($S129,Frequenties[],3,FALSE)*VLOOKUP($A129,Locaties[],3,FALSE),0)</f>
        <v>0</v>
      </c>
      <c r="V129" s="90">
        <f>Ruimtestaat[[#This Row],[Uitvoeringen werkdagen]]*Ruimtestaat[[#This Row],[Oppervlak (netto)]]</f>
        <v>1794</v>
      </c>
      <c r="W129" s="91">
        <f>IF(U129&gt;0,Ruimtestaat[[#This Row],[Prest. (m2 /jaar) werkdagen]]/Ruimtestaat[[#This Row],[Norm (m2/uur) werkdagen]],0)</f>
        <v>0</v>
      </c>
      <c r="X129" s="92">
        <f>Ruimtestaat[[#This Row],[uren / jaar werkdagen]]*Tariefsopbouw!$E$35</f>
        <v>0</v>
      </c>
      <c r="Y129" s="89"/>
      <c r="Z129" s="93">
        <f>IF(Ruimtestaat[[#This Row],[Frequentie weekend]]&gt;0,VALUE(LEFT(Y129,1))*R129,0)</f>
        <v>0</v>
      </c>
      <c r="AA129" s="89">
        <f>IF($Z129&gt;0,VLOOKUP($J129,Ruimtegroepen[],3,FALSE)*VLOOKUP($L129,Vloersoorten[],3,FALSE)*VLOOKUP($Y129,Frequenties[],3,FALSE)*VLOOKUP($A100,Locaties[],3,FALSE),0)</f>
        <v>0</v>
      </c>
      <c r="AB129" s="91">
        <f>Ruimtestaat[[#This Row],[Uitvoeringen weekend]]*Ruimtestaat[[#This Row],[Oppervlak (netto)]]</f>
        <v>0</v>
      </c>
      <c r="AC129" s="94">
        <f>IF(AB129&gt;0,Ruimtestaat[[#This Row],[Prest. (m2 /jaar) weekend]]/Ruimtestaat[[#This Row],[Norm (m2/uur) weekend]],0)</f>
        <v>0</v>
      </c>
      <c r="AD129" s="95">
        <f>Ruimtestaat[[#This Row],[uren / jaar weekend]]*Tariefsopbouw!$D$40</f>
        <v>0</v>
      </c>
      <c r="AE129" s="67">
        <f>Ruimtestaat[[#This Row],[Prest. (m2 /jaar) weekend]]+Ruimtestaat[[#This Row],[Prest. (m2 /jaar) werkdagen]]</f>
        <v>1794</v>
      </c>
      <c r="AF129" s="67">
        <f>Ruimtestaat[[#This Row],[uren / jaar weekend]]+Ruimtestaat[[#This Row],[uren / jaar werkdagen]]</f>
        <v>0</v>
      </c>
      <c r="AG129" s="68">
        <f>Ruimtestaat[[#This Row],[kosten / jaar weekend]]+Ruimtestaat[[#This Row],[kosten / jaar werkdagen]]</f>
        <v>0</v>
      </c>
      <c r="AH129" s="96"/>
      <c r="HL129" s="66"/>
    </row>
    <row r="130" spans="1:220" ht="15" customHeight="1">
      <c r="A130" s="114">
        <v>1</v>
      </c>
      <c r="B130" s="24" t="str">
        <f>VLOOKUP(Ruimtestaat[[#This Row],[Code]],Locaties[#All],2,FALSE)</f>
        <v>Hoofdgebouw</v>
      </c>
      <c r="C130" s="24" t="str">
        <f>VLOOKUP(Ruimtestaat[[#This Row],[Code]],Locaties[#All],4,FALSE)</f>
        <v>Rohofstraat 83</v>
      </c>
      <c r="D130" s="24" t="str">
        <f>VLOOKUP(Ruimtestaat[[#This Row],[Code]],Locaties[#All],5,FALSE)</f>
        <v>7605 AT</v>
      </c>
      <c r="E130" s="24" t="str">
        <f>VLOOKUP(Ruimtestaat[[#This Row],[Code]],Locaties[#All],6,FALSE)</f>
        <v>Almelo</v>
      </c>
      <c r="F130" s="61"/>
      <c r="G130" s="24" t="s">
        <v>574</v>
      </c>
      <c r="H130" s="28" t="s">
        <v>603</v>
      </c>
      <c r="I130" s="4" t="s">
        <v>474</v>
      </c>
      <c r="J130" s="24">
        <v>5</v>
      </c>
      <c r="K130" s="61" t="str">
        <f>VLOOKUP(J130,Ruimtegroepen[],2,FALSE)</f>
        <v>Sanitair</v>
      </c>
      <c r="L130" s="24" t="s">
        <v>105</v>
      </c>
      <c r="M130" s="24" t="s">
        <v>796</v>
      </c>
      <c r="N130" s="87">
        <v>6.9</v>
      </c>
      <c r="O130" s="87"/>
      <c r="P130" s="97" t="str">
        <f>LEFT(VLOOKUP(Ruimtestaat[[#This Row],[Ruimte code]],Ruimtegroepen[#All],4,1),2)</f>
        <v>Sa</v>
      </c>
      <c r="Q130" s="97"/>
      <c r="R130" s="88">
        <v>52</v>
      </c>
      <c r="S130" s="88" t="s">
        <v>2</v>
      </c>
      <c r="T130" s="89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0" s="89">
        <f>IF(T130&gt;0,VLOOKUP($J130,Ruimtegroepen[],3,FALSE)*VLOOKUP($L130,Vloersoorten[],3,FALSE)*VLOOKUP($S130,Frequenties[],3,FALSE)*VLOOKUP($A130,Locaties[],3,FALSE),0)</f>
        <v>0</v>
      </c>
      <c r="V130" s="90">
        <f>Ruimtestaat[[#This Row],[Uitvoeringen werkdagen]]*Ruimtestaat[[#This Row],[Oppervlak (netto)]]</f>
        <v>1794</v>
      </c>
      <c r="W130" s="91">
        <f>IF(U130&gt;0,Ruimtestaat[[#This Row],[Prest. (m2 /jaar) werkdagen]]/Ruimtestaat[[#This Row],[Norm (m2/uur) werkdagen]],0)</f>
        <v>0</v>
      </c>
      <c r="X130" s="92">
        <f>Ruimtestaat[[#This Row],[uren / jaar werkdagen]]*Tariefsopbouw!$E$35</f>
        <v>0</v>
      </c>
      <c r="Y130" s="89"/>
      <c r="Z130" s="93">
        <f>IF(Ruimtestaat[[#This Row],[Frequentie weekend]]&gt;0,VALUE(LEFT(Y130,1))*R130,0)</f>
        <v>0</v>
      </c>
      <c r="AA130" s="89">
        <f>IF($Z130&gt;0,VLOOKUP($J130,Ruimtegroepen[],3,FALSE)*VLOOKUP($L130,Vloersoorten[],3,FALSE)*VLOOKUP($Y130,Frequenties[],3,FALSE)*VLOOKUP($A101,Locaties[],3,FALSE),0)</f>
        <v>0</v>
      </c>
      <c r="AB130" s="91">
        <f>Ruimtestaat[[#This Row],[Uitvoeringen weekend]]*Ruimtestaat[[#This Row],[Oppervlak (netto)]]</f>
        <v>0</v>
      </c>
      <c r="AC130" s="94">
        <f>IF(AB130&gt;0,Ruimtestaat[[#This Row],[Prest. (m2 /jaar) weekend]]/Ruimtestaat[[#This Row],[Norm (m2/uur) weekend]],0)</f>
        <v>0</v>
      </c>
      <c r="AD130" s="95">
        <f>Ruimtestaat[[#This Row],[uren / jaar weekend]]*Tariefsopbouw!$D$40</f>
        <v>0</v>
      </c>
      <c r="AE130" s="67">
        <f>Ruimtestaat[[#This Row],[Prest. (m2 /jaar) weekend]]+Ruimtestaat[[#This Row],[Prest. (m2 /jaar) werkdagen]]</f>
        <v>1794</v>
      </c>
      <c r="AF130" s="67">
        <f>Ruimtestaat[[#This Row],[uren / jaar weekend]]+Ruimtestaat[[#This Row],[uren / jaar werkdagen]]</f>
        <v>0</v>
      </c>
      <c r="AG130" s="68">
        <f>Ruimtestaat[[#This Row],[kosten / jaar weekend]]+Ruimtestaat[[#This Row],[kosten / jaar werkdagen]]</f>
        <v>0</v>
      </c>
      <c r="AH130" s="96"/>
      <c r="HL130" s="66"/>
    </row>
    <row r="131" spans="1:220" ht="15" customHeight="1">
      <c r="A131" s="114">
        <v>1</v>
      </c>
      <c r="B131" s="24" t="str">
        <f>VLOOKUP(Ruimtestaat[[#This Row],[Code]],Locaties[#All],2,FALSE)</f>
        <v>Hoofdgebouw</v>
      </c>
      <c r="C131" s="24" t="str">
        <f>VLOOKUP(Ruimtestaat[[#This Row],[Code]],Locaties[#All],4,FALSE)</f>
        <v>Rohofstraat 83</v>
      </c>
      <c r="D131" s="24" t="str">
        <f>VLOOKUP(Ruimtestaat[[#This Row],[Code]],Locaties[#All],5,FALSE)</f>
        <v>7605 AT</v>
      </c>
      <c r="E131" s="24" t="str">
        <f>VLOOKUP(Ruimtestaat[[#This Row],[Code]],Locaties[#All],6,FALSE)</f>
        <v>Almelo</v>
      </c>
      <c r="F131" s="61"/>
      <c r="G131" s="24" t="s">
        <v>574</v>
      </c>
      <c r="H131" s="28" t="s">
        <v>604</v>
      </c>
      <c r="I131" s="4" t="s">
        <v>605</v>
      </c>
      <c r="J131" s="24">
        <v>8</v>
      </c>
      <c r="K131" s="61" t="str">
        <f>VLOOKUP(J131,Ruimtegroepen[],2,FALSE)</f>
        <v>Woonkamer/aanland</v>
      </c>
      <c r="L131" s="24" t="s">
        <v>103</v>
      </c>
      <c r="M131" s="24" t="s">
        <v>38</v>
      </c>
      <c r="N131" s="87">
        <v>70</v>
      </c>
      <c r="O131" s="87"/>
      <c r="P131" s="97" t="str">
        <f>LEFT(VLOOKUP(Ruimtestaat[[#This Row],[Ruimte code]],Ruimtegroepen[#All],4,1),2)</f>
        <v>Ve</v>
      </c>
      <c r="Q131" s="97"/>
      <c r="R131" s="88">
        <v>52</v>
      </c>
      <c r="S131" s="88" t="s">
        <v>2</v>
      </c>
      <c r="T131" s="89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1" s="89">
        <f>IF(T131&gt;0,VLOOKUP($J131,Ruimtegroepen[],3,FALSE)*VLOOKUP($L131,Vloersoorten[],3,FALSE)*VLOOKUP($S131,Frequenties[],3,FALSE)*VLOOKUP($A131,Locaties[],3,FALSE),0)</f>
        <v>0</v>
      </c>
      <c r="V131" s="90">
        <f>Ruimtestaat[[#This Row],[Uitvoeringen werkdagen]]*Ruimtestaat[[#This Row],[Oppervlak (netto)]]</f>
        <v>18200</v>
      </c>
      <c r="W131" s="91">
        <f>IF(U131&gt;0,Ruimtestaat[[#This Row],[Prest. (m2 /jaar) werkdagen]]/Ruimtestaat[[#This Row],[Norm (m2/uur) werkdagen]],0)</f>
        <v>0</v>
      </c>
      <c r="X131" s="92">
        <f>Ruimtestaat[[#This Row],[uren / jaar werkdagen]]*Tariefsopbouw!$E$35</f>
        <v>0</v>
      </c>
      <c r="Y131" s="89"/>
      <c r="Z131" s="93">
        <f>IF(Ruimtestaat[[#This Row],[Frequentie weekend]]&gt;0,VALUE(LEFT(Y131,1))*R131,0)</f>
        <v>0</v>
      </c>
      <c r="AA131" s="89">
        <f>IF($Z131&gt;0,VLOOKUP($J131,Ruimtegroepen[],3,FALSE)*VLOOKUP($L131,Vloersoorten[],3,FALSE)*VLOOKUP($Y131,Frequenties[],3,FALSE)*VLOOKUP($A102,Locaties[],3,FALSE),0)</f>
        <v>0</v>
      </c>
      <c r="AB131" s="91">
        <f>Ruimtestaat[[#This Row],[Uitvoeringen weekend]]*Ruimtestaat[[#This Row],[Oppervlak (netto)]]</f>
        <v>0</v>
      </c>
      <c r="AC131" s="94">
        <f>IF(AB131&gt;0,Ruimtestaat[[#This Row],[Prest. (m2 /jaar) weekend]]/Ruimtestaat[[#This Row],[Norm (m2/uur) weekend]],0)</f>
        <v>0</v>
      </c>
      <c r="AD131" s="95">
        <f>Ruimtestaat[[#This Row],[uren / jaar weekend]]*Tariefsopbouw!$D$40</f>
        <v>0</v>
      </c>
      <c r="AE131" s="67">
        <f>Ruimtestaat[[#This Row],[Prest. (m2 /jaar) weekend]]+Ruimtestaat[[#This Row],[Prest. (m2 /jaar) werkdagen]]</f>
        <v>18200</v>
      </c>
      <c r="AF131" s="67">
        <f>Ruimtestaat[[#This Row],[uren / jaar weekend]]+Ruimtestaat[[#This Row],[uren / jaar werkdagen]]</f>
        <v>0</v>
      </c>
      <c r="AG131" s="68">
        <f>Ruimtestaat[[#This Row],[kosten / jaar weekend]]+Ruimtestaat[[#This Row],[kosten / jaar werkdagen]]</f>
        <v>0</v>
      </c>
      <c r="AH131" s="96"/>
      <c r="HL131" s="66"/>
    </row>
    <row r="132" spans="1:220" ht="15" customHeight="1">
      <c r="A132" s="114">
        <v>1</v>
      </c>
      <c r="B132" s="24" t="str">
        <f>VLOOKUP(Ruimtestaat[[#This Row],[Code]],Locaties[#All],2,FALSE)</f>
        <v>Hoofdgebouw</v>
      </c>
      <c r="C132" s="24" t="str">
        <f>VLOOKUP(Ruimtestaat[[#This Row],[Code]],Locaties[#All],4,FALSE)</f>
        <v>Rohofstraat 83</v>
      </c>
      <c r="D132" s="24" t="str">
        <f>VLOOKUP(Ruimtestaat[[#This Row],[Code]],Locaties[#All],5,FALSE)</f>
        <v>7605 AT</v>
      </c>
      <c r="E132" s="24" t="str">
        <f>VLOOKUP(Ruimtestaat[[#This Row],[Code]],Locaties[#All],6,FALSE)</f>
        <v>Almelo</v>
      </c>
      <c r="F132" s="61"/>
      <c r="G132" s="24" t="s">
        <v>574</v>
      </c>
      <c r="H132" s="28" t="s">
        <v>606</v>
      </c>
      <c r="I132" s="4" t="s">
        <v>472</v>
      </c>
      <c r="J132" s="24">
        <v>6</v>
      </c>
      <c r="K132" s="61" t="str">
        <f>VLOOKUP(J132,Ruimtegroepen[],2,FALSE)</f>
        <v>Gangen/hallen</v>
      </c>
      <c r="L132" s="24" t="s">
        <v>103</v>
      </c>
      <c r="M132" s="24" t="s">
        <v>38</v>
      </c>
      <c r="N132" s="87">
        <v>144.4</v>
      </c>
      <c r="O132" s="87"/>
      <c r="P132" s="97" t="str">
        <f>LEFT(VLOOKUP(Ruimtestaat[[#This Row],[Ruimte code]],Ruimtegroepen[#All],4,1),2)</f>
        <v>Ve</v>
      </c>
      <c r="Q132" s="97"/>
      <c r="R132" s="88">
        <v>52</v>
      </c>
      <c r="S132" s="88" t="s">
        <v>2</v>
      </c>
      <c r="T132" s="89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2" s="89">
        <f>IF(T132&gt;0,VLOOKUP($J132,Ruimtegroepen[],3,FALSE)*VLOOKUP($L132,Vloersoorten[],3,FALSE)*VLOOKUP($S132,Frequenties[],3,FALSE)*VLOOKUP($A132,Locaties[],3,FALSE),0)</f>
        <v>0</v>
      </c>
      <c r="V132" s="90">
        <f>Ruimtestaat[[#This Row],[Uitvoeringen werkdagen]]*Ruimtestaat[[#This Row],[Oppervlak (netto)]]</f>
        <v>37544</v>
      </c>
      <c r="W132" s="91">
        <f>IF(U132&gt;0,Ruimtestaat[[#This Row],[Prest. (m2 /jaar) werkdagen]]/Ruimtestaat[[#This Row],[Norm (m2/uur) werkdagen]],0)</f>
        <v>0</v>
      </c>
      <c r="X132" s="92">
        <f>Ruimtestaat[[#This Row],[uren / jaar werkdagen]]*Tariefsopbouw!$E$35</f>
        <v>0</v>
      </c>
      <c r="Y132" s="89"/>
      <c r="Z132" s="93">
        <f>IF(Ruimtestaat[[#This Row],[Frequentie weekend]]&gt;0,VALUE(LEFT(Y132,1))*R132,0)</f>
        <v>0</v>
      </c>
      <c r="AA132" s="89">
        <f>IF($Z132&gt;0,VLOOKUP($J132,Ruimtegroepen[],3,FALSE)*VLOOKUP($L132,Vloersoorten[],3,FALSE)*VLOOKUP($Y132,Frequenties[],3,FALSE)*VLOOKUP($A103,Locaties[],3,FALSE),0)</f>
        <v>0</v>
      </c>
      <c r="AB132" s="91">
        <f>Ruimtestaat[[#This Row],[Uitvoeringen weekend]]*Ruimtestaat[[#This Row],[Oppervlak (netto)]]</f>
        <v>0</v>
      </c>
      <c r="AC132" s="94">
        <f>IF(AB132&gt;0,Ruimtestaat[[#This Row],[Prest. (m2 /jaar) weekend]]/Ruimtestaat[[#This Row],[Norm (m2/uur) weekend]],0)</f>
        <v>0</v>
      </c>
      <c r="AD132" s="95">
        <f>Ruimtestaat[[#This Row],[uren / jaar weekend]]*Tariefsopbouw!$D$40</f>
        <v>0</v>
      </c>
      <c r="AE132" s="67">
        <f>Ruimtestaat[[#This Row],[Prest. (m2 /jaar) weekend]]+Ruimtestaat[[#This Row],[Prest. (m2 /jaar) werkdagen]]</f>
        <v>37544</v>
      </c>
      <c r="AF132" s="67">
        <f>Ruimtestaat[[#This Row],[uren / jaar weekend]]+Ruimtestaat[[#This Row],[uren / jaar werkdagen]]</f>
        <v>0</v>
      </c>
      <c r="AG132" s="68">
        <f>Ruimtestaat[[#This Row],[kosten / jaar weekend]]+Ruimtestaat[[#This Row],[kosten / jaar werkdagen]]</f>
        <v>0</v>
      </c>
      <c r="AH132" s="96"/>
      <c r="HL132" s="66"/>
    </row>
    <row r="133" spans="1:220" ht="15" customHeight="1">
      <c r="A133" s="114">
        <v>1</v>
      </c>
      <c r="B133" s="24" t="str">
        <f>VLOOKUP(Ruimtestaat[[#This Row],[Code]],Locaties[#All],2,FALSE)</f>
        <v>Hoofdgebouw</v>
      </c>
      <c r="C133" s="24" t="str">
        <f>VLOOKUP(Ruimtestaat[[#This Row],[Code]],Locaties[#All],4,FALSE)</f>
        <v>Rohofstraat 83</v>
      </c>
      <c r="D133" s="24" t="str">
        <f>VLOOKUP(Ruimtestaat[[#This Row],[Code]],Locaties[#All],5,FALSE)</f>
        <v>7605 AT</v>
      </c>
      <c r="E133" s="24" t="str">
        <f>VLOOKUP(Ruimtestaat[[#This Row],[Code]],Locaties[#All],6,FALSE)</f>
        <v>Almelo</v>
      </c>
      <c r="F133" s="61"/>
      <c r="G133" s="24" t="s">
        <v>574</v>
      </c>
      <c r="H133" s="28" t="s">
        <v>607</v>
      </c>
      <c r="I133" s="4" t="s">
        <v>443</v>
      </c>
      <c r="J133" s="24">
        <v>4</v>
      </c>
      <c r="K133" s="61" t="str">
        <f>VLOOKUP(J133,Ruimtegroepen[],2,FALSE)</f>
        <v>Vergader/spreekkamers</v>
      </c>
      <c r="L133" s="24" t="s">
        <v>103</v>
      </c>
      <c r="M133" s="24" t="s">
        <v>38</v>
      </c>
      <c r="N133" s="87">
        <v>24.1</v>
      </c>
      <c r="O133" s="87"/>
      <c r="P133" s="97" t="str">
        <f>LEFT(VLOOKUP(Ruimtestaat[[#This Row],[Ruimte code]],Ruimtegroepen[#All],4,1),2)</f>
        <v>Bu</v>
      </c>
      <c r="Q133" s="97"/>
      <c r="R133" s="88">
        <v>52</v>
      </c>
      <c r="S133" s="88" t="s">
        <v>2</v>
      </c>
      <c r="T133" s="89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3" s="89">
        <f>IF(T133&gt;0,VLOOKUP($J133,Ruimtegroepen[],3,FALSE)*VLOOKUP($L133,Vloersoorten[],3,FALSE)*VLOOKUP($S133,Frequenties[],3,FALSE)*VLOOKUP($A133,Locaties[],3,FALSE),0)</f>
        <v>0</v>
      </c>
      <c r="V133" s="90">
        <f>Ruimtestaat[[#This Row],[Uitvoeringen werkdagen]]*Ruimtestaat[[#This Row],[Oppervlak (netto)]]</f>
        <v>6266</v>
      </c>
      <c r="W133" s="91">
        <f>IF(U133&gt;0,Ruimtestaat[[#This Row],[Prest. (m2 /jaar) werkdagen]]/Ruimtestaat[[#This Row],[Norm (m2/uur) werkdagen]],0)</f>
        <v>0</v>
      </c>
      <c r="X133" s="92">
        <f>Ruimtestaat[[#This Row],[uren / jaar werkdagen]]*Tariefsopbouw!$E$35</f>
        <v>0</v>
      </c>
      <c r="Y133" s="89"/>
      <c r="Z133" s="93">
        <f>IF(Ruimtestaat[[#This Row],[Frequentie weekend]]&gt;0,VALUE(LEFT(Y133,1))*R133,0)</f>
        <v>0</v>
      </c>
      <c r="AA133" s="89">
        <f>IF($Z133&gt;0,VLOOKUP($J133,Ruimtegroepen[],3,FALSE)*VLOOKUP($L133,Vloersoorten[],3,FALSE)*VLOOKUP($Y133,Frequenties[],3,FALSE)*VLOOKUP($A104,Locaties[],3,FALSE),0)</f>
        <v>0</v>
      </c>
      <c r="AB133" s="91">
        <f>Ruimtestaat[[#This Row],[Uitvoeringen weekend]]*Ruimtestaat[[#This Row],[Oppervlak (netto)]]</f>
        <v>0</v>
      </c>
      <c r="AC133" s="94">
        <f>IF(AB133&gt;0,Ruimtestaat[[#This Row],[Prest. (m2 /jaar) weekend]]/Ruimtestaat[[#This Row],[Norm (m2/uur) weekend]],0)</f>
        <v>0</v>
      </c>
      <c r="AD133" s="95">
        <f>Ruimtestaat[[#This Row],[uren / jaar weekend]]*Tariefsopbouw!$D$40</f>
        <v>0</v>
      </c>
      <c r="AE133" s="67">
        <f>Ruimtestaat[[#This Row],[Prest. (m2 /jaar) weekend]]+Ruimtestaat[[#This Row],[Prest. (m2 /jaar) werkdagen]]</f>
        <v>6266</v>
      </c>
      <c r="AF133" s="67">
        <f>Ruimtestaat[[#This Row],[uren / jaar weekend]]+Ruimtestaat[[#This Row],[uren / jaar werkdagen]]</f>
        <v>0</v>
      </c>
      <c r="AG133" s="68">
        <f>Ruimtestaat[[#This Row],[kosten / jaar weekend]]+Ruimtestaat[[#This Row],[kosten / jaar werkdagen]]</f>
        <v>0</v>
      </c>
      <c r="AH133" s="96"/>
      <c r="HL133" s="66"/>
    </row>
    <row r="134" spans="1:220" ht="15" customHeight="1">
      <c r="A134" s="114">
        <v>1</v>
      </c>
      <c r="B134" s="24" t="str">
        <f>VLOOKUP(Ruimtestaat[[#This Row],[Code]],Locaties[#All],2,FALSE)</f>
        <v>Hoofdgebouw</v>
      </c>
      <c r="C134" s="24" t="str">
        <f>VLOOKUP(Ruimtestaat[[#This Row],[Code]],Locaties[#All],4,FALSE)</f>
        <v>Rohofstraat 83</v>
      </c>
      <c r="D134" s="24" t="str">
        <f>VLOOKUP(Ruimtestaat[[#This Row],[Code]],Locaties[#All],5,FALSE)</f>
        <v>7605 AT</v>
      </c>
      <c r="E134" s="24" t="str">
        <f>VLOOKUP(Ruimtestaat[[#This Row],[Code]],Locaties[#All],6,FALSE)</f>
        <v>Almelo</v>
      </c>
      <c r="F134" s="61"/>
      <c r="G134" s="24" t="s">
        <v>574</v>
      </c>
      <c r="H134" s="28" t="s">
        <v>608</v>
      </c>
      <c r="I134" s="4" t="s">
        <v>609</v>
      </c>
      <c r="J134" s="24">
        <v>4</v>
      </c>
      <c r="K134" s="61" t="str">
        <f>VLOOKUP(J134,Ruimtegroepen[],2,FALSE)</f>
        <v>Vergader/spreekkamers</v>
      </c>
      <c r="L134" s="24" t="s">
        <v>103</v>
      </c>
      <c r="M134" s="24" t="s">
        <v>38</v>
      </c>
      <c r="N134" s="87">
        <v>101</v>
      </c>
      <c r="O134" s="87"/>
      <c r="P134" s="97" t="str">
        <f>LEFT(VLOOKUP(Ruimtestaat[[#This Row],[Ruimte code]],Ruimtegroepen[#All],4,1),2)</f>
        <v>Bu</v>
      </c>
      <c r="Q134" s="97"/>
      <c r="R134" s="88">
        <v>52</v>
      </c>
      <c r="S134" s="88" t="s">
        <v>2</v>
      </c>
      <c r="T134" s="89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4" s="89">
        <f>IF(T134&gt;0,VLOOKUP($J134,Ruimtegroepen[],3,FALSE)*VLOOKUP($L134,Vloersoorten[],3,FALSE)*VLOOKUP($S134,Frequenties[],3,FALSE)*VLOOKUP($A134,Locaties[],3,FALSE),0)</f>
        <v>0</v>
      </c>
      <c r="V134" s="90">
        <f>Ruimtestaat[[#This Row],[Uitvoeringen werkdagen]]*Ruimtestaat[[#This Row],[Oppervlak (netto)]]</f>
        <v>26260</v>
      </c>
      <c r="W134" s="91">
        <f>IF(U134&gt;0,Ruimtestaat[[#This Row],[Prest. (m2 /jaar) werkdagen]]/Ruimtestaat[[#This Row],[Norm (m2/uur) werkdagen]],0)</f>
        <v>0</v>
      </c>
      <c r="X134" s="92">
        <f>Ruimtestaat[[#This Row],[uren / jaar werkdagen]]*Tariefsopbouw!$E$35</f>
        <v>0</v>
      </c>
      <c r="Y134" s="89"/>
      <c r="Z134" s="93">
        <f>IF(Ruimtestaat[[#This Row],[Frequentie weekend]]&gt;0,VALUE(LEFT(Y134,1))*R134,0)</f>
        <v>0</v>
      </c>
      <c r="AA134" s="89">
        <f>IF($Z134&gt;0,VLOOKUP($J134,Ruimtegroepen[],3,FALSE)*VLOOKUP($L134,Vloersoorten[],3,FALSE)*VLOOKUP($Y134,Frequenties[],3,FALSE)*VLOOKUP($A105,Locaties[],3,FALSE),0)</f>
        <v>0</v>
      </c>
      <c r="AB134" s="91">
        <f>Ruimtestaat[[#This Row],[Uitvoeringen weekend]]*Ruimtestaat[[#This Row],[Oppervlak (netto)]]</f>
        <v>0</v>
      </c>
      <c r="AC134" s="94">
        <f>IF(AB134&gt;0,Ruimtestaat[[#This Row],[Prest. (m2 /jaar) weekend]]/Ruimtestaat[[#This Row],[Norm (m2/uur) weekend]],0)</f>
        <v>0</v>
      </c>
      <c r="AD134" s="95">
        <f>Ruimtestaat[[#This Row],[uren / jaar weekend]]*Tariefsopbouw!$D$40</f>
        <v>0</v>
      </c>
      <c r="AE134" s="67">
        <f>Ruimtestaat[[#This Row],[Prest. (m2 /jaar) weekend]]+Ruimtestaat[[#This Row],[Prest. (m2 /jaar) werkdagen]]</f>
        <v>26260</v>
      </c>
      <c r="AF134" s="67">
        <f>Ruimtestaat[[#This Row],[uren / jaar weekend]]+Ruimtestaat[[#This Row],[uren / jaar werkdagen]]</f>
        <v>0</v>
      </c>
      <c r="AG134" s="68">
        <f>Ruimtestaat[[#This Row],[kosten / jaar weekend]]+Ruimtestaat[[#This Row],[kosten / jaar werkdagen]]</f>
        <v>0</v>
      </c>
      <c r="AH134" s="96"/>
      <c r="HL134" s="66"/>
    </row>
    <row r="135" spans="1:220" ht="15" customHeight="1">
      <c r="A135" s="114">
        <v>1</v>
      </c>
      <c r="B135" s="24" t="str">
        <f>VLOOKUP(Ruimtestaat[[#This Row],[Code]],Locaties[#All],2,FALSE)</f>
        <v>Hoofdgebouw</v>
      </c>
      <c r="C135" s="24" t="str">
        <f>VLOOKUP(Ruimtestaat[[#This Row],[Code]],Locaties[#All],4,FALSE)</f>
        <v>Rohofstraat 83</v>
      </c>
      <c r="D135" s="24" t="str">
        <f>VLOOKUP(Ruimtestaat[[#This Row],[Code]],Locaties[#All],5,FALSE)</f>
        <v>7605 AT</v>
      </c>
      <c r="E135" s="24" t="str">
        <f>VLOOKUP(Ruimtestaat[[#This Row],[Code]],Locaties[#All],6,FALSE)</f>
        <v>Almelo</v>
      </c>
      <c r="F135" s="61"/>
      <c r="G135" s="24" t="s">
        <v>574</v>
      </c>
      <c r="H135" s="28" t="s">
        <v>610</v>
      </c>
      <c r="I135" s="4" t="s">
        <v>611</v>
      </c>
      <c r="J135" s="24">
        <v>4</v>
      </c>
      <c r="K135" s="61" t="str">
        <f>VLOOKUP(J135,Ruimtegroepen[],2,FALSE)</f>
        <v>Vergader/spreekkamers</v>
      </c>
      <c r="L135" s="24" t="s">
        <v>103</v>
      </c>
      <c r="M135" s="24" t="s">
        <v>38</v>
      </c>
      <c r="N135" s="87">
        <v>47.8</v>
      </c>
      <c r="O135" s="87"/>
      <c r="P135" s="97" t="str">
        <f>LEFT(VLOOKUP(Ruimtestaat[[#This Row],[Ruimte code]],Ruimtegroepen[#All],4,1),2)</f>
        <v>Bu</v>
      </c>
      <c r="Q135" s="97"/>
      <c r="R135" s="88">
        <v>52</v>
      </c>
      <c r="S135" s="88" t="s">
        <v>2</v>
      </c>
      <c r="T135" s="89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5" s="89">
        <f>IF(T135&gt;0,VLOOKUP($J135,Ruimtegroepen[],3,FALSE)*VLOOKUP($L135,Vloersoorten[],3,FALSE)*VLOOKUP($S135,Frequenties[],3,FALSE)*VLOOKUP($A135,Locaties[],3,FALSE),0)</f>
        <v>0</v>
      </c>
      <c r="V135" s="90">
        <f>Ruimtestaat[[#This Row],[Uitvoeringen werkdagen]]*Ruimtestaat[[#This Row],[Oppervlak (netto)]]</f>
        <v>12428</v>
      </c>
      <c r="W135" s="91">
        <f>IF(U135&gt;0,Ruimtestaat[[#This Row],[Prest. (m2 /jaar) werkdagen]]/Ruimtestaat[[#This Row],[Norm (m2/uur) werkdagen]],0)</f>
        <v>0</v>
      </c>
      <c r="X135" s="92">
        <f>Ruimtestaat[[#This Row],[uren / jaar werkdagen]]*Tariefsopbouw!$E$35</f>
        <v>0</v>
      </c>
      <c r="Y135" s="89"/>
      <c r="Z135" s="93">
        <f>IF(Ruimtestaat[[#This Row],[Frequentie weekend]]&gt;0,VALUE(LEFT(Y135,1))*R135,0)</f>
        <v>0</v>
      </c>
      <c r="AA135" s="89">
        <f>IF($Z135&gt;0,VLOOKUP($J135,Ruimtegroepen[],3,FALSE)*VLOOKUP($L135,Vloersoorten[],3,FALSE)*VLOOKUP($Y135,Frequenties[],3,FALSE)*VLOOKUP($A106,Locaties[],3,FALSE),0)</f>
        <v>0</v>
      </c>
      <c r="AB135" s="91">
        <f>Ruimtestaat[[#This Row],[Uitvoeringen weekend]]*Ruimtestaat[[#This Row],[Oppervlak (netto)]]</f>
        <v>0</v>
      </c>
      <c r="AC135" s="94">
        <f>IF(AB135&gt;0,Ruimtestaat[[#This Row],[Prest. (m2 /jaar) weekend]]/Ruimtestaat[[#This Row],[Norm (m2/uur) weekend]],0)</f>
        <v>0</v>
      </c>
      <c r="AD135" s="95">
        <f>Ruimtestaat[[#This Row],[uren / jaar weekend]]*Tariefsopbouw!$D$40</f>
        <v>0</v>
      </c>
      <c r="AE135" s="67">
        <f>Ruimtestaat[[#This Row],[Prest. (m2 /jaar) weekend]]+Ruimtestaat[[#This Row],[Prest. (m2 /jaar) werkdagen]]</f>
        <v>12428</v>
      </c>
      <c r="AF135" s="67">
        <f>Ruimtestaat[[#This Row],[uren / jaar weekend]]+Ruimtestaat[[#This Row],[uren / jaar werkdagen]]</f>
        <v>0</v>
      </c>
      <c r="AG135" s="68">
        <f>Ruimtestaat[[#This Row],[kosten / jaar weekend]]+Ruimtestaat[[#This Row],[kosten / jaar werkdagen]]</f>
        <v>0</v>
      </c>
      <c r="AH135" s="96"/>
      <c r="HL135" s="66"/>
    </row>
    <row r="136" spans="1:220" ht="15" customHeight="1">
      <c r="A136" s="114">
        <v>1</v>
      </c>
      <c r="B136" s="24" t="str">
        <f>VLOOKUP(Ruimtestaat[[#This Row],[Code]],Locaties[#All],2,FALSE)</f>
        <v>Hoofdgebouw</v>
      </c>
      <c r="C136" s="24" t="str">
        <f>VLOOKUP(Ruimtestaat[[#This Row],[Code]],Locaties[#All],4,FALSE)</f>
        <v>Rohofstraat 83</v>
      </c>
      <c r="D136" s="24" t="str">
        <f>VLOOKUP(Ruimtestaat[[#This Row],[Code]],Locaties[#All],5,FALSE)</f>
        <v>7605 AT</v>
      </c>
      <c r="E136" s="24" t="str">
        <f>VLOOKUP(Ruimtestaat[[#This Row],[Code]],Locaties[#All],6,FALSE)</f>
        <v>Almelo</v>
      </c>
      <c r="F136" s="61"/>
      <c r="G136" s="24" t="s">
        <v>574</v>
      </c>
      <c r="H136" s="28" t="s">
        <v>612</v>
      </c>
      <c r="I136" s="4" t="s">
        <v>505</v>
      </c>
      <c r="J136" s="24">
        <v>9</v>
      </c>
      <c r="K136" s="61" t="str">
        <f>VLOOKUP(J136,Ruimtegroepen[],2,FALSE)</f>
        <v>Kantoortuin</v>
      </c>
      <c r="L136" s="24" t="s">
        <v>103</v>
      </c>
      <c r="M136" s="24" t="s">
        <v>38</v>
      </c>
      <c r="N136" s="87">
        <v>42.9</v>
      </c>
      <c r="O136" s="87"/>
      <c r="P136" s="97" t="str">
        <f>LEFT(VLOOKUP(Ruimtestaat[[#This Row],[Ruimte code]],Ruimtegroepen[#All],4,1),2)</f>
        <v>Bu</v>
      </c>
      <c r="Q136" s="97"/>
      <c r="R136" s="88">
        <v>52</v>
      </c>
      <c r="S136" s="88" t="s">
        <v>2</v>
      </c>
      <c r="T136" s="89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6" s="89">
        <f>IF(T136&gt;0,VLOOKUP($J136,Ruimtegroepen[],3,FALSE)*VLOOKUP($L136,Vloersoorten[],3,FALSE)*VLOOKUP($S136,Frequenties[],3,FALSE)*VLOOKUP($A136,Locaties[],3,FALSE),0)</f>
        <v>0</v>
      </c>
      <c r="V136" s="90">
        <f>Ruimtestaat[[#This Row],[Uitvoeringen werkdagen]]*Ruimtestaat[[#This Row],[Oppervlak (netto)]]</f>
        <v>11154</v>
      </c>
      <c r="W136" s="91">
        <f>IF(U136&gt;0,Ruimtestaat[[#This Row],[Prest. (m2 /jaar) werkdagen]]/Ruimtestaat[[#This Row],[Norm (m2/uur) werkdagen]],0)</f>
        <v>0</v>
      </c>
      <c r="X136" s="92">
        <f>Ruimtestaat[[#This Row],[uren / jaar werkdagen]]*Tariefsopbouw!$E$35</f>
        <v>0</v>
      </c>
      <c r="Y136" s="89"/>
      <c r="Z136" s="93">
        <f>IF(Ruimtestaat[[#This Row],[Frequentie weekend]]&gt;0,VALUE(LEFT(Y136,1))*R136,0)</f>
        <v>0</v>
      </c>
      <c r="AA136" s="89">
        <f>IF($Z136&gt;0,VLOOKUP($J136,Ruimtegroepen[],3,FALSE)*VLOOKUP($L136,Vloersoorten[],3,FALSE)*VLOOKUP($Y136,Frequenties[],3,FALSE)*VLOOKUP($A107,Locaties[],3,FALSE),0)</f>
        <v>0</v>
      </c>
      <c r="AB136" s="91">
        <f>Ruimtestaat[[#This Row],[Uitvoeringen weekend]]*Ruimtestaat[[#This Row],[Oppervlak (netto)]]</f>
        <v>0</v>
      </c>
      <c r="AC136" s="94">
        <f>IF(AB136&gt;0,Ruimtestaat[[#This Row],[Prest. (m2 /jaar) weekend]]/Ruimtestaat[[#This Row],[Norm (m2/uur) weekend]],0)</f>
        <v>0</v>
      </c>
      <c r="AD136" s="95">
        <f>Ruimtestaat[[#This Row],[uren / jaar weekend]]*Tariefsopbouw!$D$40</f>
        <v>0</v>
      </c>
      <c r="AE136" s="67">
        <f>Ruimtestaat[[#This Row],[Prest. (m2 /jaar) weekend]]+Ruimtestaat[[#This Row],[Prest. (m2 /jaar) werkdagen]]</f>
        <v>11154</v>
      </c>
      <c r="AF136" s="67">
        <f>Ruimtestaat[[#This Row],[uren / jaar weekend]]+Ruimtestaat[[#This Row],[uren / jaar werkdagen]]</f>
        <v>0</v>
      </c>
      <c r="AG136" s="68">
        <f>Ruimtestaat[[#This Row],[kosten / jaar weekend]]+Ruimtestaat[[#This Row],[kosten / jaar werkdagen]]</f>
        <v>0</v>
      </c>
      <c r="AH136" s="96"/>
      <c r="HL136" s="66"/>
    </row>
    <row r="137" spans="1:220" ht="15" customHeight="1">
      <c r="A137" s="114">
        <v>1</v>
      </c>
      <c r="B137" s="24" t="str">
        <f>VLOOKUP(Ruimtestaat[[#This Row],[Code]],Locaties[#All],2,FALSE)</f>
        <v>Hoofdgebouw</v>
      </c>
      <c r="C137" s="24" t="str">
        <f>VLOOKUP(Ruimtestaat[[#This Row],[Code]],Locaties[#All],4,FALSE)</f>
        <v>Rohofstraat 83</v>
      </c>
      <c r="D137" s="24" t="str">
        <f>VLOOKUP(Ruimtestaat[[#This Row],[Code]],Locaties[#All],5,FALSE)</f>
        <v>7605 AT</v>
      </c>
      <c r="E137" s="24" t="str">
        <f>VLOOKUP(Ruimtestaat[[#This Row],[Code]],Locaties[#All],6,FALSE)</f>
        <v>Almelo</v>
      </c>
      <c r="F137" s="61"/>
      <c r="G137" s="24" t="s">
        <v>574</v>
      </c>
      <c r="H137" s="28" t="s">
        <v>613</v>
      </c>
      <c r="I137" s="4" t="s">
        <v>505</v>
      </c>
      <c r="J137" s="24">
        <v>2</v>
      </c>
      <c r="K137" s="61" t="str">
        <f>VLOOKUP(J137,Ruimtegroepen[],2,FALSE)</f>
        <v>Kantoren</v>
      </c>
      <c r="L137" s="24" t="s">
        <v>103</v>
      </c>
      <c r="M137" s="24" t="s">
        <v>38</v>
      </c>
      <c r="N137" s="87">
        <v>18.899999999999999</v>
      </c>
      <c r="O137" s="87"/>
      <c r="P137" s="97" t="str">
        <f>LEFT(VLOOKUP(Ruimtestaat[[#This Row],[Ruimte code]],Ruimtegroepen[#All],4,1),2)</f>
        <v>Bu</v>
      </c>
      <c r="Q137" s="97"/>
      <c r="R137" s="88">
        <v>52</v>
      </c>
      <c r="S137" s="88" t="s">
        <v>2</v>
      </c>
      <c r="T137" s="89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7" s="89">
        <f>IF(T137&gt;0,VLOOKUP($J137,Ruimtegroepen[],3,FALSE)*VLOOKUP($L137,Vloersoorten[],3,FALSE)*VLOOKUP($S137,Frequenties[],3,FALSE)*VLOOKUP($A137,Locaties[],3,FALSE),0)</f>
        <v>0</v>
      </c>
      <c r="V137" s="90">
        <f>Ruimtestaat[[#This Row],[Uitvoeringen werkdagen]]*Ruimtestaat[[#This Row],[Oppervlak (netto)]]</f>
        <v>4914</v>
      </c>
      <c r="W137" s="91">
        <f>IF(U137&gt;0,Ruimtestaat[[#This Row],[Prest. (m2 /jaar) werkdagen]]/Ruimtestaat[[#This Row],[Norm (m2/uur) werkdagen]],0)</f>
        <v>0</v>
      </c>
      <c r="X137" s="92">
        <f>Ruimtestaat[[#This Row],[uren / jaar werkdagen]]*Tariefsopbouw!$E$35</f>
        <v>0</v>
      </c>
      <c r="Y137" s="89"/>
      <c r="Z137" s="93">
        <f>IF(Ruimtestaat[[#This Row],[Frequentie weekend]]&gt;0,VALUE(LEFT(Y137,1))*R137,0)</f>
        <v>0</v>
      </c>
      <c r="AA137" s="89">
        <f>IF($Z137&gt;0,VLOOKUP($J137,Ruimtegroepen[],3,FALSE)*VLOOKUP($L137,Vloersoorten[],3,FALSE)*VLOOKUP($Y137,Frequenties[],3,FALSE)*VLOOKUP($A108,Locaties[],3,FALSE),0)</f>
        <v>0</v>
      </c>
      <c r="AB137" s="91">
        <f>Ruimtestaat[[#This Row],[Uitvoeringen weekend]]*Ruimtestaat[[#This Row],[Oppervlak (netto)]]</f>
        <v>0</v>
      </c>
      <c r="AC137" s="94">
        <f>IF(AB137&gt;0,Ruimtestaat[[#This Row],[Prest. (m2 /jaar) weekend]]/Ruimtestaat[[#This Row],[Norm (m2/uur) weekend]],0)</f>
        <v>0</v>
      </c>
      <c r="AD137" s="95">
        <f>Ruimtestaat[[#This Row],[uren / jaar weekend]]*Tariefsopbouw!$D$40</f>
        <v>0</v>
      </c>
      <c r="AE137" s="67">
        <f>Ruimtestaat[[#This Row],[Prest. (m2 /jaar) weekend]]+Ruimtestaat[[#This Row],[Prest. (m2 /jaar) werkdagen]]</f>
        <v>4914</v>
      </c>
      <c r="AF137" s="67">
        <f>Ruimtestaat[[#This Row],[uren / jaar weekend]]+Ruimtestaat[[#This Row],[uren / jaar werkdagen]]</f>
        <v>0</v>
      </c>
      <c r="AG137" s="68">
        <f>Ruimtestaat[[#This Row],[kosten / jaar weekend]]+Ruimtestaat[[#This Row],[kosten / jaar werkdagen]]</f>
        <v>0</v>
      </c>
      <c r="AH137" s="96"/>
      <c r="HL137" s="66"/>
    </row>
    <row r="138" spans="1:220" ht="15" customHeight="1">
      <c r="A138" s="114">
        <v>1</v>
      </c>
      <c r="B138" s="24" t="str">
        <f>VLOOKUP(Ruimtestaat[[#This Row],[Code]],Locaties[#All],2,FALSE)</f>
        <v>Hoofdgebouw</v>
      </c>
      <c r="C138" s="24" t="str">
        <f>VLOOKUP(Ruimtestaat[[#This Row],[Code]],Locaties[#All],4,FALSE)</f>
        <v>Rohofstraat 83</v>
      </c>
      <c r="D138" s="24" t="str">
        <f>VLOOKUP(Ruimtestaat[[#This Row],[Code]],Locaties[#All],5,FALSE)</f>
        <v>7605 AT</v>
      </c>
      <c r="E138" s="24" t="str">
        <f>VLOOKUP(Ruimtestaat[[#This Row],[Code]],Locaties[#All],6,FALSE)</f>
        <v>Almelo</v>
      </c>
      <c r="F138" s="61"/>
      <c r="G138" s="24" t="s">
        <v>574</v>
      </c>
      <c r="H138" s="28" t="s">
        <v>614</v>
      </c>
      <c r="I138" s="4" t="s">
        <v>505</v>
      </c>
      <c r="J138" s="24">
        <v>9</v>
      </c>
      <c r="K138" s="61" t="str">
        <f>VLOOKUP(J138,Ruimtegroepen[],2,FALSE)</f>
        <v>Kantoortuin</v>
      </c>
      <c r="L138" s="24" t="s">
        <v>103</v>
      </c>
      <c r="M138" s="24" t="s">
        <v>38</v>
      </c>
      <c r="N138" s="87">
        <v>42.9</v>
      </c>
      <c r="O138" s="87"/>
      <c r="P138" s="97" t="str">
        <f>LEFT(VLOOKUP(Ruimtestaat[[#This Row],[Ruimte code]],Ruimtegroepen[#All],4,1),2)</f>
        <v>Bu</v>
      </c>
      <c r="Q138" s="97"/>
      <c r="R138" s="88">
        <v>52</v>
      </c>
      <c r="S138" s="88" t="s">
        <v>2</v>
      </c>
      <c r="T138" s="89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8" s="89">
        <f>IF(T138&gt;0,VLOOKUP($J138,Ruimtegroepen[],3,FALSE)*VLOOKUP($L138,Vloersoorten[],3,FALSE)*VLOOKUP($S138,Frequenties[],3,FALSE)*VLOOKUP($A138,Locaties[],3,FALSE),0)</f>
        <v>0</v>
      </c>
      <c r="V138" s="90">
        <f>Ruimtestaat[[#This Row],[Uitvoeringen werkdagen]]*Ruimtestaat[[#This Row],[Oppervlak (netto)]]</f>
        <v>11154</v>
      </c>
      <c r="W138" s="91">
        <f>IF(U138&gt;0,Ruimtestaat[[#This Row],[Prest. (m2 /jaar) werkdagen]]/Ruimtestaat[[#This Row],[Norm (m2/uur) werkdagen]],0)</f>
        <v>0</v>
      </c>
      <c r="X138" s="92">
        <f>Ruimtestaat[[#This Row],[uren / jaar werkdagen]]*Tariefsopbouw!$E$35</f>
        <v>0</v>
      </c>
      <c r="Y138" s="89"/>
      <c r="Z138" s="93">
        <f>IF(Ruimtestaat[[#This Row],[Frequentie weekend]]&gt;0,VALUE(LEFT(Y138,1))*R138,0)</f>
        <v>0</v>
      </c>
      <c r="AA138" s="89">
        <f>IF($Z138&gt;0,VLOOKUP($J138,Ruimtegroepen[],3,FALSE)*VLOOKUP($L138,Vloersoorten[],3,FALSE)*VLOOKUP($Y138,Frequenties[],3,FALSE)*VLOOKUP($A109,Locaties[],3,FALSE),0)</f>
        <v>0</v>
      </c>
      <c r="AB138" s="91">
        <f>Ruimtestaat[[#This Row],[Uitvoeringen weekend]]*Ruimtestaat[[#This Row],[Oppervlak (netto)]]</f>
        <v>0</v>
      </c>
      <c r="AC138" s="94">
        <f>IF(AB138&gt;0,Ruimtestaat[[#This Row],[Prest. (m2 /jaar) weekend]]/Ruimtestaat[[#This Row],[Norm (m2/uur) weekend]],0)</f>
        <v>0</v>
      </c>
      <c r="AD138" s="95">
        <f>Ruimtestaat[[#This Row],[uren / jaar weekend]]*Tariefsopbouw!$D$40</f>
        <v>0</v>
      </c>
      <c r="AE138" s="67">
        <f>Ruimtestaat[[#This Row],[Prest. (m2 /jaar) weekend]]+Ruimtestaat[[#This Row],[Prest. (m2 /jaar) werkdagen]]</f>
        <v>11154</v>
      </c>
      <c r="AF138" s="67">
        <f>Ruimtestaat[[#This Row],[uren / jaar weekend]]+Ruimtestaat[[#This Row],[uren / jaar werkdagen]]</f>
        <v>0</v>
      </c>
      <c r="AG138" s="68">
        <f>Ruimtestaat[[#This Row],[kosten / jaar weekend]]+Ruimtestaat[[#This Row],[kosten / jaar werkdagen]]</f>
        <v>0</v>
      </c>
      <c r="AH138" s="96"/>
      <c r="HL138" s="66"/>
    </row>
    <row r="139" spans="1:220" ht="15" customHeight="1">
      <c r="A139" s="114">
        <v>1</v>
      </c>
      <c r="B139" s="24" t="str">
        <f>VLOOKUP(Ruimtestaat[[#This Row],[Code]],Locaties[#All],2,FALSE)</f>
        <v>Hoofdgebouw</v>
      </c>
      <c r="C139" s="24" t="str">
        <f>VLOOKUP(Ruimtestaat[[#This Row],[Code]],Locaties[#All],4,FALSE)</f>
        <v>Rohofstraat 83</v>
      </c>
      <c r="D139" s="24" t="str">
        <f>VLOOKUP(Ruimtestaat[[#This Row],[Code]],Locaties[#All],5,FALSE)</f>
        <v>7605 AT</v>
      </c>
      <c r="E139" s="24" t="str">
        <f>VLOOKUP(Ruimtestaat[[#This Row],[Code]],Locaties[#All],6,FALSE)</f>
        <v>Almelo</v>
      </c>
      <c r="F139" s="61"/>
      <c r="G139" s="24" t="s">
        <v>574</v>
      </c>
      <c r="H139" s="28" t="s">
        <v>615</v>
      </c>
      <c r="I139" s="4" t="s">
        <v>443</v>
      </c>
      <c r="J139" s="24">
        <v>4</v>
      </c>
      <c r="K139" s="61" t="str">
        <f>VLOOKUP(J139,Ruimtegroepen[],2,FALSE)</f>
        <v>Vergader/spreekkamers</v>
      </c>
      <c r="L139" s="24" t="s">
        <v>103</v>
      </c>
      <c r="M139" s="24" t="s">
        <v>38</v>
      </c>
      <c r="N139" s="87">
        <v>12.2</v>
      </c>
      <c r="O139" s="87"/>
      <c r="P139" s="97" t="str">
        <f>LEFT(VLOOKUP(Ruimtestaat[[#This Row],[Ruimte code]],Ruimtegroepen[#All],4,1),2)</f>
        <v>Bu</v>
      </c>
      <c r="Q139" s="97"/>
      <c r="R139" s="88">
        <v>52</v>
      </c>
      <c r="S139" s="88" t="s">
        <v>2</v>
      </c>
      <c r="T139" s="89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39" s="89">
        <f>IF(T139&gt;0,VLOOKUP($J139,Ruimtegroepen[],3,FALSE)*VLOOKUP($L139,Vloersoorten[],3,FALSE)*VLOOKUP($S139,Frequenties[],3,FALSE)*VLOOKUP($A139,Locaties[],3,FALSE),0)</f>
        <v>0</v>
      </c>
      <c r="V139" s="90">
        <f>Ruimtestaat[[#This Row],[Uitvoeringen werkdagen]]*Ruimtestaat[[#This Row],[Oppervlak (netto)]]</f>
        <v>3172</v>
      </c>
      <c r="W139" s="91">
        <f>IF(U139&gt;0,Ruimtestaat[[#This Row],[Prest. (m2 /jaar) werkdagen]]/Ruimtestaat[[#This Row],[Norm (m2/uur) werkdagen]],0)</f>
        <v>0</v>
      </c>
      <c r="X139" s="92">
        <f>Ruimtestaat[[#This Row],[uren / jaar werkdagen]]*Tariefsopbouw!$E$35</f>
        <v>0</v>
      </c>
      <c r="Y139" s="89"/>
      <c r="Z139" s="93">
        <f>IF(Ruimtestaat[[#This Row],[Frequentie weekend]]&gt;0,VALUE(LEFT(Y139,1))*R139,0)</f>
        <v>0</v>
      </c>
      <c r="AA139" s="89">
        <f>IF($Z139&gt;0,VLOOKUP($J139,Ruimtegroepen[],3,FALSE)*VLOOKUP($L139,Vloersoorten[],3,FALSE)*VLOOKUP($Y139,Frequenties[],3,FALSE)*VLOOKUP($A110,Locaties[],3,FALSE),0)</f>
        <v>0</v>
      </c>
      <c r="AB139" s="91">
        <f>Ruimtestaat[[#This Row],[Uitvoeringen weekend]]*Ruimtestaat[[#This Row],[Oppervlak (netto)]]</f>
        <v>0</v>
      </c>
      <c r="AC139" s="94">
        <f>IF(AB139&gt;0,Ruimtestaat[[#This Row],[Prest. (m2 /jaar) weekend]]/Ruimtestaat[[#This Row],[Norm (m2/uur) weekend]],0)</f>
        <v>0</v>
      </c>
      <c r="AD139" s="95">
        <f>Ruimtestaat[[#This Row],[uren / jaar weekend]]*Tariefsopbouw!$D$40</f>
        <v>0</v>
      </c>
      <c r="AE139" s="67">
        <f>Ruimtestaat[[#This Row],[Prest. (m2 /jaar) weekend]]+Ruimtestaat[[#This Row],[Prest. (m2 /jaar) werkdagen]]</f>
        <v>3172</v>
      </c>
      <c r="AF139" s="67">
        <f>Ruimtestaat[[#This Row],[uren / jaar weekend]]+Ruimtestaat[[#This Row],[uren / jaar werkdagen]]</f>
        <v>0</v>
      </c>
      <c r="AG139" s="68">
        <f>Ruimtestaat[[#This Row],[kosten / jaar weekend]]+Ruimtestaat[[#This Row],[kosten / jaar werkdagen]]</f>
        <v>0</v>
      </c>
      <c r="AH139" s="96"/>
      <c r="HL139" s="66"/>
    </row>
    <row r="140" spans="1:220" ht="15" customHeight="1">
      <c r="A140" s="114">
        <v>1</v>
      </c>
      <c r="B140" s="24" t="str">
        <f>VLOOKUP(Ruimtestaat[[#This Row],[Code]],Locaties[#All],2,FALSE)</f>
        <v>Hoofdgebouw</v>
      </c>
      <c r="C140" s="24" t="str">
        <f>VLOOKUP(Ruimtestaat[[#This Row],[Code]],Locaties[#All],4,FALSE)</f>
        <v>Rohofstraat 83</v>
      </c>
      <c r="D140" s="24" t="str">
        <f>VLOOKUP(Ruimtestaat[[#This Row],[Code]],Locaties[#All],5,FALSE)</f>
        <v>7605 AT</v>
      </c>
      <c r="E140" s="24" t="str">
        <f>VLOOKUP(Ruimtestaat[[#This Row],[Code]],Locaties[#All],6,FALSE)</f>
        <v>Almelo</v>
      </c>
      <c r="F140" s="61"/>
      <c r="G140" s="24" t="s">
        <v>574</v>
      </c>
      <c r="H140" s="28" t="s">
        <v>616</v>
      </c>
      <c r="I140" s="4" t="s">
        <v>443</v>
      </c>
      <c r="J140" s="24">
        <v>4</v>
      </c>
      <c r="K140" s="61" t="str">
        <f>VLOOKUP(J140,Ruimtegroepen[],2,FALSE)</f>
        <v>Vergader/spreekkamers</v>
      </c>
      <c r="L140" s="24" t="s">
        <v>103</v>
      </c>
      <c r="M140" s="24" t="s">
        <v>38</v>
      </c>
      <c r="N140" s="87">
        <v>12.6</v>
      </c>
      <c r="O140" s="87"/>
      <c r="P140" s="97" t="str">
        <f>LEFT(VLOOKUP(Ruimtestaat[[#This Row],[Ruimte code]],Ruimtegroepen[#All],4,1),2)</f>
        <v>Bu</v>
      </c>
      <c r="Q140" s="97"/>
      <c r="R140" s="88">
        <v>52</v>
      </c>
      <c r="S140" s="88" t="s">
        <v>2</v>
      </c>
      <c r="T140" s="89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40" s="89">
        <f>IF(T140&gt;0,VLOOKUP($J140,Ruimtegroepen[],3,FALSE)*VLOOKUP($L140,Vloersoorten[],3,FALSE)*VLOOKUP($S140,Frequenties[],3,FALSE)*VLOOKUP($A140,Locaties[],3,FALSE),0)</f>
        <v>0</v>
      </c>
      <c r="V140" s="90">
        <f>Ruimtestaat[[#This Row],[Uitvoeringen werkdagen]]*Ruimtestaat[[#This Row],[Oppervlak (netto)]]</f>
        <v>3276</v>
      </c>
      <c r="W140" s="91">
        <f>IF(U140&gt;0,Ruimtestaat[[#This Row],[Prest. (m2 /jaar) werkdagen]]/Ruimtestaat[[#This Row],[Norm (m2/uur) werkdagen]],0)</f>
        <v>0</v>
      </c>
      <c r="X140" s="92">
        <f>Ruimtestaat[[#This Row],[uren / jaar werkdagen]]*Tariefsopbouw!$E$35</f>
        <v>0</v>
      </c>
      <c r="Y140" s="89"/>
      <c r="Z140" s="93">
        <f>IF(Ruimtestaat[[#This Row],[Frequentie weekend]]&gt;0,VALUE(LEFT(Y140,1))*R140,0)</f>
        <v>0</v>
      </c>
      <c r="AA140" s="89">
        <f>IF($Z140&gt;0,VLOOKUP($J140,Ruimtegroepen[],3,FALSE)*VLOOKUP($L140,Vloersoorten[],3,FALSE)*VLOOKUP($Y140,Frequenties[],3,FALSE)*VLOOKUP($A111,Locaties[],3,FALSE),0)</f>
        <v>0</v>
      </c>
      <c r="AB140" s="91">
        <f>Ruimtestaat[[#This Row],[Uitvoeringen weekend]]*Ruimtestaat[[#This Row],[Oppervlak (netto)]]</f>
        <v>0</v>
      </c>
      <c r="AC140" s="94">
        <f>IF(AB140&gt;0,Ruimtestaat[[#This Row],[Prest. (m2 /jaar) weekend]]/Ruimtestaat[[#This Row],[Norm (m2/uur) weekend]],0)</f>
        <v>0</v>
      </c>
      <c r="AD140" s="95">
        <f>Ruimtestaat[[#This Row],[uren / jaar weekend]]*Tariefsopbouw!$D$40</f>
        <v>0</v>
      </c>
      <c r="AE140" s="67">
        <f>Ruimtestaat[[#This Row],[Prest. (m2 /jaar) weekend]]+Ruimtestaat[[#This Row],[Prest. (m2 /jaar) werkdagen]]</f>
        <v>3276</v>
      </c>
      <c r="AF140" s="67">
        <f>Ruimtestaat[[#This Row],[uren / jaar weekend]]+Ruimtestaat[[#This Row],[uren / jaar werkdagen]]</f>
        <v>0</v>
      </c>
      <c r="AG140" s="68">
        <f>Ruimtestaat[[#This Row],[kosten / jaar weekend]]+Ruimtestaat[[#This Row],[kosten / jaar werkdagen]]</f>
        <v>0</v>
      </c>
      <c r="AH140" s="96"/>
      <c r="HL140" s="66"/>
    </row>
    <row r="141" spans="1:220" ht="15" customHeight="1">
      <c r="A141" s="114">
        <v>1</v>
      </c>
      <c r="B141" s="24" t="str">
        <f>VLOOKUP(Ruimtestaat[[#This Row],[Code]],Locaties[#All],2,FALSE)</f>
        <v>Hoofdgebouw</v>
      </c>
      <c r="C141" s="24" t="str">
        <f>VLOOKUP(Ruimtestaat[[#This Row],[Code]],Locaties[#All],4,FALSE)</f>
        <v>Rohofstraat 83</v>
      </c>
      <c r="D141" s="24" t="str">
        <f>VLOOKUP(Ruimtestaat[[#This Row],[Code]],Locaties[#All],5,FALSE)</f>
        <v>7605 AT</v>
      </c>
      <c r="E141" s="24" t="str">
        <f>VLOOKUP(Ruimtestaat[[#This Row],[Code]],Locaties[#All],6,FALSE)</f>
        <v>Almelo</v>
      </c>
      <c r="F141" s="61"/>
      <c r="G141" s="24" t="s">
        <v>574</v>
      </c>
      <c r="H141" s="28" t="s">
        <v>617</v>
      </c>
      <c r="I141" s="4" t="s">
        <v>443</v>
      </c>
      <c r="J141" s="24">
        <v>4</v>
      </c>
      <c r="K141" s="61" t="str">
        <f>VLOOKUP(J141,Ruimtegroepen[],2,FALSE)</f>
        <v>Vergader/spreekkamers</v>
      </c>
      <c r="L141" s="24" t="s">
        <v>103</v>
      </c>
      <c r="M141" s="24" t="s">
        <v>38</v>
      </c>
      <c r="N141" s="87">
        <v>13.2</v>
      </c>
      <c r="O141" s="87"/>
      <c r="P141" s="97" t="str">
        <f>LEFT(VLOOKUP(Ruimtestaat[[#This Row],[Ruimte code]],Ruimtegroepen[#All],4,1),2)</f>
        <v>Bu</v>
      </c>
      <c r="Q141" s="97"/>
      <c r="R141" s="88">
        <v>52</v>
      </c>
      <c r="S141" s="88" t="s">
        <v>2</v>
      </c>
      <c r="T141" s="89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41" s="89">
        <f>IF(T141&gt;0,VLOOKUP($J141,Ruimtegroepen[],3,FALSE)*VLOOKUP($L141,Vloersoorten[],3,FALSE)*VLOOKUP($S141,Frequenties[],3,FALSE)*VLOOKUP($A141,Locaties[],3,FALSE),0)</f>
        <v>0</v>
      </c>
      <c r="V141" s="90">
        <f>Ruimtestaat[[#This Row],[Uitvoeringen werkdagen]]*Ruimtestaat[[#This Row],[Oppervlak (netto)]]</f>
        <v>3432</v>
      </c>
      <c r="W141" s="91">
        <f>IF(U141&gt;0,Ruimtestaat[[#This Row],[Prest. (m2 /jaar) werkdagen]]/Ruimtestaat[[#This Row],[Norm (m2/uur) werkdagen]],0)</f>
        <v>0</v>
      </c>
      <c r="X141" s="92">
        <f>Ruimtestaat[[#This Row],[uren / jaar werkdagen]]*Tariefsopbouw!$E$35</f>
        <v>0</v>
      </c>
      <c r="Y141" s="89"/>
      <c r="Z141" s="93">
        <f>IF(Ruimtestaat[[#This Row],[Frequentie weekend]]&gt;0,VALUE(LEFT(Y141,1))*R141,0)</f>
        <v>0</v>
      </c>
      <c r="AA141" s="89">
        <f>IF($Z141&gt;0,VLOOKUP($J141,Ruimtegroepen[],3,FALSE)*VLOOKUP($L141,Vloersoorten[],3,FALSE)*VLOOKUP($Y141,Frequenties[],3,FALSE)*VLOOKUP($A112,Locaties[],3,FALSE),0)</f>
        <v>0</v>
      </c>
      <c r="AB141" s="91">
        <f>Ruimtestaat[[#This Row],[Uitvoeringen weekend]]*Ruimtestaat[[#This Row],[Oppervlak (netto)]]</f>
        <v>0</v>
      </c>
      <c r="AC141" s="94">
        <f>IF(AB141&gt;0,Ruimtestaat[[#This Row],[Prest. (m2 /jaar) weekend]]/Ruimtestaat[[#This Row],[Norm (m2/uur) weekend]],0)</f>
        <v>0</v>
      </c>
      <c r="AD141" s="95">
        <f>Ruimtestaat[[#This Row],[uren / jaar weekend]]*Tariefsopbouw!$D$40</f>
        <v>0</v>
      </c>
      <c r="AE141" s="67">
        <f>Ruimtestaat[[#This Row],[Prest. (m2 /jaar) weekend]]+Ruimtestaat[[#This Row],[Prest. (m2 /jaar) werkdagen]]</f>
        <v>3432</v>
      </c>
      <c r="AF141" s="67">
        <f>Ruimtestaat[[#This Row],[uren / jaar weekend]]+Ruimtestaat[[#This Row],[uren / jaar werkdagen]]</f>
        <v>0</v>
      </c>
      <c r="AG141" s="68">
        <f>Ruimtestaat[[#This Row],[kosten / jaar weekend]]+Ruimtestaat[[#This Row],[kosten / jaar werkdagen]]</f>
        <v>0</v>
      </c>
      <c r="AH141" s="96"/>
      <c r="HL141" s="66"/>
    </row>
    <row r="142" spans="1:220" ht="15" customHeight="1">
      <c r="A142" s="114">
        <v>1</v>
      </c>
      <c r="B142" s="24" t="str">
        <f>VLOOKUP(Ruimtestaat[[#This Row],[Code]],Locaties[#All],2,FALSE)</f>
        <v>Hoofdgebouw</v>
      </c>
      <c r="C142" s="24" t="str">
        <f>VLOOKUP(Ruimtestaat[[#This Row],[Code]],Locaties[#All],4,FALSE)</f>
        <v>Rohofstraat 83</v>
      </c>
      <c r="D142" s="24" t="str">
        <f>VLOOKUP(Ruimtestaat[[#This Row],[Code]],Locaties[#All],5,FALSE)</f>
        <v>7605 AT</v>
      </c>
      <c r="E142" s="24" t="str">
        <f>VLOOKUP(Ruimtestaat[[#This Row],[Code]],Locaties[#All],6,FALSE)</f>
        <v>Almelo</v>
      </c>
      <c r="F142" s="61"/>
      <c r="G142" s="24" t="s">
        <v>574</v>
      </c>
      <c r="H142" s="28" t="s">
        <v>618</v>
      </c>
      <c r="I142" s="4" t="s">
        <v>443</v>
      </c>
      <c r="J142" s="24">
        <v>4</v>
      </c>
      <c r="K142" s="61" t="str">
        <f>VLOOKUP(J142,Ruimtegroepen[],2,FALSE)</f>
        <v>Vergader/spreekkamers</v>
      </c>
      <c r="L142" s="24" t="s">
        <v>103</v>
      </c>
      <c r="M142" s="24" t="s">
        <v>38</v>
      </c>
      <c r="N142" s="87">
        <v>12.9</v>
      </c>
      <c r="O142" s="87"/>
      <c r="P142" s="97" t="str">
        <f>LEFT(VLOOKUP(Ruimtestaat[[#This Row],[Ruimte code]],Ruimtegroepen[#All],4,1),2)</f>
        <v>Bu</v>
      </c>
      <c r="Q142" s="97"/>
      <c r="R142" s="88">
        <v>52</v>
      </c>
      <c r="S142" s="88" t="s">
        <v>2</v>
      </c>
      <c r="T142" s="89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42" s="89">
        <f>IF(T142&gt;0,VLOOKUP($J142,Ruimtegroepen[],3,FALSE)*VLOOKUP($L142,Vloersoorten[],3,FALSE)*VLOOKUP($S142,Frequenties[],3,FALSE)*VLOOKUP($A142,Locaties[],3,FALSE),0)</f>
        <v>0</v>
      </c>
      <c r="V142" s="90">
        <f>Ruimtestaat[[#This Row],[Uitvoeringen werkdagen]]*Ruimtestaat[[#This Row],[Oppervlak (netto)]]</f>
        <v>3354</v>
      </c>
      <c r="W142" s="91">
        <f>IF(U142&gt;0,Ruimtestaat[[#This Row],[Prest. (m2 /jaar) werkdagen]]/Ruimtestaat[[#This Row],[Norm (m2/uur) werkdagen]],0)</f>
        <v>0</v>
      </c>
      <c r="X142" s="92">
        <f>Ruimtestaat[[#This Row],[uren / jaar werkdagen]]*Tariefsopbouw!$E$35</f>
        <v>0</v>
      </c>
      <c r="Y142" s="89"/>
      <c r="Z142" s="93">
        <f>IF(Ruimtestaat[[#This Row],[Frequentie weekend]]&gt;0,VALUE(LEFT(Y142,1))*R142,0)</f>
        <v>0</v>
      </c>
      <c r="AA142" s="89">
        <f>IF($Z142&gt;0,VLOOKUP($J142,Ruimtegroepen[],3,FALSE)*VLOOKUP($L142,Vloersoorten[],3,FALSE)*VLOOKUP($Y142,Frequenties[],3,FALSE)*VLOOKUP($A113,Locaties[],3,FALSE),0)</f>
        <v>0</v>
      </c>
      <c r="AB142" s="91">
        <f>Ruimtestaat[[#This Row],[Uitvoeringen weekend]]*Ruimtestaat[[#This Row],[Oppervlak (netto)]]</f>
        <v>0</v>
      </c>
      <c r="AC142" s="94">
        <f>IF(AB142&gt;0,Ruimtestaat[[#This Row],[Prest. (m2 /jaar) weekend]]/Ruimtestaat[[#This Row],[Norm (m2/uur) weekend]],0)</f>
        <v>0</v>
      </c>
      <c r="AD142" s="95">
        <f>Ruimtestaat[[#This Row],[uren / jaar weekend]]*Tariefsopbouw!$D$40</f>
        <v>0</v>
      </c>
      <c r="AE142" s="67">
        <f>Ruimtestaat[[#This Row],[Prest. (m2 /jaar) weekend]]+Ruimtestaat[[#This Row],[Prest. (m2 /jaar) werkdagen]]</f>
        <v>3354</v>
      </c>
      <c r="AF142" s="67">
        <f>Ruimtestaat[[#This Row],[uren / jaar weekend]]+Ruimtestaat[[#This Row],[uren / jaar werkdagen]]</f>
        <v>0</v>
      </c>
      <c r="AG142" s="68">
        <f>Ruimtestaat[[#This Row],[kosten / jaar weekend]]+Ruimtestaat[[#This Row],[kosten / jaar werkdagen]]</f>
        <v>0</v>
      </c>
      <c r="AH142" s="96"/>
      <c r="HL142" s="66"/>
    </row>
    <row r="143" spans="1:220" ht="15" customHeight="1">
      <c r="A143" s="114">
        <v>1</v>
      </c>
      <c r="B143" s="24" t="str">
        <f>VLOOKUP(Ruimtestaat[[#This Row],[Code]],Locaties[#All],2,FALSE)</f>
        <v>Hoofdgebouw</v>
      </c>
      <c r="C143" s="24" t="str">
        <f>VLOOKUP(Ruimtestaat[[#This Row],[Code]],Locaties[#All],4,FALSE)</f>
        <v>Rohofstraat 83</v>
      </c>
      <c r="D143" s="24" t="str">
        <f>VLOOKUP(Ruimtestaat[[#This Row],[Code]],Locaties[#All],5,FALSE)</f>
        <v>7605 AT</v>
      </c>
      <c r="E143" s="24" t="str">
        <f>VLOOKUP(Ruimtestaat[[#This Row],[Code]],Locaties[#All],6,FALSE)</f>
        <v>Almelo</v>
      </c>
      <c r="F143" s="61"/>
      <c r="G143" s="24" t="s">
        <v>574</v>
      </c>
      <c r="H143" s="28" t="s">
        <v>619</v>
      </c>
      <c r="I143" s="4" t="s">
        <v>443</v>
      </c>
      <c r="J143" s="24">
        <v>4</v>
      </c>
      <c r="K143" s="61" t="str">
        <f>VLOOKUP(J143,Ruimtegroepen[],2,FALSE)</f>
        <v>Vergader/spreekkamers</v>
      </c>
      <c r="L143" s="24" t="s">
        <v>103</v>
      </c>
      <c r="M143" s="24" t="s">
        <v>38</v>
      </c>
      <c r="N143" s="87">
        <v>12.3</v>
      </c>
      <c r="O143" s="87"/>
      <c r="P143" s="97" t="str">
        <f>LEFT(VLOOKUP(Ruimtestaat[[#This Row],[Ruimte code]],Ruimtegroepen[#All],4,1),2)</f>
        <v>Bu</v>
      </c>
      <c r="Q143" s="97"/>
      <c r="R143" s="88">
        <v>52</v>
      </c>
      <c r="S143" s="88" t="s">
        <v>2</v>
      </c>
      <c r="T143" s="89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43" s="89">
        <f>IF(T143&gt;0,VLOOKUP($J143,Ruimtegroepen[],3,FALSE)*VLOOKUP($L143,Vloersoorten[],3,FALSE)*VLOOKUP($S143,Frequenties[],3,FALSE)*VLOOKUP($A143,Locaties[],3,FALSE),0)</f>
        <v>0</v>
      </c>
      <c r="V143" s="90">
        <f>Ruimtestaat[[#This Row],[Uitvoeringen werkdagen]]*Ruimtestaat[[#This Row],[Oppervlak (netto)]]</f>
        <v>3198</v>
      </c>
      <c r="W143" s="91">
        <f>IF(U143&gt;0,Ruimtestaat[[#This Row],[Prest. (m2 /jaar) werkdagen]]/Ruimtestaat[[#This Row],[Norm (m2/uur) werkdagen]],0)</f>
        <v>0</v>
      </c>
      <c r="X143" s="92">
        <f>Ruimtestaat[[#This Row],[uren / jaar werkdagen]]*Tariefsopbouw!$E$35</f>
        <v>0</v>
      </c>
      <c r="Y143" s="89"/>
      <c r="Z143" s="93">
        <f>IF(Ruimtestaat[[#This Row],[Frequentie weekend]]&gt;0,VALUE(LEFT(Y143,1))*R143,0)</f>
        <v>0</v>
      </c>
      <c r="AA143" s="89">
        <f>IF($Z143&gt;0,VLOOKUP($J143,Ruimtegroepen[],3,FALSE)*VLOOKUP($L143,Vloersoorten[],3,FALSE)*VLOOKUP($Y143,Frequenties[],3,FALSE)*VLOOKUP($A114,Locaties[],3,FALSE),0)</f>
        <v>0</v>
      </c>
      <c r="AB143" s="91">
        <f>Ruimtestaat[[#This Row],[Uitvoeringen weekend]]*Ruimtestaat[[#This Row],[Oppervlak (netto)]]</f>
        <v>0</v>
      </c>
      <c r="AC143" s="94">
        <f>IF(AB143&gt;0,Ruimtestaat[[#This Row],[Prest. (m2 /jaar) weekend]]/Ruimtestaat[[#This Row],[Norm (m2/uur) weekend]],0)</f>
        <v>0</v>
      </c>
      <c r="AD143" s="95">
        <f>Ruimtestaat[[#This Row],[uren / jaar weekend]]*Tariefsopbouw!$D$40</f>
        <v>0</v>
      </c>
      <c r="AE143" s="67">
        <f>Ruimtestaat[[#This Row],[Prest. (m2 /jaar) weekend]]+Ruimtestaat[[#This Row],[Prest. (m2 /jaar) werkdagen]]</f>
        <v>3198</v>
      </c>
      <c r="AF143" s="67">
        <f>Ruimtestaat[[#This Row],[uren / jaar weekend]]+Ruimtestaat[[#This Row],[uren / jaar werkdagen]]</f>
        <v>0</v>
      </c>
      <c r="AG143" s="68">
        <f>Ruimtestaat[[#This Row],[kosten / jaar weekend]]+Ruimtestaat[[#This Row],[kosten / jaar werkdagen]]</f>
        <v>0</v>
      </c>
      <c r="AH143" s="96"/>
      <c r="HL143" s="66"/>
    </row>
    <row r="144" spans="1:220" ht="15" customHeight="1">
      <c r="A144" s="114">
        <v>1</v>
      </c>
      <c r="B144" s="24" t="str">
        <f>VLOOKUP(Ruimtestaat[[#This Row],[Code]],Locaties[#All],2,FALSE)</f>
        <v>Hoofdgebouw</v>
      </c>
      <c r="C144" s="24" t="str">
        <f>VLOOKUP(Ruimtestaat[[#This Row],[Code]],Locaties[#All],4,FALSE)</f>
        <v>Rohofstraat 83</v>
      </c>
      <c r="D144" s="24" t="str">
        <f>VLOOKUP(Ruimtestaat[[#This Row],[Code]],Locaties[#All],5,FALSE)</f>
        <v>7605 AT</v>
      </c>
      <c r="E144" s="24" t="str">
        <f>VLOOKUP(Ruimtestaat[[#This Row],[Code]],Locaties[#All],6,FALSE)</f>
        <v>Almelo</v>
      </c>
      <c r="F144" s="61"/>
      <c r="G144" s="24" t="s">
        <v>574</v>
      </c>
      <c r="H144" s="28" t="s">
        <v>620</v>
      </c>
      <c r="I144" s="4" t="s">
        <v>621</v>
      </c>
      <c r="J144" s="24">
        <v>16</v>
      </c>
      <c r="K144" s="61" t="str">
        <f>VLOOKUP(J144,Ruimtegroepen[],2,FALSE)</f>
        <v>Instructieruimte</v>
      </c>
      <c r="L144" s="24" t="s">
        <v>103</v>
      </c>
      <c r="M144" s="24" t="s">
        <v>38</v>
      </c>
      <c r="N144" s="87">
        <v>61.5</v>
      </c>
      <c r="O144" s="87"/>
      <c r="P144" s="97" t="str">
        <f>LEFT(VLOOKUP(Ruimtestaat[[#This Row],[Ruimte code]],Ruimtegroepen[#All],4,1),2)</f>
        <v>Bu</v>
      </c>
      <c r="Q144" s="97"/>
      <c r="R144" s="88">
        <v>52</v>
      </c>
      <c r="S144" s="88" t="s">
        <v>2</v>
      </c>
      <c r="T144" s="89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44" s="89">
        <f>IF(T144&gt;0,VLOOKUP($J144,Ruimtegroepen[],3,FALSE)*VLOOKUP($L144,Vloersoorten[],3,FALSE)*VLOOKUP($S144,Frequenties[],3,FALSE)*VLOOKUP($A144,Locaties[],3,FALSE),0)</f>
        <v>0</v>
      </c>
      <c r="V144" s="90">
        <f>Ruimtestaat[[#This Row],[Uitvoeringen werkdagen]]*Ruimtestaat[[#This Row],[Oppervlak (netto)]]</f>
        <v>15990</v>
      </c>
      <c r="W144" s="91">
        <f>IF(U144&gt;0,Ruimtestaat[[#This Row],[Prest. (m2 /jaar) werkdagen]]/Ruimtestaat[[#This Row],[Norm (m2/uur) werkdagen]],0)</f>
        <v>0</v>
      </c>
      <c r="X144" s="92">
        <f>Ruimtestaat[[#This Row],[uren / jaar werkdagen]]*Tariefsopbouw!$E$35</f>
        <v>0</v>
      </c>
      <c r="Y144" s="89"/>
      <c r="Z144" s="93">
        <f>IF(Ruimtestaat[[#This Row],[Frequentie weekend]]&gt;0,VALUE(LEFT(Y144,1))*R144,0)</f>
        <v>0</v>
      </c>
      <c r="AA144" s="89">
        <f>IF($Z144&gt;0,VLOOKUP($J144,Ruimtegroepen[],3,FALSE)*VLOOKUP($L144,Vloersoorten[],3,FALSE)*VLOOKUP($Y144,Frequenties[],3,FALSE)*VLOOKUP($A115,Locaties[],3,FALSE),0)</f>
        <v>0</v>
      </c>
      <c r="AB144" s="91">
        <f>Ruimtestaat[[#This Row],[Uitvoeringen weekend]]*Ruimtestaat[[#This Row],[Oppervlak (netto)]]</f>
        <v>0</v>
      </c>
      <c r="AC144" s="94">
        <f>IF(AB144&gt;0,Ruimtestaat[[#This Row],[Prest. (m2 /jaar) weekend]]/Ruimtestaat[[#This Row],[Norm (m2/uur) weekend]],0)</f>
        <v>0</v>
      </c>
      <c r="AD144" s="95">
        <f>Ruimtestaat[[#This Row],[uren / jaar weekend]]*Tariefsopbouw!$D$40</f>
        <v>0</v>
      </c>
      <c r="AE144" s="67">
        <f>Ruimtestaat[[#This Row],[Prest. (m2 /jaar) weekend]]+Ruimtestaat[[#This Row],[Prest. (m2 /jaar) werkdagen]]</f>
        <v>15990</v>
      </c>
      <c r="AF144" s="67">
        <f>Ruimtestaat[[#This Row],[uren / jaar weekend]]+Ruimtestaat[[#This Row],[uren / jaar werkdagen]]</f>
        <v>0</v>
      </c>
      <c r="AG144" s="68">
        <f>Ruimtestaat[[#This Row],[kosten / jaar weekend]]+Ruimtestaat[[#This Row],[kosten / jaar werkdagen]]</f>
        <v>0</v>
      </c>
      <c r="AH144" s="96"/>
      <c r="HL144" s="66"/>
    </row>
    <row r="145" spans="1:220" ht="15" customHeight="1">
      <c r="A145" s="114">
        <v>1</v>
      </c>
      <c r="B145" s="24" t="str">
        <f>VLOOKUP(Ruimtestaat[[#This Row],[Code]],Locaties[#All],2,FALSE)</f>
        <v>Hoofdgebouw</v>
      </c>
      <c r="C145" s="24" t="str">
        <f>VLOOKUP(Ruimtestaat[[#This Row],[Code]],Locaties[#All],4,FALSE)</f>
        <v>Rohofstraat 83</v>
      </c>
      <c r="D145" s="24" t="str">
        <f>VLOOKUP(Ruimtestaat[[#This Row],[Code]],Locaties[#All],5,FALSE)</f>
        <v>7605 AT</v>
      </c>
      <c r="E145" s="24" t="str">
        <f>VLOOKUP(Ruimtestaat[[#This Row],[Code]],Locaties[#All],6,FALSE)</f>
        <v>Almelo</v>
      </c>
      <c r="F145" s="61"/>
      <c r="G145" s="24" t="s">
        <v>574</v>
      </c>
      <c r="H145" s="28" t="s">
        <v>622</v>
      </c>
      <c r="I145" s="4" t="s">
        <v>623</v>
      </c>
      <c r="J145" s="24">
        <v>8</v>
      </c>
      <c r="K145" s="61" t="str">
        <f>VLOOKUP(J145,Ruimtegroepen[],2,FALSE)</f>
        <v>Woonkamer/aanland</v>
      </c>
      <c r="L145" s="24" t="s">
        <v>103</v>
      </c>
      <c r="M145" s="24" t="s">
        <v>38</v>
      </c>
      <c r="N145" s="87">
        <v>17.2</v>
      </c>
      <c r="O145" s="87"/>
      <c r="P145" s="97" t="str">
        <f>LEFT(VLOOKUP(Ruimtestaat[[#This Row],[Ruimte code]],Ruimtegroepen[#All],4,1),2)</f>
        <v>Ve</v>
      </c>
      <c r="Q145" s="97"/>
      <c r="R145" s="88">
        <v>52</v>
      </c>
      <c r="S145" s="88" t="s">
        <v>2</v>
      </c>
      <c r="T145" s="89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45" s="89">
        <f>IF(T145&gt;0,VLOOKUP($J145,Ruimtegroepen[],3,FALSE)*VLOOKUP($L145,Vloersoorten[],3,FALSE)*VLOOKUP($S145,Frequenties[],3,FALSE)*VLOOKUP($A145,Locaties[],3,FALSE),0)</f>
        <v>0</v>
      </c>
      <c r="V145" s="90">
        <f>Ruimtestaat[[#This Row],[Uitvoeringen werkdagen]]*Ruimtestaat[[#This Row],[Oppervlak (netto)]]</f>
        <v>4472</v>
      </c>
      <c r="W145" s="91">
        <f>IF(U145&gt;0,Ruimtestaat[[#This Row],[Prest. (m2 /jaar) werkdagen]]/Ruimtestaat[[#This Row],[Norm (m2/uur) werkdagen]],0)</f>
        <v>0</v>
      </c>
      <c r="X145" s="92">
        <f>Ruimtestaat[[#This Row],[uren / jaar werkdagen]]*Tariefsopbouw!$E$35</f>
        <v>0</v>
      </c>
      <c r="Y145" s="89"/>
      <c r="Z145" s="93">
        <f>IF(Ruimtestaat[[#This Row],[Frequentie weekend]]&gt;0,VALUE(LEFT(Y145,1))*R145,0)</f>
        <v>0</v>
      </c>
      <c r="AA145" s="89">
        <f>IF($Z145&gt;0,VLOOKUP($J145,Ruimtegroepen[],3,FALSE)*VLOOKUP($L145,Vloersoorten[],3,FALSE)*VLOOKUP($Y145,Frequenties[],3,FALSE)*VLOOKUP($A116,Locaties[],3,FALSE),0)</f>
        <v>0</v>
      </c>
      <c r="AB145" s="91">
        <f>Ruimtestaat[[#This Row],[Uitvoeringen weekend]]*Ruimtestaat[[#This Row],[Oppervlak (netto)]]</f>
        <v>0</v>
      </c>
      <c r="AC145" s="94">
        <f>IF(AB145&gt;0,Ruimtestaat[[#This Row],[Prest. (m2 /jaar) weekend]]/Ruimtestaat[[#This Row],[Norm (m2/uur) weekend]],0)</f>
        <v>0</v>
      </c>
      <c r="AD145" s="95">
        <f>Ruimtestaat[[#This Row],[uren / jaar weekend]]*Tariefsopbouw!$D$40</f>
        <v>0</v>
      </c>
      <c r="AE145" s="67">
        <f>Ruimtestaat[[#This Row],[Prest. (m2 /jaar) weekend]]+Ruimtestaat[[#This Row],[Prest. (m2 /jaar) werkdagen]]</f>
        <v>4472</v>
      </c>
      <c r="AF145" s="67">
        <f>Ruimtestaat[[#This Row],[uren / jaar weekend]]+Ruimtestaat[[#This Row],[uren / jaar werkdagen]]</f>
        <v>0</v>
      </c>
      <c r="AG145" s="68">
        <f>Ruimtestaat[[#This Row],[kosten / jaar weekend]]+Ruimtestaat[[#This Row],[kosten / jaar werkdagen]]</f>
        <v>0</v>
      </c>
      <c r="AH145" s="96"/>
      <c r="HL145" s="66"/>
    </row>
    <row r="146" spans="1:220" ht="15" customHeight="1">
      <c r="A146" s="114">
        <v>1</v>
      </c>
      <c r="B146" s="24" t="str">
        <f>VLOOKUP(Ruimtestaat[[#This Row],[Code]],Locaties[#All],2,FALSE)</f>
        <v>Hoofdgebouw</v>
      </c>
      <c r="C146" s="24" t="str">
        <f>VLOOKUP(Ruimtestaat[[#This Row],[Code]],Locaties[#All],4,FALSE)</f>
        <v>Rohofstraat 83</v>
      </c>
      <c r="D146" s="24" t="str">
        <f>VLOOKUP(Ruimtestaat[[#This Row],[Code]],Locaties[#All],5,FALSE)</f>
        <v>7605 AT</v>
      </c>
      <c r="E146" s="24" t="str">
        <f>VLOOKUP(Ruimtestaat[[#This Row],[Code]],Locaties[#All],6,FALSE)</f>
        <v>Almelo</v>
      </c>
      <c r="F146" s="61"/>
      <c r="G146" s="24" t="s">
        <v>574</v>
      </c>
      <c r="H146" s="28" t="s">
        <v>624</v>
      </c>
      <c r="I146" s="4" t="s">
        <v>551</v>
      </c>
      <c r="J146" s="24">
        <v>1</v>
      </c>
      <c r="K146" s="61" t="str">
        <f>VLOOKUP(J146,Ruimtegroepen[],2,FALSE)</f>
        <v>Magazijnen/bergingen</v>
      </c>
      <c r="L146" s="24" t="s">
        <v>106</v>
      </c>
      <c r="M146" s="24" t="s">
        <v>126</v>
      </c>
      <c r="N146" s="87">
        <v>5.0999999999999996</v>
      </c>
      <c r="O146" s="87"/>
      <c r="P146" s="97" t="str">
        <f>LEFT(VLOOKUP(Ruimtestaat[[#This Row],[Ruimte code]],Ruimtegroepen[#All],4,1),2)</f>
        <v>Ve</v>
      </c>
      <c r="Q146" s="97"/>
      <c r="R146" s="88">
        <v>52</v>
      </c>
      <c r="S146" s="88" t="s">
        <v>16</v>
      </c>
      <c r="T146" s="89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46" s="89">
        <f>IF(T146&gt;0,VLOOKUP($J146,Ruimtegroepen[],3,FALSE)*VLOOKUP($L146,Vloersoorten[],3,FALSE)*VLOOKUP($S146,Frequenties[],3,FALSE)*VLOOKUP($A146,Locaties[],3,FALSE),0)</f>
        <v>0</v>
      </c>
      <c r="V146" s="90">
        <f>Ruimtestaat[[#This Row],[Uitvoeringen werkdagen]]*Ruimtestaat[[#This Row],[Oppervlak (netto)]]</f>
        <v>61.199999999999996</v>
      </c>
      <c r="W146" s="91">
        <f>IF(U146&gt;0,Ruimtestaat[[#This Row],[Prest. (m2 /jaar) werkdagen]]/Ruimtestaat[[#This Row],[Norm (m2/uur) werkdagen]],0)</f>
        <v>0</v>
      </c>
      <c r="X146" s="92">
        <f>Ruimtestaat[[#This Row],[uren / jaar werkdagen]]*Tariefsopbouw!$E$35</f>
        <v>0</v>
      </c>
      <c r="Y146" s="89"/>
      <c r="Z146" s="93">
        <f>IF(Ruimtestaat[[#This Row],[Frequentie weekend]]&gt;0,VALUE(LEFT(Y146,1))*R146,0)</f>
        <v>0</v>
      </c>
      <c r="AA146" s="89">
        <f>IF($Z146&gt;0,VLOOKUP($J146,Ruimtegroepen[],3,FALSE)*VLOOKUP($L146,Vloersoorten[],3,FALSE)*VLOOKUP($Y146,Frequenties[],3,FALSE)*VLOOKUP($A117,Locaties[],3,FALSE),0)</f>
        <v>0</v>
      </c>
      <c r="AB146" s="91">
        <f>Ruimtestaat[[#This Row],[Uitvoeringen weekend]]*Ruimtestaat[[#This Row],[Oppervlak (netto)]]</f>
        <v>0</v>
      </c>
      <c r="AC146" s="94">
        <f>IF(AB146&gt;0,Ruimtestaat[[#This Row],[Prest. (m2 /jaar) weekend]]/Ruimtestaat[[#This Row],[Norm (m2/uur) weekend]],0)</f>
        <v>0</v>
      </c>
      <c r="AD146" s="95">
        <f>Ruimtestaat[[#This Row],[uren / jaar weekend]]*Tariefsopbouw!$D$40</f>
        <v>0</v>
      </c>
      <c r="AE146" s="67">
        <f>Ruimtestaat[[#This Row],[Prest. (m2 /jaar) weekend]]+Ruimtestaat[[#This Row],[Prest. (m2 /jaar) werkdagen]]</f>
        <v>61.199999999999996</v>
      </c>
      <c r="AF146" s="67">
        <f>Ruimtestaat[[#This Row],[uren / jaar weekend]]+Ruimtestaat[[#This Row],[uren / jaar werkdagen]]</f>
        <v>0</v>
      </c>
      <c r="AG146" s="68">
        <f>Ruimtestaat[[#This Row],[kosten / jaar weekend]]+Ruimtestaat[[#This Row],[kosten / jaar werkdagen]]</f>
        <v>0</v>
      </c>
      <c r="AH146" s="96"/>
      <c r="HL146" s="66"/>
    </row>
    <row r="147" spans="1:220" ht="15" customHeight="1">
      <c r="A147" s="114">
        <v>1</v>
      </c>
      <c r="B147" s="24" t="str">
        <f>VLOOKUP(Ruimtestaat[[#This Row],[Code]],Locaties[#All],2,FALSE)</f>
        <v>Hoofdgebouw</v>
      </c>
      <c r="C147" s="24" t="str">
        <f>VLOOKUP(Ruimtestaat[[#This Row],[Code]],Locaties[#All],4,FALSE)</f>
        <v>Rohofstraat 83</v>
      </c>
      <c r="D147" s="24" t="str">
        <f>VLOOKUP(Ruimtestaat[[#This Row],[Code]],Locaties[#All],5,FALSE)</f>
        <v>7605 AT</v>
      </c>
      <c r="E147" s="24" t="str">
        <f>VLOOKUP(Ruimtestaat[[#This Row],[Code]],Locaties[#All],6,FALSE)</f>
        <v>Almelo</v>
      </c>
      <c r="F147" s="61"/>
      <c r="G147" s="24" t="s">
        <v>574</v>
      </c>
      <c r="H147" s="28" t="s">
        <v>625</v>
      </c>
      <c r="I147" s="4" t="s">
        <v>551</v>
      </c>
      <c r="J147" s="24">
        <v>1</v>
      </c>
      <c r="K147" s="61" t="str">
        <f>VLOOKUP(J147,Ruimtegroepen[],2,FALSE)</f>
        <v>Magazijnen/bergingen</v>
      </c>
      <c r="L147" s="24" t="s">
        <v>106</v>
      </c>
      <c r="M147" s="24" t="s">
        <v>126</v>
      </c>
      <c r="N147" s="87">
        <v>3.7</v>
      </c>
      <c r="O147" s="87"/>
      <c r="P147" s="97" t="str">
        <f>LEFT(VLOOKUP(Ruimtestaat[[#This Row],[Ruimte code]],Ruimtegroepen[#All],4,1),2)</f>
        <v>Ve</v>
      </c>
      <c r="Q147" s="97"/>
      <c r="R147" s="88">
        <v>52</v>
      </c>
      <c r="S147" s="88" t="s">
        <v>16</v>
      </c>
      <c r="T147" s="89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47" s="89">
        <f>IF(T147&gt;0,VLOOKUP($J147,Ruimtegroepen[],3,FALSE)*VLOOKUP($L147,Vloersoorten[],3,FALSE)*VLOOKUP($S147,Frequenties[],3,FALSE)*VLOOKUP($A147,Locaties[],3,FALSE),0)</f>
        <v>0</v>
      </c>
      <c r="V147" s="90">
        <f>Ruimtestaat[[#This Row],[Uitvoeringen werkdagen]]*Ruimtestaat[[#This Row],[Oppervlak (netto)]]</f>
        <v>44.400000000000006</v>
      </c>
      <c r="W147" s="91">
        <f>IF(U147&gt;0,Ruimtestaat[[#This Row],[Prest. (m2 /jaar) werkdagen]]/Ruimtestaat[[#This Row],[Norm (m2/uur) werkdagen]],0)</f>
        <v>0</v>
      </c>
      <c r="X147" s="92">
        <f>Ruimtestaat[[#This Row],[uren / jaar werkdagen]]*Tariefsopbouw!$E$35</f>
        <v>0</v>
      </c>
      <c r="Y147" s="89"/>
      <c r="Z147" s="93">
        <f>IF(Ruimtestaat[[#This Row],[Frequentie weekend]]&gt;0,VALUE(LEFT(Y147,1))*R147,0)</f>
        <v>0</v>
      </c>
      <c r="AA147" s="89">
        <f>IF($Z147&gt;0,VLOOKUP($J147,Ruimtegroepen[],3,FALSE)*VLOOKUP($L147,Vloersoorten[],3,FALSE)*VLOOKUP($Y147,Frequenties[],3,FALSE)*VLOOKUP($A118,Locaties[],3,FALSE),0)</f>
        <v>0</v>
      </c>
      <c r="AB147" s="91">
        <f>Ruimtestaat[[#This Row],[Uitvoeringen weekend]]*Ruimtestaat[[#This Row],[Oppervlak (netto)]]</f>
        <v>0</v>
      </c>
      <c r="AC147" s="94">
        <f>IF(AB147&gt;0,Ruimtestaat[[#This Row],[Prest. (m2 /jaar) weekend]]/Ruimtestaat[[#This Row],[Norm (m2/uur) weekend]],0)</f>
        <v>0</v>
      </c>
      <c r="AD147" s="95">
        <f>Ruimtestaat[[#This Row],[uren / jaar weekend]]*Tariefsopbouw!$D$40</f>
        <v>0</v>
      </c>
      <c r="AE147" s="67">
        <f>Ruimtestaat[[#This Row],[Prest. (m2 /jaar) weekend]]+Ruimtestaat[[#This Row],[Prest. (m2 /jaar) werkdagen]]</f>
        <v>44.400000000000006</v>
      </c>
      <c r="AF147" s="67">
        <f>Ruimtestaat[[#This Row],[uren / jaar weekend]]+Ruimtestaat[[#This Row],[uren / jaar werkdagen]]</f>
        <v>0</v>
      </c>
      <c r="AG147" s="68">
        <f>Ruimtestaat[[#This Row],[kosten / jaar weekend]]+Ruimtestaat[[#This Row],[kosten / jaar werkdagen]]</f>
        <v>0</v>
      </c>
      <c r="AH147" s="96"/>
      <c r="HL147" s="66"/>
    </row>
    <row r="148" spans="1:220" ht="15" customHeight="1">
      <c r="A148" s="114">
        <v>1</v>
      </c>
      <c r="B148" s="24" t="str">
        <f>VLOOKUP(Ruimtestaat[[#This Row],[Code]],Locaties[#All],2,FALSE)</f>
        <v>Hoofdgebouw</v>
      </c>
      <c r="C148" s="24" t="str">
        <f>VLOOKUP(Ruimtestaat[[#This Row],[Code]],Locaties[#All],4,FALSE)</f>
        <v>Rohofstraat 83</v>
      </c>
      <c r="D148" s="24" t="str">
        <f>VLOOKUP(Ruimtestaat[[#This Row],[Code]],Locaties[#All],5,FALSE)</f>
        <v>7605 AT</v>
      </c>
      <c r="E148" s="24" t="str">
        <f>VLOOKUP(Ruimtestaat[[#This Row],[Code]],Locaties[#All],6,FALSE)</f>
        <v>Almelo</v>
      </c>
      <c r="F148" s="61"/>
      <c r="G148" s="24" t="s">
        <v>574</v>
      </c>
      <c r="H148" s="28" t="s">
        <v>626</v>
      </c>
      <c r="I148" s="4" t="s">
        <v>551</v>
      </c>
      <c r="J148" s="24">
        <v>1</v>
      </c>
      <c r="K148" s="61" t="str">
        <f>VLOOKUP(J148,Ruimtegroepen[],2,FALSE)</f>
        <v>Magazijnen/bergingen</v>
      </c>
      <c r="L148" s="24" t="s">
        <v>106</v>
      </c>
      <c r="M148" s="24" t="s">
        <v>126</v>
      </c>
      <c r="N148" s="87">
        <v>3.7</v>
      </c>
      <c r="O148" s="87"/>
      <c r="P148" s="97" t="str">
        <f>LEFT(VLOOKUP(Ruimtestaat[[#This Row],[Ruimte code]],Ruimtegroepen[#All],4,1),2)</f>
        <v>Ve</v>
      </c>
      <c r="Q148" s="97"/>
      <c r="R148" s="88">
        <v>52</v>
      </c>
      <c r="S148" s="88" t="s">
        <v>16</v>
      </c>
      <c r="T148" s="89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48" s="89">
        <f>IF(T148&gt;0,VLOOKUP($J148,Ruimtegroepen[],3,FALSE)*VLOOKUP($L148,Vloersoorten[],3,FALSE)*VLOOKUP($S148,Frequenties[],3,FALSE)*VLOOKUP($A148,Locaties[],3,FALSE),0)</f>
        <v>0</v>
      </c>
      <c r="V148" s="90">
        <f>Ruimtestaat[[#This Row],[Uitvoeringen werkdagen]]*Ruimtestaat[[#This Row],[Oppervlak (netto)]]</f>
        <v>44.400000000000006</v>
      </c>
      <c r="W148" s="91">
        <f>IF(U148&gt;0,Ruimtestaat[[#This Row],[Prest. (m2 /jaar) werkdagen]]/Ruimtestaat[[#This Row],[Norm (m2/uur) werkdagen]],0)</f>
        <v>0</v>
      </c>
      <c r="X148" s="92">
        <f>Ruimtestaat[[#This Row],[uren / jaar werkdagen]]*Tariefsopbouw!$E$35</f>
        <v>0</v>
      </c>
      <c r="Y148" s="89"/>
      <c r="Z148" s="93">
        <f>IF(Ruimtestaat[[#This Row],[Frequentie weekend]]&gt;0,VALUE(LEFT(Y148,1))*R148,0)</f>
        <v>0</v>
      </c>
      <c r="AA148" s="89">
        <f>IF($Z148&gt;0,VLOOKUP($J148,Ruimtegroepen[],3,FALSE)*VLOOKUP($L148,Vloersoorten[],3,FALSE)*VLOOKUP($Y148,Frequenties[],3,FALSE)*VLOOKUP($A119,Locaties[],3,FALSE),0)</f>
        <v>0</v>
      </c>
      <c r="AB148" s="91">
        <f>Ruimtestaat[[#This Row],[Uitvoeringen weekend]]*Ruimtestaat[[#This Row],[Oppervlak (netto)]]</f>
        <v>0</v>
      </c>
      <c r="AC148" s="94">
        <f>IF(AB148&gt;0,Ruimtestaat[[#This Row],[Prest. (m2 /jaar) weekend]]/Ruimtestaat[[#This Row],[Norm (m2/uur) weekend]],0)</f>
        <v>0</v>
      </c>
      <c r="AD148" s="95">
        <f>Ruimtestaat[[#This Row],[uren / jaar weekend]]*Tariefsopbouw!$D$40</f>
        <v>0</v>
      </c>
      <c r="AE148" s="67">
        <f>Ruimtestaat[[#This Row],[Prest. (m2 /jaar) weekend]]+Ruimtestaat[[#This Row],[Prest. (m2 /jaar) werkdagen]]</f>
        <v>44.400000000000006</v>
      </c>
      <c r="AF148" s="67">
        <f>Ruimtestaat[[#This Row],[uren / jaar weekend]]+Ruimtestaat[[#This Row],[uren / jaar werkdagen]]</f>
        <v>0</v>
      </c>
      <c r="AG148" s="68">
        <f>Ruimtestaat[[#This Row],[kosten / jaar weekend]]+Ruimtestaat[[#This Row],[kosten / jaar werkdagen]]</f>
        <v>0</v>
      </c>
      <c r="AH148" s="96"/>
      <c r="HL148" s="66"/>
    </row>
    <row r="149" spans="1:220" ht="15" customHeight="1">
      <c r="A149" s="114">
        <v>1</v>
      </c>
      <c r="B149" s="24" t="str">
        <f>VLOOKUP(Ruimtestaat[[#This Row],[Code]],Locaties[#All],2,FALSE)</f>
        <v>Hoofdgebouw</v>
      </c>
      <c r="C149" s="24" t="str">
        <f>VLOOKUP(Ruimtestaat[[#This Row],[Code]],Locaties[#All],4,FALSE)</f>
        <v>Rohofstraat 83</v>
      </c>
      <c r="D149" s="24" t="str">
        <f>VLOOKUP(Ruimtestaat[[#This Row],[Code]],Locaties[#All],5,FALSE)</f>
        <v>7605 AT</v>
      </c>
      <c r="E149" s="24" t="str">
        <f>VLOOKUP(Ruimtestaat[[#This Row],[Code]],Locaties[#All],6,FALSE)</f>
        <v>Almelo</v>
      </c>
      <c r="F149" s="61"/>
      <c r="G149" s="24" t="s">
        <v>574</v>
      </c>
      <c r="H149" s="28" t="s">
        <v>627</v>
      </c>
      <c r="I149" s="4" t="s">
        <v>456</v>
      </c>
      <c r="J149" s="24">
        <v>2</v>
      </c>
      <c r="K149" s="61" t="str">
        <f>VLOOKUP(J149,Ruimtegroepen[],2,FALSE)</f>
        <v>Kantoren</v>
      </c>
      <c r="L149" s="24" t="s">
        <v>103</v>
      </c>
      <c r="M149" s="24" t="s">
        <v>38</v>
      </c>
      <c r="N149" s="87">
        <v>3.8</v>
      </c>
      <c r="O149" s="87"/>
      <c r="P149" s="97" t="str">
        <f>LEFT(VLOOKUP(Ruimtestaat[[#This Row],[Ruimte code]],Ruimtegroepen[#All],4,1),2)</f>
        <v>Bu</v>
      </c>
      <c r="Q149" s="97"/>
      <c r="R149" s="88">
        <v>52</v>
      </c>
      <c r="S149" s="88" t="s">
        <v>2</v>
      </c>
      <c r="T149" s="89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49" s="89">
        <f>IF(T149&gt;0,VLOOKUP($J149,Ruimtegroepen[],3,FALSE)*VLOOKUP($L149,Vloersoorten[],3,FALSE)*VLOOKUP($S149,Frequenties[],3,FALSE)*VLOOKUP($A149,Locaties[],3,FALSE),0)</f>
        <v>0</v>
      </c>
      <c r="V149" s="90">
        <f>Ruimtestaat[[#This Row],[Uitvoeringen werkdagen]]*Ruimtestaat[[#This Row],[Oppervlak (netto)]]</f>
        <v>988</v>
      </c>
      <c r="W149" s="91">
        <f>IF(U149&gt;0,Ruimtestaat[[#This Row],[Prest. (m2 /jaar) werkdagen]]/Ruimtestaat[[#This Row],[Norm (m2/uur) werkdagen]],0)</f>
        <v>0</v>
      </c>
      <c r="X149" s="92">
        <f>Ruimtestaat[[#This Row],[uren / jaar werkdagen]]*Tariefsopbouw!$E$35</f>
        <v>0</v>
      </c>
      <c r="Y149" s="89"/>
      <c r="Z149" s="93">
        <f>IF(Ruimtestaat[[#This Row],[Frequentie weekend]]&gt;0,VALUE(LEFT(Y149,1))*R149,0)</f>
        <v>0</v>
      </c>
      <c r="AA149" s="89">
        <f>IF($Z149&gt;0,VLOOKUP($J149,Ruimtegroepen[],3,FALSE)*VLOOKUP($L149,Vloersoorten[],3,FALSE)*VLOOKUP($Y149,Frequenties[],3,FALSE)*VLOOKUP($A120,Locaties[],3,FALSE),0)</f>
        <v>0</v>
      </c>
      <c r="AB149" s="91">
        <f>Ruimtestaat[[#This Row],[Uitvoeringen weekend]]*Ruimtestaat[[#This Row],[Oppervlak (netto)]]</f>
        <v>0</v>
      </c>
      <c r="AC149" s="94">
        <f>IF(AB149&gt;0,Ruimtestaat[[#This Row],[Prest. (m2 /jaar) weekend]]/Ruimtestaat[[#This Row],[Norm (m2/uur) weekend]],0)</f>
        <v>0</v>
      </c>
      <c r="AD149" s="95">
        <f>Ruimtestaat[[#This Row],[uren / jaar weekend]]*Tariefsopbouw!$D$40</f>
        <v>0</v>
      </c>
      <c r="AE149" s="67">
        <f>Ruimtestaat[[#This Row],[Prest. (m2 /jaar) weekend]]+Ruimtestaat[[#This Row],[Prest. (m2 /jaar) werkdagen]]</f>
        <v>988</v>
      </c>
      <c r="AF149" s="67">
        <f>Ruimtestaat[[#This Row],[uren / jaar weekend]]+Ruimtestaat[[#This Row],[uren / jaar werkdagen]]</f>
        <v>0</v>
      </c>
      <c r="AG149" s="68">
        <f>Ruimtestaat[[#This Row],[kosten / jaar weekend]]+Ruimtestaat[[#This Row],[kosten / jaar werkdagen]]</f>
        <v>0</v>
      </c>
      <c r="AH149" s="96"/>
      <c r="HL149" s="66"/>
    </row>
    <row r="150" spans="1:220" ht="15" customHeight="1">
      <c r="A150" s="114">
        <v>1</v>
      </c>
      <c r="B150" s="24" t="str">
        <f>VLOOKUP(Ruimtestaat[[#This Row],[Code]],Locaties[#All],2,FALSE)</f>
        <v>Hoofdgebouw</v>
      </c>
      <c r="C150" s="24" t="str">
        <f>VLOOKUP(Ruimtestaat[[#This Row],[Code]],Locaties[#All],4,FALSE)</f>
        <v>Rohofstraat 83</v>
      </c>
      <c r="D150" s="24" t="str">
        <f>VLOOKUP(Ruimtestaat[[#This Row],[Code]],Locaties[#All],5,FALSE)</f>
        <v>7605 AT</v>
      </c>
      <c r="E150" s="24" t="str">
        <f>VLOOKUP(Ruimtestaat[[#This Row],[Code]],Locaties[#All],6,FALSE)</f>
        <v>Almelo</v>
      </c>
      <c r="F150" s="61"/>
      <c r="G150" s="24" t="s">
        <v>574</v>
      </c>
      <c r="H150" s="28" t="s">
        <v>628</v>
      </c>
      <c r="I150" s="4" t="s">
        <v>456</v>
      </c>
      <c r="J150" s="24">
        <v>2</v>
      </c>
      <c r="K150" s="61" t="str">
        <f>VLOOKUP(J150,Ruimtegroepen[],2,FALSE)</f>
        <v>Kantoren</v>
      </c>
      <c r="L150" s="24" t="s">
        <v>103</v>
      </c>
      <c r="M150" s="24" t="s">
        <v>38</v>
      </c>
      <c r="N150" s="87">
        <v>3.8</v>
      </c>
      <c r="O150" s="87"/>
      <c r="P150" s="97" t="str">
        <f>LEFT(VLOOKUP(Ruimtestaat[[#This Row],[Ruimte code]],Ruimtegroepen[#All],4,1),2)</f>
        <v>Bu</v>
      </c>
      <c r="Q150" s="97"/>
      <c r="R150" s="88">
        <v>52</v>
      </c>
      <c r="S150" s="88" t="s">
        <v>2</v>
      </c>
      <c r="T150" s="89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50" s="89">
        <f>IF(T150&gt;0,VLOOKUP($J150,Ruimtegroepen[],3,FALSE)*VLOOKUP($L150,Vloersoorten[],3,FALSE)*VLOOKUP($S150,Frequenties[],3,FALSE)*VLOOKUP($A150,Locaties[],3,FALSE),0)</f>
        <v>0</v>
      </c>
      <c r="V150" s="90">
        <f>Ruimtestaat[[#This Row],[Uitvoeringen werkdagen]]*Ruimtestaat[[#This Row],[Oppervlak (netto)]]</f>
        <v>988</v>
      </c>
      <c r="W150" s="91">
        <f>IF(U150&gt;0,Ruimtestaat[[#This Row],[Prest. (m2 /jaar) werkdagen]]/Ruimtestaat[[#This Row],[Norm (m2/uur) werkdagen]],0)</f>
        <v>0</v>
      </c>
      <c r="X150" s="92">
        <f>Ruimtestaat[[#This Row],[uren / jaar werkdagen]]*Tariefsopbouw!$E$35</f>
        <v>0</v>
      </c>
      <c r="Y150" s="89"/>
      <c r="Z150" s="93">
        <f>IF(Ruimtestaat[[#This Row],[Frequentie weekend]]&gt;0,VALUE(LEFT(Y150,1))*R150,0)</f>
        <v>0</v>
      </c>
      <c r="AA150" s="89">
        <f>IF($Z150&gt;0,VLOOKUP($J150,Ruimtegroepen[],3,FALSE)*VLOOKUP($L150,Vloersoorten[],3,FALSE)*VLOOKUP($Y150,Frequenties[],3,FALSE)*VLOOKUP($A121,Locaties[],3,FALSE),0)</f>
        <v>0</v>
      </c>
      <c r="AB150" s="91">
        <f>Ruimtestaat[[#This Row],[Uitvoeringen weekend]]*Ruimtestaat[[#This Row],[Oppervlak (netto)]]</f>
        <v>0</v>
      </c>
      <c r="AC150" s="94">
        <f>IF(AB150&gt;0,Ruimtestaat[[#This Row],[Prest. (m2 /jaar) weekend]]/Ruimtestaat[[#This Row],[Norm (m2/uur) weekend]],0)</f>
        <v>0</v>
      </c>
      <c r="AD150" s="95">
        <f>Ruimtestaat[[#This Row],[uren / jaar weekend]]*Tariefsopbouw!$D$40</f>
        <v>0</v>
      </c>
      <c r="AE150" s="67">
        <f>Ruimtestaat[[#This Row],[Prest. (m2 /jaar) weekend]]+Ruimtestaat[[#This Row],[Prest. (m2 /jaar) werkdagen]]</f>
        <v>988</v>
      </c>
      <c r="AF150" s="67">
        <f>Ruimtestaat[[#This Row],[uren / jaar weekend]]+Ruimtestaat[[#This Row],[uren / jaar werkdagen]]</f>
        <v>0</v>
      </c>
      <c r="AG150" s="68">
        <f>Ruimtestaat[[#This Row],[kosten / jaar weekend]]+Ruimtestaat[[#This Row],[kosten / jaar werkdagen]]</f>
        <v>0</v>
      </c>
      <c r="AH150" s="96"/>
      <c r="HL150" s="66"/>
    </row>
    <row r="151" spans="1:220" ht="15" customHeight="1">
      <c r="A151" s="114">
        <v>1</v>
      </c>
      <c r="B151" s="24" t="str">
        <f>VLOOKUP(Ruimtestaat[[#This Row],[Code]],Locaties[#All],2,FALSE)</f>
        <v>Hoofdgebouw</v>
      </c>
      <c r="C151" s="24" t="str">
        <f>VLOOKUP(Ruimtestaat[[#This Row],[Code]],Locaties[#All],4,FALSE)</f>
        <v>Rohofstraat 83</v>
      </c>
      <c r="D151" s="24" t="str">
        <f>VLOOKUP(Ruimtestaat[[#This Row],[Code]],Locaties[#All],5,FALSE)</f>
        <v>7605 AT</v>
      </c>
      <c r="E151" s="24" t="str">
        <f>VLOOKUP(Ruimtestaat[[#This Row],[Code]],Locaties[#All],6,FALSE)</f>
        <v>Almelo</v>
      </c>
      <c r="F151" s="61"/>
      <c r="G151" s="24" t="s">
        <v>574</v>
      </c>
      <c r="H151" s="28" t="s">
        <v>629</v>
      </c>
      <c r="I151" s="4" t="s">
        <v>630</v>
      </c>
      <c r="J151" s="24">
        <v>5</v>
      </c>
      <c r="K151" s="61" t="str">
        <f>VLOOKUP(J151,Ruimtegroepen[],2,FALSE)</f>
        <v>Sanitair</v>
      </c>
      <c r="L151" s="24" t="s">
        <v>105</v>
      </c>
      <c r="M151" s="24" t="s">
        <v>796</v>
      </c>
      <c r="N151" s="87">
        <v>6.7</v>
      </c>
      <c r="O151" s="87"/>
      <c r="P151" s="97" t="str">
        <f>LEFT(VLOOKUP(Ruimtestaat[[#This Row],[Ruimte code]],Ruimtegroepen[#All],4,1),2)</f>
        <v>Sa</v>
      </c>
      <c r="Q151" s="97"/>
      <c r="R151" s="88">
        <v>52</v>
      </c>
      <c r="S151" s="88" t="s">
        <v>2</v>
      </c>
      <c r="T151" s="89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51" s="89">
        <f>IF(T151&gt;0,VLOOKUP($J151,Ruimtegroepen[],3,FALSE)*VLOOKUP($L151,Vloersoorten[],3,FALSE)*VLOOKUP($S151,Frequenties[],3,FALSE)*VLOOKUP($A151,Locaties[],3,FALSE),0)</f>
        <v>0</v>
      </c>
      <c r="V151" s="90">
        <f>Ruimtestaat[[#This Row],[Uitvoeringen werkdagen]]*Ruimtestaat[[#This Row],[Oppervlak (netto)]]</f>
        <v>1742</v>
      </c>
      <c r="W151" s="91">
        <f>IF(U151&gt;0,Ruimtestaat[[#This Row],[Prest. (m2 /jaar) werkdagen]]/Ruimtestaat[[#This Row],[Norm (m2/uur) werkdagen]],0)</f>
        <v>0</v>
      </c>
      <c r="X151" s="92">
        <f>Ruimtestaat[[#This Row],[uren / jaar werkdagen]]*Tariefsopbouw!$E$35</f>
        <v>0</v>
      </c>
      <c r="Y151" s="89"/>
      <c r="Z151" s="93">
        <f>IF(Ruimtestaat[[#This Row],[Frequentie weekend]]&gt;0,VALUE(LEFT(Y151,1))*R151,0)</f>
        <v>0</v>
      </c>
      <c r="AA151" s="89">
        <f>IF($Z151&gt;0,VLOOKUP($J151,Ruimtegroepen[],3,FALSE)*VLOOKUP($L151,Vloersoorten[],3,FALSE)*VLOOKUP($Y151,Frequenties[],3,FALSE)*VLOOKUP($A122,Locaties[],3,FALSE),0)</f>
        <v>0</v>
      </c>
      <c r="AB151" s="91">
        <f>Ruimtestaat[[#This Row],[Uitvoeringen weekend]]*Ruimtestaat[[#This Row],[Oppervlak (netto)]]</f>
        <v>0</v>
      </c>
      <c r="AC151" s="94">
        <f>IF(AB151&gt;0,Ruimtestaat[[#This Row],[Prest. (m2 /jaar) weekend]]/Ruimtestaat[[#This Row],[Norm (m2/uur) weekend]],0)</f>
        <v>0</v>
      </c>
      <c r="AD151" s="95">
        <f>Ruimtestaat[[#This Row],[uren / jaar weekend]]*Tariefsopbouw!$D$40</f>
        <v>0</v>
      </c>
      <c r="AE151" s="67">
        <f>Ruimtestaat[[#This Row],[Prest. (m2 /jaar) weekend]]+Ruimtestaat[[#This Row],[Prest. (m2 /jaar) werkdagen]]</f>
        <v>1742</v>
      </c>
      <c r="AF151" s="67">
        <f>Ruimtestaat[[#This Row],[uren / jaar weekend]]+Ruimtestaat[[#This Row],[uren / jaar werkdagen]]</f>
        <v>0</v>
      </c>
      <c r="AG151" s="68">
        <f>Ruimtestaat[[#This Row],[kosten / jaar weekend]]+Ruimtestaat[[#This Row],[kosten / jaar werkdagen]]</f>
        <v>0</v>
      </c>
      <c r="AH151" s="96"/>
      <c r="HL151" s="66"/>
    </row>
    <row r="152" spans="1:220" ht="15" customHeight="1">
      <c r="A152" s="114">
        <v>1</v>
      </c>
      <c r="B152" s="24" t="str">
        <f>VLOOKUP(Ruimtestaat[[#This Row],[Code]],Locaties[#All],2,FALSE)</f>
        <v>Hoofdgebouw</v>
      </c>
      <c r="C152" s="24" t="str">
        <f>VLOOKUP(Ruimtestaat[[#This Row],[Code]],Locaties[#All],4,FALSE)</f>
        <v>Rohofstraat 83</v>
      </c>
      <c r="D152" s="24" t="str">
        <f>VLOOKUP(Ruimtestaat[[#This Row],[Code]],Locaties[#All],5,FALSE)</f>
        <v>7605 AT</v>
      </c>
      <c r="E152" s="24" t="str">
        <f>VLOOKUP(Ruimtestaat[[#This Row],[Code]],Locaties[#All],6,FALSE)</f>
        <v>Almelo</v>
      </c>
      <c r="F152" s="61"/>
      <c r="G152" s="24" t="s">
        <v>574</v>
      </c>
      <c r="H152" s="28" t="s">
        <v>631</v>
      </c>
      <c r="I152" s="4" t="s">
        <v>632</v>
      </c>
      <c r="J152" s="24">
        <v>5</v>
      </c>
      <c r="K152" s="61" t="str">
        <f>VLOOKUP(J152,Ruimtegroepen[],2,FALSE)</f>
        <v>Sanitair</v>
      </c>
      <c r="L152" s="24" t="s">
        <v>105</v>
      </c>
      <c r="M152" s="24" t="s">
        <v>796</v>
      </c>
      <c r="N152" s="87">
        <v>10</v>
      </c>
      <c r="O152" s="87"/>
      <c r="P152" s="97" t="str">
        <f>LEFT(VLOOKUP(Ruimtestaat[[#This Row],[Ruimte code]],Ruimtegroepen[#All],4,1),2)</f>
        <v>Sa</v>
      </c>
      <c r="Q152" s="97"/>
      <c r="R152" s="88">
        <v>52</v>
      </c>
      <c r="S152" s="88" t="s">
        <v>2</v>
      </c>
      <c r="T152" s="89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52" s="89">
        <f>IF(T152&gt;0,VLOOKUP($J152,Ruimtegroepen[],3,FALSE)*VLOOKUP($L152,Vloersoorten[],3,FALSE)*VLOOKUP($S152,Frequenties[],3,FALSE)*VLOOKUP($A152,Locaties[],3,FALSE),0)</f>
        <v>0</v>
      </c>
      <c r="V152" s="90">
        <f>Ruimtestaat[[#This Row],[Uitvoeringen werkdagen]]*Ruimtestaat[[#This Row],[Oppervlak (netto)]]</f>
        <v>2600</v>
      </c>
      <c r="W152" s="91">
        <f>IF(U152&gt;0,Ruimtestaat[[#This Row],[Prest. (m2 /jaar) werkdagen]]/Ruimtestaat[[#This Row],[Norm (m2/uur) werkdagen]],0)</f>
        <v>0</v>
      </c>
      <c r="X152" s="92">
        <f>Ruimtestaat[[#This Row],[uren / jaar werkdagen]]*Tariefsopbouw!$E$35</f>
        <v>0</v>
      </c>
      <c r="Y152" s="89"/>
      <c r="Z152" s="93">
        <f>IF(Ruimtestaat[[#This Row],[Frequentie weekend]]&gt;0,VALUE(LEFT(Y152,1))*R152,0)</f>
        <v>0</v>
      </c>
      <c r="AA152" s="89">
        <f>IF($Z152&gt;0,VLOOKUP($J152,Ruimtegroepen[],3,FALSE)*VLOOKUP($L152,Vloersoorten[],3,FALSE)*VLOOKUP($Y152,Frequenties[],3,FALSE)*VLOOKUP($A123,Locaties[],3,FALSE),0)</f>
        <v>0</v>
      </c>
      <c r="AB152" s="91">
        <f>Ruimtestaat[[#This Row],[Uitvoeringen weekend]]*Ruimtestaat[[#This Row],[Oppervlak (netto)]]</f>
        <v>0</v>
      </c>
      <c r="AC152" s="94">
        <f>IF(AB152&gt;0,Ruimtestaat[[#This Row],[Prest. (m2 /jaar) weekend]]/Ruimtestaat[[#This Row],[Norm (m2/uur) weekend]],0)</f>
        <v>0</v>
      </c>
      <c r="AD152" s="95">
        <f>Ruimtestaat[[#This Row],[uren / jaar weekend]]*Tariefsopbouw!$D$40</f>
        <v>0</v>
      </c>
      <c r="AE152" s="67">
        <f>Ruimtestaat[[#This Row],[Prest. (m2 /jaar) weekend]]+Ruimtestaat[[#This Row],[Prest. (m2 /jaar) werkdagen]]</f>
        <v>2600</v>
      </c>
      <c r="AF152" s="67">
        <f>Ruimtestaat[[#This Row],[uren / jaar weekend]]+Ruimtestaat[[#This Row],[uren / jaar werkdagen]]</f>
        <v>0</v>
      </c>
      <c r="AG152" s="68">
        <f>Ruimtestaat[[#This Row],[kosten / jaar weekend]]+Ruimtestaat[[#This Row],[kosten / jaar werkdagen]]</f>
        <v>0</v>
      </c>
      <c r="AH152" s="96"/>
      <c r="HL152" s="66"/>
    </row>
    <row r="153" spans="1:220" ht="15" customHeight="1">
      <c r="A153" s="114">
        <v>1</v>
      </c>
      <c r="B153" s="24" t="str">
        <f>VLOOKUP(Ruimtestaat[[#This Row],[Code]],Locaties[#All],2,FALSE)</f>
        <v>Hoofdgebouw</v>
      </c>
      <c r="C153" s="24" t="str">
        <f>VLOOKUP(Ruimtestaat[[#This Row],[Code]],Locaties[#All],4,FALSE)</f>
        <v>Rohofstraat 83</v>
      </c>
      <c r="D153" s="24" t="str">
        <f>VLOOKUP(Ruimtestaat[[#This Row],[Code]],Locaties[#All],5,FALSE)</f>
        <v>7605 AT</v>
      </c>
      <c r="E153" s="24" t="str">
        <f>VLOOKUP(Ruimtestaat[[#This Row],[Code]],Locaties[#All],6,FALSE)</f>
        <v>Almelo</v>
      </c>
      <c r="F153" s="61"/>
      <c r="G153" s="24" t="s">
        <v>574</v>
      </c>
      <c r="H153" s="28" t="s">
        <v>633</v>
      </c>
      <c r="I153" s="4" t="s">
        <v>515</v>
      </c>
      <c r="J153" s="24">
        <v>10</v>
      </c>
      <c r="K153" s="61" t="str">
        <f>VLOOKUP(J153,Ruimtegroepen[],2,FALSE)</f>
        <v>Trappenhuizen/lift</v>
      </c>
      <c r="L153" s="329" t="s">
        <v>105</v>
      </c>
      <c r="M153" s="329" t="s">
        <v>786</v>
      </c>
      <c r="N153" s="87">
        <v>18.8</v>
      </c>
      <c r="O153" s="87"/>
      <c r="P153" s="97" t="str">
        <f>LEFT(VLOOKUP(Ruimtestaat[[#This Row],[Ruimte code]],Ruimtegroepen[#All],4,1),2)</f>
        <v>Ve</v>
      </c>
      <c r="Q153" s="97"/>
      <c r="R153" s="88">
        <v>52</v>
      </c>
      <c r="S153" s="88" t="s">
        <v>2</v>
      </c>
      <c r="T153" s="89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53" s="89">
        <f>IF(T153&gt;0,VLOOKUP($J153,Ruimtegroepen[],3,FALSE)*VLOOKUP($L153,Vloersoorten[],3,FALSE)*VLOOKUP($S153,Frequenties[],3,FALSE)*VLOOKUP($A153,Locaties[],3,FALSE),0)</f>
        <v>0</v>
      </c>
      <c r="V153" s="90">
        <f>Ruimtestaat[[#This Row],[Uitvoeringen werkdagen]]*Ruimtestaat[[#This Row],[Oppervlak (netto)]]</f>
        <v>4888</v>
      </c>
      <c r="W153" s="91">
        <f>IF(U153&gt;0,Ruimtestaat[[#This Row],[Prest. (m2 /jaar) werkdagen]]/Ruimtestaat[[#This Row],[Norm (m2/uur) werkdagen]],0)</f>
        <v>0</v>
      </c>
      <c r="X153" s="92">
        <f>Ruimtestaat[[#This Row],[uren / jaar werkdagen]]*Tariefsopbouw!$E$35</f>
        <v>0</v>
      </c>
      <c r="Y153" s="89"/>
      <c r="Z153" s="93">
        <f>IF(Ruimtestaat[[#This Row],[Frequentie weekend]]&gt;0,VALUE(LEFT(Y153,1))*R153,0)</f>
        <v>0</v>
      </c>
      <c r="AA153" s="89">
        <f>IF($Z153&gt;0,VLOOKUP($J153,Ruimtegroepen[],3,FALSE)*VLOOKUP($L153,Vloersoorten[],3,FALSE)*VLOOKUP($Y153,Frequenties[],3,FALSE)*VLOOKUP($A124,Locaties[],3,FALSE),0)</f>
        <v>0</v>
      </c>
      <c r="AB153" s="91">
        <f>Ruimtestaat[[#This Row],[Uitvoeringen weekend]]*Ruimtestaat[[#This Row],[Oppervlak (netto)]]</f>
        <v>0</v>
      </c>
      <c r="AC153" s="94">
        <f>IF(AB153&gt;0,Ruimtestaat[[#This Row],[Prest. (m2 /jaar) weekend]]/Ruimtestaat[[#This Row],[Norm (m2/uur) weekend]],0)</f>
        <v>0</v>
      </c>
      <c r="AD153" s="95">
        <f>Ruimtestaat[[#This Row],[uren / jaar weekend]]*Tariefsopbouw!$D$40</f>
        <v>0</v>
      </c>
      <c r="AE153" s="67">
        <f>Ruimtestaat[[#This Row],[Prest. (m2 /jaar) weekend]]+Ruimtestaat[[#This Row],[Prest. (m2 /jaar) werkdagen]]</f>
        <v>4888</v>
      </c>
      <c r="AF153" s="67">
        <f>Ruimtestaat[[#This Row],[uren / jaar weekend]]+Ruimtestaat[[#This Row],[uren / jaar werkdagen]]</f>
        <v>0</v>
      </c>
      <c r="AG153" s="68">
        <f>Ruimtestaat[[#This Row],[kosten / jaar weekend]]+Ruimtestaat[[#This Row],[kosten / jaar werkdagen]]</f>
        <v>0</v>
      </c>
      <c r="AH153" s="96"/>
      <c r="HL153" s="66"/>
    </row>
    <row r="154" spans="1:220" ht="15" customHeight="1">
      <c r="A154" s="114">
        <v>1</v>
      </c>
      <c r="B154" s="24" t="str">
        <f>VLOOKUP(Ruimtestaat[[#This Row],[Code]],Locaties[#All],2,FALSE)</f>
        <v>Hoofdgebouw</v>
      </c>
      <c r="C154" s="24" t="str">
        <f>VLOOKUP(Ruimtestaat[[#This Row],[Code]],Locaties[#All],4,FALSE)</f>
        <v>Rohofstraat 83</v>
      </c>
      <c r="D154" s="24" t="str">
        <f>VLOOKUP(Ruimtestaat[[#This Row],[Code]],Locaties[#All],5,FALSE)</f>
        <v>7605 AT</v>
      </c>
      <c r="E154" s="24" t="str">
        <f>VLOOKUP(Ruimtestaat[[#This Row],[Code]],Locaties[#All],6,FALSE)</f>
        <v>Almelo</v>
      </c>
      <c r="F154" s="61"/>
      <c r="G154" s="24" t="s">
        <v>574</v>
      </c>
      <c r="H154" s="28" t="s">
        <v>634</v>
      </c>
      <c r="I154" s="4" t="s">
        <v>551</v>
      </c>
      <c r="J154" s="24">
        <v>1</v>
      </c>
      <c r="K154" s="61" t="str">
        <f>VLOOKUP(J154,Ruimtegroepen[],2,FALSE)</f>
        <v>Magazijnen/bergingen</v>
      </c>
      <c r="L154" s="24" t="s">
        <v>106</v>
      </c>
      <c r="M154" s="24" t="s">
        <v>126</v>
      </c>
      <c r="N154" s="87">
        <v>1.8</v>
      </c>
      <c r="O154" s="87"/>
      <c r="P154" s="97" t="str">
        <f>LEFT(VLOOKUP(Ruimtestaat[[#This Row],[Ruimte code]],Ruimtegroepen[#All],4,1),2)</f>
        <v>Ve</v>
      </c>
      <c r="Q154" s="97"/>
      <c r="R154" s="88">
        <v>52</v>
      </c>
      <c r="S154" s="88" t="s">
        <v>16</v>
      </c>
      <c r="T154" s="89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54" s="89">
        <f>IF(T154&gt;0,VLOOKUP($J154,Ruimtegroepen[],3,FALSE)*VLOOKUP($L154,Vloersoorten[],3,FALSE)*VLOOKUP($S154,Frequenties[],3,FALSE)*VLOOKUP($A154,Locaties[],3,FALSE),0)</f>
        <v>0</v>
      </c>
      <c r="V154" s="90">
        <f>Ruimtestaat[[#This Row],[Uitvoeringen werkdagen]]*Ruimtestaat[[#This Row],[Oppervlak (netto)]]</f>
        <v>21.6</v>
      </c>
      <c r="W154" s="91">
        <f>IF(U154&gt;0,Ruimtestaat[[#This Row],[Prest. (m2 /jaar) werkdagen]]/Ruimtestaat[[#This Row],[Norm (m2/uur) werkdagen]],0)</f>
        <v>0</v>
      </c>
      <c r="X154" s="92">
        <f>Ruimtestaat[[#This Row],[uren / jaar werkdagen]]*Tariefsopbouw!$E$35</f>
        <v>0</v>
      </c>
      <c r="Y154" s="89"/>
      <c r="Z154" s="93">
        <f>IF(Ruimtestaat[[#This Row],[Frequentie weekend]]&gt;0,VALUE(LEFT(Y154,1))*R154,0)</f>
        <v>0</v>
      </c>
      <c r="AA154" s="89">
        <f>IF($Z154&gt;0,VLOOKUP($J154,Ruimtegroepen[],3,FALSE)*VLOOKUP($L154,Vloersoorten[],3,FALSE)*VLOOKUP($Y154,Frequenties[],3,FALSE)*VLOOKUP($A125,Locaties[],3,FALSE),0)</f>
        <v>0</v>
      </c>
      <c r="AB154" s="91">
        <f>Ruimtestaat[[#This Row],[Uitvoeringen weekend]]*Ruimtestaat[[#This Row],[Oppervlak (netto)]]</f>
        <v>0</v>
      </c>
      <c r="AC154" s="94">
        <f>IF(AB154&gt;0,Ruimtestaat[[#This Row],[Prest. (m2 /jaar) weekend]]/Ruimtestaat[[#This Row],[Norm (m2/uur) weekend]],0)</f>
        <v>0</v>
      </c>
      <c r="AD154" s="95">
        <f>Ruimtestaat[[#This Row],[uren / jaar weekend]]*Tariefsopbouw!$D$40</f>
        <v>0</v>
      </c>
      <c r="AE154" s="67">
        <f>Ruimtestaat[[#This Row],[Prest. (m2 /jaar) weekend]]+Ruimtestaat[[#This Row],[Prest. (m2 /jaar) werkdagen]]</f>
        <v>21.6</v>
      </c>
      <c r="AF154" s="67">
        <f>Ruimtestaat[[#This Row],[uren / jaar weekend]]+Ruimtestaat[[#This Row],[uren / jaar werkdagen]]</f>
        <v>0</v>
      </c>
      <c r="AG154" s="68">
        <f>Ruimtestaat[[#This Row],[kosten / jaar weekend]]+Ruimtestaat[[#This Row],[kosten / jaar werkdagen]]</f>
        <v>0</v>
      </c>
      <c r="AH154" s="96"/>
      <c r="HL154" s="66"/>
    </row>
    <row r="155" spans="1:220" ht="15" customHeight="1">
      <c r="A155" s="114">
        <v>1</v>
      </c>
      <c r="B155" s="24" t="str">
        <f>VLOOKUP(Ruimtestaat[[#This Row],[Code]],Locaties[#All],2,FALSE)</f>
        <v>Hoofdgebouw</v>
      </c>
      <c r="C155" s="24" t="str">
        <f>VLOOKUP(Ruimtestaat[[#This Row],[Code]],Locaties[#All],4,FALSE)</f>
        <v>Rohofstraat 83</v>
      </c>
      <c r="D155" s="24" t="str">
        <f>VLOOKUP(Ruimtestaat[[#This Row],[Code]],Locaties[#All],5,FALSE)</f>
        <v>7605 AT</v>
      </c>
      <c r="E155" s="24" t="str">
        <f>VLOOKUP(Ruimtestaat[[#This Row],[Code]],Locaties[#All],6,FALSE)</f>
        <v>Almelo</v>
      </c>
      <c r="F155" s="61"/>
      <c r="G155" s="24" t="s">
        <v>574</v>
      </c>
      <c r="H155" s="28" t="s">
        <v>635</v>
      </c>
      <c r="I155" s="4" t="s">
        <v>472</v>
      </c>
      <c r="J155" s="24">
        <v>6</v>
      </c>
      <c r="K155" s="61" t="str">
        <f>VLOOKUP(J155,Ruimtegroepen[],2,FALSE)</f>
        <v>Gangen/hallen</v>
      </c>
      <c r="L155" s="24" t="s">
        <v>103</v>
      </c>
      <c r="M155" s="24" t="s">
        <v>38</v>
      </c>
      <c r="N155" s="87">
        <v>20.2</v>
      </c>
      <c r="O155" s="87"/>
      <c r="P155" s="97" t="str">
        <f>LEFT(VLOOKUP(Ruimtestaat[[#This Row],[Ruimte code]],Ruimtegroepen[#All],4,1),2)</f>
        <v>Ve</v>
      </c>
      <c r="Q155" s="97"/>
      <c r="R155" s="88">
        <v>52</v>
      </c>
      <c r="S155" s="88" t="s">
        <v>2</v>
      </c>
      <c r="T155" s="89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55" s="89">
        <f>IF(T155&gt;0,VLOOKUP($J155,Ruimtegroepen[],3,FALSE)*VLOOKUP($L155,Vloersoorten[],3,FALSE)*VLOOKUP($S155,Frequenties[],3,FALSE)*VLOOKUP($A155,Locaties[],3,FALSE),0)</f>
        <v>0</v>
      </c>
      <c r="V155" s="90">
        <f>Ruimtestaat[[#This Row],[Uitvoeringen werkdagen]]*Ruimtestaat[[#This Row],[Oppervlak (netto)]]</f>
        <v>5252</v>
      </c>
      <c r="W155" s="91">
        <f>IF(U155&gt;0,Ruimtestaat[[#This Row],[Prest. (m2 /jaar) werkdagen]]/Ruimtestaat[[#This Row],[Norm (m2/uur) werkdagen]],0)</f>
        <v>0</v>
      </c>
      <c r="X155" s="92">
        <f>Ruimtestaat[[#This Row],[uren / jaar werkdagen]]*Tariefsopbouw!$E$35</f>
        <v>0</v>
      </c>
      <c r="Y155" s="89"/>
      <c r="Z155" s="93">
        <f>IF(Ruimtestaat[[#This Row],[Frequentie weekend]]&gt;0,VALUE(LEFT(Y155,1))*R155,0)</f>
        <v>0</v>
      </c>
      <c r="AA155" s="89">
        <f>IF($Z155&gt;0,VLOOKUP($J155,Ruimtegroepen[],3,FALSE)*VLOOKUP($L155,Vloersoorten[],3,FALSE)*VLOOKUP($Y155,Frequenties[],3,FALSE)*VLOOKUP($A126,Locaties[],3,FALSE),0)</f>
        <v>0</v>
      </c>
      <c r="AB155" s="91">
        <f>Ruimtestaat[[#This Row],[Uitvoeringen weekend]]*Ruimtestaat[[#This Row],[Oppervlak (netto)]]</f>
        <v>0</v>
      </c>
      <c r="AC155" s="94">
        <f>IF(AB155&gt;0,Ruimtestaat[[#This Row],[Prest. (m2 /jaar) weekend]]/Ruimtestaat[[#This Row],[Norm (m2/uur) weekend]],0)</f>
        <v>0</v>
      </c>
      <c r="AD155" s="95">
        <f>Ruimtestaat[[#This Row],[uren / jaar weekend]]*Tariefsopbouw!$D$40</f>
        <v>0</v>
      </c>
      <c r="AE155" s="67">
        <f>Ruimtestaat[[#This Row],[Prest. (m2 /jaar) weekend]]+Ruimtestaat[[#This Row],[Prest. (m2 /jaar) werkdagen]]</f>
        <v>5252</v>
      </c>
      <c r="AF155" s="67">
        <f>Ruimtestaat[[#This Row],[uren / jaar weekend]]+Ruimtestaat[[#This Row],[uren / jaar werkdagen]]</f>
        <v>0</v>
      </c>
      <c r="AG155" s="68">
        <f>Ruimtestaat[[#This Row],[kosten / jaar weekend]]+Ruimtestaat[[#This Row],[kosten / jaar werkdagen]]</f>
        <v>0</v>
      </c>
      <c r="AH155" s="96"/>
      <c r="HL155" s="66"/>
    </row>
    <row r="156" spans="1:220" ht="15" customHeight="1">
      <c r="A156" s="114">
        <v>1</v>
      </c>
      <c r="B156" s="24" t="str">
        <f>VLOOKUP(Ruimtestaat[[#This Row],[Code]],Locaties[#All],2,FALSE)</f>
        <v>Hoofdgebouw</v>
      </c>
      <c r="C156" s="24" t="str">
        <f>VLOOKUP(Ruimtestaat[[#This Row],[Code]],Locaties[#All],4,FALSE)</f>
        <v>Rohofstraat 83</v>
      </c>
      <c r="D156" s="24" t="str">
        <f>VLOOKUP(Ruimtestaat[[#This Row],[Code]],Locaties[#All],5,FALSE)</f>
        <v>7605 AT</v>
      </c>
      <c r="E156" s="24" t="str">
        <f>VLOOKUP(Ruimtestaat[[#This Row],[Code]],Locaties[#All],6,FALSE)</f>
        <v>Almelo</v>
      </c>
      <c r="F156" s="61"/>
      <c r="G156" s="24" t="s">
        <v>574</v>
      </c>
      <c r="H156" s="28" t="s">
        <v>636</v>
      </c>
      <c r="I156" s="4" t="s">
        <v>481</v>
      </c>
      <c r="J156" s="24">
        <v>17</v>
      </c>
      <c r="K156" s="61" t="str">
        <f>VLOOKUP(J156,Ruimtegroepen[],2,FALSE)</f>
        <v>Niet in Onderhoud</v>
      </c>
      <c r="M156" s="24"/>
      <c r="N156" s="87"/>
      <c r="O156" s="87">
        <v>1</v>
      </c>
      <c r="P156" s="97" t="str">
        <f>LEFT(VLOOKUP(Ruimtestaat[[#This Row],[Ruimte code]],Ruimtegroepen[#All],4,1),2)</f>
        <v/>
      </c>
      <c r="Q156" s="97"/>
      <c r="R156" s="88"/>
      <c r="S156" s="88"/>
      <c r="T156" s="89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56" s="89">
        <f>IF(T156&gt;0,VLOOKUP($J156,Ruimtegroepen[],3,FALSE)*VLOOKUP($L156,Vloersoorten[],3,FALSE)*VLOOKUP($S156,Frequenties[],3,FALSE)*VLOOKUP($A156,Locaties[],3,FALSE),0)</f>
        <v>0</v>
      </c>
      <c r="V156" s="90">
        <f>Ruimtestaat[[#This Row],[Uitvoeringen werkdagen]]*Ruimtestaat[[#This Row],[Oppervlak (netto)]]</f>
        <v>0</v>
      </c>
      <c r="W156" s="91">
        <f>IF(U156&gt;0,Ruimtestaat[[#This Row],[Prest. (m2 /jaar) werkdagen]]/Ruimtestaat[[#This Row],[Norm (m2/uur) werkdagen]],0)</f>
        <v>0</v>
      </c>
      <c r="X156" s="92">
        <f>Ruimtestaat[[#This Row],[uren / jaar werkdagen]]*Tariefsopbouw!$E$35</f>
        <v>0</v>
      </c>
      <c r="Y156" s="89"/>
      <c r="Z156" s="93">
        <f>IF(Ruimtestaat[[#This Row],[Frequentie weekend]]&gt;0,VALUE(LEFT(Y156,1))*R156,0)</f>
        <v>0</v>
      </c>
      <c r="AA156" s="89">
        <f>IF($Z156&gt;0,VLOOKUP($J156,Ruimtegroepen[],3,FALSE)*VLOOKUP($L156,Vloersoorten[],3,FALSE)*VLOOKUP($Y156,Frequenties[],3,FALSE)*VLOOKUP($A127,Locaties[],3,FALSE),0)</f>
        <v>0</v>
      </c>
      <c r="AB156" s="91">
        <f>Ruimtestaat[[#This Row],[Uitvoeringen weekend]]*Ruimtestaat[[#This Row],[Oppervlak (netto)]]</f>
        <v>0</v>
      </c>
      <c r="AC156" s="94">
        <f>IF(AB156&gt;0,Ruimtestaat[[#This Row],[Prest. (m2 /jaar) weekend]]/Ruimtestaat[[#This Row],[Norm (m2/uur) weekend]],0)</f>
        <v>0</v>
      </c>
      <c r="AD156" s="95">
        <f>Ruimtestaat[[#This Row],[uren / jaar weekend]]*Tariefsopbouw!$D$40</f>
        <v>0</v>
      </c>
      <c r="AE156" s="67">
        <f>Ruimtestaat[[#This Row],[Prest. (m2 /jaar) weekend]]+Ruimtestaat[[#This Row],[Prest. (m2 /jaar) werkdagen]]</f>
        <v>0</v>
      </c>
      <c r="AF156" s="67">
        <f>Ruimtestaat[[#This Row],[uren / jaar weekend]]+Ruimtestaat[[#This Row],[uren / jaar werkdagen]]</f>
        <v>0</v>
      </c>
      <c r="AG156" s="68">
        <f>Ruimtestaat[[#This Row],[kosten / jaar weekend]]+Ruimtestaat[[#This Row],[kosten / jaar werkdagen]]</f>
        <v>0</v>
      </c>
      <c r="AH156" s="96"/>
      <c r="HL156" s="66"/>
    </row>
    <row r="157" spans="1:220" ht="15" customHeight="1">
      <c r="A157" s="114">
        <v>1</v>
      </c>
      <c r="B157" s="24" t="str">
        <f>VLOOKUP(Ruimtestaat[[#This Row],[Code]],Locaties[#All],2,FALSE)</f>
        <v>Hoofdgebouw</v>
      </c>
      <c r="C157" s="24" t="str">
        <f>VLOOKUP(Ruimtestaat[[#This Row],[Code]],Locaties[#All],4,FALSE)</f>
        <v>Rohofstraat 83</v>
      </c>
      <c r="D157" s="24" t="str">
        <f>VLOOKUP(Ruimtestaat[[#This Row],[Code]],Locaties[#All],5,FALSE)</f>
        <v>7605 AT</v>
      </c>
      <c r="E157" s="24" t="str">
        <f>VLOOKUP(Ruimtestaat[[#This Row],[Code]],Locaties[#All],6,FALSE)</f>
        <v>Almelo</v>
      </c>
      <c r="F157" s="61"/>
      <c r="G157" s="24" t="s">
        <v>574</v>
      </c>
      <c r="H157" s="28" t="s">
        <v>637</v>
      </c>
      <c r="I157" s="4" t="s">
        <v>551</v>
      </c>
      <c r="J157" s="24">
        <v>1</v>
      </c>
      <c r="K157" s="61" t="str">
        <f>VLOOKUP(J157,Ruimtegroepen[],2,FALSE)</f>
        <v>Magazijnen/bergingen</v>
      </c>
      <c r="L157" s="24" t="s">
        <v>106</v>
      </c>
      <c r="M157" s="24" t="s">
        <v>126</v>
      </c>
      <c r="N157" s="87">
        <v>2.5</v>
      </c>
      <c r="O157" s="87"/>
      <c r="P157" s="97" t="str">
        <f>LEFT(VLOOKUP(Ruimtestaat[[#This Row],[Ruimte code]],Ruimtegroepen[#All],4,1),2)</f>
        <v>Ve</v>
      </c>
      <c r="Q157" s="97"/>
      <c r="R157" s="88">
        <v>52</v>
      </c>
      <c r="S157" s="88" t="s">
        <v>16</v>
      </c>
      <c r="T157" s="89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57" s="89">
        <f>IF(T157&gt;0,VLOOKUP($J157,Ruimtegroepen[],3,FALSE)*VLOOKUP($L157,Vloersoorten[],3,FALSE)*VLOOKUP($S157,Frequenties[],3,FALSE)*VLOOKUP($A157,Locaties[],3,FALSE),0)</f>
        <v>0</v>
      </c>
      <c r="V157" s="90">
        <f>Ruimtestaat[[#This Row],[Uitvoeringen werkdagen]]*Ruimtestaat[[#This Row],[Oppervlak (netto)]]</f>
        <v>30</v>
      </c>
      <c r="W157" s="91">
        <f>IF(U157&gt;0,Ruimtestaat[[#This Row],[Prest. (m2 /jaar) werkdagen]]/Ruimtestaat[[#This Row],[Norm (m2/uur) werkdagen]],0)</f>
        <v>0</v>
      </c>
      <c r="X157" s="92">
        <f>Ruimtestaat[[#This Row],[uren / jaar werkdagen]]*Tariefsopbouw!$E$35</f>
        <v>0</v>
      </c>
      <c r="Y157" s="89"/>
      <c r="Z157" s="93">
        <f>IF(Ruimtestaat[[#This Row],[Frequentie weekend]]&gt;0,VALUE(LEFT(Y157,1))*R157,0)</f>
        <v>0</v>
      </c>
      <c r="AA157" s="89">
        <f>IF($Z157&gt;0,VLOOKUP($J157,Ruimtegroepen[],3,FALSE)*VLOOKUP($L157,Vloersoorten[],3,FALSE)*VLOOKUP($Y157,Frequenties[],3,FALSE)*VLOOKUP($A128,Locaties[],3,FALSE),0)</f>
        <v>0</v>
      </c>
      <c r="AB157" s="91">
        <f>Ruimtestaat[[#This Row],[Uitvoeringen weekend]]*Ruimtestaat[[#This Row],[Oppervlak (netto)]]</f>
        <v>0</v>
      </c>
      <c r="AC157" s="94">
        <f>IF(AB157&gt;0,Ruimtestaat[[#This Row],[Prest. (m2 /jaar) weekend]]/Ruimtestaat[[#This Row],[Norm (m2/uur) weekend]],0)</f>
        <v>0</v>
      </c>
      <c r="AD157" s="95">
        <f>Ruimtestaat[[#This Row],[uren / jaar weekend]]*Tariefsopbouw!$D$40</f>
        <v>0</v>
      </c>
      <c r="AE157" s="67">
        <f>Ruimtestaat[[#This Row],[Prest. (m2 /jaar) weekend]]+Ruimtestaat[[#This Row],[Prest. (m2 /jaar) werkdagen]]</f>
        <v>30</v>
      </c>
      <c r="AF157" s="67">
        <f>Ruimtestaat[[#This Row],[uren / jaar weekend]]+Ruimtestaat[[#This Row],[uren / jaar werkdagen]]</f>
        <v>0</v>
      </c>
      <c r="AG157" s="68">
        <f>Ruimtestaat[[#This Row],[kosten / jaar weekend]]+Ruimtestaat[[#This Row],[kosten / jaar werkdagen]]</f>
        <v>0</v>
      </c>
      <c r="AH157" s="96"/>
      <c r="HL157" s="66"/>
    </row>
    <row r="158" spans="1:220" ht="15" customHeight="1">
      <c r="A158" s="114">
        <v>1</v>
      </c>
      <c r="B158" s="24" t="str">
        <f>VLOOKUP(Ruimtestaat[[#This Row],[Code]],Locaties[#All],2,FALSE)</f>
        <v>Hoofdgebouw</v>
      </c>
      <c r="C158" s="24" t="str">
        <f>VLOOKUP(Ruimtestaat[[#This Row],[Code]],Locaties[#All],4,FALSE)</f>
        <v>Rohofstraat 83</v>
      </c>
      <c r="D158" s="24" t="str">
        <f>VLOOKUP(Ruimtestaat[[#This Row],[Code]],Locaties[#All],5,FALSE)</f>
        <v>7605 AT</v>
      </c>
      <c r="E158" s="24" t="str">
        <f>VLOOKUP(Ruimtestaat[[#This Row],[Code]],Locaties[#All],6,FALSE)</f>
        <v>Almelo</v>
      </c>
      <c r="F158" s="61"/>
      <c r="G158" s="24" t="s">
        <v>574</v>
      </c>
      <c r="H158" s="28" t="s">
        <v>638</v>
      </c>
      <c r="I158" s="4" t="s">
        <v>481</v>
      </c>
      <c r="J158" s="24">
        <v>17</v>
      </c>
      <c r="K158" s="61" t="str">
        <f>VLOOKUP(J158,Ruimtegroepen[],2,FALSE)</f>
        <v>Niet in Onderhoud</v>
      </c>
      <c r="M158" s="24"/>
      <c r="N158" s="87"/>
      <c r="O158" s="87">
        <v>1.4</v>
      </c>
      <c r="P158" s="97" t="str">
        <f>LEFT(VLOOKUP(Ruimtestaat[[#This Row],[Ruimte code]],Ruimtegroepen[#All],4,1),2)</f>
        <v/>
      </c>
      <c r="Q158" s="97"/>
      <c r="R158" s="88"/>
      <c r="S158" s="88"/>
      <c r="T158" s="89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58" s="89">
        <f>IF(T158&gt;0,VLOOKUP($J158,Ruimtegroepen[],3,FALSE)*VLOOKUP($L158,Vloersoorten[],3,FALSE)*VLOOKUP($S158,Frequenties[],3,FALSE)*VLOOKUP($A158,Locaties[],3,FALSE),0)</f>
        <v>0</v>
      </c>
      <c r="V158" s="90">
        <f>Ruimtestaat[[#This Row],[Uitvoeringen werkdagen]]*Ruimtestaat[[#This Row],[Oppervlak (netto)]]</f>
        <v>0</v>
      </c>
      <c r="W158" s="91">
        <f>IF(U158&gt;0,Ruimtestaat[[#This Row],[Prest. (m2 /jaar) werkdagen]]/Ruimtestaat[[#This Row],[Norm (m2/uur) werkdagen]],0)</f>
        <v>0</v>
      </c>
      <c r="X158" s="92">
        <f>Ruimtestaat[[#This Row],[uren / jaar werkdagen]]*Tariefsopbouw!$E$35</f>
        <v>0</v>
      </c>
      <c r="Y158" s="89"/>
      <c r="Z158" s="93">
        <f>IF(Ruimtestaat[[#This Row],[Frequentie weekend]]&gt;0,VALUE(LEFT(Y158,1))*R158,0)</f>
        <v>0</v>
      </c>
      <c r="AA158" s="89">
        <f>IF($Z158&gt;0,VLOOKUP($J158,Ruimtegroepen[],3,FALSE)*VLOOKUP($L158,Vloersoorten[],3,FALSE)*VLOOKUP($Y158,Frequenties[],3,FALSE)*VLOOKUP($A129,Locaties[],3,FALSE),0)</f>
        <v>0</v>
      </c>
      <c r="AB158" s="91">
        <f>Ruimtestaat[[#This Row],[Uitvoeringen weekend]]*Ruimtestaat[[#This Row],[Oppervlak (netto)]]</f>
        <v>0</v>
      </c>
      <c r="AC158" s="94">
        <f>IF(AB158&gt;0,Ruimtestaat[[#This Row],[Prest. (m2 /jaar) weekend]]/Ruimtestaat[[#This Row],[Norm (m2/uur) weekend]],0)</f>
        <v>0</v>
      </c>
      <c r="AD158" s="95">
        <f>Ruimtestaat[[#This Row],[uren / jaar weekend]]*Tariefsopbouw!$D$40</f>
        <v>0</v>
      </c>
      <c r="AE158" s="67">
        <f>Ruimtestaat[[#This Row],[Prest. (m2 /jaar) weekend]]+Ruimtestaat[[#This Row],[Prest. (m2 /jaar) werkdagen]]</f>
        <v>0</v>
      </c>
      <c r="AF158" s="67">
        <f>Ruimtestaat[[#This Row],[uren / jaar weekend]]+Ruimtestaat[[#This Row],[uren / jaar werkdagen]]</f>
        <v>0</v>
      </c>
      <c r="AG158" s="68">
        <f>Ruimtestaat[[#This Row],[kosten / jaar weekend]]+Ruimtestaat[[#This Row],[kosten / jaar werkdagen]]</f>
        <v>0</v>
      </c>
      <c r="AH158" s="96"/>
      <c r="HL158" s="66"/>
    </row>
    <row r="159" spans="1:220" ht="15" customHeight="1">
      <c r="A159" s="114">
        <v>1</v>
      </c>
      <c r="B159" s="24" t="str">
        <f>VLOOKUP(Ruimtestaat[[#This Row],[Code]],Locaties[#All],2,FALSE)</f>
        <v>Hoofdgebouw</v>
      </c>
      <c r="C159" s="24" t="str">
        <f>VLOOKUP(Ruimtestaat[[#This Row],[Code]],Locaties[#All],4,FALSE)</f>
        <v>Rohofstraat 83</v>
      </c>
      <c r="D159" s="24" t="str">
        <f>VLOOKUP(Ruimtestaat[[#This Row],[Code]],Locaties[#All],5,FALSE)</f>
        <v>7605 AT</v>
      </c>
      <c r="E159" s="24" t="str">
        <f>VLOOKUP(Ruimtestaat[[#This Row],[Code]],Locaties[#All],6,FALSE)</f>
        <v>Almelo</v>
      </c>
      <c r="F159" s="61"/>
      <c r="G159" s="24" t="s">
        <v>574</v>
      </c>
      <c r="H159" s="28" t="s">
        <v>639</v>
      </c>
      <c r="I159" s="4" t="s">
        <v>551</v>
      </c>
      <c r="J159" s="24">
        <v>1</v>
      </c>
      <c r="K159" s="61" t="str">
        <f>VLOOKUP(J159,Ruimtegroepen[],2,FALSE)</f>
        <v>Magazijnen/bergingen</v>
      </c>
      <c r="L159" s="24" t="s">
        <v>106</v>
      </c>
      <c r="M159" s="24" t="s">
        <v>126</v>
      </c>
      <c r="N159" s="87">
        <v>6.6</v>
      </c>
      <c r="O159" s="87"/>
      <c r="P159" s="97" t="str">
        <f>LEFT(VLOOKUP(Ruimtestaat[[#This Row],[Ruimte code]],Ruimtegroepen[#All],4,1),2)</f>
        <v>Ve</v>
      </c>
      <c r="Q159" s="97"/>
      <c r="R159" s="88">
        <v>52</v>
      </c>
      <c r="S159" s="88" t="s">
        <v>16</v>
      </c>
      <c r="T159" s="89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59" s="89">
        <f>IF(T159&gt;0,VLOOKUP($J159,Ruimtegroepen[],3,FALSE)*VLOOKUP($L159,Vloersoorten[],3,FALSE)*VLOOKUP($S159,Frequenties[],3,FALSE)*VLOOKUP($A159,Locaties[],3,FALSE),0)</f>
        <v>0</v>
      </c>
      <c r="V159" s="90">
        <f>Ruimtestaat[[#This Row],[Uitvoeringen werkdagen]]*Ruimtestaat[[#This Row],[Oppervlak (netto)]]</f>
        <v>79.199999999999989</v>
      </c>
      <c r="W159" s="91">
        <f>IF(U159&gt;0,Ruimtestaat[[#This Row],[Prest. (m2 /jaar) werkdagen]]/Ruimtestaat[[#This Row],[Norm (m2/uur) werkdagen]],0)</f>
        <v>0</v>
      </c>
      <c r="X159" s="92">
        <f>Ruimtestaat[[#This Row],[uren / jaar werkdagen]]*Tariefsopbouw!$E$35</f>
        <v>0</v>
      </c>
      <c r="Y159" s="89"/>
      <c r="Z159" s="93">
        <f>IF(Ruimtestaat[[#This Row],[Frequentie weekend]]&gt;0,VALUE(LEFT(Y159,1))*R159,0)</f>
        <v>0</v>
      </c>
      <c r="AA159" s="89">
        <f>IF($Z159&gt;0,VLOOKUP($J159,Ruimtegroepen[],3,FALSE)*VLOOKUP($L159,Vloersoorten[],3,FALSE)*VLOOKUP($Y159,Frequenties[],3,FALSE)*VLOOKUP($A130,Locaties[],3,FALSE),0)</f>
        <v>0</v>
      </c>
      <c r="AB159" s="91">
        <f>Ruimtestaat[[#This Row],[Uitvoeringen weekend]]*Ruimtestaat[[#This Row],[Oppervlak (netto)]]</f>
        <v>0</v>
      </c>
      <c r="AC159" s="94">
        <f>IF(AB159&gt;0,Ruimtestaat[[#This Row],[Prest. (m2 /jaar) weekend]]/Ruimtestaat[[#This Row],[Norm (m2/uur) weekend]],0)</f>
        <v>0</v>
      </c>
      <c r="AD159" s="95">
        <f>Ruimtestaat[[#This Row],[uren / jaar weekend]]*Tariefsopbouw!$D$40</f>
        <v>0</v>
      </c>
      <c r="AE159" s="67">
        <f>Ruimtestaat[[#This Row],[Prest. (m2 /jaar) weekend]]+Ruimtestaat[[#This Row],[Prest. (m2 /jaar) werkdagen]]</f>
        <v>79.199999999999989</v>
      </c>
      <c r="AF159" s="67">
        <f>Ruimtestaat[[#This Row],[uren / jaar weekend]]+Ruimtestaat[[#This Row],[uren / jaar werkdagen]]</f>
        <v>0</v>
      </c>
      <c r="AG159" s="68">
        <f>Ruimtestaat[[#This Row],[kosten / jaar weekend]]+Ruimtestaat[[#This Row],[kosten / jaar werkdagen]]</f>
        <v>0</v>
      </c>
      <c r="AH159" s="96"/>
      <c r="HL159" s="66"/>
    </row>
    <row r="160" spans="1:220" ht="15" customHeight="1">
      <c r="A160" s="114">
        <v>1</v>
      </c>
      <c r="B160" s="24" t="str">
        <f>VLOOKUP(Ruimtestaat[[#This Row],[Code]],Locaties[#All],2,FALSE)</f>
        <v>Hoofdgebouw</v>
      </c>
      <c r="C160" s="24" t="str">
        <f>VLOOKUP(Ruimtestaat[[#This Row],[Code]],Locaties[#All],4,FALSE)</f>
        <v>Rohofstraat 83</v>
      </c>
      <c r="D160" s="24" t="str">
        <f>VLOOKUP(Ruimtestaat[[#This Row],[Code]],Locaties[#All],5,FALSE)</f>
        <v>7605 AT</v>
      </c>
      <c r="E160" s="24" t="str">
        <f>VLOOKUP(Ruimtestaat[[#This Row],[Code]],Locaties[#All],6,FALSE)</f>
        <v>Almelo</v>
      </c>
      <c r="F160" s="61"/>
      <c r="G160" s="24" t="s">
        <v>574</v>
      </c>
      <c r="H160" s="28" t="s">
        <v>640</v>
      </c>
      <c r="I160" s="4" t="s">
        <v>641</v>
      </c>
      <c r="J160" s="24">
        <v>15</v>
      </c>
      <c r="K160" s="61" t="str">
        <f>VLOOKUP(J160,Ruimtegroepen[],2,FALSE)</f>
        <v>Keuken/pantry</v>
      </c>
      <c r="L160" s="24" t="s">
        <v>106</v>
      </c>
      <c r="M160" s="24" t="s">
        <v>126</v>
      </c>
      <c r="N160" s="87">
        <v>6.7</v>
      </c>
      <c r="O160" s="87"/>
      <c r="P160" s="97" t="str">
        <f>LEFT(VLOOKUP(Ruimtestaat[[#This Row],[Ruimte code]],Ruimtegroepen[#All],4,1),2)</f>
        <v>Ve</v>
      </c>
      <c r="Q160" s="97"/>
      <c r="R160" s="88">
        <v>52</v>
      </c>
      <c r="S160" s="88" t="s">
        <v>2</v>
      </c>
      <c r="T160" s="89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60" s="89">
        <f>IF(T160&gt;0,VLOOKUP($J160,Ruimtegroepen[],3,FALSE)*VLOOKUP($L160,Vloersoorten[],3,FALSE)*VLOOKUP($S160,Frequenties[],3,FALSE)*VLOOKUP($A160,Locaties[],3,FALSE),0)</f>
        <v>0</v>
      </c>
      <c r="V160" s="90">
        <f>Ruimtestaat[[#This Row],[Uitvoeringen werkdagen]]*Ruimtestaat[[#This Row],[Oppervlak (netto)]]</f>
        <v>1742</v>
      </c>
      <c r="W160" s="91">
        <f>IF(U160&gt;0,Ruimtestaat[[#This Row],[Prest. (m2 /jaar) werkdagen]]/Ruimtestaat[[#This Row],[Norm (m2/uur) werkdagen]],0)</f>
        <v>0</v>
      </c>
      <c r="X160" s="92">
        <f>Ruimtestaat[[#This Row],[uren / jaar werkdagen]]*Tariefsopbouw!$E$35</f>
        <v>0</v>
      </c>
      <c r="Y160" s="89"/>
      <c r="Z160" s="93">
        <f>IF(Ruimtestaat[[#This Row],[Frequentie weekend]]&gt;0,VALUE(LEFT(Y160,1))*R160,0)</f>
        <v>0</v>
      </c>
      <c r="AA160" s="89">
        <f>IF($Z160&gt;0,VLOOKUP($J160,Ruimtegroepen[],3,FALSE)*VLOOKUP($L160,Vloersoorten[],3,FALSE)*VLOOKUP($Y160,Frequenties[],3,FALSE)*VLOOKUP($A131,Locaties[],3,FALSE),0)</f>
        <v>0</v>
      </c>
      <c r="AB160" s="91">
        <f>Ruimtestaat[[#This Row],[Uitvoeringen weekend]]*Ruimtestaat[[#This Row],[Oppervlak (netto)]]</f>
        <v>0</v>
      </c>
      <c r="AC160" s="94">
        <f>IF(AB160&gt;0,Ruimtestaat[[#This Row],[Prest. (m2 /jaar) weekend]]/Ruimtestaat[[#This Row],[Norm (m2/uur) weekend]],0)</f>
        <v>0</v>
      </c>
      <c r="AD160" s="95">
        <f>Ruimtestaat[[#This Row],[uren / jaar weekend]]*Tariefsopbouw!$D$40</f>
        <v>0</v>
      </c>
      <c r="AE160" s="67">
        <f>Ruimtestaat[[#This Row],[Prest. (m2 /jaar) weekend]]+Ruimtestaat[[#This Row],[Prest. (m2 /jaar) werkdagen]]</f>
        <v>1742</v>
      </c>
      <c r="AF160" s="67">
        <f>Ruimtestaat[[#This Row],[uren / jaar weekend]]+Ruimtestaat[[#This Row],[uren / jaar werkdagen]]</f>
        <v>0</v>
      </c>
      <c r="AG160" s="68">
        <f>Ruimtestaat[[#This Row],[kosten / jaar weekend]]+Ruimtestaat[[#This Row],[kosten / jaar werkdagen]]</f>
        <v>0</v>
      </c>
      <c r="AH160" s="96"/>
      <c r="HL160" s="66"/>
    </row>
    <row r="161" spans="1:220" ht="15" customHeight="1">
      <c r="A161" s="114">
        <v>1</v>
      </c>
      <c r="B161" s="24" t="str">
        <f>VLOOKUP(Ruimtestaat[[#This Row],[Code]],Locaties[#All],2,FALSE)</f>
        <v>Hoofdgebouw</v>
      </c>
      <c r="C161" s="24" t="str">
        <f>VLOOKUP(Ruimtestaat[[#This Row],[Code]],Locaties[#All],4,FALSE)</f>
        <v>Rohofstraat 83</v>
      </c>
      <c r="D161" s="24" t="str">
        <f>VLOOKUP(Ruimtestaat[[#This Row],[Code]],Locaties[#All],5,FALSE)</f>
        <v>7605 AT</v>
      </c>
      <c r="E161" s="24" t="str">
        <f>VLOOKUP(Ruimtestaat[[#This Row],[Code]],Locaties[#All],6,FALSE)</f>
        <v>Almelo</v>
      </c>
      <c r="F161" s="61"/>
      <c r="G161" s="24" t="s">
        <v>574</v>
      </c>
      <c r="H161" s="28" t="s">
        <v>642</v>
      </c>
      <c r="I161" s="4" t="s">
        <v>551</v>
      </c>
      <c r="J161" s="24">
        <v>1</v>
      </c>
      <c r="K161" s="61" t="str">
        <f>VLOOKUP(J161,Ruimtegroepen[],2,FALSE)</f>
        <v>Magazijnen/bergingen</v>
      </c>
      <c r="L161" s="24" t="s">
        <v>106</v>
      </c>
      <c r="M161" s="24" t="s">
        <v>126</v>
      </c>
      <c r="N161" s="87">
        <v>1.4</v>
      </c>
      <c r="O161" s="87"/>
      <c r="P161" s="97" t="str">
        <f>LEFT(VLOOKUP(Ruimtestaat[[#This Row],[Ruimte code]],Ruimtegroepen[#All],4,1),2)</f>
        <v>Ve</v>
      </c>
      <c r="Q161" s="97"/>
      <c r="R161" s="88">
        <v>52</v>
      </c>
      <c r="S161" s="88" t="s">
        <v>16</v>
      </c>
      <c r="T161" s="89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61" s="89">
        <f>IF(T161&gt;0,VLOOKUP($J161,Ruimtegroepen[],3,FALSE)*VLOOKUP($L161,Vloersoorten[],3,FALSE)*VLOOKUP($S161,Frequenties[],3,FALSE)*VLOOKUP($A161,Locaties[],3,FALSE),0)</f>
        <v>0</v>
      </c>
      <c r="V161" s="90">
        <f>Ruimtestaat[[#This Row],[Uitvoeringen werkdagen]]*Ruimtestaat[[#This Row],[Oppervlak (netto)]]</f>
        <v>16.799999999999997</v>
      </c>
      <c r="W161" s="91">
        <f>IF(U161&gt;0,Ruimtestaat[[#This Row],[Prest. (m2 /jaar) werkdagen]]/Ruimtestaat[[#This Row],[Norm (m2/uur) werkdagen]],0)</f>
        <v>0</v>
      </c>
      <c r="X161" s="92">
        <f>Ruimtestaat[[#This Row],[uren / jaar werkdagen]]*Tariefsopbouw!$E$35</f>
        <v>0</v>
      </c>
      <c r="Y161" s="89"/>
      <c r="Z161" s="93">
        <f>IF(Ruimtestaat[[#This Row],[Frequentie weekend]]&gt;0,VALUE(LEFT(Y161,1))*R161,0)</f>
        <v>0</v>
      </c>
      <c r="AA161" s="89">
        <f>IF($Z161&gt;0,VLOOKUP($J161,Ruimtegroepen[],3,FALSE)*VLOOKUP($L161,Vloersoorten[],3,FALSE)*VLOOKUP($Y161,Frequenties[],3,FALSE)*VLOOKUP($A132,Locaties[],3,FALSE),0)</f>
        <v>0</v>
      </c>
      <c r="AB161" s="91">
        <f>Ruimtestaat[[#This Row],[Uitvoeringen weekend]]*Ruimtestaat[[#This Row],[Oppervlak (netto)]]</f>
        <v>0</v>
      </c>
      <c r="AC161" s="94">
        <f>IF(AB161&gt;0,Ruimtestaat[[#This Row],[Prest. (m2 /jaar) weekend]]/Ruimtestaat[[#This Row],[Norm (m2/uur) weekend]],0)</f>
        <v>0</v>
      </c>
      <c r="AD161" s="95">
        <f>Ruimtestaat[[#This Row],[uren / jaar weekend]]*Tariefsopbouw!$D$40</f>
        <v>0</v>
      </c>
      <c r="AE161" s="67">
        <f>Ruimtestaat[[#This Row],[Prest. (m2 /jaar) weekend]]+Ruimtestaat[[#This Row],[Prest. (m2 /jaar) werkdagen]]</f>
        <v>16.799999999999997</v>
      </c>
      <c r="AF161" s="67">
        <f>Ruimtestaat[[#This Row],[uren / jaar weekend]]+Ruimtestaat[[#This Row],[uren / jaar werkdagen]]</f>
        <v>0</v>
      </c>
      <c r="AG161" s="68">
        <f>Ruimtestaat[[#This Row],[kosten / jaar weekend]]+Ruimtestaat[[#This Row],[kosten / jaar werkdagen]]</f>
        <v>0</v>
      </c>
      <c r="AH161" s="96"/>
      <c r="HL161" s="66"/>
    </row>
    <row r="162" spans="1:220" ht="15" customHeight="1">
      <c r="A162" s="114">
        <v>1</v>
      </c>
      <c r="B162" s="24" t="str">
        <f>VLOOKUP(Ruimtestaat[[#This Row],[Code]],Locaties[#All],2,FALSE)</f>
        <v>Hoofdgebouw</v>
      </c>
      <c r="C162" s="24" t="str">
        <f>VLOOKUP(Ruimtestaat[[#This Row],[Code]],Locaties[#All],4,FALSE)</f>
        <v>Rohofstraat 83</v>
      </c>
      <c r="D162" s="24" t="str">
        <f>VLOOKUP(Ruimtestaat[[#This Row],[Code]],Locaties[#All],5,FALSE)</f>
        <v>7605 AT</v>
      </c>
      <c r="E162" s="24" t="str">
        <f>VLOOKUP(Ruimtestaat[[#This Row],[Code]],Locaties[#All],6,FALSE)</f>
        <v>Almelo</v>
      </c>
      <c r="F162" s="61"/>
      <c r="G162" s="24" t="s">
        <v>574</v>
      </c>
      <c r="H162" s="28" t="s">
        <v>643</v>
      </c>
      <c r="I162" s="4" t="s">
        <v>472</v>
      </c>
      <c r="J162" s="24">
        <v>6</v>
      </c>
      <c r="K162" s="61" t="str">
        <f>VLOOKUP(J162,Ruimtegroepen[],2,FALSE)</f>
        <v>Gangen/hallen</v>
      </c>
      <c r="L162" s="24" t="s">
        <v>103</v>
      </c>
      <c r="M162" s="24" t="s">
        <v>38</v>
      </c>
      <c r="N162" s="87">
        <v>58</v>
      </c>
      <c r="O162" s="87"/>
      <c r="P162" s="97" t="str">
        <f>LEFT(VLOOKUP(Ruimtestaat[[#This Row],[Ruimte code]],Ruimtegroepen[#All],4,1),2)</f>
        <v>Ve</v>
      </c>
      <c r="Q162" s="97"/>
      <c r="R162" s="88">
        <v>52</v>
      </c>
      <c r="S162" s="88" t="s">
        <v>2</v>
      </c>
      <c r="T162" s="89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62" s="89">
        <f>IF(T162&gt;0,VLOOKUP($J162,Ruimtegroepen[],3,FALSE)*VLOOKUP($L162,Vloersoorten[],3,FALSE)*VLOOKUP($S162,Frequenties[],3,FALSE)*VLOOKUP($A162,Locaties[],3,FALSE),0)</f>
        <v>0</v>
      </c>
      <c r="V162" s="90">
        <f>Ruimtestaat[[#This Row],[Uitvoeringen werkdagen]]*Ruimtestaat[[#This Row],[Oppervlak (netto)]]</f>
        <v>15080</v>
      </c>
      <c r="W162" s="91">
        <f>IF(U162&gt;0,Ruimtestaat[[#This Row],[Prest. (m2 /jaar) werkdagen]]/Ruimtestaat[[#This Row],[Norm (m2/uur) werkdagen]],0)</f>
        <v>0</v>
      </c>
      <c r="X162" s="92">
        <f>Ruimtestaat[[#This Row],[uren / jaar werkdagen]]*Tariefsopbouw!$E$35</f>
        <v>0</v>
      </c>
      <c r="Y162" s="89"/>
      <c r="Z162" s="93">
        <f>IF(Ruimtestaat[[#This Row],[Frequentie weekend]]&gt;0,VALUE(LEFT(Y162,1))*R162,0)</f>
        <v>0</v>
      </c>
      <c r="AA162" s="89">
        <f>IF($Z162&gt;0,VLOOKUP($J162,Ruimtegroepen[],3,FALSE)*VLOOKUP($L162,Vloersoorten[],3,FALSE)*VLOOKUP($Y162,Frequenties[],3,FALSE)*VLOOKUP($A133,Locaties[],3,FALSE),0)</f>
        <v>0</v>
      </c>
      <c r="AB162" s="91">
        <f>Ruimtestaat[[#This Row],[Uitvoeringen weekend]]*Ruimtestaat[[#This Row],[Oppervlak (netto)]]</f>
        <v>0</v>
      </c>
      <c r="AC162" s="94">
        <f>IF(AB162&gt;0,Ruimtestaat[[#This Row],[Prest. (m2 /jaar) weekend]]/Ruimtestaat[[#This Row],[Norm (m2/uur) weekend]],0)</f>
        <v>0</v>
      </c>
      <c r="AD162" s="95">
        <f>Ruimtestaat[[#This Row],[uren / jaar weekend]]*Tariefsopbouw!$D$40</f>
        <v>0</v>
      </c>
      <c r="AE162" s="67">
        <f>Ruimtestaat[[#This Row],[Prest. (m2 /jaar) weekend]]+Ruimtestaat[[#This Row],[Prest. (m2 /jaar) werkdagen]]</f>
        <v>15080</v>
      </c>
      <c r="AF162" s="67">
        <f>Ruimtestaat[[#This Row],[uren / jaar weekend]]+Ruimtestaat[[#This Row],[uren / jaar werkdagen]]</f>
        <v>0</v>
      </c>
      <c r="AG162" s="68">
        <f>Ruimtestaat[[#This Row],[kosten / jaar weekend]]+Ruimtestaat[[#This Row],[kosten / jaar werkdagen]]</f>
        <v>0</v>
      </c>
      <c r="AH162" s="96"/>
      <c r="HL162" s="66"/>
    </row>
    <row r="163" spans="1:220" ht="15" customHeight="1">
      <c r="A163" s="114">
        <v>1</v>
      </c>
      <c r="B163" s="24" t="str">
        <f>VLOOKUP(Ruimtestaat[[#This Row],[Code]],Locaties[#All],2,FALSE)</f>
        <v>Hoofdgebouw</v>
      </c>
      <c r="C163" s="24" t="str">
        <f>VLOOKUP(Ruimtestaat[[#This Row],[Code]],Locaties[#All],4,FALSE)</f>
        <v>Rohofstraat 83</v>
      </c>
      <c r="D163" s="24" t="str">
        <f>VLOOKUP(Ruimtestaat[[#This Row],[Code]],Locaties[#All],5,FALSE)</f>
        <v>7605 AT</v>
      </c>
      <c r="E163" s="24" t="str">
        <f>VLOOKUP(Ruimtestaat[[#This Row],[Code]],Locaties[#All],6,FALSE)</f>
        <v>Almelo</v>
      </c>
      <c r="F163" s="61"/>
      <c r="G163" s="24" t="s">
        <v>574</v>
      </c>
      <c r="H163" s="28" t="s">
        <v>644</v>
      </c>
      <c r="I163" s="4" t="s">
        <v>505</v>
      </c>
      <c r="J163" s="24">
        <v>2</v>
      </c>
      <c r="K163" s="61" t="str">
        <f>VLOOKUP(J163,Ruimtegroepen[],2,FALSE)</f>
        <v>Kantoren</v>
      </c>
      <c r="L163" s="24" t="s">
        <v>103</v>
      </c>
      <c r="M163" s="24" t="s">
        <v>38</v>
      </c>
      <c r="N163" s="87">
        <v>30.4</v>
      </c>
      <c r="O163" s="87"/>
      <c r="P163" s="97" t="str">
        <f>LEFT(VLOOKUP(Ruimtestaat[[#This Row],[Ruimte code]],Ruimtegroepen[#All],4,1),2)</f>
        <v>Bu</v>
      </c>
      <c r="Q163" s="97"/>
      <c r="R163" s="88">
        <v>52</v>
      </c>
      <c r="S163" s="88" t="s">
        <v>2</v>
      </c>
      <c r="T163" s="89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63" s="89">
        <f>IF(T163&gt;0,VLOOKUP($J163,Ruimtegroepen[],3,FALSE)*VLOOKUP($L163,Vloersoorten[],3,FALSE)*VLOOKUP($S163,Frequenties[],3,FALSE)*VLOOKUP($A163,Locaties[],3,FALSE),0)</f>
        <v>0</v>
      </c>
      <c r="V163" s="90">
        <f>Ruimtestaat[[#This Row],[Uitvoeringen werkdagen]]*Ruimtestaat[[#This Row],[Oppervlak (netto)]]</f>
        <v>7904</v>
      </c>
      <c r="W163" s="91">
        <f>IF(U163&gt;0,Ruimtestaat[[#This Row],[Prest. (m2 /jaar) werkdagen]]/Ruimtestaat[[#This Row],[Norm (m2/uur) werkdagen]],0)</f>
        <v>0</v>
      </c>
      <c r="X163" s="92">
        <f>Ruimtestaat[[#This Row],[uren / jaar werkdagen]]*Tariefsopbouw!$E$35</f>
        <v>0</v>
      </c>
      <c r="Y163" s="89"/>
      <c r="Z163" s="93">
        <f>IF(Ruimtestaat[[#This Row],[Frequentie weekend]]&gt;0,VALUE(LEFT(Y163,1))*R163,0)</f>
        <v>0</v>
      </c>
      <c r="AA163" s="89">
        <f>IF($Z163&gt;0,VLOOKUP($J163,Ruimtegroepen[],3,FALSE)*VLOOKUP($L163,Vloersoorten[],3,FALSE)*VLOOKUP($Y163,Frequenties[],3,FALSE)*VLOOKUP($A134,Locaties[],3,FALSE),0)</f>
        <v>0</v>
      </c>
      <c r="AB163" s="91">
        <f>Ruimtestaat[[#This Row],[Uitvoeringen weekend]]*Ruimtestaat[[#This Row],[Oppervlak (netto)]]</f>
        <v>0</v>
      </c>
      <c r="AC163" s="94">
        <f>IF(AB163&gt;0,Ruimtestaat[[#This Row],[Prest. (m2 /jaar) weekend]]/Ruimtestaat[[#This Row],[Norm (m2/uur) weekend]],0)</f>
        <v>0</v>
      </c>
      <c r="AD163" s="95">
        <f>Ruimtestaat[[#This Row],[uren / jaar weekend]]*Tariefsopbouw!$D$40</f>
        <v>0</v>
      </c>
      <c r="AE163" s="67">
        <f>Ruimtestaat[[#This Row],[Prest. (m2 /jaar) weekend]]+Ruimtestaat[[#This Row],[Prest. (m2 /jaar) werkdagen]]</f>
        <v>7904</v>
      </c>
      <c r="AF163" s="67">
        <f>Ruimtestaat[[#This Row],[uren / jaar weekend]]+Ruimtestaat[[#This Row],[uren / jaar werkdagen]]</f>
        <v>0</v>
      </c>
      <c r="AG163" s="68">
        <f>Ruimtestaat[[#This Row],[kosten / jaar weekend]]+Ruimtestaat[[#This Row],[kosten / jaar werkdagen]]</f>
        <v>0</v>
      </c>
      <c r="AH163" s="96"/>
      <c r="HL163" s="66"/>
    </row>
    <row r="164" spans="1:220" ht="15" customHeight="1">
      <c r="A164" s="114">
        <v>1</v>
      </c>
      <c r="B164" s="24" t="str">
        <f>VLOOKUP(Ruimtestaat[[#This Row],[Code]],Locaties[#All],2,FALSE)</f>
        <v>Hoofdgebouw</v>
      </c>
      <c r="C164" s="24" t="str">
        <f>VLOOKUP(Ruimtestaat[[#This Row],[Code]],Locaties[#All],4,FALSE)</f>
        <v>Rohofstraat 83</v>
      </c>
      <c r="D164" s="24" t="str">
        <f>VLOOKUP(Ruimtestaat[[#This Row],[Code]],Locaties[#All],5,FALSE)</f>
        <v>7605 AT</v>
      </c>
      <c r="E164" s="24" t="str">
        <f>VLOOKUP(Ruimtestaat[[#This Row],[Code]],Locaties[#All],6,FALSE)</f>
        <v>Almelo</v>
      </c>
      <c r="F164" s="61"/>
      <c r="G164" s="24" t="s">
        <v>574</v>
      </c>
      <c r="H164" s="28" t="s">
        <v>645</v>
      </c>
      <c r="I164" s="4" t="s">
        <v>451</v>
      </c>
      <c r="J164" s="24">
        <v>9</v>
      </c>
      <c r="K164" s="61" t="str">
        <f>VLOOKUP(J164,Ruimtegroepen[],2,FALSE)</f>
        <v>Kantoortuin</v>
      </c>
      <c r="L164" s="24" t="s">
        <v>103</v>
      </c>
      <c r="M164" s="24" t="s">
        <v>38</v>
      </c>
      <c r="N164" s="87">
        <v>37.299999999999997</v>
      </c>
      <c r="O164" s="87"/>
      <c r="P164" s="97" t="str">
        <f>LEFT(VLOOKUP(Ruimtestaat[[#This Row],[Ruimte code]],Ruimtegroepen[#All],4,1),2)</f>
        <v>Bu</v>
      </c>
      <c r="Q164" s="97"/>
      <c r="R164" s="88">
        <v>52</v>
      </c>
      <c r="S164" s="88" t="s">
        <v>2</v>
      </c>
      <c r="T164" s="89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64" s="89">
        <f>IF(T164&gt;0,VLOOKUP($J164,Ruimtegroepen[],3,FALSE)*VLOOKUP($L164,Vloersoorten[],3,FALSE)*VLOOKUP($S164,Frequenties[],3,FALSE)*VLOOKUP($A164,Locaties[],3,FALSE),0)</f>
        <v>0</v>
      </c>
      <c r="V164" s="90">
        <f>Ruimtestaat[[#This Row],[Uitvoeringen werkdagen]]*Ruimtestaat[[#This Row],[Oppervlak (netto)]]</f>
        <v>9698</v>
      </c>
      <c r="W164" s="91">
        <f>IF(U164&gt;0,Ruimtestaat[[#This Row],[Prest. (m2 /jaar) werkdagen]]/Ruimtestaat[[#This Row],[Norm (m2/uur) werkdagen]],0)</f>
        <v>0</v>
      </c>
      <c r="X164" s="92">
        <f>Ruimtestaat[[#This Row],[uren / jaar werkdagen]]*Tariefsopbouw!$E$35</f>
        <v>0</v>
      </c>
      <c r="Y164" s="89"/>
      <c r="Z164" s="93">
        <f>IF(Ruimtestaat[[#This Row],[Frequentie weekend]]&gt;0,VALUE(LEFT(Y164,1))*R164,0)</f>
        <v>0</v>
      </c>
      <c r="AA164" s="89">
        <f>IF($Z164&gt;0,VLOOKUP($J164,Ruimtegroepen[],3,FALSE)*VLOOKUP($L164,Vloersoorten[],3,FALSE)*VLOOKUP($Y164,Frequenties[],3,FALSE)*VLOOKUP($A135,Locaties[],3,FALSE),0)</f>
        <v>0</v>
      </c>
      <c r="AB164" s="91">
        <f>Ruimtestaat[[#This Row],[Uitvoeringen weekend]]*Ruimtestaat[[#This Row],[Oppervlak (netto)]]</f>
        <v>0</v>
      </c>
      <c r="AC164" s="94">
        <f>IF(AB164&gt;0,Ruimtestaat[[#This Row],[Prest. (m2 /jaar) weekend]]/Ruimtestaat[[#This Row],[Norm (m2/uur) weekend]],0)</f>
        <v>0</v>
      </c>
      <c r="AD164" s="95">
        <f>Ruimtestaat[[#This Row],[uren / jaar weekend]]*Tariefsopbouw!$D$40</f>
        <v>0</v>
      </c>
      <c r="AE164" s="67">
        <f>Ruimtestaat[[#This Row],[Prest. (m2 /jaar) weekend]]+Ruimtestaat[[#This Row],[Prest. (m2 /jaar) werkdagen]]</f>
        <v>9698</v>
      </c>
      <c r="AF164" s="67">
        <f>Ruimtestaat[[#This Row],[uren / jaar weekend]]+Ruimtestaat[[#This Row],[uren / jaar werkdagen]]</f>
        <v>0</v>
      </c>
      <c r="AG164" s="68">
        <f>Ruimtestaat[[#This Row],[kosten / jaar weekend]]+Ruimtestaat[[#This Row],[kosten / jaar werkdagen]]</f>
        <v>0</v>
      </c>
      <c r="AH164" s="96"/>
      <c r="HL164" s="66"/>
    </row>
    <row r="165" spans="1:220" ht="15" customHeight="1">
      <c r="A165" s="114">
        <v>1</v>
      </c>
      <c r="B165" s="24" t="str">
        <f>VLOOKUP(Ruimtestaat[[#This Row],[Code]],Locaties[#All],2,FALSE)</f>
        <v>Hoofdgebouw</v>
      </c>
      <c r="C165" s="24" t="str">
        <f>VLOOKUP(Ruimtestaat[[#This Row],[Code]],Locaties[#All],4,FALSE)</f>
        <v>Rohofstraat 83</v>
      </c>
      <c r="D165" s="24" t="str">
        <f>VLOOKUP(Ruimtestaat[[#This Row],[Code]],Locaties[#All],5,FALSE)</f>
        <v>7605 AT</v>
      </c>
      <c r="E165" s="24" t="str">
        <f>VLOOKUP(Ruimtestaat[[#This Row],[Code]],Locaties[#All],6,FALSE)</f>
        <v>Almelo</v>
      </c>
      <c r="F165" s="61"/>
      <c r="G165" s="24" t="s">
        <v>574</v>
      </c>
      <c r="H165" s="28" t="s">
        <v>646</v>
      </c>
      <c r="I165" s="4" t="s">
        <v>451</v>
      </c>
      <c r="J165" s="24">
        <v>9</v>
      </c>
      <c r="K165" s="61" t="str">
        <f>VLOOKUP(J165,Ruimtegroepen[],2,FALSE)</f>
        <v>Kantoortuin</v>
      </c>
      <c r="L165" s="24" t="s">
        <v>103</v>
      </c>
      <c r="M165" s="24" t="s">
        <v>38</v>
      </c>
      <c r="N165" s="87">
        <v>37</v>
      </c>
      <c r="O165" s="87"/>
      <c r="P165" s="97" t="str">
        <f>LEFT(VLOOKUP(Ruimtestaat[[#This Row],[Ruimte code]],Ruimtegroepen[#All],4,1),2)</f>
        <v>Bu</v>
      </c>
      <c r="Q165" s="97"/>
      <c r="R165" s="88">
        <v>52</v>
      </c>
      <c r="S165" s="88" t="s">
        <v>2</v>
      </c>
      <c r="T165" s="89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65" s="89">
        <f>IF(T165&gt;0,VLOOKUP($J165,Ruimtegroepen[],3,FALSE)*VLOOKUP($L165,Vloersoorten[],3,FALSE)*VLOOKUP($S165,Frequenties[],3,FALSE)*VLOOKUP($A165,Locaties[],3,FALSE),0)</f>
        <v>0</v>
      </c>
      <c r="V165" s="90">
        <f>Ruimtestaat[[#This Row],[Uitvoeringen werkdagen]]*Ruimtestaat[[#This Row],[Oppervlak (netto)]]</f>
        <v>9620</v>
      </c>
      <c r="W165" s="91">
        <f>IF(U165&gt;0,Ruimtestaat[[#This Row],[Prest. (m2 /jaar) werkdagen]]/Ruimtestaat[[#This Row],[Norm (m2/uur) werkdagen]],0)</f>
        <v>0</v>
      </c>
      <c r="X165" s="92">
        <f>Ruimtestaat[[#This Row],[uren / jaar werkdagen]]*Tariefsopbouw!$E$35</f>
        <v>0</v>
      </c>
      <c r="Y165" s="89"/>
      <c r="Z165" s="93">
        <f>IF(Ruimtestaat[[#This Row],[Frequentie weekend]]&gt;0,VALUE(LEFT(Y165,1))*R165,0)</f>
        <v>0</v>
      </c>
      <c r="AA165" s="89">
        <f>IF($Z165&gt;0,VLOOKUP($J165,Ruimtegroepen[],3,FALSE)*VLOOKUP($L165,Vloersoorten[],3,FALSE)*VLOOKUP($Y165,Frequenties[],3,FALSE)*VLOOKUP($A136,Locaties[],3,FALSE),0)</f>
        <v>0</v>
      </c>
      <c r="AB165" s="91">
        <f>Ruimtestaat[[#This Row],[Uitvoeringen weekend]]*Ruimtestaat[[#This Row],[Oppervlak (netto)]]</f>
        <v>0</v>
      </c>
      <c r="AC165" s="94">
        <f>IF(AB165&gt;0,Ruimtestaat[[#This Row],[Prest. (m2 /jaar) weekend]]/Ruimtestaat[[#This Row],[Norm (m2/uur) weekend]],0)</f>
        <v>0</v>
      </c>
      <c r="AD165" s="95">
        <f>Ruimtestaat[[#This Row],[uren / jaar weekend]]*Tariefsopbouw!$D$40</f>
        <v>0</v>
      </c>
      <c r="AE165" s="67">
        <f>Ruimtestaat[[#This Row],[Prest. (m2 /jaar) weekend]]+Ruimtestaat[[#This Row],[Prest. (m2 /jaar) werkdagen]]</f>
        <v>9620</v>
      </c>
      <c r="AF165" s="67">
        <f>Ruimtestaat[[#This Row],[uren / jaar weekend]]+Ruimtestaat[[#This Row],[uren / jaar werkdagen]]</f>
        <v>0</v>
      </c>
      <c r="AG165" s="68">
        <f>Ruimtestaat[[#This Row],[kosten / jaar weekend]]+Ruimtestaat[[#This Row],[kosten / jaar werkdagen]]</f>
        <v>0</v>
      </c>
      <c r="AH165" s="96"/>
      <c r="HL165" s="66"/>
    </row>
    <row r="166" spans="1:220" ht="15" customHeight="1">
      <c r="A166" s="114">
        <v>1</v>
      </c>
      <c r="B166" s="24" t="str">
        <f>VLOOKUP(Ruimtestaat[[#This Row],[Code]],Locaties[#All],2,FALSE)</f>
        <v>Hoofdgebouw</v>
      </c>
      <c r="C166" s="24" t="str">
        <f>VLOOKUP(Ruimtestaat[[#This Row],[Code]],Locaties[#All],4,FALSE)</f>
        <v>Rohofstraat 83</v>
      </c>
      <c r="D166" s="24" t="str">
        <f>VLOOKUP(Ruimtestaat[[#This Row],[Code]],Locaties[#All],5,FALSE)</f>
        <v>7605 AT</v>
      </c>
      <c r="E166" s="24" t="str">
        <f>VLOOKUP(Ruimtestaat[[#This Row],[Code]],Locaties[#All],6,FALSE)</f>
        <v>Almelo</v>
      </c>
      <c r="F166" s="61"/>
      <c r="G166" s="24" t="s">
        <v>574</v>
      </c>
      <c r="H166" s="28" t="s">
        <v>647</v>
      </c>
      <c r="I166" s="4" t="s">
        <v>453</v>
      </c>
      <c r="J166" s="24">
        <v>8</v>
      </c>
      <c r="K166" s="61" t="str">
        <f>VLOOKUP(J166,Ruimtegroepen[],2,FALSE)</f>
        <v>Woonkamer/aanland</v>
      </c>
      <c r="L166" s="24" t="s">
        <v>103</v>
      </c>
      <c r="M166" s="24" t="s">
        <v>38</v>
      </c>
      <c r="N166" s="87">
        <v>17.5</v>
      </c>
      <c r="O166" s="87"/>
      <c r="P166" s="97" t="str">
        <f>LEFT(VLOOKUP(Ruimtestaat[[#This Row],[Ruimte code]],Ruimtegroepen[#All],4,1),2)</f>
        <v>Ve</v>
      </c>
      <c r="Q166" s="97"/>
      <c r="R166" s="88">
        <v>52</v>
      </c>
      <c r="S166" s="88" t="s">
        <v>2</v>
      </c>
      <c r="T166" s="89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66" s="89">
        <f>IF(T166&gt;0,VLOOKUP($J166,Ruimtegroepen[],3,FALSE)*VLOOKUP($L166,Vloersoorten[],3,FALSE)*VLOOKUP($S166,Frequenties[],3,FALSE)*VLOOKUP($A166,Locaties[],3,FALSE),0)</f>
        <v>0</v>
      </c>
      <c r="V166" s="90">
        <f>Ruimtestaat[[#This Row],[Uitvoeringen werkdagen]]*Ruimtestaat[[#This Row],[Oppervlak (netto)]]</f>
        <v>4550</v>
      </c>
      <c r="W166" s="91">
        <f>IF(U166&gt;0,Ruimtestaat[[#This Row],[Prest. (m2 /jaar) werkdagen]]/Ruimtestaat[[#This Row],[Norm (m2/uur) werkdagen]],0)</f>
        <v>0</v>
      </c>
      <c r="X166" s="92">
        <f>Ruimtestaat[[#This Row],[uren / jaar werkdagen]]*Tariefsopbouw!$E$35</f>
        <v>0</v>
      </c>
      <c r="Y166" s="89"/>
      <c r="Z166" s="93">
        <f>IF(Ruimtestaat[[#This Row],[Frequentie weekend]]&gt;0,VALUE(LEFT(Y166,1))*R166,0)</f>
        <v>0</v>
      </c>
      <c r="AA166" s="89">
        <f>IF($Z166&gt;0,VLOOKUP($J166,Ruimtegroepen[],3,FALSE)*VLOOKUP($L166,Vloersoorten[],3,FALSE)*VLOOKUP($Y166,Frequenties[],3,FALSE)*VLOOKUP($A137,Locaties[],3,FALSE),0)</f>
        <v>0</v>
      </c>
      <c r="AB166" s="91">
        <f>Ruimtestaat[[#This Row],[Uitvoeringen weekend]]*Ruimtestaat[[#This Row],[Oppervlak (netto)]]</f>
        <v>0</v>
      </c>
      <c r="AC166" s="94">
        <f>IF(AB166&gt;0,Ruimtestaat[[#This Row],[Prest. (m2 /jaar) weekend]]/Ruimtestaat[[#This Row],[Norm (m2/uur) weekend]],0)</f>
        <v>0</v>
      </c>
      <c r="AD166" s="95">
        <f>Ruimtestaat[[#This Row],[uren / jaar weekend]]*Tariefsopbouw!$D$40</f>
        <v>0</v>
      </c>
      <c r="AE166" s="67">
        <f>Ruimtestaat[[#This Row],[Prest. (m2 /jaar) weekend]]+Ruimtestaat[[#This Row],[Prest. (m2 /jaar) werkdagen]]</f>
        <v>4550</v>
      </c>
      <c r="AF166" s="67">
        <f>Ruimtestaat[[#This Row],[uren / jaar weekend]]+Ruimtestaat[[#This Row],[uren / jaar werkdagen]]</f>
        <v>0</v>
      </c>
      <c r="AG166" s="68">
        <f>Ruimtestaat[[#This Row],[kosten / jaar weekend]]+Ruimtestaat[[#This Row],[kosten / jaar werkdagen]]</f>
        <v>0</v>
      </c>
      <c r="AH166" s="96"/>
      <c r="HL166" s="66"/>
    </row>
    <row r="167" spans="1:220" ht="15" customHeight="1">
      <c r="A167" s="114">
        <v>1</v>
      </c>
      <c r="B167" s="24" t="str">
        <f>VLOOKUP(Ruimtestaat[[#This Row],[Code]],Locaties[#All],2,FALSE)</f>
        <v>Hoofdgebouw</v>
      </c>
      <c r="C167" s="24" t="str">
        <f>VLOOKUP(Ruimtestaat[[#This Row],[Code]],Locaties[#All],4,FALSE)</f>
        <v>Rohofstraat 83</v>
      </c>
      <c r="D167" s="24" t="str">
        <f>VLOOKUP(Ruimtestaat[[#This Row],[Code]],Locaties[#All],5,FALSE)</f>
        <v>7605 AT</v>
      </c>
      <c r="E167" s="24" t="str">
        <f>VLOOKUP(Ruimtestaat[[#This Row],[Code]],Locaties[#All],6,FALSE)</f>
        <v>Almelo</v>
      </c>
      <c r="F167" s="61"/>
      <c r="G167" s="24" t="s">
        <v>574</v>
      </c>
      <c r="H167" s="28" t="s">
        <v>648</v>
      </c>
      <c r="I167" s="4" t="s">
        <v>492</v>
      </c>
      <c r="J167" s="24">
        <v>8</v>
      </c>
      <c r="K167" s="61" t="str">
        <f>VLOOKUP(J167,Ruimtegroepen[],2,FALSE)</f>
        <v>Woonkamer/aanland</v>
      </c>
      <c r="L167" s="24" t="s">
        <v>103</v>
      </c>
      <c r="M167" s="24" t="s">
        <v>38</v>
      </c>
      <c r="N167" s="87">
        <v>8.6</v>
      </c>
      <c r="O167" s="87"/>
      <c r="P167" s="97" t="str">
        <f>LEFT(VLOOKUP(Ruimtestaat[[#This Row],[Ruimte code]],Ruimtegroepen[#All],4,1),2)</f>
        <v>Ve</v>
      </c>
      <c r="Q167" s="97"/>
      <c r="R167" s="88">
        <v>52</v>
      </c>
      <c r="S167" s="88" t="s">
        <v>2</v>
      </c>
      <c r="T167" s="89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67" s="89">
        <f>IF(T167&gt;0,VLOOKUP($J167,Ruimtegroepen[],3,FALSE)*VLOOKUP($L167,Vloersoorten[],3,FALSE)*VLOOKUP($S167,Frequenties[],3,FALSE)*VLOOKUP($A167,Locaties[],3,FALSE),0)</f>
        <v>0</v>
      </c>
      <c r="V167" s="90">
        <f>Ruimtestaat[[#This Row],[Uitvoeringen werkdagen]]*Ruimtestaat[[#This Row],[Oppervlak (netto)]]</f>
        <v>2236</v>
      </c>
      <c r="W167" s="91">
        <f>IF(U167&gt;0,Ruimtestaat[[#This Row],[Prest. (m2 /jaar) werkdagen]]/Ruimtestaat[[#This Row],[Norm (m2/uur) werkdagen]],0)</f>
        <v>0</v>
      </c>
      <c r="X167" s="92">
        <f>Ruimtestaat[[#This Row],[uren / jaar werkdagen]]*Tariefsopbouw!$E$35</f>
        <v>0</v>
      </c>
      <c r="Y167" s="89"/>
      <c r="Z167" s="93">
        <f>IF(Ruimtestaat[[#This Row],[Frequentie weekend]]&gt;0,VALUE(LEFT(Y167,1))*R167,0)</f>
        <v>0</v>
      </c>
      <c r="AA167" s="89">
        <f>IF($Z167&gt;0,VLOOKUP($J167,Ruimtegroepen[],3,FALSE)*VLOOKUP($L167,Vloersoorten[],3,FALSE)*VLOOKUP($Y167,Frequenties[],3,FALSE)*VLOOKUP($A138,Locaties[],3,FALSE),0)</f>
        <v>0</v>
      </c>
      <c r="AB167" s="91">
        <f>Ruimtestaat[[#This Row],[Uitvoeringen weekend]]*Ruimtestaat[[#This Row],[Oppervlak (netto)]]</f>
        <v>0</v>
      </c>
      <c r="AC167" s="94">
        <f>IF(AB167&gt;0,Ruimtestaat[[#This Row],[Prest. (m2 /jaar) weekend]]/Ruimtestaat[[#This Row],[Norm (m2/uur) weekend]],0)</f>
        <v>0</v>
      </c>
      <c r="AD167" s="95">
        <f>Ruimtestaat[[#This Row],[uren / jaar weekend]]*Tariefsopbouw!$D$40</f>
        <v>0</v>
      </c>
      <c r="AE167" s="67">
        <f>Ruimtestaat[[#This Row],[Prest. (m2 /jaar) weekend]]+Ruimtestaat[[#This Row],[Prest. (m2 /jaar) werkdagen]]</f>
        <v>2236</v>
      </c>
      <c r="AF167" s="67">
        <f>Ruimtestaat[[#This Row],[uren / jaar weekend]]+Ruimtestaat[[#This Row],[uren / jaar werkdagen]]</f>
        <v>0</v>
      </c>
      <c r="AG167" s="68">
        <f>Ruimtestaat[[#This Row],[kosten / jaar weekend]]+Ruimtestaat[[#This Row],[kosten / jaar werkdagen]]</f>
        <v>0</v>
      </c>
      <c r="AH167" s="96"/>
      <c r="HL167" s="66"/>
    </row>
    <row r="168" spans="1:220" ht="15" customHeight="1">
      <c r="A168" s="114">
        <v>1</v>
      </c>
      <c r="B168" s="24" t="str">
        <f>VLOOKUP(Ruimtestaat[[#This Row],[Code]],Locaties[#All],2,FALSE)</f>
        <v>Hoofdgebouw</v>
      </c>
      <c r="C168" s="24" t="str">
        <f>VLOOKUP(Ruimtestaat[[#This Row],[Code]],Locaties[#All],4,FALSE)</f>
        <v>Rohofstraat 83</v>
      </c>
      <c r="D168" s="24" t="str">
        <f>VLOOKUP(Ruimtestaat[[#This Row],[Code]],Locaties[#All],5,FALSE)</f>
        <v>7605 AT</v>
      </c>
      <c r="E168" s="24" t="str">
        <f>VLOOKUP(Ruimtestaat[[#This Row],[Code]],Locaties[#All],6,FALSE)</f>
        <v>Almelo</v>
      </c>
      <c r="F168" s="61"/>
      <c r="G168" s="24" t="s">
        <v>574</v>
      </c>
      <c r="H168" s="28" t="s">
        <v>649</v>
      </c>
      <c r="I168" s="4" t="s">
        <v>530</v>
      </c>
      <c r="J168" s="24">
        <v>4</v>
      </c>
      <c r="K168" s="61" t="str">
        <f>VLOOKUP(J168,Ruimtegroepen[],2,FALSE)</f>
        <v>Vergader/spreekkamers</v>
      </c>
      <c r="L168" s="24" t="s">
        <v>103</v>
      </c>
      <c r="M168" s="24" t="s">
        <v>38</v>
      </c>
      <c r="N168" s="87">
        <v>9.3000000000000007</v>
      </c>
      <c r="O168" s="87"/>
      <c r="P168" s="97" t="str">
        <f>LEFT(VLOOKUP(Ruimtestaat[[#This Row],[Ruimte code]],Ruimtegroepen[#All],4,1),2)</f>
        <v>Bu</v>
      </c>
      <c r="Q168" s="97"/>
      <c r="R168" s="88">
        <v>52</v>
      </c>
      <c r="S168" s="88" t="s">
        <v>2</v>
      </c>
      <c r="T168" s="89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68" s="89">
        <f>IF(T168&gt;0,VLOOKUP($J168,Ruimtegroepen[],3,FALSE)*VLOOKUP($L168,Vloersoorten[],3,FALSE)*VLOOKUP($S168,Frequenties[],3,FALSE)*VLOOKUP($A168,Locaties[],3,FALSE),0)</f>
        <v>0</v>
      </c>
      <c r="V168" s="90">
        <f>Ruimtestaat[[#This Row],[Uitvoeringen werkdagen]]*Ruimtestaat[[#This Row],[Oppervlak (netto)]]</f>
        <v>2418</v>
      </c>
      <c r="W168" s="91">
        <f>IF(U168&gt;0,Ruimtestaat[[#This Row],[Prest. (m2 /jaar) werkdagen]]/Ruimtestaat[[#This Row],[Norm (m2/uur) werkdagen]],0)</f>
        <v>0</v>
      </c>
      <c r="X168" s="92">
        <f>Ruimtestaat[[#This Row],[uren / jaar werkdagen]]*Tariefsopbouw!$E$35</f>
        <v>0</v>
      </c>
      <c r="Y168" s="89"/>
      <c r="Z168" s="93">
        <f>IF(Ruimtestaat[[#This Row],[Frequentie weekend]]&gt;0,VALUE(LEFT(Y168,1))*R168,0)</f>
        <v>0</v>
      </c>
      <c r="AA168" s="89">
        <f>IF($Z168&gt;0,VLOOKUP($J168,Ruimtegroepen[],3,FALSE)*VLOOKUP($L168,Vloersoorten[],3,FALSE)*VLOOKUP($Y168,Frequenties[],3,FALSE)*VLOOKUP($A139,Locaties[],3,FALSE),0)</f>
        <v>0</v>
      </c>
      <c r="AB168" s="91">
        <f>Ruimtestaat[[#This Row],[Uitvoeringen weekend]]*Ruimtestaat[[#This Row],[Oppervlak (netto)]]</f>
        <v>0</v>
      </c>
      <c r="AC168" s="94">
        <f>IF(AB168&gt;0,Ruimtestaat[[#This Row],[Prest. (m2 /jaar) weekend]]/Ruimtestaat[[#This Row],[Norm (m2/uur) weekend]],0)</f>
        <v>0</v>
      </c>
      <c r="AD168" s="95">
        <f>Ruimtestaat[[#This Row],[uren / jaar weekend]]*Tariefsopbouw!$D$40</f>
        <v>0</v>
      </c>
      <c r="AE168" s="67">
        <f>Ruimtestaat[[#This Row],[Prest. (m2 /jaar) weekend]]+Ruimtestaat[[#This Row],[Prest. (m2 /jaar) werkdagen]]</f>
        <v>2418</v>
      </c>
      <c r="AF168" s="67">
        <f>Ruimtestaat[[#This Row],[uren / jaar weekend]]+Ruimtestaat[[#This Row],[uren / jaar werkdagen]]</f>
        <v>0</v>
      </c>
      <c r="AG168" s="68">
        <f>Ruimtestaat[[#This Row],[kosten / jaar weekend]]+Ruimtestaat[[#This Row],[kosten / jaar werkdagen]]</f>
        <v>0</v>
      </c>
      <c r="AH168" s="96"/>
      <c r="HL168" s="66"/>
    </row>
    <row r="169" spans="1:220" ht="15" customHeight="1">
      <c r="A169" s="114">
        <v>1</v>
      </c>
      <c r="B169" s="24" t="str">
        <f>VLOOKUP(Ruimtestaat[[#This Row],[Code]],Locaties[#All],2,FALSE)</f>
        <v>Hoofdgebouw</v>
      </c>
      <c r="C169" s="24" t="str">
        <f>VLOOKUP(Ruimtestaat[[#This Row],[Code]],Locaties[#All],4,FALSE)</f>
        <v>Rohofstraat 83</v>
      </c>
      <c r="D169" s="24" t="str">
        <f>VLOOKUP(Ruimtestaat[[#This Row],[Code]],Locaties[#All],5,FALSE)</f>
        <v>7605 AT</v>
      </c>
      <c r="E169" s="24" t="str">
        <f>VLOOKUP(Ruimtestaat[[#This Row],[Code]],Locaties[#All],6,FALSE)</f>
        <v>Almelo</v>
      </c>
      <c r="F169" s="61"/>
      <c r="G169" s="24" t="s">
        <v>574</v>
      </c>
      <c r="H169" s="28" t="s">
        <v>650</v>
      </c>
      <c r="I169" s="4" t="s">
        <v>456</v>
      </c>
      <c r="J169" s="24">
        <v>2</v>
      </c>
      <c r="K169" s="61" t="str">
        <f>VLOOKUP(J169,Ruimtegroepen[],2,FALSE)</f>
        <v>Kantoren</v>
      </c>
      <c r="L169" s="24" t="s">
        <v>103</v>
      </c>
      <c r="M169" s="24" t="s">
        <v>38</v>
      </c>
      <c r="N169" s="87">
        <v>3.1</v>
      </c>
      <c r="O169" s="87"/>
      <c r="P169" s="97" t="str">
        <f>LEFT(VLOOKUP(Ruimtestaat[[#This Row],[Ruimte code]],Ruimtegroepen[#All],4,1),2)</f>
        <v>Bu</v>
      </c>
      <c r="Q169" s="97"/>
      <c r="R169" s="88">
        <v>52</v>
      </c>
      <c r="S169" s="88" t="s">
        <v>2</v>
      </c>
      <c r="T169" s="89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69" s="89">
        <f>IF(T169&gt;0,VLOOKUP($J169,Ruimtegroepen[],3,FALSE)*VLOOKUP($L169,Vloersoorten[],3,FALSE)*VLOOKUP($S169,Frequenties[],3,FALSE)*VLOOKUP($A169,Locaties[],3,FALSE),0)</f>
        <v>0</v>
      </c>
      <c r="V169" s="90">
        <f>Ruimtestaat[[#This Row],[Uitvoeringen werkdagen]]*Ruimtestaat[[#This Row],[Oppervlak (netto)]]</f>
        <v>806</v>
      </c>
      <c r="W169" s="91">
        <f>IF(U169&gt;0,Ruimtestaat[[#This Row],[Prest. (m2 /jaar) werkdagen]]/Ruimtestaat[[#This Row],[Norm (m2/uur) werkdagen]],0)</f>
        <v>0</v>
      </c>
      <c r="X169" s="92">
        <f>Ruimtestaat[[#This Row],[uren / jaar werkdagen]]*Tariefsopbouw!$E$35</f>
        <v>0</v>
      </c>
      <c r="Y169" s="89"/>
      <c r="Z169" s="93">
        <f>IF(Ruimtestaat[[#This Row],[Frequentie weekend]]&gt;0,VALUE(LEFT(Y169,1))*R169,0)</f>
        <v>0</v>
      </c>
      <c r="AA169" s="89">
        <f>IF($Z169&gt;0,VLOOKUP($J169,Ruimtegroepen[],3,FALSE)*VLOOKUP($L169,Vloersoorten[],3,FALSE)*VLOOKUP($Y169,Frequenties[],3,FALSE)*VLOOKUP($A140,Locaties[],3,FALSE),0)</f>
        <v>0</v>
      </c>
      <c r="AB169" s="91">
        <f>Ruimtestaat[[#This Row],[Uitvoeringen weekend]]*Ruimtestaat[[#This Row],[Oppervlak (netto)]]</f>
        <v>0</v>
      </c>
      <c r="AC169" s="94">
        <f>IF(AB169&gt;0,Ruimtestaat[[#This Row],[Prest. (m2 /jaar) weekend]]/Ruimtestaat[[#This Row],[Norm (m2/uur) weekend]],0)</f>
        <v>0</v>
      </c>
      <c r="AD169" s="95">
        <f>Ruimtestaat[[#This Row],[uren / jaar weekend]]*Tariefsopbouw!$D$40</f>
        <v>0</v>
      </c>
      <c r="AE169" s="67">
        <f>Ruimtestaat[[#This Row],[Prest. (m2 /jaar) weekend]]+Ruimtestaat[[#This Row],[Prest. (m2 /jaar) werkdagen]]</f>
        <v>806</v>
      </c>
      <c r="AF169" s="67">
        <f>Ruimtestaat[[#This Row],[uren / jaar weekend]]+Ruimtestaat[[#This Row],[uren / jaar werkdagen]]</f>
        <v>0</v>
      </c>
      <c r="AG169" s="68">
        <f>Ruimtestaat[[#This Row],[kosten / jaar weekend]]+Ruimtestaat[[#This Row],[kosten / jaar werkdagen]]</f>
        <v>0</v>
      </c>
      <c r="AH169" s="96"/>
      <c r="HL169" s="66"/>
    </row>
    <row r="170" spans="1:220" ht="15" customHeight="1">
      <c r="A170" s="114">
        <v>1</v>
      </c>
      <c r="B170" s="24" t="str">
        <f>VLOOKUP(Ruimtestaat[[#This Row],[Code]],Locaties[#All],2,FALSE)</f>
        <v>Hoofdgebouw</v>
      </c>
      <c r="C170" s="24" t="str">
        <f>VLOOKUP(Ruimtestaat[[#This Row],[Code]],Locaties[#All],4,FALSE)</f>
        <v>Rohofstraat 83</v>
      </c>
      <c r="D170" s="24" t="str">
        <f>VLOOKUP(Ruimtestaat[[#This Row],[Code]],Locaties[#All],5,FALSE)</f>
        <v>7605 AT</v>
      </c>
      <c r="E170" s="24" t="str">
        <f>VLOOKUP(Ruimtestaat[[#This Row],[Code]],Locaties[#All],6,FALSE)</f>
        <v>Almelo</v>
      </c>
      <c r="F170" s="61"/>
      <c r="G170" s="24" t="s">
        <v>574</v>
      </c>
      <c r="H170" s="28" t="s">
        <v>651</v>
      </c>
      <c r="I170" s="4" t="s">
        <v>456</v>
      </c>
      <c r="J170" s="24">
        <v>2</v>
      </c>
      <c r="K170" s="61" t="str">
        <f>VLOOKUP(J170,Ruimtegroepen[],2,FALSE)</f>
        <v>Kantoren</v>
      </c>
      <c r="L170" s="24" t="s">
        <v>103</v>
      </c>
      <c r="M170" s="24" t="s">
        <v>38</v>
      </c>
      <c r="N170" s="87">
        <v>3.1</v>
      </c>
      <c r="O170" s="87"/>
      <c r="P170" s="97" t="str">
        <f>LEFT(VLOOKUP(Ruimtestaat[[#This Row],[Ruimte code]],Ruimtegroepen[#All],4,1),2)</f>
        <v>Bu</v>
      </c>
      <c r="Q170" s="97"/>
      <c r="R170" s="88">
        <v>52</v>
      </c>
      <c r="S170" s="88" t="s">
        <v>2</v>
      </c>
      <c r="T170" s="89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0" s="89">
        <f>IF(T170&gt;0,VLOOKUP($J170,Ruimtegroepen[],3,FALSE)*VLOOKUP($L170,Vloersoorten[],3,FALSE)*VLOOKUP($S170,Frequenties[],3,FALSE)*VLOOKUP($A170,Locaties[],3,FALSE),0)</f>
        <v>0</v>
      </c>
      <c r="V170" s="90">
        <f>Ruimtestaat[[#This Row],[Uitvoeringen werkdagen]]*Ruimtestaat[[#This Row],[Oppervlak (netto)]]</f>
        <v>806</v>
      </c>
      <c r="W170" s="91">
        <f>IF(U170&gt;0,Ruimtestaat[[#This Row],[Prest. (m2 /jaar) werkdagen]]/Ruimtestaat[[#This Row],[Norm (m2/uur) werkdagen]],0)</f>
        <v>0</v>
      </c>
      <c r="X170" s="92">
        <f>Ruimtestaat[[#This Row],[uren / jaar werkdagen]]*Tariefsopbouw!$E$35</f>
        <v>0</v>
      </c>
      <c r="Y170" s="89"/>
      <c r="Z170" s="93">
        <f>IF(Ruimtestaat[[#This Row],[Frequentie weekend]]&gt;0,VALUE(LEFT(Y170,1))*R170,0)</f>
        <v>0</v>
      </c>
      <c r="AA170" s="89">
        <f>IF($Z170&gt;0,VLOOKUP($J170,Ruimtegroepen[],3,FALSE)*VLOOKUP($L170,Vloersoorten[],3,FALSE)*VLOOKUP($Y170,Frequenties[],3,FALSE)*VLOOKUP($A141,Locaties[],3,FALSE),0)</f>
        <v>0</v>
      </c>
      <c r="AB170" s="91">
        <f>Ruimtestaat[[#This Row],[Uitvoeringen weekend]]*Ruimtestaat[[#This Row],[Oppervlak (netto)]]</f>
        <v>0</v>
      </c>
      <c r="AC170" s="94">
        <f>IF(AB170&gt;0,Ruimtestaat[[#This Row],[Prest. (m2 /jaar) weekend]]/Ruimtestaat[[#This Row],[Norm (m2/uur) weekend]],0)</f>
        <v>0</v>
      </c>
      <c r="AD170" s="95">
        <f>Ruimtestaat[[#This Row],[uren / jaar weekend]]*Tariefsopbouw!$D$40</f>
        <v>0</v>
      </c>
      <c r="AE170" s="67">
        <f>Ruimtestaat[[#This Row],[Prest. (m2 /jaar) weekend]]+Ruimtestaat[[#This Row],[Prest. (m2 /jaar) werkdagen]]</f>
        <v>806</v>
      </c>
      <c r="AF170" s="67">
        <f>Ruimtestaat[[#This Row],[uren / jaar weekend]]+Ruimtestaat[[#This Row],[uren / jaar werkdagen]]</f>
        <v>0</v>
      </c>
      <c r="AG170" s="68">
        <f>Ruimtestaat[[#This Row],[kosten / jaar weekend]]+Ruimtestaat[[#This Row],[kosten / jaar werkdagen]]</f>
        <v>0</v>
      </c>
      <c r="AH170" s="96"/>
      <c r="HL170" s="66"/>
    </row>
    <row r="171" spans="1:220" ht="15" customHeight="1">
      <c r="A171" s="114">
        <v>1</v>
      </c>
      <c r="B171" s="24" t="str">
        <f>VLOOKUP(Ruimtestaat[[#This Row],[Code]],Locaties[#All],2,FALSE)</f>
        <v>Hoofdgebouw</v>
      </c>
      <c r="C171" s="24" t="str">
        <f>VLOOKUP(Ruimtestaat[[#This Row],[Code]],Locaties[#All],4,FALSE)</f>
        <v>Rohofstraat 83</v>
      </c>
      <c r="D171" s="24" t="str">
        <f>VLOOKUP(Ruimtestaat[[#This Row],[Code]],Locaties[#All],5,FALSE)</f>
        <v>7605 AT</v>
      </c>
      <c r="E171" s="24" t="str">
        <f>VLOOKUP(Ruimtestaat[[#This Row],[Code]],Locaties[#All],6,FALSE)</f>
        <v>Almelo</v>
      </c>
      <c r="F171" s="61"/>
      <c r="G171" s="24" t="s">
        <v>574</v>
      </c>
      <c r="H171" s="28" t="s">
        <v>652</v>
      </c>
      <c r="I171" s="4" t="s">
        <v>456</v>
      </c>
      <c r="J171" s="24">
        <v>2</v>
      </c>
      <c r="K171" s="61" t="str">
        <f>VLOOKUP(J171,Ruimtegroepen[],2,FALSE)</f>
        <v>Kantoren</v>
      </c>
      <c r="L171" s="24" t="s">
        <v>103</v>
      </c>
      <c r="M171" s="24" t="s">
        <v>38</v>
      </c>
      <c r="N171" s="87">
        <v>4.5</v>
      </c>
      <c r="O171" s="87"/>
      <c r="P171" s="97" t="str">
        <f>LEFT(VLOOKUP(Ruimtestaat[[#This Row],[Ruimte code]],Ruimtegroepen[#All],4,1),2)</f>
        <v>Bu</v>
      </c>
      <c r="Q171" s="97"/>
      <c r="R171" s="88">
        <v>52</v>
      </c>
      <c r="S171" s="88" t="s">
        <v>2</v>
      </c>
      <c r="T171" s="89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1" s="89">
        <f>IF(T171&gt;0,VLOOKUP($J171,Ruimtegroepen[],3,FALSE)*VLOOKUP($L171,Vloersoorten[],3,FALSE)*VLOOKUP($S171,Frequenties[],3,FALSE)*VLOOKUP($A171,Locaties[],3,FALSE),0)</f>
        <v>0</v>
      </c>
      <c r="V171" s="90">
        <f>Ruimtestaat[[#This Row],[Uitvoeringen werkdagen]]*Ruimtestaat[[#This Row],[Oppervlak (netto)]]</f>
        <v>1170</v>
      </c>
      <c r="W171" s="91">
        <f>IF(U171&gt;0,Ruimtestaat[[#This Row],[Prest. (m2 /jaar) werkdagen]]/Ruimtestaat[[#This Row],[Norm (m2/uur) werkdagen]],0)</f>
        <v>0</v>
      </c>
      <c r="X171" s="92">
        <f>Ruimtestaat[[#This Row],[uren / jaar werkdagen]]*Tariefsopbouw!$E$35</f>
        <v>0</v>
      </c>
      <c r="Y171" s="89"/>
      <c r="Z171" s="93">
        <f>IF(Ruimtestaat[[#This Row],[Frequentie weekend]]&gt;0,VALUE(LEFT(Y171,1))*R171,0)</f>
        <v>0</v>
      </c>
      <c r="AA171" s="89">
        <f>IF($Z171&gt;0,VLOOKUP($J171,Ruimtegroepen[],3,FALSE)*VLOOKUP($L171,Vloersoorten[],3,FALSE)*VLOOKUP($Y171,Frequenties[],3,FALSE)*VLOOKUP($A142,Locaties[],3,FALSE),0)</f>
        <v>0</v>
      </c>
      <c r="AB171" s="91">
        <f>Ruimtestaat[[#This Row],[Uitvoeringen weekend]]*Ruimtestaat[[#This Row],[Oppervlak (netto)]]</f>
        <v>0</v>
      </c>
      <c r="AC171" s="94">
        <f>IF(AB171&gt;0,Ruimtestaat[[#This Row],[Prest. (m2 /jaar) weekend]]/Ruimtestaat[[#This Row],[Norm (m2/uur) weekend]],0)</f>
        <v>0</v>
      </c>
      <c r="AD171" s="95">
        <f>Ruimtestaat[[#This Row],[uren / jaar weekend]]*Tariefsopbouw!$D$40</f>
        <v>0</v>
      </c>
      <c r="AE171" s="67">
        <f>Ruimtestaat[[#This Row],[Prest. (m2 /jaar) weekend]]+Ruimtestaat[[#This Row],[Prest. (m2 /jaar) werkdagen]]</f>
        <v>1170</v>
      </c>
      <c r="AF171" s="67">
        <f>Ruimtestaat[[#This Row],[uren / jaar weekend]]+Ruimtestaat[[#This Row],[uren / jaar werkdagen]]</f>
        <v>0</v>
      </c>
      <c r="AG171" s="68">
        <f>Ruimtestaat[[#This Row],[kosten / jaar weekend]]+Ruimtestaat[[#This Row],[kosten / jaar werkdagen]]</f>
        <v>0</v>
      </c>
      <c r="AH171" s="96"/>
      <c r="HL171" s="66"/>
    </row>
    <row r="172" spans="1:220" ht="15" customHeight="1">
      <c r="A172" s="114">
        <v>1</v>
      </c>
      <c r="B172" s="24" t="str">
        <f>VLOOKUP(Ruimtestaat[[#This Row],[Code]],Locaties[#All],2,FALSE)</f>
        <v>Hoofdgebouw</v>
      </c>
      <c r="C172" s="24" t="str">
        <f>VLOOKUP(Ruimtestaat[[#This Row],[Code]],Locaties[#All],4,FALSE)</f>
        <v>Rohofstraat 83</v>
      </c>
      <c r="D172" s="24" t="str">
        <f>VLOOKUP(Ruimtestaat[[#This Row],[Code]],Locaties[#All],5,FALSE)</f>
        <v>7605 AT</v>
      </c>
      <c r="E172" s="24" t="str">
        <f>VLOOKUP(Ruimtestaat[[#This Row],[Code]],Locaties[#All],6,FALSE)</f>
        <v>Almelo</v>
      </c>
      <c r="F172" s="61"/>
      <c r="G172" s="24" t="s">
        <v>574</v>
      </c>
      <c r="H172" s="28" t="s">
        <v>653</v>
      </c>
      <c r="I172" s="4" t="s">
        <v>456</v>
      </c>
      <c r="J172" s="24">
        <v>2</v>
      </c>
      <c r="K172" s="61" t="str">
        <f>VLOOKUP(J172,Ruimtegroepen[],2,FALSE)</f>
        <v>Kantoren</v>
      </c>
      <c r="L172" s="24" t="s">
        <v>103</v>
      </c>
      <c r="M172" s="24" t="s">
        <v>38</v>
      </c>
      <c r="N172" s="87">
        <v>9.6999999999999993</v>
      </c>
      <c r="O172" s="87"/>
      <c r="P172" s="97" t="str">
        <f>LEFT(VLOOKUP(Ruimtestaat[[#This Row],[Ruimte code]],Ruimtegroepen[#All],4,1),2)</f>
        <v>Bu</v>
      </c>
      <c r="Q172" s="97"/>
      <c r="R172" s="88">
        <v>52</v>
      </c>
      <c r="S172" s="88" t="s">
        <v>2</v>
      </c>
      <c r="T172" s="89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2" s="89">
        <f>IF(T172&gt;0,VLOOKUP($J172,Ruimtegroepen[],3,FALSE)*VLOOKUP($L172,Vloersoorten[],3,FALSE)*VLOOKUP($S172,Frequenties[],3,FALSE)*VLOOKUP($A172,Locaties[],3,FALSE),0)</f>
        <v>0</v>
      </c>
      <c r="V172" s="90">
        <f>Ruimtestaat[[#This Row],[Uitvoeringen werkdagen]]*Ruimtestaat[[#This Row],[Oppervlak (netto)]]</f>
        <v>2522</v>
      </c>
      <c r="W172" s="91">
        <f>IF(U172&gt;0,Ruimtestaat[[#This Row],[Prest. (m2 /jaar) werkdagen]]/Ruimtestaat[[#This Row],[Norm (m2/uur) werkdagen]],0)</f>
        <v>0</v>
      </c>
      <c r="X172" s="92">
        <f>Ruimtestaat[[#This Row],[uren / jaar werkdagen]]*Tariefsopbouw!$E$35</f>
        <v>0</v>
      </c>
      <c r="Y172" s="89"/>
      <c r="Z172" s="93">
        <f>IF(Ruimtestaat[[#This Row],[Frequentie weekend]]&gt;0,VALUE(LEFT(Y172,1))*R172,0)</f>
        <v>0</v>
      </c>
      <c r="AA172" s="89">
        <f>IF($Z172&gt;0,VLOOKUP($J172,Ruimtegroepen[],3,FALSE)*VLOOKUP($L172,Vloersoorten[],3,FALSE)*VLOOKUP($Y172,Frequenties[],3,FALSE)*VLOOKUP($A143,Locaties[],3,FALSE),0)</f>
        <v>0</v>
      </c>
      <c r="AB172" s="91">
        <f>Ruimtestaat[[#This Row],[Uitvoeringen weekend]]*Ruimtestaat[[#This Row],[Oppervlak (netto)]]</f>
        <v>0</v>
      </c>
      <c r="AC172" s="94">
        <f>IF(AB172&gt;0,Ruimtestaat[[#This Row],[Prest. (m2 /jaar) weekend]]/Ruimtestaat[[#This Row],[Norm (m2/uur) weekend]],0)</f>
        <v>0</v>
      </c>
      <c r="AD172" s="95">
        <f>Ruimtestaat[[#This Row],[uren / jaar weekend]]*Tariefsopbouw!$D$40</f>
        <v>0</v>
      </c>
      <c r="AE172" s="67">
        <f>Ruimtestaat[[#This Row],[Prest. (m2 /jaar) weekend]]+Ruimtestaat[[#This Row],[Prest. (m2 /jaar) werkdagen]]</f>
        <v>2522</v>
      </c>
      <c r="AF172" s="67">
        <f>Ruimtestaat[[#This Row],[uren / jaar weekend]]+Ruimtestaat[[#This Row],[uren / jaar werkdagen]]</f>
        <v>0</v>
      </c>
      <c r="AG172" s="68">
        <f>Ruimtestaat[[#This Row],[kosten / jaar weekend]]+Ruimtestaat[[#This Row],[kosten / jaar werkdagen]]</f>
        <v>0</v>
      </c>
      <c r="AH172" s="96"/>
      <c r="HL172" s="66"/>
    </row>
    <row r="173" spans="1:220" ht="15" customHeight="1">
      <c r="A173" s="114">
        <v>1</v>
      </c>
      <c r="B173" s="24" t="str">
        <f>VLOOKUP(Ruimtestaat[[#This Row],[Code]],Locaties[#All],2,FALSE)</f>
        <v>Hoofdgebouw</v>
      </c>
      <c r="C173" s="24" t="str">
        <f>VLOOKUP(Ruimtestaat[[#This Row],[Code]],Locaties[#All],4,FALSE)</f>
        <v>Rohofstraat 83</v>
      </c>
      <c r="D173" s="24" t="str">
        <f>VLOOKUP(Ruimtestaat[[#This Row],[Code]],Locaties[#All],5,FALSE)</f>
        <v>7605 AT</v>
      </c>
      <c r="E173" s="24" t="str">
        <f>VLOOKUP(Ruimtestaat[[#This Row],[Code]],Locaties[#All],6,FALSE)</f>
        <v>Almelo</v>
      </c>
      <c r="F173" s="61"/>
      <c r="G173" s="24" t="s">
        <v>574</v>
      </c>
      <c r="H173" s="28" t="s">
        <v>654</v>
      </c>
      <c r="I173" s="4" t="s">
        <v>443</v>
      </c>
      <c r="J173" s="24">
        <v>4</v>
      </c>
      <c r="K173" s="61" t="str">
        <f>VLOOKUP(J173,Ruimtegroepen[],2,FALSE)</f>
        <v>Vergader/spreekkamers</v>
      </c>
      <c r="L173" s="24" t="s">
        <v>103</v>
      </c>
      <c r="M173" s="24" t="s">
        <v>38</v>
      </c>
      <c r="N173" s="87">
        <v>23.1</v>
      </c>
      <c r="O173" s="87"/>
      <c r="P173" s="97" t="str">
        <f>LEFT(VLOOKUP(Ruimtestaat[[#This Row],[Ruimte code]],Ruimtegroepen[#All],4,1),2)</f>
        <v>Bu</v>
      </c>
      <c r="Q173" s="97"/>
      <c r="R173" s="88">
        <v>52</v>
      </c>
      <c r="S173" s="88" t="s">
        <v>2</v>
      </c>
      <c r="T173" s="89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3" s="89">
        <f>IF(T173&gt;0,VLOOKUP($J173,Ruimtegroepen[],3,FALSE)*VLOOKUP($L173,Vloersoorten[],3,FALSE)*VLOOKUP($S173,Frequenties[],3,FALSE)*VLOOKUP($A173,Locaties[],3,FALSE),0)</f>
        <v>0</v>
      </c>
      <c r="V173" s="90">
        <f>Ruimtestaat[[#This Row],[Uitvoeringen werkdagen]]*Ruimtestaat[[#This Row],[Oppervlak (netto)]]</f>
        <v>6006</v>
      </c>
      <c r="W173" s="91">
        <f>IF(U173&gt;0,Ruimtestaat[[#This Row],[Prest. (m2 /jaar) werkdagen]]/Ruimtestaat[[#This Row],[Norm (m2/uur) werkdagen]],0)</f>
        <v>0</v>
      </c>
      <c r="X173" s="92">
        <f>Ruimtestaat[[#This Row],[uren / jaar werkdagen]]*Tariefsopbouw!$E$35</f>
        <v>0</v>
      </c>
      <c r="Y173" s="89"/>
      <c r="Z173" s="93">
        <f>IF(Ruimtestaat[[#This Row],[Frequentie weekend]]&gt;0,VALUE(LEFT(Y173,1))*R173,0)</f>
        <v>0</v>
      </c>
      <c r="AA173" s="89">
        <f>IF($Z173&gt;0,VLOOKUP($J173,Ruimtegroepen[],3,FALSE)*VLOOKUP($L173,Vloersoorten[],3,FALSE)*VLOOKUP($Y173,Frequenties[],3,FALSE)*VLOOKUP($A144,Locaties[],3,FALSE),0)</f>
        <v>0</v>
      </c>
      <c r="AB173" s="91">
        <f>Ruimtestaat[[#This Row],[Uitvoeringen weekend]]*Ruimtestaat[[#This Row],[Oppervlak (netto)]]</f>
        <v>0</v>
      </c>
      <c r="AC173" s="94">
        <f>IF(AB173&gt;0,Ruimtestaat[[#This Row],[Prest. (m2 /jaar) weekend]]/Ruimtestaat[[#This Row],[Norm (m2/uur) weekend]],0)</f>
        <v>0</v>
      </c>
      <c r="AD173" s="95">
        <f>Ruimtestaat[[#This Row],[uren / jaar weekend]]*Tariefsopbouw!$D$40</f>
        <v>0</v>
      </c>
      <c r="AE173" s="67">
        <f>Ruimtestaat[[#This Row],[Prest. (m2 /jaar) weekend]]+Ruimtestaat[[#This Row],[Prest. (m2 /jaar) werkdagen]]</f>
        <v>6006</v>
      </c>
      <c r="AF173" s="67">
        <f>Ruimtestaat[[#This Row],[uren / jaar weekend]]+Ruimtestaat[[#This Row],[uren / jaar werkdagen]]</f>
        <v>0</v>
      </c>
      <c r="AG173" s="68">
        <f>Ruimtestaat[[#This Row],[kosten / jaar weekend]]+Ruimtestaat[[#This Row],[kosten / jaar werkdagen]]</f>
        <v>0</v>
      </c>
      <c r="AH173" s="96"/>
      <c r="HL173" s="66"/>
    </row>
    <row r="174" spans="1:220" ht="15" customHeight="1">
      <c r="A174" s="114">
        <v>1</v>
      </c>
      <c r="B174" s="24" t="str">
        <f>VLOOKUP(Ruimtestaat[[#This Row],[Code]],Locaties[#All],2,FALSE)</f>
        <v>Hoofdgebouw</v>
      </c>
      <c r="C174" s="24" t="str">
        <f>VLOOKUP(Ruimtestaat[[#This Row],[Code]],Locaties[#All],4,FALSE)</f>
        <v>Rohofstraat 83</v>
      </c>
      <c r="D174" s="24" t="str">
        <f>VLOOKUP(Ruimtestaat[[#This Row],[Code]],Locaties[#All],5,FALSE)</f>
        <v>7605 AT</v>
      </c>
      <c r="E174" s="24" t="str">
        <f>VLOOKUP(Ruimtestaat[[#This Row],[Code]],Locaties[#All],6,FALSE)</f>
        <v>Almelo</v>
      </c>
      <c r="F174" s="61"/>
      <c r="G174" s="24" t="s">
        <v>574</v>
      </c>
      <c r="H174" s="24" t="s">
        <v>655</v>
      </c>
      <c r="I174" s="4" t="s">
        <v>472</v>
      </c>
      <c r="J174" s="24">
        <v>6</v>
      </c>
      <c r="K174" s="61" t="str">
        <f>VLOOKUP(J174,Ruimtegroepen[],2,FALSE)</f>
        <v>Gangen/hallen</v>
      </c>
      <c r="L174" s="24" t="s">
        <v>103</v>
      </c>
      <c r="M174" s="24" t="s">
        <v>38</v>
      </c>
      <c r="N174" s="87">
        <v>76.5</v>
      </c>
      <c r="O174" s="87"/>
      <c r="P174" s="97" t="str">
        <f>LEFT(VLOOKUP(Ruimtestaat[[#This Row],[Ruimte code]],Ruimtegroepen[#All],4,1),2)</f>
        <v>Ve</v>
      </c>
      <c r="Q174" s="97"/>
      <c r="R174" s="88">
        <v>52</v>
      </c>
      <c r="S174" s="88" t="s">
        <v>2</v>
      </c>
      <c r="T174" s="89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4" s="89">
        <f>IF(T174&gt;0,VLOOKUP($J174,Ruimtegroepen[],3,FALSE)*VLOOKUP($L174,Vloersoorten[],3,FALSE)*VLOOKUP($S174,Frequenties[],3,FALSE)*VLOOKUP($A174,Locaties[],3,FALSE),0)</f>
        <v>0</v>
      </c>
      <c r="V174" s="90">
        <f>Ruimtestaat[[#This Row],[Uitvoeringen werkdagen]]*Ruimtestaat[[#This Row],[Oppervlak (netto)]]</f>
        <v>19890</v>
      </c>
      <c r="W174" s="91">
        <f>IF(U174&gt;0,Ruimtestaat[[#This Row],[Prest. (m2 /jaar) werkdagen]]/Ruimtestaat[[#This Row],[Norm (m2/uur) werkdagen]],0)</f>
        <v>0</v>
      </c>
      <c r="X174" s="92">
        <f>Ruimtestaat[[#This Row],[uren / jaar werkdagen]]*Tariefsopbouw!$E$35</f>
        <v>0</v>
      </c>
      <c r="Y174" s="89"/>
      <c r="Z174" s="93">
        <f>IF(Ruimtestaat[[#This Row],[Frequentie weekend]]&gt;0,VALUE(LEFT(Y174,1))*R174,0)</f>
        <v>0</v>
      </c>
      <c r="AA174" s="89">
        <f>IF($Z174&gt;0,VLOOKUP($J174,Ruimtegroepen[],3,FALSE)*VLOOKUP($L174,Vloersoorten[],3,FALSE)*VLOOKUP($Y174,Frequenties[],3,FALSE)*VLOOKUP(#REF!,Locaties[],3,FALSE),0)</f>
        <v>0</v>
      </c>
      <c r="AB174" s="91">
        <f>Ruimtestaat[[#This Row],[Uitvoeringen weekend]]*Ruimtestaat[[#This Row],[Oppervlak (netto)]]</f>
        <v>0</v>
      </c>
      <c r="AC174" s="94">
        <f>IF(AB174&gt;0,Ruimtestaat[[#This Row],[Prest. (m2 /jaar) weekend]]/Ruimtestaat[[#This Row],[Norm (m2/uur) weekend]],0)</f>
        <v>0</v>
      </c>
      <c r="AD174" s="95">
        <f>Ruimtestaat[[#This Row],[uren / jaar weekend]]*Tariefsopbouw!$D$40</f>
        <v>0</v>
      </c>
      <c r="AE174" s="67">
        <f>Ruimtestaat[[#This Row],[Prest. (m2 /jaar) weekend]]+Ruimtestaat[[#This Row],[Prest. (m2 /jaar) werkdagen]]</f>
        <v>19890</v>
      </c>
      <c r="AF174" s="67">
        <f>Ruimtestaat[[#This Row],[uren / jaar weekend]]+Ruimtestaat[[#This Row],[uren / jaar werkdagen]]</f>
        <v>0</v>
      </c>
      <c r="AG174" s="68">
        <f>Ruimtestaat[[#This Row],[kosten / jaar weekend]]+Ruimtestaat[[#This Row],[kosten / jaar werkdagen]]</f>
        <v>0</v>
      </c>
      <c r="AH174" s="96"/>
      <c r="HL174" s="66"/>
    </row>
    <row r="175" spans="1:220" ht="15" customHeight="1">
      <c r="A175" s="114">
        <v>1</v>
      </c>
      <c r="B175" s="24" t="str">
        <f>VLOOKUP(Ruimtestaat[[#This Row],[Code]],Locaties[#All],2,FALSE)</f>
        <v>Hoofdgebouw</v>
      </c>
      <c r="C175" s="24" t="str">
        <f>VLOOKUP(Ruimtestaat[[#This Row],[Code]],Locaties[#All],4,FALSE)</f>
        <v>Rohofstraat 83</v>
      </c>
      <c r="D175" s="24" t="str">
        <f>VLOOKUP(Ruimtestaat[[#This Row],[Code]],Locaties[#All],5,FALSE)</f>
        <v>7605 AT</v>
      </c>
      <c r="E175" s="24" t="str">
        <f>VLOOKUP(Ruimtestaat[[#This Row],[Code]],Locaties[#All],6,FALSE)</f>
        <v>Almelo</v>
      </c>
      <c r="F175" s="61"/>
      <c r="G175" s="24" t="s">
        <v>574</v>
      </c>
      <c r="H175" s="24" t="s">
        <v>656</v>
      </c>
      <c r="I175" s="4" t="s">
        <v>441</v>
      </c>
      <c r="J175" s="24">
        <v>8</v>
      </c>
      <c r="K175" s="61" t="str">
        <f>VLOOKUP(J175,Ruimtegroepen[],2,FALSE)</f>
        <v>Woonkamer/aanland</v>
      </c>
      <c r="L175" s="24" t="s">
        <v>103</v>
      </c>
      <c r="M175" s="24" t="s">
        <v>38</v>
      </c>
      <c r="N175" s="87">
        <v>44.2</v>
      </c>
      <c r="O175" s="87"/>
      <c r="P175" s="97" t="str">
        <f>LEFT(VLOOKUP(Ruimtestaat[[#This Row],[Ruimte code]],Ruimtegroepen[#All],4,1),2)</f>
        <v>Ve</v>
      </c>
      <c r="Q175" s="97"/>
      <c r="R175" s="88">
        <v>52</v>
      </c>
      <c r="S175" s="88" t="s">
        <v>2</v>
      </c>
      <c r="T175" s="89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5" s="89">
        <f>IF(T175&gt;0,VLOOKUP($J175,Ruimtegroepen[],3,FALSE)*VLOOKUP($L175,Vloersoorten[],3,FALSE)*VLOOKUP($S175,Frequenties[],3,FALSE)*VLOOKUP($A175,Locaties[],3,FALSE),0)</f>
        <v>0</v>
      </c>
      <c r="V175" s="90">
        <f>Ruimtestaat[[#This Row],[Uitvoeringen werkdagen]]*Ruimtestaat[[#This Row],[Oppervlak (netto)]]</f>
        <v>11492</v>
      </c>
      <c r="W175" s="91">
        <f>IF(U175&gt;0,Ruimtestaat[[#This Row],[Prest. (m2 /jaar) werkdagen]]/Ruimtestaat[[#This Row],[Norm (m2/uur) werkdagen]],0)</f>
        <v>0</v>
      </c>
      <c r="X175" s="92">
        <f>Ruimtestaat[[#This Row],[uren / jaar werkdagen]]*Tariefsopbouw!$E$35</f>
        <v>0</v>
      </c>
      <c r="Y175" s="89"/>
      <c r="Z175" s="93">
        <f>IF(Ruimtestaat[[#This Row],[Frequentie weekend]]&gt;0,VALUE(LEFT(Y175,1))*R175,0)</f>
        <v>0</v>
      </c>
      <c r="AA175" s="89">
        <f>IF($Z175&gt;0,VLOOKUP($J175,Ruimtegroepen[],3,FALSE)*VLOOKUP($L175,Vloersoorten[],3,FALSE)*VLOOKUP($Y175,Frequenties[],3,FALSE)*VLOOKUP(#REF!,Locaties[],3,FALSE),0)</f>
        <v>0</v>
      </c>
      <c r="AB175" s="91">
        <f>Ruimtestaat[[#This Row],[Uitvoeringen weekend]]*Ruimtestaat[[#This Row],[Oppervlak (netto)]]</f>
        <v>0</v>
      </c>
      <c r="AC175" s="94">
        <f>IF(AB175&gt;0,Ruimtestaat[[#This Row],[Prest. (m2 /jaar) weekend]]/Ruimtestaat[[#This Row],[Norm (m2/uur) weekend]],0)</f>
        <v>0</v>
      </c>
      <c r="AD175" s="95">
        <f>Ruimtestaat[[#This Row],[uren / jaar weekend]]*Tariefsopbouw!$D$40</f>
        <v>0</v>
      </c>
      <c r="AE175" s="67">
        <f>Ruimtestaat[[#This Row],[Prest. (m2 /jaar) weekend]]+Ruimtestaat[[#This Row],[Prest. (m2 /jaar) werkdagen]]</f>
        <v>11492</v>
      </c>
      <c r="AF175" s="67">
        <f>Ruimtestaat[[#This Row],[uren / jaar weekend]]+Ruimtestaat[[#This Row],[uren / jaar werkdagen]]</f>
        <v>0</v>
      </c>
      <c r="AG175" s="68">
        <f>Ruimtestaat[[#This Row],[kosten / jaar weekend]]+Ruimtestaat[[#This Row],[kosten / jaar werkdagen]]</f>
        <v>0</v>
      </c>
      <c r="AH175" s="96"/>
      <c r="HL175" s="66"/>
    </row>
    <row r="176" spans="1:220" ht="15" customHeight="1">
      <c r="A176" s="114">
        <v>1</v>
      </c>
      <c r="B176" s="24" t="str">
        <f>VLOOKUP(Ruimtestaat[[#This Row],[Code]],Locaties[#All],2,FALSE)</f>
        <v>Hoofdgebouw</v>
      </c>
      <c r="C176" s="24" t="str">
        <f>VLOOKUP(Ruimtestaat[[#This Row],[Code]],Locaties[#All],4,FALSE)</f>
        <v>Rohofstraat 83</v>
      </c>
      <c r="D176" s="24" t="str">
        <f>VLOOKUP(Ruimtestaat[[#This Row],[Code]],Locaties[#All],5,FALSE)</f>
        <v>7605 AT</v>
      </c>
      <c r="E176" s="24" t="str">
        <f>VLOOKUP(Ruimtestaat[[#This Row],[Code]],Locaties[#All],6,FALSE)</f>
        <v>Almelo</v>
      </c>
      <c r="F176" s="61"/>
      <c r="G176" s="24" t="s">
        <v>574</v>
      </c>
      <c r="H176" s="24" t="s">
        <v>657</v>
      </c>
      <c r="I176" s="4" t="s">
        <v>453</v>
      </c>
      <c r="J176" s="24">
        <v>8</v>
      </c>
      <c r="K176" s="61" t="str">
        <f>VLOOKUP(J176,Ruimtegroepen[],2,FALSE)</f>
        <v>Woonkamer/aanland</v>
      </c>
      <c r="L176" s="24" t="s">
        <v>103</v>
      </c>
      <c r="M176" s="24" t="s">
        <v>38</v>
      </c>
      <c r="N176" s="87">
        <v>43.6</v>
      </c>
      <c r="O176" s="87"/>
      <c r="P176" s="97" t="str">
        <f>LEFT(VLOOKUP(Ruimtestaat[[#This Row],[Ruimte code]],Ruimtegroepen[#All],4,1),2)</f>
        <v>Ve</v>
      </c>
      <c r="Q176" s="97"/>
      <c r="R176" s="88">
        <v>52</v>
      </c>
      <c r="S176" s="88" t="s">
        <v>2</v>
      </c>
      <c r="T176" s="89">
        <f>IF(R176&gt;0,IF(RIGHT(Ruimtestaat[[#This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6" s="89">
        <f>IF(T176&gt;0,VLOOKUP($J176,Ruimtegroepen[],3,FALSE)*VLOOKUP($L176,Vloersoorten[],3,FALSE)*VLOOKUP($S176,Frequenties[],3,FALSE)*VLOOKUP($A176,Locaties[],3,FALSE),0)</f>
        <v>0</v>
      </c>
      <c r="V176" s="90">
        <f>Ruimtestaat[[#This Row],[Uitvoeringen werkdagen]]*Ruimtestaat[[#This Row],[Oppervlak (netto)]]</f>
        <v>11336</v>
      </c>
      <c r="W176" s="91">
        <f>IF(U176&gt;0,Ruimtestaat[[#This Row],[Prest. (m2 /jaar) werkdagen]]/Ruimtestaat[[#This Row],[Norm (m2/uur) werkdagen]],0)</f>
        <v>0</v>
      </c>
      <c r="X176" s="92">
        <f>Ruimtestaat[[#This Row],[uren / jaar werkdagen]]*Tariefsopbouw!$E$35</f>
        <v>0</v>
      </c>
      <c r="Y176" s="89"/>
      <c r="Z176" s="93">
        <f>IF(Ruimtestaat[[#This Row],[Frequentie weekend]]&gt;0,VALUE(LEFT(Y176,1))*R176,0)</f>
        <v>0</v>
      </c>
      <c r="AA176" s="89">
        <f>IF($Z176&gt;0,VLOOKUP($J176,Ruimtegroepen[],3,FALSE)*VLOOKUP($L176,Vloersoorten[],3,FALSE)*VLOOKUP($Y176,Frequenties[],3,FALSE)*VLOOKUP(#REF!,Locaties[],3,FALSE),0)</f>
        <v>0</v>
      </c>
      <c r="AB176" s="91">
        <f>Ruimtestaat[[#This Row],[Uitvoeringen weekend]]*Ruimtestaat[[#This Row],[Oppervlak (netto)]]</f>
        <v>0</v>
      </c>
      <c r="AC176" s="94">
        <f>IF(AB176&gt;0,Ruimtestaat[[#This Row],[Prest. (m2 /jaar) weekend]]/Ruimtestaat[[#This Row],[Norm (m2/uur) weekend]],0)</f>
        <v>0</v>
      </c>
      <c r="AD176" s="95">
        <f>Ruimtestaat[[#This Row],[uren / jaar weekend]]*Tariefsopbouw!$D$40</f>
        <v>0</v>
      </c>
      <c r="AE176" s="67">
        <f>Ruimtestaat[[#This Row],[Prest. (m2 /jaar) weekend]]+Ruimtestaat[[#This Row],[Prest. (m2 /jaar) werkdagen]]</f>
        <v>11336</v>
      </c>
      <c r="AF176" s="67">
        <f>Ruimtestaat[[#This Row],[uren / jaar weekend]]+Ruimtestaat[[#This Row],[uren / jaar werkdagen]]</f>
        <v>0</v>
      </c>
      <c r="AG176" s="68">
        <f>Ruimtestaat[[#This Row],[kosten / jaar weekend]]+Ruimtestaat[[#This Row],[kosten / jaar werkdagen]]</f>
        <v>0</v>
      </c>
      <c r="AH176" s="96"/>
      <c r="HL176" s="66"/>
    </row>
    <row r="177" spans="1:220" ht="15" customHeight="1">
      <c r="A177" s="114">
        <v>1</v>
      </c>
      <c r="B177" s="24" t="str">
        <f>VLOOKUP(Ruimtestaat[[#This Row],[Code]],Locaties[#All],2,FALSE)</f>
        <v>Hoofdgebouw</v>
      </c>
      <c r="C177" s="24" t="str">
        <f>VLOOKUP(Ruimtestaat[[#This Row],[Code]],Locaties[#All],4,FALSE)</f>
        <v>Rohofstraat 83</v>
      </c>
      <c r="D177" s="24" t="str">
        <f>VLOOKUP(Ruimtestaat[[#This Row],[Code]],Locaties[#All],5,FALSE)</f>
        <v>7605 AT</v>
      </c>
      <c r="E177" s="24" t="str">
        <f>VLOOKUP(Ruimtestaat[[#This Row],[Code]],Locaties[#All],6,FALSE)</f>
        <v>Almelo</v>
      </c>
      <c r="F177" s="61"/>
      <c r="G177" s="24" t="s">
        <v>574</v>
      </c>
      <c r="H177" s="24" t="s">
        <v>658</v>
      </c>
      <c r="I177" s="4" t="s">
        <v>505</v>
      </c>
      <c r="J177" s="24">
        <v>9</v>
      </c>
      <c r="K177" s="61" t="str">
        <f>VLOOKUP(J177,Ruimtegroepen[],2,FALSE)</f>
        <v>Kantoortuin</v>
      </c>
      <c r="L177" s="24" t="s">
        <v>103</v>
      </c>
      <c r="M177" s="24" t="s">
        <v>38</v>
      </c>
      <c r="N177" s="87">
        <v>44.8</v>
      </c>
      <c r="O177" s="87"/>
      <c r="P177" s="97" t="str">
        <f>LEFT(VLOOKUP(Ruimtestaat[[#This Row],[Ruimte code]],Ruimtegroepen[#All],4,1),2)</f>
        <v>Bu</v>
      </c>
      <c r="Q177" s="97"/>
      <c r="R177" s="88">
        <v>52</v>
      </c>
      <c r="S177" s="88" t="s">
        <v>2</v>
      </c>
      <c r="T177" s="89">
        <f>IF(R177&gt;0,IF(RIGHT(Ruimtestaat[[#This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7" s="89">
        <f>IF(T177&gt;0,VLOOKUP($J177,Ruimtegroepen[],3,FALSE)*VLOOKUP($L177,Vloersoorten[],3,FALSE)*VLOOKUP($S177,Frequenties[],3,FALSE)*VLOOKUP($A177,Locaties[],3,FALSE),0)</f>
        <v>0</v>
      </c>
      <c r="V177" s="90">
        <f>Ruimtestaat[[#This Row],[Uitvoeringen werkdagen]]*Ruimtestaat[[#This Row],[Oppervlak (netto)]]</f>
        <v>11648</v>
      </c>
      <c r="W177" s="91">
        <f>IF(U177&gt;0,Ruimtestaat[[#This Row],[Prest. (m2 /jaar) werkdagen]]/Ruimtestaat[[#This Row],[Norm (m2/uur) werkdagen]],0)</f>
        <v>0</v>
      </c>
      <c r="X177" s="92">
        <f>Ruimtestaat[[#This Row],[uren / jaar werkdagen]]*Tariefsopbouw!$E$35</f>
        <v>0</v>
      </c>
      <c r="Y177" s="89"/>
      <c r="Z177" s="93">
        <f>IF(Ruimtestaat[[#This Row],[Frequentie weekend]]&gt;0,VALUE(LEFT(Y177,1))*R177,0)</f>
        <v>0</v>
      </c>
      <c r="AA177" s="89">
        <f>IF($Z177&gt;0,VLOOKUP($J177,Ruimtegroepen[],3,FALSE)*VLOOKUP($L177,Vloersoorten[],3,FALSE)*VLOOKUP($Y177,Frequenties[],3,FALSE)*VLOOKUP(#REF!,Locaties[],3,FALSE),0)</f>
        <v>0</v>
      </c>
      <c r="AB177" s="91">
        <f>Ruimtestaat[[#This Row],[Uitvoeringen weekend]]*Ruimtestaat[[#This Row],[Oppervlak (netto)]]</f>
        <v>0</v>
      </c>
      <c r="AC177" s="94">
        <f>IF(AB177&gt;0,Ruimtestaat[[#This Row],[Prest. (m2 /jaar) weekend]]/Ruimtestaat[[#This Row],[Norm (m2/uur) weekend]],0)</f>
        <v>0</v>
      </c>
      <c r="AD177" s="95">
        <f>Ruimtestaat[[#This Row],[uren / jaar weekend]]*Tariefsopbouw!$D$40</f>
        <v>0</v>
      </c>
      <c r="AE177" s="67">
        <f>Ruimtestaat[[#This Row],[Prest. (m2 /jaar) weekend]]+Ruimtestaat[[#This Row],[Prest. (m2 /jaar) werkdagen]]</f>
        <v>11648</v>
      </c>
      <c r="AF177" s="67">
        <f>Ruimtestaat[[#This Row],[uren / jaar weekend]]+Ruimtestaat[[#This Row],[uren / jaar werkdagen]]</f>
        <v>0</v>
      </c>
      <c r="AG177" s="68">
        <f>Ruimtestaat[[#This Row],[kosten / jaar weekend]]+Ruimtestaat[[#This Row],[kosten / jaar werkdagen]]</f>
        <v>0</v>
      </c>
      <c r="AH177" s="96"/>
      <c r="HL177" s="66"/>
    </row>
    <row r="178" spans="1:220" ht="15" customHeight="1">
      <c r="A178" s="114">
        <v>1</v>
      </c>
      <c r="B178" s="24" t="str">
        <f>VLOOKUP(Ruimtestaat[[#This Row],[Code]],Locaties[#All],2,FALSE)</f>
        <v>Hoofdgebouw</v>
      </c>
      <c r="C178" s="24" t="str">
        <f>VLOOKUP(Ruimtestaat[[#This Row],[Code]],Locaties[#All],4,FALSE)</f>
        <v>Rohofstraat 83</v>
      </c>
      <c r="D178" s="24" t="str">
        <f>VLOOKUP(Ruimtestaat[[#This Row],[Code]],Locaties[#All],5,FALSE)</f>
        <v>7605 AT</v>
      </c>
      <c r="E178" s="24" t="str">
        <f>VLOOKUP(Ruimtestaat[[#This Row],[Code]],Locaties[#All],6,FALSE)</f>
        <v>Almelo</v>
      </c>
      <c r="F178" s="61"/>
      <c r="G178" s="24" t="s">
        <v>574</v>
      </c>
      <c r="H178" s="24" t="s">
        <v>659</v>
      </c>
      <c r="I178" s="4" t="s">
        <v>505</v>
      </c>
      <c r="J178" s="24">
        <v>2</v>
      </c>
      <c r="K178" s="61" t="str">
        <f>VLOOKUP(J178,Ruimtegroepen[],2,FALSE)</f>
        <v>Kantoren</v>
      </c>
      <c r="L178" s="24" t="s">
        <v>103</v>
      </c>
      <c r="M178" s="24" t="s">
        <v>38</v>
      </c>
      <c r="N178" s="87">
        <v>23.1</v>
      </c>
      <c r="O178" s="87"/>
      <c r="P178" s="97" t="str">
        <f>LEFT(VLOOKUP(Ruimtestaat[[#This Row],[Ruimte code]],Ruimtegroepen[#All],4,1),2)</f>
        <v>Bu</v>
      </c>
      <c r="Q178" s="97"/>
      <c r="R178" s="88">
        <v>52</v>
      </c>
      <c r="S178" s="88" t="s">
        <v>2</v>
      </c>
      <c r="T178" s="89">
        <f>IF(R178&gt;0,IF(RIGHT(Ruimtestaat[[#This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8" s="89">
        <f>IF(T178&gt;0,VLOOKUP($J178,Ruimtegroepen[],3,FALSE)*VLOOKUP($L178,Vloersoorten[],3,FALSE)*VLOOKUP($S178,Frequenties[],3,FALSE)*VLOOKUP($A178,Locaties[],3,FALSE),0)</f>
        <v>0</v>
      </c>
      <c r="V178" s="90">
        <f>Ruimtestaat[[#This Row],[Uitvoeringen werkdagen]]*Ruimtestaat[[#This Row],[Oppervlak (netto)]]</f>
        <v>6006</v>
      </c>
      <c r="W178" s="91">
        <f>IF(U178&gt;0,Ruimtestaat[[#This Row],[Prest. (m2 /jaar) werkdagen]]/Ruimtestaat[[#This Row],[Norm (m2/uur) werkdagen]],0)</f>
        <v>0</v>
      </c>
      <c r="X178" s="92">
        <f>Ruimtestaat[[#This Row],[uren / jaar werkdagen]]*Tariefsopbouw!$E$35</f>
        <v>0</v>
      </c>
      <c r="Y178" s="89"/>
      <c r="Z178" s="93">
        <f>IF(Ruimtestaat[[#This Row],[Frequentie weekend]]&gt;0,VALUE(LEFT(Y178,1))*R178,0)</f>
        <v>0</v>
      </c>
      <c r="AA178" s="89">
        <f>IF($Z178&gt;0,VLOOKUP($J178,Ruimtegroepen[],3,FALSE)*VLOOKUP($L178,Vloersoorten[],3,FALSE)*VLOOKUP($Y178,Frequenties[],3,FALSE)*VLOOKUP($A174,Locaties[],3,FALSE),0)</f>
        <v>0</v>
      </c>
      <c r="AB178" s="91">
        <f>Ruimtestaat[[#This Row],[Uitvoeringen weekend]]*Ruimtestaat[[#This Row],[Oppervlak (netto)]]</f>
        <v>0</v>
      </c>
      <c r="AC178" s="94">
        <f>IF(AB178&gt;0,Ruimtestaat[[#This Row],[Prest. (m2 /jaar) weekend]]/Ruimtestaat[[#This Row],[Norm (m2/uur) weekend]],0)</f>
        <v>0</v>
      </c>
      <c r="AD178" s="95">
        <f>Ruimtestaat[[#This Row],[uren / jaar weekend]]*Tariefsopbouw!$D$40</f>
        <v>0</v>
      </c>
      <c r="AE178" s="67">
        <f>Ruimtestaat[[#This Row],[Prest. (m2 /jaar) weekend]]+Ruimtestaat[[#This Row],[Prest. (m2 /jaar) werkdagen]]</f>
        <v>6006</v>
      </c>
      <c r="AF178" s="67">
        <f>Ruimtestaat[[#This Row],[uren / jaar weekend]]+Ruimtestaat[[#This Row],[uren / jaar werkdagen]]</f>
        <v>0</v>
      </c>
      <c r="AG178" s="68">
        <f>Ruimtestaat[[#This Row],[kosten / jaar weekend]]+Ruimtestaat[[#This Row],[kosten / jaar werkdagen]]</f>
        <v>0</v>
      </c>
      <c r="AH178" s="96"/>
      <c r="HL178" s="66"/>
    </row>
    <row r="179" spans="1:220" ht="15" customHeight="1">
      <c r="A179" s="114">
        <v>1</v>
      </c>
      <c r="B179" s="24" t="str">
        <f>VLOOKUP(Ruimtestaat[[#This Row],[Code]],Locaties[#All],2,FALSE)</f>
        <v>Hoofdgebouw</v>
      </c>
      <c r="C179" s="24" t="str">
        <f>VLOOKUP(Ruimtestaat[[#This Row],[Code]],Locaties[#All],4,FALSE)</f>
        <v>Rohofstraat 83</v>
      </c>
      <c r="D179" s="24" t="str">
        <f>VLOOKUP(Ruimtestaat[[#This Row],[Code]],Locaties[#All],5,FALSE)</f>
        <v>7605 AT</v>
      </c>
      <c r="E179" s="24" t="str">
        <f>VLOOKUP(Ruimtestaat[[#This Row],[Code]],Locaties[#All],6,FALSE)</f>
        <v>Almelo</v>
      </c>
      <c r="F179" s="61"/>
      <c r="G179" s="24" t="s">
        <v>574</v>
      </c>
      <c r="H179" s="24" t="s">
        <v>660</v>
      </c>
      <c r="I179" s="4" t="s">
        <v>451</v>
      </c>
      <c r="J179" s="24">
        <v>9</v>
      </c>
      <c r="K179" s="61" t="str">
        <f>VLOOKUP(J179,Ruimtegroepen[],2,FALSE)</f>
        <v>Kantoortuin</v>
      </c>
      <c r="L179" s="24" t="s">
        <v>103</v>
      </c>
      <c r="M179" s="24" t="s">
        <v>38</v>
      </c>
      <c r="N179" s="87">
        <v>51.1</v>
      </c>
      <c r="O179" s="87"/>
      <c r="P179" s="97" t="str">
        <f>LEFT(VLOOKUP(Ruimtestaat[[#This Row],[Ruimte code]],Ruimtegroepen[#All],4,1),2)</f>
        <v>Bu</v>
      </c>
      <c r="Q179" s="97"/>
      <c r="R179" s="88">
        <v>52</v>
      </c>
      <c r="S179" s="88" t="s">
        <v>2</v>
      </c>
      <c r="T179" s="89">
        <f>IF(R179&gt;0,IF(RIGHT(Ruimtestaat[[#This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79" s="89">
        <f>IF(T179&gt;0,VLOOKUP($J179,Ruimtegroepen[],3,FALSE)*VLOOKUP($L179,Vloersoorten[],3,FALSE)*VLOOKUP($S179,Frequenties[],3,FALSE)*VLOOKUP($A179,Locaties[],3,FALSE),0)</f>
        <v>0</v>
      </c>
      <c r="V179" s="90">
        <f>Ruimtestaat[[#This Row],[Uitvoeringen werkdagen]]*Ruimtestaat[[#This Row],[Oppervlak (netto)]]</f>
        <v>13286</v>
      </c>
      <c r="W179" s="91">
        <f>IF(U179&gt;0,Ruimtestaat[[#This Row],[Prest. (m2 /jaar) werkdagen]]/Ruimtestaat[[#This Row],[Norm (m2/uur) werkdagen]],0)</f>
        <v>0</v>
      </c>
      <c r="X179" s="92">
        <f>Ruimtestaat[[#This Row],[uren / jaar werkdagen]]*Tariefsopbouw!$E$35</f>
        <v>0</v>
      </c>
      <c r="Y179" s="89"/>
      <c r="Z179" s="93">
        <f>IF(Ruimtestaat[[#This Row],[Frequentie weekend]]&gt;0,VALUE(LEFT(Y179,1))*R179,0)</f>
        <v>0</v>
      </c>
      <c r="AA179" s="89">
        <f>IF($Z179&gt;0,VLOOKUP($J179,Ruimtegroepen[],3,FALSE)*VLOOKUP($L179,Vloersoorten[],3,FALSE)*VLOOKUP($Y179,Frequenties[],3,FALSE)*VLOOKUP($A175,Locaties[],3,FALSE),0)</f>
        <v>0</v>
      </c>
      <c r="AB179" s="91">
        <f>Ruimtestaat[[#This Row],[Uitvoeringen weekend]]*Ruimtestaat[[#This Row],[Oppervlak (netto)]]</f>
        <v>0</v>
      </c>
      <c r="AC179" s="94">
        <f>IF(AB179&gt;0,Ruimtestaat[[#This Row],[Prest. (m2 /jaar) weekend]]/Ruimtestaat[[#This Row],[Norm (m2/uur) weekend]],0)</f>
        <v>0</v>
      </c>
      <c r="AD179" s="95">
        <f>Ruimtestaat[[#This Row],[uren / jaar weekend]]*Tariefsopbouw!$D$40</f>
        <v>0</v>
      </c>
      <c r="AE179" s="67">
        <f>Ruimtestaat[[#This Row],[Prest. (m2 /jaar) weekend]]+Ruimtestaat[[#This Row],[Prest. (m2 /jaar) werkdagen]]</f>
        <v>13286</v>
      </c>
      <c r="AF179" s="67">
        <f>Ruimtestaat[[#This Row],[uren / jaar weekend]]+Ruimtestaat[[#This Row],[uren / jaar werkdagen]]</f>
        <v>0</v>
      </c>
      <c r="AG179" s="68">
        <f>Ruimtestaat[[#This Row],[kosten / jaar weekend]]+Ruimtestaat[[#This Row],[kosten / jaar werkdagen]]</f>
        <v>0</v>
      </c>
      <c r="AH179" s="96"/>
      <c r="HL179" s="66"/>
    </row>
    <row r="180" spans="1:220" ht="15" customHeight="1">
      <c r="A180" s="114">
        <v>1</v>
      </c>
      <c r="B180" s="24" t="str">
        <f>VLOOKUP(Ruimtestaat[[#This Row],[Code]],Locaties[#All],2,FALSE)</f>
        <v>Hoofdgebouw</v>
      </c>
      <c r="C180" s="24" t="str">
        <f>VLOOKUP(Ruimtestaat[[#This Row],[Code]],Locaties[#All],4,FALSE)</f>
        <v>Rohofstraat 83</v>
      </c>
      <c r="D180" s="24" t="str">
        <f>VLOOKUP(Ruimtestaat[[#This Row],[Code]],Locaties[#All],5,FALSE)</f>
        <v>7605 AT</v>
      </c>
      <c r="E180" s="24" t="str">
        <f>VLOOKUP(Ruimtestaat[[#This Row],[Code]],Locaties[#All],6,FALSE)</f>
        <v>Almelo</v>
      </c>
      <c r="F180" s="61"/>
      <c r="G180" s="24" t="s">
        <v>574</v>
      </c>
      <c r="H180" s="24" t="s">
        <v>661</v>
      </c>
      <c r="I180" s="4" t="s">
        <v>451</v>
      </c>
      <c r="J180" s="24">
        <v>9</v>
      </c>
      <c r="K180" s="61" t="str">
        <f>VLOOKUP(J180,Ruimtegroepen[],2,FALSE)</f>
        <v>Kantoortuin</v>
      </c>
      <c r="L180" s="24" t="s">
        <v>103</v>
      </c>
      <c r="M180" s="24" t="s">
        <v>38</v>
      </c>
      <c r="N180" s="87">
        <v>47.9</v>
      </c>
      <c r="O180" s="87"/>
      <c r="P180" s="97" t="str">
        <f>LEFT(VLOOKUP(Ruimtestaat[[#This Row],[Ruimte code]],Ruimtegroepen[#All],4,1),2)</f>
        <v>Bu</v>
      </c>
      <c r="Q180" s="97"/>
      <c r="R180" s="88">
        <v>52</v>
      </c>
      <c r="S180" s="88" t="s">
        <v>2</v>
      </c>
      <c r="T180" s="89">
        <f>IF(R180&gt;0,IF(RIGHT(Ruimtestaat[[#This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80" s="89">
        <f>IF(T180&gt;0,VLOOKUP($J180,Ruimtegroepen[],3,FALSE)*VLOOKUP($L180,Vloersoorten[],3,FALSE)*VLOOKUP($S180,Frequenties[],3,FALSE)*VLOOKUP($A180,Locaties[],3,FALSE),0)</f>
        <v>0</v>
      </c>
      <c r="V180" s="90">
        <f>Ruimtestaat[[#This Row],[Uitvoeringen werkdagen]]*Ruimtestaat[[#This Row],[Oppervlak (netto)]]</f>
        <v>12454</v>
      </c>
      <c r="W180" s="91">
        <f>IF(U180&gt;0,Ruimtestaat[[#This Row],[Prest. (m2 /jaar) werkdagen]]/Ruimtestaat[[#This Row],[Norm (m2/uur) werkdagen]],0)</f>
        <v>0</v>
      </c>
      <c r="X180" s="92">
        <f>Ruimtestaat[[#This Row],[uren / jaar werkdagen]]*Tariefsopbouw!$E$35</f>
        <v>0</v>
      </c>
      <c r="Y180" s="89"/>
      <c r="Z180" s="93">
        <f>IF(Ruimtestaat[[#This Row],[Frequentie weekend]]&gt;0,VALUE(LEFT(Y180,1))*R180,0)</f>
        <v>0</v>
      </c>
      <c r="AA180" s="89">
        <f>IF($Z180&gt;0,VLOOKUP($J180,Ruimtegroepen[],3,FALSE)*VLOOKUP($L180,Vloersoorten[],3,FALSE)*VLOOKUP($Y180,Frequenties[],3,FALSE)*VLOOKUP($A176,Locaties[],3,FALSE),0)</f>
        <v>0</v>
      </c>
      <c r="AB180" s="91">
        <f>Ruimtestaat[[#This Row],[Uitvoeringen weekend]]*Ruimtestaat[[#This Row],[Oppervlak (netto)]]</f>
        <v>0</v>
      </c>
      <c r="AC180" s="94">
        <f>IF(AB180&gt;0,Ruimtestaat[[#This Row],[Prest. (m2 /jaar) weekend]]/Ruimtestaat[[#This Row],[Norm (m2/uur) weekend]],0)</f>
        <v>0</v>
      </c>
      <c r="AD180" s="95">
        <f>Ruimtestaat[[#This Row],[uren / jaar weekend]]*Tariefsopbouw!$D$40</f>
        <v>0</v>
      </c>
      <c r="AE180" s="67">
        <f>Ruimtestaat[[#This Row],[Prest. (m2 /jaar) weekend]]+Ruimtestaat[[#This Row],[Prest. (m2 /jaar) werkdagen]]</f>
        <v>12454</v>
      </c>
      <c r="AF180" s="67">
        <f>Ruimtestaat[[#This Row],[uren / jaar weekend]]+Ruimtestaat[[#This Row],[uren / jaar werkdagen]]</f>
        <v>0</v>
      </c>
      <c r="AG180" s="68">
        <f>Ruimtestaat[[#This Row],[kosten / jaar weekend]]+Ruimtestaat[[#This Row],[kosten / jaar werkdagen]]</f>
        <v>0</v>
      </c>
      <c r="AH180" s="96"/>
      <c r="HL180" s="66"/>
    </row>
    <row r="181" spans="1:220" ht="15" customHeight="1">
      <c r="A181" s="114">
        <v>1</v>
      </c>
      <c r="B181" s="24" t="str">
        <f>VLOOKUP(Ruimtestaat[[#This Row],[Code]],Locaties[#All],2,FALSE)</f>
        <v>Hoofdgebouw</v>
      </c>
      <c r="C181" s="24" t="str">
        <f>VLOOKUP(Ruimtestaat[[#This Row],[Code]],Locaties[#All],4,FALSE)</f>
        <v>Rohofstraat 83</v>
      </c>
      <c r="D181" s="24" t="str">
        <f>VLOOKUP(Ruimtestaat[[#This Row],[Code]],Locaties[#All],5,FALSE)</f>
        <v>7605 AT</v>
      </c>
      <c r="E181" s="24" t="str">
        <f>VLOOKUP(Ruimtestaat[[#This Row],[Code]],Locaties[#All],6,FALSE)</f>
        <v>Almelo</v>
      </c>
      <c r="F181" s="61"/>
      <c r="G181" s="24" t="s">
        <v>574</v>
      </c>
      <c r="H181" s="24" t="s">
        <v>662</v>
      </c>
      <c r="I181" s="4" t="s">
        <v>505</v>
      </c>
      <c r="J181" s="24">
        <v>2</v>
      </c>
      <c r="K181" s="61" t="str">
        <f>VLOOKUP(J181,Ruimtegroepen[],2,FALSE)</f>
        <v>Kantoren</v>
      </c>
      <c r="L181" s="24" t="s">
        <v>103</v>
      </c>
      <c r="M181" s="24" t="s">
        <v>38</v>
      </c>
      <c r="N181" s="98">
        <v>13.7</v>
      </c>
      <c r="O181" s="87"/>
      <c r="P181" s="97" t="str">
        <f>LEFT(VLOOKUP(Ruimtestaat[[#This Row],[Ruimte code]],Ruimtegroepen[#All],4,1),2)</f>
        <v>Bu</v>
      </c>
      <c r="Q181" s="97"/>
      <c r="R181" s="88">
        <v>52</v>
      </c>
      <c r="S181" s="88" t="s">
        <v>2</v>
      </c>
      <c r="T181" s="89">
        <f>IF(R181&gt;0,IF(RIGHT(Ruimtestaat[[#This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81" s="89">
        <f>IF(T181&gt;0,VLOOKUP($J181,Ruimtegroepen[],3,FALSE)*VLOOKUP($L181,Vloersoorten[],3,FALSE)*VLOOKUP($S181,Frequenties[],3,FALSE)*VLOOKUP($A181,Locaties[],3,FALSE),0)</f>
        <v>0</v>
      </c>
      <c r="V181" s="90">
        <f>Ruimtestaat[[#This Row],[Uitvoeringen werkdagen]]*Ruimtestaat[[#This Row],[Oppervlak (netto)]]</f>
        <v>3562</v>
      </c>
      <c r="W181" s="91">
        <f>IF(U181&gt;0,Ruimtestaat[[#This Row],[Prest. (m2 /jaar) werkdagen]]/Ruimtestaat[[#This Row],[Norm (m2/uur) werkdagen]],0)</f>
        <v>0</v>
      </c>
      <c r="X181" s="92">
        <f>Ruimtestaat[[#This Row],[uren / jaar werkdagen]]*Tariefsopbouw!$E$35</f>
        <v>0</v>
      </c>
      <c r="Y181" s="89"/>
      <c r="Z181" s="93">
        <f>IF(Ruimtestaat[[#This Row],[Frequentie weekend]]&gt;0,VALUE(LEFT(Y181,1))*R181,0)</f>
        <v>0</v>
      </c>
      <c r="AA181" s="89">
        <f>IF($Z181&gt;0,VLOOKUP($J181,Ruimtegroepen[],3,FALSE)*VLOOKUP($L181,Vloersoorten[],3,FALSE)*VLOOKUP($Y181,Frequenties[],3,FALSE)*VLOOKUP($A177,Locaties[],3,FALSE),0)</f>
        <v>0</v>
      </c>
      <c r="AB181" s="91">
        <f>Ruimtestaat[[#This Row],[Uitvoeringen weekend]]*Ruimtestaat[[#This Row],[Oppervlak (netto)]]</f>
        <v>0</v>
      </c>
      <c r="AC181" s="94">
        <f>IF(AB181&gt;0,Ruimtestaat[[#This Row],[Prest. (m2 /jaar) weekend]]/Ruimtestaat[[#This Row],[Norm (m2/uur) weekend]],0)</f>
        <v>0</v>
      </c>
      <c r="AD181" s="95">
        <f>Ruimtestaat[[#This Row],[uren / jaar weekend]]*Tariefsopbouw!$D$40</f>
        <v>0</v>
      </c>
      <c r="AE181" s="67">
        <f>Ruimtestaat[[#This Row],[Prest. (m2 /jaar) weekend]]+Ruimtestaat[[#This Row],[Prest. (m2 /jaar) werkdagen]]</f>
        <v>3562</v>
      </c>
      <c r="AF181" s="67">
        <f>Ruimtestaat[[#This Row],[uren / jaar weekend]]+Ruimtestaat[[#This Row],[uren / jaar werkdagen]]</f>
        <v>0</v>
      </c>
      <c r="AG181" s="68">
        <f>Ruimtestaat[[#This Row],[kosten / jaar weekend]]+Ruimtestaat[[#This Row],[kosten / jaar werkdagen]]</f>
        <v>0</v>
      </c>
      <c r="AH181" s="96"/>
      <c r="HL181" s="66"/>
    </row>
    <row r="182" spans="1:220" ht="15" customHeight="1">
      <c r="A182" s="114">
        <v>1</v>
      </c>
      <c r="B182" s="24" t="str">
        <f>VLOOKUP(Ruimtestaat[[#This Row],[Code]],Locaties[#All],2,FALSE)</f>
        <v>Hoofdgebouw</v>
      </c>
      <c r="C182" s="24" t="str">
        <f>VLOOKUP(Ruimtestaat[[#This Row],[Code]],Locaties[#All],4,FALSE)</f>
        <v>Rohofstraat 83</v>
      </c>
      <c r="D182" s="24" t="str">
        <f>VLOOKUP(Ruimtestaat[[#This Row],[Code]],Locaties[#All],5,FALSE)</f>
        <v>7605 AT</v>
      </c>
      <c r="E182" s="24" t="str">
        <f>VLOOKUP(Ruimtestaat[[#This Row],[Code]],Locaties[#All],6,FALSE)</f>
        <v>Almelo</v>
      </c>
      <c r="F182" s="61"/>
      <c r="G182" s="24" t="s">
        <v>574</v>
      </c>
      <c r="H182" s="24" t="s">
        <v>663</v>
      </c>
      <c r="I182" s="4" t="s">
        <v>443</v>
      </c>
      <c r="J182" s="24">
        <v>4</v>
      </c>
      <c r="K182" s="61" t="str">
        <f>VLOOKUP(J182,Ruimtegroepen[],2,FALSE)</f>
        <v>Vergader/spreekkamers</v>
      </c>
      <c r="L182" s="24" t="s">
        <v>103</v>
      </c>
      <c r="M182" s="24" t="s">
        <v>38</v>
      </c>
      <c r="N182" s="87">
        <v>13.1</v>
      </c>
      <c r="O182" s="87"/>
      <c r="P182" s="97" t="str">
        <f>LEFT(VLOOKUP(Ruimtestaat[[#This Row],[Ruimte code]],Ruimtegroepen[#All],4,1),2)</f>
        <v>Bu</v>
      </c>
      <c r="Q182" s="97"/>
      <c r="R182" s="88">
        <v>52</v>
      </c>
      <c r="S182" s="88" t="s">
        <v>2</v>
      </c>
      <c r="T182" s="89">
        <f>IF(R182&gt;0,IF(RIGHT(Ruimtestaat[[#This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82" s="89">
        <f>IF(T182&gt;0,VLOOKUP($J182,Ruimtegroepen[],3,FALSE)*VLOOKUP($L182,Vloersoorten[],3,FALSE)*VLOOKUP($S182,Frequenties[],3,FALSE)*VLOOKUP($A182,Locaties[],3,FALSE),0)</f>
        <v>0</v>
      </c>
      <c r="V182" s="90">
        <f>Ruimtestaat[[#This Row],[Uitvoeringen werkdagen]]*Ruimtestaat[[#This Row],[Oppervlak (netto)]]</f>
        <v>3406</v>
      </c>
      <c r="W182" s="91">
        <f>IF(U182&gt;0,Ruimtestaat[[#This Row],[Prest. (m2 /jaar) werkdagen]]/Ruimtestaat[[#This Row],[Norm (m2/uur) werkdagen]],0)</f>
        <v>0</v>
      </c>
      <c r="X182" s="92">
        <f>Ruimtestaat[[#This Row],[uren / jaar werkdagen]]*Tariefsopbouw!$E$35</f>
        <v>0</v>
      </c>
      <c r="Y182" s="89"/>
      <c r="Z182" s="93">
        <f>IF(Ruimtestaat[[#This Row],[Frequentie weekend]]&gt;0,VALUE(LEFT(Y182,1))*R182,0)</f>
        <v>0</v>
      </c>
      <c r="AA182" s="89">
        <f>IF($Z182&gt;0,VLOOKUP($J182,Ruimtegroepen[],3,FALSE)*VLOOKUP($L182,Vloersoorten[],3,FALSE)*VLOOKUP($Y182,Frequenties[],3,FALSE)*VLOOKUP($A178,Locaties[],3,FALSE),0)</f>
        <v>0</v>
      </c>
      <c r="AB182" s="91">
        <f>Ruimtestaat[[#This Row],[Uitvoeringen weekend]]*Ruimtestaat[[#This Row],[Oppervlak (netto)]]</f>
        <v>0</v>
      </c>
      <c r="AC182" s="94">
        <f>IF(AB182&gt;0,Ruimtestaat[[#This Row],[Prest. (m2 /jaar) weekend]]/Ruimtestaat[[#This Row],[Norm (m2/uur) weekend]],0)</f>
        <v>0</v>
      </c>
      <c r="AD182" s="95">
        <f>Ruimtestaat[[#This Row],[uren / jaar weekend]]*Tariefsopbouw!$D$40</f>
        <v>0</v>
      </c>
      <c r="AE182" s="67">
        <f>Ruimtestaat[[#This Row],[Prest. (m2 /jaar) weekend]]+Ruimtestaat[[#This Row],[Prest. (m2 /jaar) werkdagen]]</f>
        <v>3406</v>
      </c>
      <c r="AF182" s="67">
        <f>Ruimtestaat[[#This Row],[uren / jaar weekend]]+Ruimtestaat[[#This Row],[uren / jaar werkdagen]]</f>
        <v>0</v>
      </c>
      <c r="AG182" s="68">
        <f>Ruimtestaat[[#This Row],[kosten / jaar weekend]]+Ruimtestaat[[#This Row],[kosten / jaar werkdagen]]</f>
        <v>0</v>
      </c>
      <c r="AH182" s="96"/>
      <c r="HL182" s="66"/>
    </row>
    <row r="183" spans="1:220" ht="15" customHeight="1">
      <c r="A183" s="114">
        <v>1</v>
      </c>
      <c r="B183" s="24" t="str">
        <f>VLOOKUP(Ruimtestaat[[#This Row],[Code]],Locaties[#All],2,FALSE)</f>
        <v>Hoofdgebouw</v>
      </c>
      <c r="C183" s="24" t="str">
        <f>VLOOKUP(Ruimtestaat[[#This Row],[Code]],Locaties[#All],4,FALSE)</f>
        <v>Rohofstraat 83</v>
      </c>
      <c r="D183" s="24" t="str">
        <f>VLOOKUP(Ruimtestaat[[#This Row],[Code]],Locaties[#All],5,FALSE)</f>
        <v>7605 AT</v>
      </c>
      <c r="E183" s="24" t="str">
        <f>VLOOKUP(Ruimtestaat[[#This Row],[Code]],Locaties[#All],6,FALSE)</f>
        <v>Almelo</v>
      </c>
      <c r="F183" s="61"/>
      <c r="G183" s="24" t="s">
        <v>574</v>
      </c>
      <c r="H183" s="24" t="s">
        <v>664</v>
      </c>
      <c r="I183" s="4" t="s">
        <v>456</v>
      </c>
      <c r="J183" s="24">
        <v>2</v>
      </c>
      <c r="K183" s="61" t="str">
        <f>VLOOKUP(J183,Ruimtegroepen[],2,FALSE)</f>
        <v>Kantoren</v>
      </c>
      <c r="L183" s="24" t="s">
        <v>103</v>
      </c>
      <c r="M183" s="24" t="s">
        <v>38</v>
      </c>
      <c r="N183" s="87">
        <v>3.8</v>
      </c>
      <c r="O183" s="87"/>
      <c r="P183" s="97" t="str">
        <f>LEFT(VLOOKUP(Ruimtestaat[[#This Row],[Ruimte code]],Ruimtegroepen[#All],4,1),2)</f>
        <v>Bu</v>
      </c>
      <c r="Q183" s="97"/>
      <c r="R183" s="88">
        <v>52</v>
      </c>
      <c r="S183" s="88" t="s">
        <v>2</v>
      </c>
      <c r="T183" s="89">
        <f>IF(R183&gt;0,IF(RIGHT(Ruimtestaat[[#This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83" s="89">
        <f>IF(T183&gt;0,VLOOKUP($J183,Ruimtegroepen[],3,FALSE)*VLOOKUP($L183,Vloersoorten[],3,FALSE)*VLOOKUP($S183,Frequenties[],3,FALSE)*VLOOKUP($A183,Locaties[],3,FALSE),0)</f>
        <v>0</v>
      </c>
      <c r="V183" s="90">
        <f>Ruimtestaat[[#This Row],[Uitvoeringen werkdagen]]*Ruimtestaat[[#This Row],[Oppervlak (netto)]]</f>
        <v>988</v>
      </c>
      <c r="W183" s="91">
        <f>IF(U183&gt;0,Ruimtestaat[[#This Row],[Prest. (m2 /jaar) werkdagen]]/Ruimtestaat[[#This Row],[Norm (m2/uur) werkdagen]],0)</f>
        <v>0</v>
      </c>
      <c r="X183" s="92">
        <f>Ruimtestaat[[#This Row],[uren / jaar werkdagen]]*Tariefsopbouw!$E$35</f>
        <v>0</v>
      </c>
      <c r="Y183" s="89"/>
      <c r="Z183" s="93">
        <f>IF(Ruimtestaat[[#This Row],[Frequentie weekend]]&gt;0,VALUE(LEFT(Y183,1))*R183,0)</f>
        <v>0</v>
      </c>
      <c r="AA183" s="89">
        <f>IF($Z183&gt;0,VLOOKUP($J183,Ruimtegroepen[],3,FALSE)*VLOOKUP($L183,Vloersoorten[],3,FALSE)*VLOOKUP($Y183,Frequenties[],3,FALSE)*VLOOKUP($A179,Locaties[],3,FALSE),0)</f>
        <v>0</v>
      </c>
      <c r="AB183" s="91">
        <f>Ruimtestaat[[#This Row],[Uitvoeringen weekend]]*Ruimtestaat[[#This Row],[Oppervlak (netto)]]</f>
        <v>0</v>
      </c>
      <c r="AC183" s="94">
        <f>IF(AB183&gt;0,Ruimtestaat[[#This Row],[Prest. (m2 /jaar) weekend]]/Ruimtestaat[[#This Row],[Norm (m2/uur) weekend]],0)</f>
        <v>0</v>
      </c>
      <c r="AD183" s="95">
        <f>Ruimtestaat[[#This Row],[uren / jaar weekend]]*Tariefsopbouw!$D$40</f>
        <v>0</v>
      </c>
      <c r="AE183" s="67">
        <f>Ruimtestaat[[#This Row],[Prest. (m2 /jaar) weekend]]+Ruimtestaat[[#This Row],[Prest. (m2 /jaar) werkdagen]]</f>
        <v>988</v>
      </c>
      <c r="AF183" s="67">
        <f>Ruimtestaat[[#This Row],[uren / jaar weekend]]+Ruimtestaat[[#This Row],[uren / jaar werkdagen]]</f>
        <v>0</v>
      </c>
      <c r="AG183" s="68">
        <f>Ruimtestaat[[#This Row],[kosten / jaar weekend]]+Ruimtestaat[[#This Row],[kosten / jaar werkdagen]]</f>
        <v>0</v>
      </c>
      <c r="AH183" s="96"/>
      <c r="HL183" s="66"/>
    </row>
    <row r="184" spans="1:220" ht="15" customHeight="1">
      <c r="A184" s="114">
        <v>1</v>
      </c>
      <c r="B184" s="24" t="str">
        <f>VLOOKUP(Ruimtestaat[[#This Row],[Code]],Locaties[#All],2,FALSE)</f>
        <v>Hoofdgebouw</v>
      </c>
      <c r="C184" s="24" t="str">
        <f>VLOOKUP(Ruimtestaat[[#This Row],[Code]],Locaties[#All],4,FALSE)</f>
        <v>Rohofstraat 83</v>
      </c>
      <c r="D184" s="24" t="str">
        <f>VLOOKUP(Ruimtestaat[[#This Row],[Code]],Locaties[#All],5,FALSE)</f>
        <v>7605 AT</v>
      </c>
      <c r="E184" s="24" t="str">
        <f>VLOOKUP(Ruimtestaat[[#This Row],[Code]],Locaties[#All],6,FALSE)</f>
        <v>Almelo</v>
      </c>
      <c r="F184" s="61"/>
      <c r="G184" s="24" t="s">
        <v>574</v>
      </c>
      <c r="H184" s="24" t="s">
        <v>665</v>
      </c>
      <c r="I184" s="4" t="s">
        <v>456</v>
      </c>
      <c r="J184" s="24">
        <v>2</v>
      </c>
      <c r="K184" s="61" t="str">
        <f>VLOOKUP(J184,Ruimtegroepen[],2,FALSE)</f>
        <v>Kantoren</v>
      </c>
      <c r="L184" s="24" t="s">
        <v>103</v>
      </c>
      <c r="M184" s="24" t="s">
        <v>38</v>
      </c>
      <c r="N184" s="87">
        <v>3.9</v>
      </c>
      <c r="O184" s="87"/>
      <c r="P184" s="97" t="str">
        <f>LEFT(VLOOKUP(Ruimtestaat[[#This Row],[Ruimte code]],Ruimtegroepen[#All],4,1),2)</f>
        <v>Bu</v>
      </c>
      <c r="Q184" s="97"/>
      <c r="R184" s="88">
        <v>52</v>
      </c>
      <c r="S184" s="88" t="s">
        <v>2</v>
      </c>
      <c r="T184" s="89">
        <f>IF(R184&gt;0,IF(RIGHT(Ruimtestaat[[#This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84" s="89">
        <f>IF(T184&gt;0,VLOOKUP($J184,Ruimtegroepen[],3,FALSE)*VLOOKUP($L184,Vloersoorten[],3,FALSE)*VLOOKUP($S184,Frequenties[],3,FALSE)*VLOOKUP($A184,Locaties[],3,FALSE),0)</f>
        <v>0</v>
      </c>
      <c r="V184" s="90">
        <f>Ruimtestaat[[#This Row],[Uitvoeringen werkdagen]]*Ruimtestaat[[#This Row],[Oppervlak (netto)]]</f>
        <v>1014</v>
      </c>
      <c r="W184" s="91">
        <f>IF(U184&gt;0,Ruimtestaat[[#This Row],[Prest. (m2 /jaar) werkdagen]]/Ruimtestaat[[#This Row],[Norm (m2/uur) werkdagen]],0)</f>
        <v>0</v>
      </c>
      <c r="X184" s="92">
        <f>Ruimtestaat[[#This Row],[uren / jaar werkdagen]]*Tariefsopbouw!$E$35</f>
        <v>0</v>
      </c>
      <c r="Y184" s="89"/>
      <c r="Z184" s="93">
        <f>IF(Ruimtestaat[[#This Row],[Frequentie weekend]]&gt;0,VALUE(LEFT(Y184,1))*R184,0)</f>
        <v>0</v>
      </c>
      <c r="AA184" s="89">
        <f>IF($Z184&gt;0,VLOOKUP($J184,Ruimtegroepen[],3,FALSE)*VLOOKUP($L184,Vloersoorten[],3,FALSE)*VLOOKUP($Y184,Frequenties[],3,FALSE)*VLOOKUP($A180,Locaties[],3,FALSE),0)</f>
        <v>0</v>
      </c>
      <c r="AB184" s="91">
        <f>Ruimtestaat[[#This Row],[Uitvoeringen weekend]]*Ruimtestaat[[#This Row],[Oppervlak (netto)]]</f>
        <v>0</v>
      </c>
      <c r="AC184" s="94">
        <f>IF(AB184&gt;0,Ruimtestaat[[#This Row],[Prest. (m2 /jaar) weekend]]/Ruimtestaat[[#This Row],[Norm (m2/uur) weekend]],0)</f>
        <v>0</v>
      </c>
      <c r="AD184" s="95">
        <f>Ruimtestaat[[#This Row],[uren / jaar weekend]]*Tariefsopbouw!$D$40</f>
        <v>0</v>
      </c>
      <c r="AE184" s="67">
        <f>Ruimtestaat[[#This Row],[Prest. (m2 /jaar) weekend]]+Ruimtestaat[[#This Row],[Prest. (m2 /jaar) werkdagen]]</f>
        <v>1014</v>
      </c>
      <c r="AF184" s="67">
        <f>Ruimtestaat[[#This Row],[uren / jaar weekend]]+Ruimtestaat[[#This Row],[uren / jaar werkdagen]]</f>
        <v>0</v>
      </c>
      <c r="AG184" s="68">
        <f>Ruimtestaat[[#This Row],[kosten / jaar weekend]]+Ruimtestaat[[#This Row],[kosten / jaar werkdagen]]</f>
        <v>0</v>
      </c>
      <c r="AH184" s="96"/>
      <c r="HL184" s="66"/>
    </row>
    <row r="185" spans="1:220" ht="15" customHeight="1">
      <c r="A185" s="114">
        <v>1</v>
      </c>
      <c r="B185" s="24" t="str">
        <f>VLOOKUP(Ruimtestaat[[#This Row],[Code]],Locaties[#All],2,FALSE)</f>
        <v>Hoofdgebouw</v>
      </c>
      <c r="C185" s="24" t="str">
        <f>VLOOKUP(Ruimtestaat[[#This Row],[Code]],Locaties[#All],4,FALSE)</f>
        <v>Rohofstraat 83</v>
      </c>
      <c r="D185" s="24" t="str">
        <f>VLOOKUP(Ruimtestaat[[#This Row],[Code]],Locaties[#All],5,FALSE)</f>
        <v>7605 AT</v>
      </c>
      <c r="E185" s="24" t="str">
        <f>VLOOKUP(Ruimtestaat[[#This Row],[Code]],Locaties[#All],6,FALSE)</f>
        <v>Almelo</v>
      </c>
      <c r="F185" s="61"/>
      <c r="G185" s="24" t="s">
        <v>574</v>
      </c>
      <c r="H185" s="24" t="s">
        <v>666</v>
      </c>
      <c r="I185" s="4" t="s">
        <v>515</v>
      </c>
      <c r="J185" s="24">
        <v>10</v>
      </c>
      <c r="K185" s="61" t="str">
        <f>VLOOKUP(J185,Ruimtegroepen[],2,FALSE)</f>
        <v>Trappenhuizen/lift</v>
      </c>
      <c r="L185" s="329" t="s">
        <v>105</v>
      </c>
      <c r="M185" s="329" t="s">
        <v>786</v>
      </c>
      <c r="N185" s="87">
        <v>24.1</v>
      </c>
      <c r="O185" s="87"/>
      <c r="P185" s="97" t="str">
        <f>LEFT(VLOOKUP(Ruimtestaat[[#This Row],[Ruimte code]],Ruimtegroepen[#All],4,1),2)</f>
        <v>Ve</v>
      </c>
      <c r="Q185" s="97"/>
      <c r="R185" s="88">
        <v>52</v>
      </c>
      <c r="S185" s="88" t="s">
        <v>2</v>
      </c>
      <c r="T185" s="89">
        <f>IF(R185&gt;0,IF(RIGHT(Ruimtestaat[[#This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85" s="89">
        <f>IF(T185&gt;0,VLOOKUP($J185,Ruimtegroepen[],3,FALSE)*VLOOKUP($L185,Vloersoorten[],3,FALSE)*VLOOKUP($S185,Frequenties[],3,FALSE)*VLOOKUP($A185,Locaties[],3,FALSE),0)</f>
        <v>0</v>
      </c>
      <c r="V185" s="90">
        <f>Ruimtestaat[[#This Row],[Uitvoeringen werkdagen]]*Ruimtestaat[[#This Row],[Oppervlak (netto)]]</f>
        <v>6266</v>
      </c>
      <c r="W185" s="91">
        <f>IF(U185&gt;0,Ruimtestaat[[#This Row],[Prest. (m2 /jaar) werkdagen]]/Ruimtestaat[[#This Row],[Norm (m2/uur) werkdagen]],0)</f>
        <v>0</v>
      </c>
      <c r="X185" s="92">
        <f>Ruimtestaat[[#This Row],[uren / jaar werkdagen]]*Tariefsopbouw!$E$35</f>
        <v>0</v>
      </c>
      <c r="Y185" s="89"/>
      <c r="Z185" s="93">
        <f>IF(Ruimtestaat[[#This Row],[Frequentie weekend]]&gt;0,VALUE(LEFT(Y185,1))*R185,0)</f>
        <v>0</v>
      </c>
      <c r="AA185" s="89">
        <f>IF($Z185&gt;0,VLOOKUP($J185,Ruimtegroepen[],3,FALSE)*VLOOKUP($L185,Vloersoorten[],3,FALSE)*VLOOKUP($Y185,Frequenties[],3,FALSE)*VLOOKUP($A181,Locaties[],3,FALSE),0)</f>
        <v>0</v>
      </c>
      <c r="AB185" s="91">
        <f>Ruimtestaat[[#This Row],[Uitvoeringen weekend]]*Ruimtestaat[[#This Row],[Oppervlak (netto)]]</f>
        <v>0</v>
      </c>
      <c r="AC185" s="94">
        <f>IF(AB185&gt;0,Ruimtestaat[[#This Row],[Prest. (m2 /jaar) weekend]]/Ruimtestaat[[#This Row],[Norm (m2/uur) weekend]],0)</f>
        <v>0</v>
      </c>
      <c r="AD185" s="95">
        <f>Ruimtestaat[[#This Row],[uren / jaar weekend]]*Tariefsopbouw!$D$40</f>
        <v>0</v>
      </c>
      <c r="AE185" s="67">
        <f>Ruimtestaat[[#This Row],[Prest. (m2 /jaar) weekend]]+Ruimtestaat[[#This Row],[Prest. (m2 /jaar) werkdagen]]</f>
        <v>6266</v>
      </c>
      <c r="AF185" s="67">
        <f>Ruimtestaat[[#This Row],[uren / jaar weekend]]+Ruimtestaat[[#This Row],[uren / jaar werkdagen]]</f>
        <v>0</v>
      </c>
      <c r="AG185" s="68">
        <f>Ruimtestaat[[#This Row],[kosten / jaar weekend]]+Ruimtestaat[[#This Row],[kosten / jaar werkdagen]]</f>
        <v>0</v>
      </c>
      <c r="AH185" s="96"/>
      <c r="HL185" s="66"/>
    </row>
    <row r="186" spans="1:220" ht="15" customHeight="1">
      <c r="A186" s="114">
        <v>1</v>
      </c>
      <c r="B186" s="24" t="str">
        <f>VLOOKUP(Ruimtestaat[[#This Row],[Code]],Locaties[#All],2,FALSE)</f>
        <v>Hoofdgebouw</v>
      </c>
      <c r="C186" s="24" t="str">
        <f>VLOOKUP(Ruimtestaat[[#This Row],[Code]],Locaties[#All],4,FALSE)</f>
        <v>Rohofstraat 83</v>
      </c>
      <c r="D186" s="24" t="str">
        <f>VLOOKUP(Ruimtestaat[[#This Row],[Code]],Locaties[#All],5,FALSE)</f>
        <v>7605 AT</v>
      </c>
      <c r="E186" s="24" t="str">
        <f>VLOOKUP(Ruimtestaat[[#This Row],[Code]],Locaties[#All],6,FALSE)</f>
        <v>Almelo</v>
      </c>
      <c r="F186" s="61"/>
      <c r="G186" s="24" t="s">
        <v>574</v>
      </c>
      <c r="H186" s="24" t="s">
        <v>667</v>
      </c>
      <c r="I186" s="4" t="s">
        <v>472</v>
      </c>
      <c r="J186" s="24">
        <v>6</v>
      </c>
      <c r="K186" s="61" t="str">
        <f>VLOOKUP(J186,Ruimtegroepen[],2,FALSE)</f>
        <v>Gangen/hallen</v>
      </c>
      <c r="L186" s="24" t="s">
        <v>103</v>
      </c>
      <c r="M186" s="24" t="s">
        <v>38</v>
      </c>
      <c r="N186" s="87">
        <v>9.8000000000000007</v>
      </c>
      <c r="O186" s="87"/>
      <c r="P186" s="97" t="str">
        <f>LEFT(VLOOKUP(Ruimtestaat[[#This Row],[Ruimte code]],Ruimtegroepen[#All],4,1),2)</f>
        <v>Ve</v>
      </c>
      <c r="Q186" s="97"/>
      <c r="R186" s="88">
        <v>52</v>
      </c>
      <c r="S186" s="88" t="s">
        <v>2</v>
      </c>
      <c r="T186" s="89">
        <f>IF(R186&gt;0,IF(RIGHT(Ruimtestaat[[#This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86" s="89">
        <f>IF(T186&gt;0,VLOOKUP($J186,Ruimtegroepen[],3,FALSE)*VLOOKUP($L186,Vloersoorten[],3,FALSE)*VLOOKUP($S186,Frequenties[],3,FALSE)*VLOOKUP($A186,Locaties[],3,FALSE),0)</f>
        <v>0</v>
      </c>
      <c r="V186" s="90">
        <f>Ruimtestaat[[#This Row],[Uitvoeringen werkdagen]]*Ruimtestaat[[#This Row],[Oppervlak (netto)]]</f>
        <v>2548</v>
      </c>
      <c r="W186" s="91">
        <f>IF(U186&gt;0,Ruimtestaat[[#This Row],[Prest. (m2 /jaar) werkdagen]]/Ruimtestaat[[#This Row],[Norm (m2/uur) werkdagen]],0)</f>
        <v>0</v>
      </c>
      <c r="X186" s="92">
        <f>Ruimtestaat[[#This Row],[uren / jaar werkdagen]]*Tariefsopbouw!$E$35</f>
        <v>0</v>
      </c>
      <c r="Y186" s="89"/>
      <c r="Z186" s="93">
        <f>IF(Ruimtestaat[[#This Row],[Frequentie weekend]]&gt;0,VALUE(LEFT(Y186,1))*R186,0)</f>
        <v>0</v>
      </c>
      <c r="AA186" s="89">
        <f>IF($Z186&gt;0,VLOOKUP($J186,Ruimtegroepen[],3,FALSE)*VLOOKUP($L186,Vloersoorten[],3,FALSE)*VLOOKUP($Y186,Frequenties[],3,FALSE)*VLOOKUP($A182,Locaties[],3,FALSE),0)</f>
        <v>0</v>
      </c>
      <c r="AB186" s="91">
        <f>Ruimtestaat[[#This Row],[Uitvoeringen weekend]]*Ruimtestaat[[#This Row],[Oppervlak (netto)]]</f>
        <v>0</v>
      </c>
      <c r="AC186" s="94">
        <f>IF(AB186&gt;0,Ruimtestaat[[#This Row],[Prest. (m2 /jaar) weekend]]/Ruimtestaat[[#This Row],[Norm (m2/uur) weekend]],0)</f>
        <v>0</v>
      </c>
      <c r="AD186" s="95">
        <f>Ruimtestaat[[#This Row],[uren / jaar weekend]]*Tariefsopbouw!$D$40</f>
        <v>0</v>
      </c>
      <c r="AE186" s="67">
        <f>Ruimtestaat[[#This Row],[Prest. (m2 /jaar) weekend]]+Ruimtestaat[[#This Row],[Prest. (m2 /jaar) werkdagen]]</f>
        <v>2548</v>
      </c>
      <c r="AF186" s="67">
        <f>Ruimtestaat[[#This Row],[uren / jaar weekend]]+Ruimtestaat[[#This Row],[uren / jaar werkdagen]]</f>
        <v>0</v>
      </c>
      <c r="AG186" s="68">
        <f>Ruimtestaat[[#This Row],[kosten / jaar weekend]]+Ruimtestaat[[#This Row],[kosten / jaar werkdagen]]</f>
        <v>0</v>
      </c>
      <c r="AH186" s="96"/>
      <c r="HL186" s="66"/>
    </row>
    <row r="187" spans="1:220" ht="15" customHeight="1">
      <c r="A187" s="114">
        <v>1</v>
      </c>
      <c r="B187" s="24" t="str">
        <f>VLOOKUP(Ruimtestaat[[#This Row],[Code]],Locaties[#All],2,FALSE)</f>
        <v>Hoofdgebouw</v>
      </c>
      <c r="C187" s="24" t="str">
        <f>VLOOKUP(Ruimtestaat[[#This Row],[Code]],Locaties[#All],4,FALSE)</f>
        <v>Rohofstraat 83</v>
      </c>
      <c r="D187" s="24" t="str">
        <f>VLOOKUP(Ruimtestaat[[#This Row],[Code]],Locaties[#All],5,FALSE)</f>
        <v>7605 AT</v>
      </c>
      <c r="E187" s="24" t="str">
        <f>VLOOKUP(Ruimtestaat[[#This Row],[Code]],Locaties[#All],6,FALSE)</f>
        <v>Almelo</v>
      </c>
      <c r="F187" s="61"/>
      <c r="G187" s="24" t="s">
        <v>574</v>
      </c>
      <c r="H187" s="24" t="s">
        <v>668</v>
      </c>
      <c r="I187" s="4" t="s">
        <v>669</v>
      </c>
      <c r="J187" s="24">
        <v>5</v>
      </c>
      <c r="K187" s="61" t="str">
        <f>VLOOKUP(J187,Ruimtegroepen[],2,FALSE)</f>
        <v>Sanitair</v>
      </c>
      <c r="L187" s="24" t="s">
        <v>105</v>
      </c>
      <c r="M187" s="24" t="s">
        <v>796</v>
      </c>
      <c r="N187" s="98">
        <v>3.3</v>
      </c>
      <c r="O187" s="87"/>
      <c r="P187" s="97" t="str">
        <f>LEFT(VLOOKUP(Ruimtestaat[[#This Row],[Ruimte code]],Ruimtegroepen[#All],4,1),2)</f>
        <v>Sa</v>
      </c>
      <c r="Q187" s="97"/>
      <c r="R187" s="88">
        <v>52</v>
      </c>
      <c r="S187" s="88" t="s">
        <v>2</v>
      </c>
      <c r="T187" s="89">
        <f>IF(R187&gt;0,IF(RIGHT(Ruimtestaat[[#This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87" s="89">
        <f>IF(T187&gt;0,VLOOKUP($J187,Ruimtegroepen[],3,FALSE)*VLOOKUP($L187,Vloersoorten[],3,FALSE)*VLOOKUP($S187,Frequenties[],3,FALSE)*VLOOKUP($A187,Locaties[],3,FALSE),0)</f>
        <v>0</v>
      </c>
      <c r="V187" s="90">
        <f>Ruimtestaat[[#This Row],[Uitvoeringen werkdagen]]*Ruimtestaat[[#This Row],[Oppervlak (netto)]]</f>
        <v>858</v>
      </c>
      <c r="W187" s="91">
        <f>IF(U187&gt;0,Ruimtestaat[[#This Row],[Prest. (m2 /jaar) werkdagen]]/Ruimtestaat[[#This Row],[Norm (m2/uur) werkdagen]],0)</f>
        <v>0</v>
      </c>
      <c r="X187" s="92">
        <f>Ruimtestaat[[#This Row],[uren / jaar werkdagen]]*Tariefsopbouw!$E$35</f>
        <v>0</v>
      </c>
      <c r="Y187" s="89"/>
      <c r="Z187" s="93">
        <f>IF(Ruimtestaat[[#This Row],[Frequentie weekend]]&gt;0,VALUE(LEFT(Y187,1))*R187,0)</f>
        <v>0</v>
      </c>
      <c r="AA187" s="89">
        <f>IF($Z187&gt;0,VLOOKUP($J187,Ruimtegroepen[],3,FALSE)*VLOOKUP($L187,Vloersoorten[],3,FALSE)*VLOOKUP($Y187,Frequenties[],3,FALSE)*VLOOKUP($A183,Locaties[],3,FALSE),0)</f>
        <v>0</v>
      </c>
      <c r="AB187" s="91">
        <f>Ruimtestaat[[#This Row],[Uitvoeringen weekend]]*Ruimtestaat[[#This Row],[Oppervlak (netto)]]</f>
        <v>0</v>
      </c>
      <c r="AC187" s="94">
        <f>IF(AB187&gt;0,Ruimtestaat[[#This Row],[Prest. (m2 /jaar) weekend]]/Ruimtestaat[[#This Row],[Norm (m2/uur) weekend]],0)</f>
        <v>0</v>
      </c>
      <c r="AD187" s="95">
        <f>Ruimtestaat[[#This Row],[uren / jaar weekend]]*Tariefsopbouw!$D$40</f>
        <v>0</v>
      </c>
      <c r="AE187" s="67">
        <f>Ruimtestaat[[#This Row],[Prest. (m2 /jaar) weekend]]+Ruimtestaat[[#This Row],[Prest. (m2 /jaar) werkdagen]]</f>
        <v>858</v>
      </c>
      <c r="AF187" s="67">
        <f>Ruimtestaat[[#This Row],[uren / jaar weekend]]+Ruimtestaat[[#This Row],[uren / jaar werkdagen]]</f>
        <v>0</v>
      </c>
      <c r="AG187" s="68">
        <f>Ruimtestaat[[#This Row],[kosten / jaar weekend]]+Ruimtestaat[[#This Row],[kosten / jaar werkdagen]]</f>
        <v>0</v>
      </c>
      <c r="AH187" s="96"/>
      <c r="HL187" s="66"/>
    </row>
    <row r="188" spans="1:220" ht="15" customHeight="1">
      <c r="A188" s="114">
        <v>1</v>
      </c>
      <c r="B188" s="24" t="str">
        <f>VLOOKUP(Ruimtestaat[[#This Row],[Code]],Locaties[#All],2,FALSE)</f>
        <v>Hoofdgebouw</v>
      </c>
      <c r="C188" s="24" t="str">
        <f>VLOOKUP(Ruimtestaat[[#This Row],[Code]],Locaties[#All],4,FALSE)</f>
        <v>Rohofstraat 83</v>
      </c>
      <c r="D188" s="24" t="str">
        <f>VLOOKUP(Ruimtestaat[[#This Row],[Code]],Locaties[#All],5,FALSE)</f>
        <v>7605 AT</v>
      </c>
      <c r="E188" s="24" t="str">
        <f>VLOOKUP(Ruimtestaat[[#This Row],[Code]],Locaties[#All],6,FALSE)</f>
        <v>Almelo</v>
      </c>
      <c r="F188" s="61"/>
      <c r="G188" s="24" t="s">
        <v>574</v>
      </c>
      <c r="H188" s="24" t="s">
        <v>670</v>
      </c>
      <c r="I188" s="4" t="s">
        <v>551</v>
      </c>
      <c r="J188" s="24">
        <v>1</v>
      </c>
      <c r="K188" s="61" t="str">
        <f>VLOOKUP(J188,Ruimtegroepen[],2,FALSE)</f>
        <v>Magazijnen/bergingen</v>
      </c>
      <c r="L188" s="24" t="s">
        <v>106</v>
      </c>
      <c r="M188" s="24" t="s">
        <v>126</v>
      </c>
      <c r="N188" s="159">
        <v>3.5</v>
      </c>
      <c r="O188" s="87"/>
      <c r="P188" s="97" t="str">
        <f>LEFT(VLOOKUP(Ruimtestaat[[#This Row],[Ruimte code]],Ruimtegroepen[#All],4,1),2)</f>
        <v>Ve</v>
      </c>
      <c r="Q188" s="97"/>
      <c r="R188" s="88">
        <v>52</v>
      </c>
      <c r="S188" s="88" t="s">
        <v>16</v>
      </c>
      <c r="T188" s="89">
        <f>IF(R188&gt;0,IF(RIGHT(Ruimtestaat[[#This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88" s="89">
        <f>IF(T188&gt;0,VLOOKUP($J188,Ruimtegroepen[],3,FALSE)*VLOOKUP($L188,Vloersoorten[],3,FALSE)*VLOOKUP($S188,Frequenties[],3,FALSE)*VLOOKUP($A188,Locaties[],3,FALSE),0)</f>
        <v>0</v>
      </c>
      <c r="V188" s="90">
        <f>Ruimtestaat[[#This Row],[Uitvoeringen werkdagen]]*Ruimtestaat[[#This Row],[Oppervlak (netto)]]</f>
        <v>42</v>
      </c>
      <c r="W188" s="91">
        <f>IF(U188&gt;0,Ruimtestaat[[#This Row],[Prest. (m2 /jaar) werkdagen]]/Ruimtestaat[[#This Row],[Norm (m2/uur) werkdagen]],0)</f>
        <v>0</v>
      </c>
      <c r="X188" s="92">
        <f>Ruimtestaat[[#This Row],[uren / jaar werkdagen]]*Tariefsopbouw!$E$35</f>
        <v>0</v>
      </c>
      <c r="Y188" s="89"/>
      <c r="Z188" s="93">
        <f>IF(Ruimtestaat[[#This Row],[Frequentie weekend]]&gt;0,VALUE(LEFT(Y188,1))*R188,0)</f>
        <v>0</v>
      </c>
      <c r="AA188" s="89">
        <f>IF($Z188&gt;0,VLOOKUP($J188,Ruimtegroepen[],3,FALSE)*VLOOKUP($L188,Vloersoorten[],3,FALSE)*VLOOKUP($Y188,Frequenties[],3,FALSE)*VLOOKUP($A184,Locaties[],3,FALSE),0)</f>
        <v>0</v>
      </c>
      <c r="AB188" s="91">
        <f>Ruimtestaat[[#This Row],[Uitvoeringen weekend]]*Ruimtestaat[[#This Row],[Oppervlak (netto)]]</f>
        <v>0</v>
      </c>
      <c r="AC188" s="94">
        <f>IF(AB188&gt;0,Ruimtestaat[[#This Row],[Prest. (m2 /jaar) weekend]]/Ruimtestaat[[#This Row],[Norm (m2/uur) weekend]],0)</f>
        <v>0</v>
      </c>
      <c r="AD188" s="95">
        <f>Ruimtestaat[[#This Row],[uren / jaar weekend]]*Tariefsopbouw!$D$40</f>
        <v>0</v>
      </c>
      <c r="AE188" s="67">
        <f>Ruimtestaat[[#This Row],[Prest. (m2 /jaar) weekend]]+Ruimtestaat[[#This Row],[Prest. (m2 /jaar) werkdagen]]</f>
        <v>42</v>
      </c>
      <c r="AF188" s="67">
        <f>Ruimtestaat[[#This Row],[uren / jaar weekend]]+Ruimtestaat[[#This Row],[uren / jaar werkdagen]]</f>
        <v>0</v>
      </c>
      <c r="AG188" s="68">
        <f>Ruimtestaat[[#This Row],[kosten / jaar weekend]]+Ruimtestaat[[#This Row],[kosten / jaar werkdagen]]</f>
        <v>0</v>
      </c>
      <c r="AH188" s="96"/>
      <c r="HL188" s="66"/>
    </row>
    <row r="189" spans="1:220" ht="15" customHeight="1">
      <c r="A189" s="114">
        <v>1</v>
      </c>
      <c r="B189" s="24" t="str">
        <f>VLOOKUP(Ruimtestaat[[#This Row],[Code]],Locaties[#All],2,FALSE)</f>
        <v>Hoofdgebouw</v>
      </c>
      <c r="C189" s="24" t="str">
        <f>VLOOKUP(Ruimtestaat[[#This Row],[Code]],Locaties[#All],4,FALSE)</f>
        <v>Rohofstraat 83</v>
      </c>
      <c r="D189" s="24" t="str">
        <f>VLOOKUP(Ruimtestaat[[#This Row],[Code]],Locaties[#All],5,FALSE)</f>
        <v>7605 AT</v>
      </c>
      <c r="E189" s="24" t="str">
        <f>VLOOKUP(Ruimtestaat[[#This Row],[Code]],Locaties[#All],6,FALSE)</f>
        <v>Almelo</v>
      </c>
      <c r="F189" s="61"/>
      <c r="G189" s="24" t="s">
        <v>574</v>
      </c>
      <c r="H189" s="24" t="s">
        <v>671</v>
      </c>
      <c r="I189" s="334" t="s">
        <v>474</v>
      </c>
      <c r="J189" s="329">
        <v>5</v>
      </c>
      <c r="K189" s="330" t="str">
        <f>VLOOKUP(J189,Ruimtegroepen[],2,FALSE)</f>
        <v>Sanitair</v>
      </c>
      <c r="L189" s="329" t="s">
        <v>105</v>
      </c>
      <c r="M189" s="329" t="s">
        <v>796</v>
      </c>
      <c r="N189" s="332">
        <v>9.6</v>
      </c>
      <c r="O189" s="87"/>
      <c r="P189" s="97" t="str">
        <f>LEFT(VLOOKUP(Ruimtestaat[[#This Row],[Ruimte code]],Ruimtegroepen[#All],4,1),2)</f>
        <v>Sa</v>
      </c>
      <c r="Q189" s="97"/>
      <c r="R189" s="88">
        <v>52</v>
      </c>
      <c r="S189" s="88" t="s">
        <v>2</v>
      </c>
      <c r="T189" s="89">
        <f>IF(R189&gt;0,IF(RIGHT(Ruimtestaat[[#This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89" s="89">
        <f>IF(T189&gt;0,VLOOKUP($J189,Ruimtegroepen[],3,FALSE)*VLOOKUP($L189,Vloersoorten[],3,FALSE)*VLOOKUP($S189,Frequenties[],3,FALSE)*VLOOKUP($A189,Locaties[],3,FALSE),0)</f>
        <v>0</v>
      </c>
      <c r="V189" s="90">
        <f>Ruimtestaat[[#This Row],[Uitvoeringen werkdagen]]*Ruimtestaat[[#This Row],[Oppervlak (netto)]]</f>
        <v>2496</v>
      </c>
      <c r="W189" s="91">
        <f>IF(U189&gt;0,Ruimtestaat[[#This Row],[Prest. (m2 /jaar) werkdagen]]/Ruimtestaat[[#This Row],[Norm (m2/uur) werkdagen]],0)</f>
        <v>0</v>
      </c>
      <c r="X189" s="92">
        <f>Ruimtestaat[[#This Row],[uren / jaar werkdagen]]*Tariefsopbouw!$E$35</f>
        <v>0</v>
      </c>
      <c r="Y189" s="89"/>
      <c r="Z189" s="93">
        <f>IF(Ruimtestaat[[#This Row],[Frequentie weekend]]&gt;0,VALUE(LEFT(Y189,1))*R189,0)</f>
        <v>0</v>
      </c>
      <c r="AA189" s="89">
        <f>IF($Z189&gt;0,VLOOKUP($J189,Ruimtegroepen[],3,FALSE)*VLOOKUP($L189,Vloersoorten[],3,FALSE)*VLOOKUP($Y189,Frequenties[],3,FALSE)*VLOOKUP($A185,Locaties[],3,FALSE),0)</f>
        <v>0</v>
      </c>
      <c r="AB189" s="91">
        <f>Ruimtestaat[[#This Row],[Uitvoeringen weekend]]*Ruimtestaat[[#This Row],[Oppervlak (netto)]]</f>
        <v>0</v>
      </c>
      <c r="AC189" s="94">
        <f>IF(AB189&gt;0,Ruimtestaat[[#This Row],[Prest. (m2 /jaar) weekend]]/Ruimtestaat[[#This Row],[Norm (m2/uur) weekend]],0)</f>
        <v>0</v>
      </c>
      <c r="AD189" s="95">
        <f>Ruimtestaat[[#This Row],[uren / jaar weekend]]*Tariefsopbouw!$D$40</f>
        <v>0</v>
      </c>
      <c r="AE189" s="67">
        <f>Ruimtestaat[[#This Row],[Prest. (m2 /jaar) weekend]]+Ruimtestaat[[#This Row],[Prest. (m2 /jaar) werkdagen]]</f>
        <v>2496</v>
      </c>
      <c r="AF189" s="67">
        <f>Ruimtestaat[[#This Row],[uren / jaar weekend]]+Ruimtestaat[[#This Row],[uren / jaar werkdagen]]</f>
        <v>0</v>
      </c>
      <c r="AG189" s="68">
        <f>Ruimtestaat[[#This Row],[kosten / jaar weekend]]+Ruimtestaat[[#This Row],[kosten / jaar werkdagen]]</f>
        <v>0</v>
      </c>
      <c r="AH189" s="96"/>
      <c r="HL189" s="66"/>
    </row>
    <row r="190" spans="1:220" ht="15" customHeight="1">
      <c r="A190" s="114">
        <v>1</v>
      </c>
      <c r="B190" s="24" t="str">
        <f>VLOOKUP(Ruimtestaat[[#This Row],[Code]],Locaties[#All],2,FALSE)</f>
        <v>Hoofdgebouw</v>
      </c>
      <c r="C190" s="24" t="str">
        <f>VLOOKUP(Ruimtestaat[[#This Row],[Code]],Locaties[#All],4,FALSE)</f>
        <v>Rohofstraat 83</v>
      </c>
      <c r="D190" s="24" t="str">
        <f>VLOOKUP(Ruimtestaat[[#This Row],[Code]],Locaties[#All],5,FALSE)</f>
        <v>7605 AT</v>
      </c>
      <c r="E190" s="24" t="str">
        <f>VLOOKUP(Ruimtestaat[[#This Row],[Code]],Locaties[#All],6,FALSE)</f>
        <v>Almelo</v>
      </c>
      <c r="F190" s="61"/>
      <c r="G190" s="24" t="s">
        <v>574</v>
      </c>
      <c r="H190" s="24" t="s">
        <v>672</v>
      </c>
      <c r="I190" s="334" t="s">
        <v>481</v>
      </c>
      <c r="J190" s="329">
        <v>17</v>
      </c>
      <c r="K190" s="330" t="str">
        <f>VLOOKUP(J190,Ruimtegroepen[],2,FALSE)</f>
        <v>Niet in Onderhoud</v>
      </c>
      <c r="L190" s="329"/>
      <c r="M190" s="329"/>
      <c r="N190" s="331"/>
      <c r="O190" s="87">
        <v>1.1000000000000001</v>
      </c>
      <c r="P190" s="97" t="str">
        <f>LEFT(VLOOKUP(Ruimtestaat[[#This Row],[Ruimte code]],Ruimtegroepen[#All],4,1),2)</f>
        <v/>
      </c>
      <c r="Q190" s="97"/>
      <c r="R190" s="88"/>
      <c r="S190" s="88"/>
      <c r="T190" s="89">
        <f>IF(R190&gt;0,IF(RIGHT(Ruimtestaat[[#This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0" s="89">
        <f>IF(T190&gt;0,VLOOKUP($J190,Ruimtegroepen[],3,FALSE)*VLOOKUP($L190,Vloersoorten[],3,FALSE)*VLOOKUP($S190,Frequenties[],3,FALSE)*VLOOKUP($A190,Locaties[],3,FALSE),0)</f>
        <v>0</v>
      </c>
      <c r="V190" s="90">
        <f>Ruimtestaat[[#This Row],[Uitvoeringen werkdagen]]*Ruimtestaat[[#This Row],[Oppervlak (netto)]]</f>
        <v>0</v>
      </c>
      <c r="W190" s="91">
        <f>IF(U190&gt;0,Ruimtestaat[[#This Row],[Prest. (m2 /jaar) werkdagen]]/Ruimtestaat[[#This Row],[Norm (m2/uur) werkdagen]],0)</f>
        <v>0</v>
      </c>
      <c r="X190" s="92">
        <f>Ruimtestaat[[#This Row],[uren / jaar werkdagen]]*Tariefsopbouw!$E$35</f>
        <v>0</v>
      </c>
      <c r="Y190" s="89"/>
      <c r="Z190" s="93">
        <f>IF(Ruimtestaat[[#This Row],[Frequentie weekend]]&gt;0,VALUE(LEFT(Y190,1))*R190,0)</f>
        <v>0</v>
      </c>
      <c r="AA190" s="89">
        <f>IF($Z190&gt;0,VLOOKUP($J190,Ruimtegroepen[],3,FALSE)*VLOOKUP($L190,Vloersoorten[],3,FALSE)*VLOOKUP($Y190,Frequenties[],3,FALSE)*VLOOKUP($A186,Locaties[],3,FALSE),0)</f>
        <v>0</v>
      </c>
      <c r="AB190" s="91">
        <f>Ruimtestaat[[#This Row],[Uitvoeringen weekend]]*Ruimtestaat[[#This Row],[Oppervlak (netto)]]</f>
        <v>0</v>
      </c>
      <c r="AC190" s="94">
        <f>IF(AB190&gt;0,Ruimtestaat[[#This Row],[Prest. (m2 /jaar) weekend]]/Ruimtestaat[[#This Row],[Norm (m2/uur) weekend]],0)</f>
        <v>0</v>
      </c>
      <c r="AD190" s="95">
        <f>Ruimtestaat[[#This Row],[uren / jaar weekend]]*Tariefsopbouw!$D$40</f>
        <v>0</v>
      </c>
      <c r="AE190" s="67">
        <f>Ruimtestaat[[#This Row],[Prest. (m2 /jaar) weekend]]+Ruimtestaat[[#This Row],[Prest. (m2 /jaar) werkdagen]]</f>
        <v>0</v>
      </c>
      <c r="AF190" s="67">
        <f>Ruimtestaat[[#This Row],[uren / jaar weekend]]+Ruimtestaat[[#This Row],[uren / jaar werkdagen]]</f>
        <v>0</v>
      </c>
      <c r="AG190" s="68">
        <f>Ruimtestaat[[#This Row],[kosten / jaar weekend]]+Ruimtestaat[[#This Row],[kosten / jaar werkdagen]]</f>
        <v>0</v>
      </c>
      <c r="AH190" s="96"/>
      <c r="HL190" s="66"/>
    </row>
    <row r="191" spans="1:220" ht="15" customHeight="1">
      <c r="A191" s="114">
        <v>1</v>
      </c>
      <c r="B191" s="24" t="str">
        <f>VLOOKUP(Ruimtestaat[[#This Row],[Code]],Locaties[#All],2,FALSE)</f>
        <v>Hoofdgebouw</v>
      </c>
      <c r="C191" s="24" t="str">
        <f>VLOOKUP(Ruimtestaat[[#This Row],[Code]],Locaties[#All],4,FALSE)</f>
        <v>Rohofstraat 83</v>
      </c>
      <c r="D191" s="24" t="str">
        <f>VLOOKUP(Ruimtestaat[[#This Row],[Code]],Locaties[#All],5,FALSE)</f>
        <v>7605 AT</v>
      </c>
      <c r="E191" s="24" t="str">
        <f>VLOOKUP(Ruimtestaat[[#This Row],[Code]],Locaties[#All],6,FALSE)</f>
        <v>Almelo</v>
      </c>
      <c r="F191" s="61"/>
      <c r="G191" s="24" t="s">
        <v>574</v>
      </c>
      <c r="H191" s="24" t="s">
        <v>673</v>
      </c>
      <c r="I191" s="334" t="s">
        <v>674</v>
      </c>
      <c r="J191" s="329">
        <v>6</v>
      </c>
      <c r="K191" s="330" t="str">
        <f>VLOOKUP(J191,Ruimtegroepen[],2,FALSE)</f>
        <v>Gangen/hallen</v>
      </c>
      <c r="L191" s="329" t="s">
        <v>106</v>
      </c>
      <c r="M191" s="329" t="s">
        <v>126</v>
      </c>
      <c r="N191" s="332">
        <v>51.4</v>
      </c>
      <c r="O191" s="87"/>
      <c r="P191" s="97" t="str">
        <f>LEFT(VLOOKUP(Ruimtestaat[[#This Row],[Ruimte code]],Ruimtegroepen[#All],4,1),2)</f>
        <v>Ve</v>
      </c>
      <c r="Q191" s="97"/>
      <c r="R191" s="88">
        <v>52</v>
      </c>
      <c r="S191" s="88" t="s">
        <v>2</v>
      </c>
      <c r="T191" s="89">
        <f>IF(R191&gt;0,IF(RIGHT(Ruimtestaat[[#This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91" s="89">
        <f>IF(T191&gt;0,VLOOKUP($J191,Ruimtegroepen[],3,FALSE)*VLOOKUP($L191,Vloersoorten[],3,FALSE)*VLOOKUP($S191,Frequenties[],3,FALSE)*VLOOKUP($A191,Locaties[],3,FALSE),0)</f>
        <v>0</v>
      </c>
      <c r="V191" s="90">
        <f>Ruimtestaat[[#This Row],[Uitvoeringen werkdagen]]*Ruimtestaat[[#This Row],[Oppervlak (netto)]]</f>
        <v>13364</v>
      </c>
      <c r="W191" s="91">
        <f>IF(U191&gt;0,Ruimtestaat[[#This Row],[Prest. (m2 /jaar) werkdagen]]/Ruimtestaat[[#This Row],[Norm (m2/uur) werkdagen]],0)</f>
        <v>0</v>
      </c>
      <c r="X191" s="92">
        <f>Ruimtestaat[[#This Row],[uren / jaar werkdagen]]*Tariefsopbouw!$E$35</f>
        <v>0</v>
      </c>
      <c r="Y191" s="89"/>
      <c r="Z191" s="93">
        <f>IF(Ruimtestaat[[#This Row],[Frequentie weekend]]&gt;0,VALUE(LEFT(Y191,1))*R191,0)</f>
        <v>0</v>
      </c>
      <c r="AA191" s="89">
        <f>IF($Z191&gt;0,VLOOKUP($J191,Ruimtegroepen[],3,FALSE)*VLOOKUP($L191,Vloersoorten[],3,FALSE)*VLOOKUP($Y191,Frequenties[],3,FALSE)*VLOOKUP($A187,Locaties[],3,FALSE),0)</f>
        <v>0</v>
      </c>
      <c r="AB191" s="91">
        <f>Ruimtestaat[[#This Row],[Uitvoeringen weekend]]*Ruimtestaat[[#This Row],[Oppervlak (netto)]]</f>
        <v>0</v>
      </c>
      <c r="AC191" s="94">
        <f>IF(AB191&gt;0,Ruimtestaat[[#This Row],[Prest. (m2 /jaar) weekend]]/Ruimtestaat[[#This Row],[Norm (m2/uur) weekend]],0)</f>
        <v>0</v>
      </c>
      <c r="AD191" s="95">
        <f>Ruimtestaat[[#This Row],[uren / jaar weekend]]*Tariefsopbouw!$D$40</f>
        <v>0</v>
      </c>
      <c r="AE191" s="67">
        <f>Ruimtestaat[[#This Row],[Prest. (m2 /jaar) weekend]]+Ruimtestaat[[#This Row],[Prest. (m2 /jaar) werkdagen]]</f>
        <v>13364</v>
      </c>
      <c r="AF191" s="67">
        <f>Ruimtestaat[[#This Row],[uren / jaar weekend]]+Ruimtestaat[[#This Row],[uren / jaar werkdagen]]</f>
        <v>0</v>
      </c>
      <c r="AG191" s="68">
        <f>Ruimtestaat[[#This Row],[kosten / jaar weekend]]+Ruimtestaat[[#This Row],[kosten / jaar werkdagen]]</f>
        <v>0</v>
      </c>
      <c r="AH191" s="96"/>
      <c r="HL191" s="66"/>
    </row>
    <row r="192" spans="1:220" ht="15" customHeight="1">
      <c r="A192" s="114">
        <v>1</v>
      </c>
      <c r="B192" s="24" t="str">
        <f>VLOOKUP(Ruimtestaat[[#This Row],[Code]],Locaties[#All],2,FALSE)</f>
        <v>Hoofdgebouw</v>
      </c>
      <c r="C192" s="24" t="str">
        <f>VLOOKUP(Ruimtestaat[[#This Row],[Code]],Locaties[#All],4,FALSE)</f>
        <v>Rohofstraat 83</v>
      </c>
      <c r="D192" s="24" t="str">
        <f>VLOOKUP(Ruimtestaat[[#This Row],[Code]],Locaties[#All],5,FALSE)</f>
        <v>7605 AT</v>
      </c>
      <c r="E192" s="24" t="str">
        <f>VLOOKUP(Ruimtestaat[[#This Row],[Code]],Locaties[#All],6,FALSE)</f>
        <v>Almelo</v>
      </c>
      <c r="F192" s="61"/>
      <c r="G192" s="24" t="s">
        <v>574</v>
      </c>
      <c r="H192" s="24" t="s">
        <v>675</v>
      </c>
      <c r="I192" s="334" t="s">
        <v>481</v>
      </c>
      <c r="J192" s="329">
        <v>17</v>
      </c>
      <c r="K192" s="330" t="str">
        <f>VLOOKUP(J192,Ruimtegroepen[],2,FALSE)</f>
        <v>Niet in Onderhoud</v>
      </c>
      <c r="L192" s="329"/>
      <c r="M192" s="329"/>
      <c r="N192" s="332"/>
      <c r="O192" s="87">
        <v>1.6</v>
      </c>
      <c r="P192" s="97" t="str">
        <f>LEFT(VLOOKUP(Ruimtestaat[[#This Row],[Ruimte code]],Ruimtegroepen[#All],4,1),2)</f>
        <v/>
      </c>
      <c r="Q192" s="97"/>
      <c r="R192" s="88"/>
      <c r="S192" s="88"/>
      <c r="T192" s="89">
        <f>IF(R192&gt;0,IF(RIGHT(Ruimtestaat[[#This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2" s="89">
        <f>IF(T192&gt;0,VLOOKUP($J192,Ruimtegroepen[],3,FALSE)*VLOOKUP($L192,Vloersoorten[],3,FALSE)*VLOOKUP($S192,Frequenties[],3,FALSE)*VLOOKUP($A192,Locaties[],3,FALSE),0)</f>
        <v>0</v>
      </c>
      <c r="V192" s="90">
        <f>Ruimtestaat[[#This Row],[Uitvoeringen werkdagen]]*Ruimtestaat[[#This Row],[Oppervlak (netto)]]</f>
        <v>0</v>
      </c>
      <c r="W192" s="91">
        <f>IF(U192&gt;0,Ruimtestaat[[#This Row],[Prest. (m2 /jaar) werkdagen]]/Ruimtestaat[[#This Row],[Norm (m2/uur) werkdagen]],0)</f>
        <v>0</v>
      </c>
      <c r="X192" s="92">
        <f>Ruimtestaat[[#This Row],[uren / jaar werkdagen]]*Tariefsopbouw!$E$35</f>
        <v>0</v>
      </c>
      <c r="Y192" s="89"/>
      <c r="Z192" s="93">
        <f>IF(Ruimtestaat[[#This Row],[Frequentie weekend]]&gt;0,VALUE(LEFT(Y192,1))*R192,0)</f>
        <v>0</v>
      </c>
      <c r="AA192" s="89">
        <f>IF($Z192&gt;0,VLOOKUP($J192,Ruimtegroepen[],3,FALSE)*VLOOKUP($L192,Vloersoorten[],3,FALSE)*VLOOKUP($Y192,Frequenties[],3,FALSE)*VLOOKUP($A188,Locaties[],3,FALSE),0)</f>
        <v>0</v>
      </c>
      <c r="AB192" s="91">
        <f>Ruimtestaat[[#This Row],[Uitvoeringen weekend]]*Ruimtestaat[[#This Row],[Oppervlak (netto)]]</f>
        <v>0</v>
      </c>
      <c r="AC192" s="94">
        <f>IF(AB192&gt;0,Ruimtestaat[[#This Row],[Prest. (m2 /jaar) weekend]]/Ruimtestaat[[#This Row],[Norm (m2/uur) weekend]],0)</f>
        <v>0</v>
      </c>
      <c r="AD192" s="95">
        <f>Ruimtestaat[[#This Row],[uren / jaar weekend]]*Tariefsopbouw!$D$40</f>
        <v>0</v>
      </c>
      <c r="AE192" s="67">
        <f>Ruimtestaat[[#This Row],[Prest. (m2 /jaar) weekend]]+Ruimtestaat[[#This Row],[Prest. (m2 /jaar) werkdagen]]</f>
        <v>0</v>
      </c>
      <c r="AF192" s="67">
        <f>Ruimtestaat[[#This Row],[uren / jaar weekend]]+Ruimtestaat[[#This Row],[uren / jaar werkdagen]]</f>
        <v>0</v>
      </c>
      <c r="AG192" s="68">
        <f>Ruimtestaat[[#This Row],[kosten / jaar weekend]]+Ruimtestaat[[#This Row],[kosten / jaar werkdagen]]</f>
        <v>0</v>
      </c>
      <c r="AH192" s="96"/>
      <c r="HL192" s="66"/>
    </row>
    <row r="193" spans="1:220" ht="15" customHeight="1">
      <c r="A193" s="114">
        <v>1</v>
      </c>
      <c r="B193" s="24" t="str">
        <f>VLOOKUP(Ruimtestaat[[#This Row],[Code]],Locaties[#All],2,FALSE)</f>
        <v>Hoofdgebouw</v>
      </c>
      <c r="C193" s="24" t="str">
        <f>VLOOKUP(Ruimtestaat[[#This Row],[Code]],Locaties[#All],4,FALSE)</f>
        <v>Rohofstraat 83</v>
      </c>
      <c r="D193" s="24" t="str">
        <f>VLOOKUP(Ruimtestaat[[#This Row],[Code]],Locaties[#All],5,FALSE)</f>
        <v>7605 AT</v>
      </c>
      <c r="E193" s="24" t="str">
        <f>VLOOKUP(Ruimtestaat[[#This Row],[Code]],Locaties[#All],6,FALSE)</f>
        <v>Almelo</v>
      </c>
      <c r="F193" s="61"/>
      <c r="G193" s="24" t="s">
        <v>574</v>
      </c>
      <c r="H193" s="24" t="s">
        <v>676</v>
      </c>
      <c r="I193" s="334" t="s">
        <v>481</v>
      </c>
      <c r="J193" s="329">
        <v>17</v>
      </c>
      <c r="K193" s="330" t="str">
        <f>VLOOKUP(J193,Ruimtegroepen[],2,FALSE)</f>
        <v>Niet in Onderhoud</v>
      </c>
      <c r="L193" s="329"/>
      <c r="M193" s="329"/>
      <c r="N193" s="332"/>
      <c r="O193" s="87">
        <v>1.5</v>
      </c>
      <c r="P193" s="97" t="str">
        <f>LEFT(VLOOKUP(Ruimtestaat[[#This Row],[Ruimte code]],Ruimtegroepen[#All],4,1),2)</f>
        <v/>
      </c>
      <c r="Q193" s="97"/>
      <c r="R193" s="88"/>
      <c r="S193" s="88"/>
      <c r="T193" s="89">
        <f>IF(R193&gt;0,IF(RIGHT(Ruimtestaat[[#This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3" s="89">
        <f>IF(T193&gt;0,VLOOKUP($J193,Ruimtegroepen[],3,FALSE)*VLOOKUP($L193,Vloersoorten[],3,FALSE)*VLOOKUP($S193,Frequenties[],3,FALSE)*VLOOKUP($A193,Locaties[],3,FALSE),0)</f>
        <v>0</v>
      </c>
      <c r="V193" s="90">
        <f>Ruimtestaat[[#This Row],[Uitvoeringen werkdagen]]*Ruimtestaat[[#This Row],[Oppervlak (netto)]]</f>
        <v>0</v>
      </c>
      <c r="W193" s="91">
        <f>IF(U193&gt;0,Ruimtestaat[[#This Row],[Prest. (m2 /jaar) werkdagen]]/Ruimtestaat[[#This Row],[Norm (m2/uur) werkdagen]],0)</f>
        <v>0</v>
      </c>
      <c r="X193" s="92">
        <f>Ruimtestaat[[#This Row],[uren / jaar werkdagen]]*Tariefsopbouw!$E$35</f>
        <v>0</v>
      </c>
      <c r="Y193" s="89"/>
      <c r="Z193" s="93">
        <f>IF(Ruimtestaat[[#This Row],[Frequentie weekend]]&gt;0,VALUE(LEFT(Y193,1))*R193,0)</f>
        <v>0</v>
      </c>
      <c r="AA193" s="89">
        <f>IF($Z193&gt;0,VLOOKUP($J193,Ruimtegroepen[],3,FALSE)*VLOOKUP($L193,Vloersoorten[],3,FALSE)*VLOOKUP($Y193,Frequenties[],3,FALSE)*VLOOKUP($A189,Locaties[],3,FALSE),0)</f>
        <v>0</v>
      </c>
      <c r="AB193" s="91">
        <f>Ruimtestaat[[#This Row],[Uitvoeringen weekend]]*Ruimtestaat[[#This Row],[Oppervlak (netto)]]</f>
        <v>0</v>
      </c>
      <c r="AC193" s="94">
        <f>IF(AB193&gt;0,Ruimtestaat[[#This Row],[Prest. (m2 /jaar) weekend]]/Ruimtestaat[[#This Row],[Norm (m2/uur) weekend]],0)</f>
        <v>0</v>
      </c>
      <c r="AD193" s="95">
        <f>Ruimtestaat[[#This Row],[uren / jaar weekend]]*Tariefsopbouw!$D$40</f>
        <v>0</v>
      </c>
      <c r="AE193" s="67">
        <f>Ruimtestaat[[#This Row],[Prest. (m2 /jaar) weekend]]+Ruimtestaat[[#This Row],[Prest. (m2 /jaar) werkdagen]]</f>
        <v>0</v>
      </c>
      <c r="AF193" s="67">
        <f>Ruimtestaat[[#This Row],[uren / jaar weekend]]+Ruimtestaat[[#This Row],[uren / jaar werkdagen]]</f>
        <v>0</v>
      </c>
      <c r="AG193" s="68">
        <f>Ruimtestaat[[#This Row],[kosten / jaar weekend]]+Ruimtestaat[[#This Row],[kosten / jaar werkdagen]]</f>
        <v>0</v>
      </c>
      <c r="AH193" s="96"/>
      <c r="HL193" s="66"/>
    </row>
    <row r="194" spans="1:220" ht="15" customHeight="1">
      <c r="A194" s="114">
        <v>1</v>
      </c>
      <c r="B194" s="24" t="str">
        <f>VLOOKUP(Ruimtestaat[[#This Row],[Code]],Locaties[#All],2,FALSE)</f>
        <v>Hoofdgebouw</v>
      </c>
      <c r="C194" s="24" t="str">
        <f>VLOOKUP(Ruimtestaat[[#This Row],[Code]],Locaties[#All],4,FALSE)</f>
        <v>Rohofstraat 83</v>
      </c>
      <c r="D194" s="24" t="str">
        <f>VLOOKUP(Ruimtestaat[[#This Row],[Code]],Locaties[#All],5,FALSE)</f>
        <v>7605 AT</v>
      </c>
      <c r="E194" s="24" t="str">
        <f>VLOOKUP(Ruimtestaat[[#This Row],[Code]],Locaties[#All],6,FALSE)</f>
        <v>Almelo</v>
      </c>
      <c r="F194" s="61"/>
      <c r="G194" s="24" t="s">
        <v>574</v>
      </c>
      <c r="H194" s="24" t="s">
        <v>677</v>
      </c>
      <c r="I194" s="334" t="s">
        <v>472</v>
      </c>
      <c r="J194" s="329">
        <v>6</v>
      </c>
      <c r="K194" s="330" t="str">
        <f>VLOOKUP(J194,Ruimtegroepen[],2,FALSE)</f>
        <v>Gangen/hallen</v>
      </c>
      <c r="L194" s="329" t="s">
        <v>106</v>
      </c>
      <c r="M194" s="329" t="s">
        <v>126</v>
      </c>
      <c r="N194" s="332">
        <v>19.2</v>
      </c>
      <c r="O194" s="87"/>
      <c r="P194" s="97" t="str">
        <f>LEFT(VLOOKUP(Ruimtestaat[[#This Row],[Ruimte code]],Ruimtegroepen[#All],4,1),2)</f>
        <v>Ve</v>
      </c>
      <c r="Q194" s="97"/>
      <c r="R194" s="88">
        <v>52</v>
      </c>
      <c r="S194" s="88" t="s">
        <v>2</v>
      </c>
      <c r="T194" s="89">
        <f>IF(R194&gt;0,IF(RIGHT(Ruimtestaat[[#This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94" s="89">
        <f>IF(T194&gt;0,VLOOKUP($J194,Ruimtegroepen[],3,FALSE)*VLOOKUP($L194,Vloersoorten[],3,FALSE)*VLOOKUP($S194,Frequenties[],3,FALSE)*VLOOKUP($A194,Locaties[],3,FALSE),0)</f>
        <v>0</v>
      </c>
      <c r="V194" s="90">
        <f>Ruimtestaat[[#This Row],[Uitvoeringen werkdagen]]*Ruimtestaat[[#This Row],[Oppervlak (netto)]]</f>
        <v>4992</v>
      </c>
      <c r="W194" s="91">
        <f>IF(U194&gt;0,Ruimtestaat[[#This Row],[Prest. (m2 /jaar) werkdagen]]/Ruimtestaat[[#This Row],[Norm (m2/uur) werkdagen]],0)</f>
        <v>0</v>
      </c>
      <c r="X194" s="92">
        <f>Ruimtestaat[[#This Row],[uren / jaar werkdagen]]*Tariefsopbouw!$E$35</f>
        <v>0</v>
      </c>
      <c r="Y194" s="89"/>
      <c r="Z194" s="93">
        <f>IF(Ruimtestaat[[#This Row],[Frequentie weekend]]&gt;0,VALUE(LEFT(Y194,1))*R194,0)</f>
        <v>0</v>
      </c>
      <c r="AA194" s="89">
        <f>IF($Z194&gt;0,VLOOKUP($J194,Ruimtegroepen[],3,FALSE)*VLOOKUP($L194,Vloersoorten[],3,FALSE)*VLOOKUP($Y194,Frequenties[],3,FALSE)*VLOOKUP($A190,Locaties[],3,FALSE),0)</f>
        <v>0</v>
      </c>
      <c r="AB194" s="91">
        <f>Ruimtestaat[[#This Row],[Uitvoeringen weekend]]*Ruimtestaat[[#This Row],[Oppervlak (netto)]]</f>
        <v>0</v>
      </c>
      <c r="AC194" s="94">
        <f>IF(AB194&gt;0,Ruimtestaat[[#This Row],[Prest. (m2 /jaar) weekend]]/Ruimtestaat[[#This Row],[Norm (m2/uur) weekend]],0)</f>
        <v>0</v>
      </c>
      <c r="AD194" s="95">
        <f>Ruimtestaat[[#This Row],[uren / jaar weekend]]*Tariefsopbouw!$D$40</f>
        <v>0</v>
      </c>
      <c r="AE194" s="67">
        <f>Ruimtestaat[[#This Row],[Prest. (m2 /jaar) weekend]]+Ruimtestaat[[#This Row],[Prest. (m2 /jaar) werkdagen]]</f>
        <v>4992</v>
      </c>
      <c r="AF194" s="67">
        <f>Ruimtestaat[[#This Row],[uren / jaar weekend]]+Ruimtestaat[[#This Row],[uren / jaar werkdagen]]</f>
        <v>0</v>
      </c>
      <c r="AG194" s="68">
        <f>Ruimtestaat[[#This Row],[kosten / jaar weekend]]+Ruimtestaat[[#This Row],[kosten / jaar werkdagen]]</f>
        <v>0</v>
      </c>
      <c r="AH194" s="96"/>
      <c r="HL194" s="66"/>
    </row>
    <row r="195" spans="1:220" ht="15" customHeight="1">
      <c r="A195" s="114">
        <v>1</v>
      </c>
      <c r="B195" s="24" t="str">
        <f>VLOOKUP(Ruimtestaat[[#This Row],[Code]],Locaties[#All],2,FALSE)</f>
        <v>Hoofdgebouw</v>
      </c>
      <c r="C195" s="24" t="str">
        <f>VLOOKUP(Ruimtestaat[[#This Row],[Code]],Locaties[#All],4,FALSE)</f>
        <v>Rohofstraat 83</v>
      </c>
      <c r="D195" s="24" t="str">
        <f>VLOOKUP(Ruimtestaat[[#This Row],[Code]],Locaties[#All],5,FALSE)</f>
        <v>7605 AT</v>
      </c>
      <c r="E195" s="24" t="str">
        <f>VLOOKUP(Ruimtestaat[[#This Row],[Code]],Locaties[#All],6,FALSE)</f>
        <v>Almelo</v>
      </c>
      <c r="F195" s="61"/>
      <c r="G195" s="24" t="s">
        <v>574</v>
      </c>
      <c r="H195" s="24" t="s">
        <v>678</v>
      </c>
      <c r="I195" s="334" t="s">
        <v>674</v>
      </c>
      <c r="J195" s="329">
        <v>6</v>
      </c>
      <c r="K195" s="330" t="str">
        <f>VLOOKUP(J195,Ruimtegroepen[],2,FALSE)</f>
        <v>Gangen/hallen</v>
      </c>
      <c r="L195" s="329" t="s">
        <v>106</v>
      </c>
      <c r="M195" s="329" t="s">
        <v>126</v>
      </c>
      <c r="N195" s="332">
        <v>6.9</v>
      </c>
      <c r="O195" s="87"/>
      <c r="P195" s="97" t="str">
        <f>LEFT(VLOOKUP(Ruimtestaat[[#This Row],[Ruimte code]],Ruimtegroepen[#All],4,1),2)</f>
        <v>Ve</v>
      </c>
      <c r="Q195" s="97"/>
      <c r="R195" s="88">
        <v>52</v>
      </c>
      <c r="S195" s="88" t="s">
        <v>2</v>
      </c>
      <c r="T195" s="89">
        <f>IF(R195&gt;0,IF(RIGHT(Ruimtestaat[[#This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95" s="89">
        <f>IF(T195&gt;0,VLOOKUP($J195,Ruimtegroepen[],3,FALSE)*VLOOKUP($L195,Vloersoorten[],3,FALSE)*VLOOKUP($S195,Frequenties[],3,FALSE)*VLOOKUP($A195,Locaties[],3,FALSE),0)</f>
        <v>0</v>
      </c>
      <c r="V195" s="90">
        <f>Ruimtestaat[[#This Row],[Uitvoeringen werkdagen]]*Ruimtestaat[[#This Row],[Oppervlak (netto)]]</f>
        <v>1794</v>
      </c>
      <c r="W195" s="91">
        <f>IF(U195&gt;0,Ruimtestaat[[#This Row],[Prest. (m2 /jaar) werkdagen]]/Ruimtestaat[[#This Row],[Norm (m2/uur) werkdagen]],0)</f>
        <v>0</v>
      </c>
      <c r="X195" s="92">
        <f>Ruimtestaat[[#This Row],[uren / jaar werkdagen]]*Tariefsopbouw!$E$35</f>
        <v>0</v>
      </c>
      <c r="Y195" s="89"/>
      <c r="Z195" s="93">
        <f>IF(Ruimtestaat[[#This Row],[Frequentie weekend]]&gt;0,VALUE(LEFT(Y195,1))*R195,0)</f>
        <v>0</v>
      </c>
      <c r="AA195" s="89">
        <f>IF($Z195&gt;0,VLOOKUP($J195,Ruimtegroepen[],3,FALSE)*VLOOKUP($L195,Vloersoorten[],3,FALSE)*VLOOKUP($Y195,Frequenties[],3,FALSE)*VLOOKUP($A191,Locaties[],3,FALSE),0)</f>
        <v>0</v>
      </c>
      <c r="AB195" s="91">
        <f>Ruimtestaat[[#This Row],[Uitvoeringen weekend]]*Ruimtestaat[[#This Row],[Oppervlak (netto)]]</f>
        <v>0</v>
      </c>
      <c r="AC195" s="94">
        <f>IF(AB195&gt;0,Ruimtestaat[[#This Row],[Prest. (m2 /jaar) weekend]]/Ruimtestaat[[#This Row],[Norm (m2/uur) weekend]],0)</f>
        <v>0</v>
      </c>
      <c r="AD195" s="95">
        <f>Ruimtestaat[[#This Row],[uren / jaar weekend]]*Tariefsopbouw!$D$40</f>
        <v>0</v>
      </c>
      <c r="AE195" s="67">
        <f>Ruimtestaat[[#This Row],[Prest. (m2 /jaar) weekend]]+Ruimtestaat[[#This Row],[Prest. (m2 /jaar) werkdagen]]</f>
        <v>1794</v>
      </c>
      <c r="AF195" s="67">
        <f>Ruimtestaat[[#This Row],[uren / jaar weekend]]+Ruimtestaat[[#This Row],[uren / jaar werkdagen]]</f>
        <v>0</v>
      </c>
      <c r="AG195" s="68">
        <f>Ruimtestaat[[#This Row],[kosten / jaar weekend]]+Ruimtestaat[[#This Row],[kosten / jaar werkdagen]]</f>
        <v>0</v>
      </c>
      <c r="AH195" s="96"/>
      <c r="HL195" s="66"/>
    </row>
    <row r="196" spans="1:220" ht="15" customHeight="1">
      <c r="A196" s="114">
        <v>1</v>
      </c>
      <c r="B196" s="24" t="str">
        <f>VLOOKUP(Ruimtestaat[[#This Row],[Code]],Locaties[#All],2,FALSE)</f>
        <v>Hoofdgebouw</v>
      </c>
      <c r="C196" s="24" t="str">
        <f>VLOOKUP(Ruimtestaat[[#This Row],[Code]],Locaties[#All],4,FALSE)</f>
        <v>Rohofstraat 83</v>
      </c>
      <c r="D196" s="24" t="str">
        <f>VLOOKUP(Ruimtestaat[[#This Row],[Code]],Locaties[#All],5,FALSE)</f>
        <v>7605 AT</v>
      </c>
      <c r="E196" s="24" t="str">
        <f>VLOOKUP(Ruimtestaat[[#This Row],[Code]],Locaties[#All],6,FALSE)</f>
        <v>Almelo</v>
      </c>
      <c r="F196" s="61"/>
      <c r="G196" s="24" t="s">
        <v>574</v>
      </c>
      <c r="H196" s="24" t="s">
        <v>679</v>
      </c>
      <c r="I196" s="334" t="s">
        <v>674</v>
      </c>
      <c r="J196" s="329">
        <v>6</v>
      </c>
      <c r="K196" s="330" t="str">
        <f>VLOOKUP(J196,Ruimtegroepen[],2,FALSE)</f>
        <v>Gangen/hallen</v>
      </c>
      <c r="L196" s="329" t="s">
        <v>106</v>
      </c>
      <c r="M196" s="329" t="s">
        <v>126</v>
      </c>
      <c r="N196" s="332">
        <v>13.2</v>
      </c>
      <c r="O196" s="87"/>
      <c r="P196" s="97" t="str">
        <f>LEFT(VLOOKUP(Ruimtestaat[[#This Row],[Ruimte code]],Ruimtegroepen[#All],4,1),2)</f>
        <v>Ve</v>
      </c>
      <c r="Q196" s="97"/>
      <c r="R196" s="88">
        <v>52</v>
      </c>
      <c r="S196" s="88" t="s">
        <v>2</v>
      </c>
      <c r="T196" s="89">
        <f>IF(R196&gt;0,IF(RIGHT(Ruimtestaat[[#This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96" s="89">
        <f>IF(T196&gt;0,VLOOKUP($J196,Ruimtegroepen[],3,FALSE)*VLOOKUP($L196,Vloersoorten[],3,FALSE)*VLOOKUP($S196,Frequenties[],3,FALSE)*VLOOKUP($A196,Locaties[],3,FALSE),0)</f>
        <v>0</v>
      </c>
      <c r="V196" s="90">
        <f>Ruimtestaat[[#This Row],[Uitvoeringen werkdagen]]*Ruimtestaat[[#This Row],[Oppervlak (netto)]]</f>
        <v>3432</v>
      </c>
      <c r="W196" s="91">
        <f>IF(U196&gt;0,Ruimtestaat[[#This Row],[Prest. (m2 /jaar) werkdagen]]/Ruimtestaat[[#This Row],[Norm (m2/uur) werkdagen]],0)</f>
        <v>0</v>
      </c>
      <c r="X196" s="92">
        <f>Ruimtestaat[[#This Row],[uren / jaar werkdagen]]*Tariefsopbouw!$E$35</f>
        <v>0</v>
      </c>
      <c r="Y196" s="89"/>
      <c r="Z196" s="93">
        <f>IF(Ruimtestaat[[#This Row],[Frequentie weekend]]&gt;0,VALUE(LEFT(Y196,1))*R196,0)</f>
        <v>0</v>
      </c>
      <c r="AA196" s="89">
        <f>IF($Z196&gt;0,VLOOKUP($J196,Ruimtegroepen[],3,FALSE)*VLOOKUP($L196,Vloersoorten[],3,FALSE)*VLOOKUP($Y196,Frequenties[],3,FALSE)*VLOOKUP($A192,Locaties[],3,FALSE),0)</f>
        <v>0</v>
      </c>
      <c r="AB196" s="91">
        <f>Ruimtestaat[[#This Row],[Uitvoeringen weekend]]*Ruimtestaat[[#This Row],[Oppervlak (netto)]]</f>
        <v>0</v>
      </c>
      <c r="AC196" s="94">
        <f>IF(AB196&gt;0,Ruimtestaat[[#This Row],[Prest. (m2 /jaar) weekend]]/Ruimtestaat[[#This Row],[Norm (m2/uur) weekend]],0)</f>
        <v>0</v>
      </c>
      <c r="AD196" s="95">
        <f>Ruimtestaat[[#This Row],[uren / jaar weekend]]*Tariefsopbouw!$D$40</f>
        <v>0</v>
      </c>
      <c r="AE196" s="67">
        <f>Ruimtestaat[[#This Row],[Prest. (m2 /jaar) weekend]]+Ruimtestaat[[#This Row],[Prest. (m2 /jaar) werkdagen]]</f>
        <v>3432</v>
      </c>
      <c r="AF196" s="67">
        <f>Ruimtestaat[[#This Row],[uren / jaar weekend]]+Ruimtestaat[[#This Row],[uren / jaar werkdagen]]</f>
        <v>0</v>
      </c>
      <c r="AG196" s="68">
        <f>Ruimtestaat[[#This Row],[kosten / jaar weekend]]+Ruimtestaat[[#This Row],[kosten / jaar werkdagen]]</f>
        <v>0</v>
      </c>
      <c r="AH196" s="96"/>
      <c r="HL196" s="66"/>
    </row>
    <row r="197" spans="1:220" ht="15" customHeight="1">
      <c r="A197" s="114">
        <v>1</v>
      </c>
      <c r="B197" s="24" t="str">
        <f>VLOOKUP(Ruimtestaat[[#This Row],[Code]],Locaties[#All],2,FALSE)</f>
        <v>Hoofdgebouw</v>
      </c>
      <c r="C197" s="24" t="str">
        <f>VLOOKUP(Ruimtestaat[[#This Row],[Code]],Locaties[#All],4,FALSE)</f>
        <v>Rohofstraat 83</v>
      </c>
      <c r="D197" s="24" t="str">
        <f>VLOOKUP(Ruimtestaat[[#This Row],[Code]],Locaties[#All],5,FALSE)</f>
        <v>7605 AT</v>
      </c>
      <c r="E197" s="24" t="str">
        <f>VLOOKUP(Ruimtestaat[[#This Row],[Code]],Locaties[#All],6,FALSE)</f>
        <v>Almelo</v>
      </c>
      <c r="F197" s="61"/>
      <c r="G197" s="24" t="s">
        <v>680</v>
      </c>
      <c r="H197" s="24" t="s">
        <v>681</v>
      </c>
      <c r="I197" s="334" t="s">
        <v>483</v>
      </c>
      <c r="J197" s="329">
        <v>10</v>
      </c>
      <c r="K197" s="330" t="str">
        <f>VLOOKUP(J197,Ruimtegroepen[],2,FALSE)</f>
        <v>Trappenhuizen/lift</v>
      </c>
      <c r="L197" s="329" t="s">
        <v>106</v>
      </c>
      <c r="M197" s="329" t="s">
        <v>126</v>
      </c>
      <c r="N197" s="332">
        <v>5.5</v>
      </c>
      <c r="O197" s="87"/>
      <c r="P197" s="97" t="str">
        <f>LEFT(VLOOKUP(Ruimtestaat[[#This Row],[Ruimte code]],Ruimtegroepen[#All],4,1),2)</f>
        <v>Ve</v>
      </c>
      <c r="Q197" s="97"/>
      <c r="R197" s="88">
        <v>52</v>
      </c>
      <c r="S197" s="88" t="s">
        <v>2</v>
      </c>
      <c r="T197" s="89">
        <f>IF(R197&gt;0,IF(RIGHT(Ruimtestaat[[#This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97" s="89">
        <f>IF(T197&gt;0,VLOOKUP($J197,Ruimtegroepen[],3,FALSE)*VLOOKUP($L197,Vloersoorten[],3,FALSE)*VLOOKUP($S197,Frequenties[],3,FALSE)*VLOOKUP($A197,Locaties[],3,FALSE),0)</f>
        <v>0</v>
      </c>
      <c r="V197" s="90">
        <f>Ruimtestaat[[#This Row],[Uitvoeringen werkdagen]]*Ruimtestaat[[#This Row],[Oppervlak (netto)]]</f>
        <v>1430</v>
      </c>
      <c r="W197" s="91">
        <f>IF(U197&gt;0,Ruimtestaat[[#This Row],[Prest. (m2 /jaar) werkdagen]]/Ruimtestaat[[#This Row],[Norm (m2/uur) werkdagen]],0)</f>
        <v>0</v>
      </c>
      <c r="X197" s="92">
        <f>Ruimtestaat[[#This Row],[uren / jaar werkdagen]]*Tariefsopbouw!$E$35</f>
        <v>0</v>
      </c>
      <c r="Y197" s="89"/>
      <c r="Z197" s="93">
        <f>IF(Ruimtestaat[[#This Row],[Frequentie weekend]]&gt;0,VALUE(LEFT(Y197,1))*R197,0)</f>
        <v>0</v>
      </c>
      <c r="AA197" s="89">
        <f>IF($Z197&gt;0,VLOOKUP($J197,Ruimtegroepen[],3,FALSE)*VLOOKUP($L197,Vloersoorten[],3,FALSE)*VLOOKUP($Y197,Frequenties[],3,FALSE)*VLOOKUP($A193,Locaties[],3,FALSE),0)</f>
        <v>0</v>
      </c>
      <c r="AB197" s="91">
        <f>Ruimtestaat[[#This Row],[Uitvoeringen weekend]]*Ruimtestaat[[#This Row],[Oppervlak (netto)]]</f>
        <v>0</v>
      </c>
      <c r="AC197" s="94">
        <f>IF(AB197&gt;0,Ruimtestaat[[#This Row],[Prest. (m2 /jaar) weekend]]/Ruimtestaat[[#This Row],[Norm (m2/uur) weekend]],0)</f>
        <v>0</v>
      </c>
      <c r="AD197" s="95">
        <f>Ruimtestaat[[#This Row],[uren / jaar weekend]]*Tariefsopbouw!$D$40</f>
        <v>0</v>
      </c>
      <c r="AE197" s="67">
        <f>Ruimtestaat[[#This Row],[Prest. (m2 /jaar) weekend]]+Ruimtestaat[[#This Row],[Prest. (m2 /jaar) werkdagen]]</f>
        <v>1430</v>
      </c>
      <c r="AF197" s="67">
        <f>Ruimtestaat[[#This Row],[uren / jaar weekend]]+Ruimtestaat[[#This Row],[uren / jaar werkdagen]]</f>
        <v>0</v>
      </c>
      <c r="AG197" s="68">
        <f>Ruimtestaat[[#This Row],[kosten / jaar weekend]]+Ruimtestaat[[#This Row],[kosten / jaar werkdagen]]</f>
        <v>0</v>
      </c>
      <c r="AH197" s="96"/>
      <c r="HL197" s="66"/>
    </row>
    <row r="198" spans="1:220" ht="15" customHeight="1">
      <c r="A198" s="114">
        <v>1</v>
      </c>
      <c r="B198" s="24" t="str">
        <f>VLOOKUP(Ruimtestaat[[#This Row],[Code]],Locaties[#All],2,FALSE)</f>
        <v>Hoofdgebouw</v>
      </c>
      <c r="C198" s="24" t="str">
        <f>VLOOKUP(Ruimtestaat[[#This Row],[Code]],Locaties[#All],4,FALSE)</f>
        <v>Rohofstraat 83</v>
      </c>
      <c r="D198" s="24" t="str">
        <f>VLOOKUP(Ruimtestaat[[#This Row],[Code]],Locaties[#All],5,FALSE)</f>
        <v>7605 AT</v>
      </c>
      <c r="E198" s="24" t="str">
        <f>VLOOKUP(Ruimtestaat[[#This Row],[Code]],Locaties[#All],6,FALSE)</f>
        <v>Almelo</v>
      </c>
      <c r="F198" s="61"/>
      <c r="G198" s="24" t="s">
        <v>680</v>
      </c>
      <c r="H198" s="24" t="s">
        <v>682</v>
      </c>
      <c r="I198" s="334" t="s">
        <v>683</v>
      </c>
      <c r="J198" s="329">
        <v>12</v>
      </c>
      <c r="K198" s="330" t="str">
        <f>VLOOKUP(J198,Ruimtegroepen[],2,FALSE)</f>
        <v>Kantine/Aula</v>
      </c>
      <c r="L198" s="329" t="s">
        <v>103</v>
      </c>
      <c r="M198" s="329" t="s">
        <v>38</v>
      </c>
      <c r="N198" s="332">
        <v>113.6</v>
      </c>
      <c r="O198" s="87"/>
      <c r="P198" s="97" t="str">
        <f>LEFT(VLOOKUP(Ruimtestaat[[#This Row],[Ruimte code]],Ruimtegroepen[#All],4,1),2)</f>
        <v>Ve</v>
      </c>
      <c r="Q198" s="97"/>
      <c r="R198" s="88">
        <v>52</v>
      </c>
      <c r="S198" s="88" t="s">
        <v>2</v>
      </c>
      <c r="T198" s="89">
        <f>IF(R198&gt;0,IF(RIGHT(Ruimtestaat[[#This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198" s="89">
        <f>IF(T198&gt;0,VLOOKUP($J198,Ruimtegroepen[],3,FALSE)*VLOOKUP($L198,Vloersoorten[],3,FALSE)*VLOOKUP($S198,Frequenties[],3,FALSE)*VLOOKUP($A198,Locaties[],3,FALSE),0)</f>
        <v>0</v>
      </c>
      <c r="V198" s="90">
        <f>Ruimtestaat[[#This Row],[Uitvoeringen werkdagen]]*Ruimtestaat[[#This Row],[Oppervlak (netto)]]</f>
        <v>29536</v>
      </c>
      <c r="W198" s="91">
        <f>IF(U198&gt;0,Ruimtestaat[[#This Row],[Prest. (m2 /jaar) werkdagen]]/Ruimtestaat[[#This Row],[Norm (m2/uur) werkdagen]],0)</f>
        <v>0</v>
      </c>
      <c r="X198" s="92">
        <f>Ruimtestaat[[#This Row],[uren / jaar werkdagen]]*Tariefsopbouw!$E$35</f>
        <v>0</v>
      </c>
      <c r="Y198" s="89"/>
      <c r="Z198" s="93">
        <f>IF(Ruimtestaat[[#This Row],[Frequentie weekend]]&gt;0,VALUE(LEFT(Y198,1))*R198,0)</f>
        <v>0</v>
      </c>
      <c r="AA198" s="89">
        <f>IF($Z198&gt;0,VLOOKUP($J198,Ruimtegroepen[],3,FALSE)*VLOOKUP($L198,Vloersoorten[],3,FALSE)*VLOOKUP($Y198,Frequenties[],3,FALSE)*VLOOKUP($A194,Locaties[],3,FALSE),0)</f>
        <v>0</v>
      </c>
      <c r="AB198" s="91">
        <f>Ruimtestaat[[#This Row],[Uitvoeringen weekend]]*Ruimtestaat[[#This Row],[Oppervlak (netto)]]</f>
        <v>0</v>
      </c>
      <c r="AC198" s="94">
        <f>IF(AB198&gt;0,Ruimtestaat[[#This Row],[Prest. (m2 /jaar) weekend]]/Ruimtestaat[[#This Row],[Norm (m2/uur) weekend]],0)</f>
        <v>0</v>
      </c>
      <c r="AD198" s="95">
        <f>Ruimtestaat[[#This Row],[uren / jaar weekend]]*Tariefsopbouw!$D$40</f>
        <v>0</v>
      </c>
      <c r="AE198" s="67">
        <f>Ruimtestaat[[#This Row],[Prest. (m2 /jaar) weekend]]+Ruimtestaat[[#This Row],[Prest. (m2 /jaar) werkdagen]]</f>
        <v>29536</v>
      </c>
      <c r="AF198" s="67">
        <f>Ruimtestaat[[#This Row],[uren / jaar weekend]]+Ruimtestaat[[#This Row],[uren / jaar werkdagen]]</f>
        <v>0</v>
      </c>
      <c r="AG198" s="68">
        <f>Ruimtestaat[[#This Row],[kosten / jaar weekend]]+Ruimtestaat[[#This Row],[kosten / jaar werkdagen]]</f>
        <v>0</v>
      </c>
      <c r="AH198" s="96"/>
      <c r="HL198" s="66"/>
    </row>
    <row r="199" spans="1:220" ht="15" customHeight="1">
      <c r="A199" s="114">
        <v>1</v>
      </c>
      <c r="B199" s="24" t="str">
        <f>VLOOKUP(Ruimtestaat[[#This Row],[Code]],Locaties[#All],2,FALSE)</f>
        <v>Hoofdgebouw</v>
      </c>
      <c r="C199" s="24" t="str">
        <f>VLOOKUP(Ruimtestaat[[#This Row],[Code]],Locaties[#All],4,FALSE)</f>
        <v>Rohofstraat 83</v>
      </c>
      <c r="D199" s="24" t="str">
        <f>VLOOKUP(Ruimtestaat[[#This Row],[Code]],Locaties[#All],5,FALSE)</f>
        <v>7605 AT</v>
      </c>
      <c r="E199" s="24" t="str">
        <f>VLOOKUP(Ruimtestaat[[#This Row],[Code]],Locaties[#All],6,FALSE)</f>
        <v>Almelo</v>
      </c>
      <c r="F199" s="61"/>
      <c r="G199" s="24" t="s">
        <v>680</v>
      </c>
      <c r="H199" s="24" t="s">
        <v>684</v>
      </c>
      <c r="I199" s="334" t="s">
        <v>685</v>
      </c>
      <c r="J199" s="329">
        <v>17</v>
      </c>
      <c r="K199" s="330" t="str">
        <f>VLOOKUP(J199,Ruimtegroepen[],2,FALSE)</f>
        <v>Niet in Onderhoud</v>
      </c>
      <c r="L199" s="329"/>
      <c r="M199" s="329"/>
      <c r="N199" s="332"/>
      <c r="O199" s="87">
        <v>8.1999999999999993</v>
      </c>
      <c r="P199" s="97" t="str">
        <f>LEFT(VLOOKUP(Ruimtestaat[[#This Row],[Ruimte code]],Ruimtegroepen[#All],4,1),2)</f>
        <v/>
      </c>
      <c r="Q199" s="97"/>
      <c r="R199" s="88"/>
      <c r="S199" s="88"/>
      <c r="T199" s="89">
        <f>IF(R199&gt;0,IF(RIGHT(Ruimtestaat[[#This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9" s="89">
        <f>IF(T199&gt;0,VLOOKUP($J199,Ruimtegroepen[],3,FALSE)*VLOOKUP($L199,Vloersoorten[],3,FALSE)*VLOOKUP($S199,Frequenties[],3,FALSE)*VLOOKUP($A199,Locaties[],3,FALSE),0)</f>
        <v>0</v>
      </c>
      <c r="V199" s="90">
        <f>Ruimtestaat[[#This Row],[Uitvoeringen werkdagen]]*Ruimtestaat[[#This Row],[Oppervlak (netto)]]</f>
        <v>0</v>
      </c>
      <c r="W199" s="91">
        <f>IF(U199&gt;0,Ruimtestaat[[#This Row],[Prest. (m2 /jaar) werkdagen]]/Ruimtestaat[[#This Row],[Norm (m2/uur) werkdagen]],0)</f>
        <v>0</v>
      </c>
      <c r="X199" s="92">
        <f>Ruimtestaat[[#This Row],[uren / jaar werkdagen]]*Tariefsopbouw!$E$35</f>
        <v>0</v>
      </c>
      <c r="Y199" s="89"/>
      <c r="Z199" s="93">
        <f>IF(Ruimtestaat[[#This Row],[Frequentie weekend]]&gt;0,VALUE(LEFT(Y199,1))*R199,0)</f>
        <v>0</v>
      </c>
      <c r="AA199" s="89">
        <f>IF($Z199&gt;0,VLOOKUP($J199,Ruimtegroepen[],3,FALSE)*VLOOKUP($L199,Vloersoorten[],3,FALSE)*VLOOKUP($Y199,Frequenties[],3,FALSE)*VLOOKUP($A195,Locaties[],3,FALSE),0)</f>
        <v>0</v>
      </c>
      <c r="AB199" s="91">
        <f>Ruimtestaat[[#This Row],[Uitvoeringen weekend]]*Ruimtestaat[[#This Row],[Oppervlak (netto)]]</f>
        <v>0</v>
      </c>
      <c r="AC199" s="94">
        <f>IF(AB199&gt;0,Ruimtestaat[[#This Row],[Prest. (m2 /jaar) weekend]]/Ruimtestaat[[#This Row],[Norm (m2/uur) weekend]],0)</f>
        <v>0</v>
      </c>
      <c r="AD199" s="95">
        <f>Ruimtestaat[[#This Row],[uren / jaar weekend]]*Tariefsopbouw!$D$40</f>
        <v>0</v>
      </c>
      <c r="AE199" s="67">
        <f>Ruimtestaat[[#This Row],[Prest. (m2 /jaar) weekend]]+Ruimtestaat[[#This Row],[Prest. (m2 /jaar) werkdagen]]</f>
        <v>0</v>
      </c>
      <c r="AF199" s="67">
        <f>Ruimtestaat[[#This Row],[uren / jaar weekend]]+Ruimtestaat[[#This Row],[uren / jaar werkdagen]]</f>
        <v>0</v>
      </c>
      <c r="AG199" s="68">
        <f>Ruimtestaat[[#This Row],[kosten / jaar weekend]]+Ruimtestaat[[#This Row],[kosten / jaar werkdagen]]</f>
        <v>0</v>
      </c>
      <c r="AH199" s="96"/>
      <c r="HL199" s="66"/>
    </row>
    <row r="200" spans="1:220" ht="15" customHeight="1">
      <c r="A200" s="114">
        <v>1</v>
      </c>
      <c r="B200" s="24" t="str">
        <f>VLOOKUP(Ruimtestaat[[#This Row],[Code]],Locaties[#All],2,FALSE)</f>
        <v>Hoofdgebouw</v>
      </c>
      <c r="C200" s="24" t="str">
        <f>VLOOKUP(Ruimtestaat[[#This Row],[Code]],Locaties[#All],4,FALSE)</f>
        <v>Rohofstraat 83</v>
      </c>
      <c r="D200" s="24" t="str">
        <f>VLOOKUP(Ruimtestaat[[#This Row],[Code]],Locaties[#All],5,FALSE)</f>
        <v>7605 AT</v>
      </c>
      <c r="E200" s="24" t="str">
        <f>VLOOKUP(Ruimtestaat[[#This Row],[Code]],Locaties[#All],6,FALSE)</f>
        <v>Almelo</v>
      </c>
      <c r="F200" s="61"/>
      <c r="G200" s="24" t="s">
        <v>680</v>
      </c>
      <c r="H200" s="24" t="s">
        <v>686</v>
      </c>
      <c r="I200" s="334" t="s">
        <v>669</v>
      </c>
      <c r="J200" s="329">
        <v>5</v>
      </c>
      <c r="K200" s="330" t="str">
        <f>VLOOKUP(J200,Ruimtegroepen[],2,FALSE)</f>
        <v>Sanitair</v>
      </c>
      <c r="L200" s="329" t="s">
        <v>105</v>
      </c>
      <c r="M200" s="329" t="s">
        <v>796</v>
      </c>
      <c r="N200" s="331">
        <v>2.9</v>
      </c>
      <c r="O200" s="87"/>
      <c r="P200" s="97" t="str">
        <f>LEFT(VLOOKUP(Ruimtestaat[[#This Row],[Ruimte code]],Ruimtegroepen[#All],4,1),2)</f>
        <v>Sa</v>
      </c>
      <c r="Q200" s="97"/>
      <c r="R200" s="88">
        <v>52</v>
      </c>
      <c r="S200" s="88" t="s">
        <v>2</v>
      </c>
      <c r="T200" s="89">
        <f>IF(R200&gt;0,IF(RIGHT(Ruimtestaat[[#This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00" s="89">
        <f>IF(T200&gt;0,VLOOKUP($J200,Ruimtegroepen[],3,FALSE)*VLOOKUP($L200,Vloersoorten[],3,FALSE)*VLOOKUP($S200,Frequenties[],3,FALSE)*VLOOKUP($A200,Locaties[],3,FALSE),0)</f>
        <v>0</v>
      </c>
      <c r="V200" s="90">
        <f>Ruimtestaat[[#This Row],[Uitvoeringen werkdagen]]*Ruimtestaat[[#This Row],[Oppervlak (netto)]]</f>
        <v>754</v>
      </c>
      <c r="W200" s="91">
        <f>IF(U200&gt;0,Ruimtestaat[[#This Row],[Prest. (m2 /jaar) werkdagen]]/Ruimtestaat[[#This Row],[Norm (m2/uur) werkdagen]],0)</f>
        <v>0</v>
      </c>
      <c r="X200" s="92">
        <f>Ruimtestaat[[#This Row],[uren / jaar werkdagen]]*Tariefsopbouw!$E$35</f>
        <v>0</v>
      </c>
      <c r="Y200" s="89"/>
      <c r="Z200" s="93">
        <f>IF(Ruimtestaat[[#This Row],[Frequentie weekend]]&gt;0,VALUE(LEFT(Y200,1))*R200,0)</f>
        <v>0</v>
      </c>
      <c r="AA200" s="89">
        <f>IF($Z200&gt;0,VLOOKUP($J200,Ruimtegroepen[],3,FALSE)*VLOOKUP($L200,Vloersoorten[],3,FALSE)*VLOOKUP($Y200,Frequenties[],3,FALSE)*VLOOKUP($A196,Locaties[],3,FALSE),0)</f>
        <v>0</v>
      </c>
      <c r="AB200" s="91">
        <f>Ruimtestaat[[#This Row],[Uitvoeringen weekend]]*Ruimtestaat[[#This Row],[Oppervlak (netto)]]</f>
        <v>0</v>
      </c>
      <c r="AC200" s="94">
        <f>IF(AB200&gt;0,Ruimtestaat[[#This Row],[Prest. (m2 /jaar) weekend]]/Ruimtestaat[[#This Row],[Norm (m2/uur) weekend]],0)</f>
        <v>0</v>
      </c>
      <c r="AD200" s="95">
        <f>Ruimtestaat[[#This Row],[uren / jaar weekend]]*Tariefsopbouw!$D$40</f>
        <v>0</v>
      </c>
      <c r="AE200" s="67">
        <f>Ruimtestaat[[#This Row],[Prest. (m2 /jaar) weekend]]+Ruimtestaat[[#This Row],[Prest. (m2 /jaar) werkdagen]]</f>
        <v>754</v>
      </c>
      <c r="AF200" s="67">
        <f>Ruimtestaat[[#This Row],[uren / jaar weekend]]+Ruimtestaat[[#This Row],[uren / jaar werkdagen]]</f>
        <v>0</v>
      </c>
      <c r="AG200" s="68">
        <f>Ruimtestaat[[#This Row],[kosten / jaar weekend]]+Ruimtestaat[[#This Row],[kosten / jaar werkdagen]]</f>
        <v>0</v>
      </c>
      <c r="AH200" s="96"/>
      <c r="HL200" s="66"/>
    </row>
    <row r="201" spans="1:220" ht="15" customHeight="1">
      <c r="A201" s="114">
        <v>1</v>
      </c>
      <c r="B201" s="24" t="str">
        <f>VLOOKUP(Ruimtestaat[[#This Row],[Code]],Locaties[#All],2,FALSE)</f>
        <v>Hoofdgebouw</v>
      </c>
      <c r="C201" s="24" t="str">
        <f>VLOOKUP(Ruimtestaat[[#This Row],[Code]],Locaties[#All],4,FALSE)</f>
        <v>Rohofstraat 83</v>
      </c>
      <c r="D201" s="24" t="str">
        <f>VLOOKUP(Ruimtestaat[[#This Row],[Code]],Locaties[#All],5,FALSE)</f>
        <v>7605 AT</v>
      </c>
      <c r="E201" s="24" t="str">
        <f>VLOOKUP(Ruimtestaat[[#This Row],[Code]],Locaties[#All],6,FALSE)</f>
        <v>Almelo</v>
      </c>
      <c r="F201" s="61"/>
      <c r="G201" s="24" t="s">
        <v>680</v>
      </c>
      <c r="H201" s="24" t="s">
        <v>687</v>
      </c>
      <c r="I201" s="334" t="s">
        <v>669</v>
      </c>
      <c r="J201" s="329">
        <v>5</v>
      </c>
      <c r="K201" s="330" t="str">
        <f>VLOOKUP(J201,Ruimtegroepen[],2,FALSE)</f>
        <v>Sanitair</v>
      </c>
      <c r="L201" s="329" t="s">
        <v>105</v>
      </c>
      <c r="M201" s="329" t="s">
        <v>796</v>
      </c>
      <c r="N201" s="332">
        <v>2.9</v>
      </c>
      <c r="O201" s="87"/>
      <c r="P201" s="97" t="str">
        <f>LEFT(VLOOKUP(Ruimtestaat[[#This Row],[Ruimte code]],Ruimtegroepen[#All],4,1),2)</f>
        <v>Sa</v>
      </c>
      <c r="Q201" s="97"/>
      <c r="R201" s="88">
        <v>52</v>
      </c>
      <c r="S201" s="88" t="s">
        <v>2</v>
      </c>
      <c r="T201" s="89">
        <f>IF(R201&gt;0,IF(RIGHT(Ruimtestaat[[#This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01" s="89">
        <f>IF(T201&gt;0,VLOOKUP($J201,Ruimtegroepen[],3,FALSE)*VLOOKUP($L201,Vloersoorten[],3,FALSE)*VLOOKUP($S201,Frequenties[],3,FALSE)*VLOOKUP($A201,Locaties[],3,FALSE),0)</f>
        <v>0</v>
      </c>
      <c r="V201" s="90">
        <f>Ruimtestaat[[#This Row],[Uitvoeringen werkdagen]]*Ruimtestaat[[#This Row],[Oppervlak (netto)]]</f>
        <v>754</v>
      </c>
      <c r="W201" s="91">
        <f>IF(U201&gt;0,Ruimtestaat[[#This Row],[Prest. (m2 /jaar) werkdagen]]/Ruimtestaat[[#This Row],[Norm (m2/uur) werkdagen]],0)</f>
        <v>0</v>
      </c>
      <c r="X201" s="92">
        <f>Ruimtestaat[[#This Row],[uren / jaar werkdagen]]*Tariefsopbouw!$E$35</f>
        <v>0</v>
      </c>
      <c r="Y201" s="89"/>
      <c r="Z201" s="93">
        <f>IF(Ruimtestaat[[#This Row],[Frequentie weekend]]&gt;0,VALUE(LEFT(Y201,1))*R201,0)</f>
        <v>0</v>
      </c>
      <c r="AA201" s="89">
        <f>IF($Z201&gt;0,VLOOKUP($J201,Ruimtegroepen[],3,FALSE)*VLOOKUP($L201,Vloersoorten[],3,FALSE)*VLOOKUP($Y201,Frequenties[],3,FALSE)*VLOOKUP($A197,Locaties[],3,FALSE),0)</f>
        <v>0</v>
      </c>
      <c r="AB201" s="91">
        <f>Ruimtestaat[[#This Row],[Uitvoeringen weekend]]*Ruimtestaat[[#This Row],[Oppervlak (netto)]]</f>
        <v>0</v>
      </c>
      <c r="AC201" s="94">
        <f>IF(AB201&gt;0,Ruimtestaat[[#This Row],[Prest. (m2 /jaar) weekend]]/Ruimtestaat[[#This Row],[Norm (m2/uur) weekend]],0)</f>
        <v>0</v>
      </c>
      <c r="AD201" s="95">
        <f>Ruimtestaat[[#This Row],[uren / jaar weekend]]*Tariefsopbouw!$D$40</f>
        <v>0</v>
      </c>
      <c r="AE201" s="67">
        <f>Ruimtestaat[[#This Row],[Prest. (m2 /jaar) weekend]]+Ruimtestaat[[#This Row],[Prest. (m2 /jaar) werkdagen]]</f>
        <v>754</v>
      </c>
      <c r="AF201" s="67">
        <f>Ruimtestaat[[#This Row],[uren / jaar weekend]]+Ruimtestaat[[#This Row],[uren / jaar werkdagen]]</f>
        <v>0</v>
      </c>
      <c r="AG201" s="68">
        <f>Ruimtestaat[[#This Row],[kosten / jaar weekend]]+Ruimtestaat[[#This Row],[kosten / jaar werkdagen]]</f>
        <v>0</v>
      </c>
      <c r="AH201" s="96"/>
      <c r="HL201" s="66"/>
    </row>
    <row r="202" spans="1:220" ht="15" customHeight="1">
      <c r="A202" s="114">
        <v>1</v>
      </c>
      <c r="B202" s="24" t="str">
        <f>VLOOKUP(Ruimtestaat[[#This Row],[Code]],Locaties[#All],2,FALSE)</f>
        <v>Hoofdgebouw</v>
      </c>
      <c r="C202" s="24" t="str">
        <f>VLOOKUP(Ruimtestaat[[#This Row],[Code]],Locaties[#All],4,FALSE)</f>
        <v>Rohofstraat 83</v>
      </c>
      <c r="D202" s="24" t="str">
        <f>VLOOKUP(Ruimtestaat[[#This Row],[Code]],Locaties[#All],5,FALSE)</f>
        <v>7605 AT</v>
      </c>
      <c r="E202" s="24" t="str">
        <f>VLOOKUP(Ruimtestaat[[#This Row],[Code]],Locaties[#All],6,FALSE)</f>
        <v>Almelo</v>
      </c>
      <c r="F202" s="61"/>
      <c r="G202" s="24" t="s">
        <v>680</v>
      </c>
      <c r="H202" s="24" t="s">
        <v>688</v>
      </c>
      <c r="I202" s="334" t="s">
        <v>689</v>
      </c>
      <c r="J202" s="329">
        <v>17</v>
      </c>
      <c r="K202" s="330" t="str">
        <f>VLOOKUP(J202,Ruimtegroepen[],2,FALSE)</f>
        <v>Niet in Onderhoud</v>
      </c>
      <c r="L202" s="329"/>
      <c r="M202" s="329"/>
      <c r="N202" s="332"/>
      <c r="O202" s="87">
        <v>1.8</v>
      </c>
      <c r="P202" s="97" t="str">
        <f>LEFT(VLOOKUP(Ruimtestaat[[#This Row],[Ruimte code]],Ruimtegroepen[#All],4,1),2)</f>
        <v/>
      </c>
      <c r="Q202" s="97"/>
      <c r="R202" s="88"/>
      <c r="S202" s="88"/>
      <c r="T202" s="89">
        <f>IF(R202&gt;0,IF(RIGHT(Ruimtestaat[[#This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2" s="89">
        <f>IF(T202&gt;0,VLOOKUP($J202,Ruimtegroepen[],3,FALSE)*VLOOKUP($L202,Vloersoorten[],3,FALSE)*VLOOKUP($S202,Frequenties[],3,FALSE)*VLOOKUP($A202,Locaties[],3,FALSE),0)</f>
        <v>0</v>
      </c>
      <c r="V202" s="90">
        <f>Ruimtestaat[[#This Row],[Uitvoeringen werkdagen]]*Ruimtestaat[[#This Row],[Oppervlak (netto)]]</f>
        <v>0</v>
      </c>
      <c r="W202" s="91">
        <f>IF(U202&gt;0,Ruimtestaat[[#This Row],[Prest. (m2 /jaar) werkdagen]]/Ruimtestaat[[#This Row],[Norm (m2/uur) werkdagen]],0)</f>
        <v>0</v>
      </c>
      <c r="X202" s="92">
        <f>Ruimtestaat[[#This Row],[uren / jaar werkdagen]]*Tariefsopbouw!$E$35</f>
        <v>0</v>
      </c>
      <c r="Y202" s="89"/>
      <c r="Z202" s="93">
        <f>IF(Ruimtestaat[[#This Row],[Frequentie weekend]]&gt;0,VALUE(LEFT(Y202,1))*R202,0)</f>
        <v>0</v>
      </c>
      <c r="AA202" s="89">
        <f>IF($Z202&gt;0,VLOOKUP($J202,Ruimtegroepen[],3,FALSE)*VLOOKUP($L202,Vloersoorten[],3,FALSE)*VLOOKUP($Y202,Frequenties[],3,FALSE)*VLOOKUP($A198,Locaties[],3,FALSE),0)</f>
        <v>0</v>
      </c>
      <c r="AB202" s="91">
        <f>Ruimtestaat[[#This Row],[Uitvoeringen weekend]]*Ruimtestaat[[#This Row],[Oppervlak (netto)]]</f>
        <v>0</v>
      </c>
      <c r="AC202" s="94">
        <f>IF(AB202&gt;0,Ruimtestaat[[#This Row],[Prest. (m2 /jaar) weekend]]/Ruimtestaat[[#This Row],[Norm (m2/uur) weekend]],0)</f>
        <v>0</v>
      </c>
      <c r="AD202" s="95">
        <f>Ruimtestaat[[#This Row],[uren / jaar weekend]]*Tariefsopbouw!$D$40</f>
        <v>0</v>
      </c>
      <c r="AE202" s="67">
        <f>Ruimtestaat[[#This Row],[Prest. (m2 /jaar) weekend]]+Ruimtestaat[[#This Row],[Prest. (m2 /jaar) werkdagen]]</f>
        <v>0</v>
      </c>
      <c r="AF202" s="67">
        <f>Ruimtestaat[[#This Row],[uren / jaar weekend]]+Ruimtestaat[[#This Row],[uren / jaar werkdagen]]</f>
        <v>0</v>
      </c>
      <c r="AG202" s="68">
        <f>Ruimtestaat[[#This Row],[kosten / jaar weekend]]+Ruimtestaat[[#This Row],[kosten / jaar werkdagen]]</f>
        <v>0</v>
      </c>
      <c r="AH202" s="96"/>
      <c r="HL202" s="66"/>
    </row>
    <row r="203" spans="1:220" ht="15" customHeight="1">
      <c r="A203" s="114">
        <v>1</v>
      </c>
      <c r="B203" s="24" t="str">
        <f>VLOOKUP(Ruimtestaat[[#This Row],[Code]],Locaties[#All],2,FALSE)</f>
        <v>Hoofdgebouw</v>
      </c>
      <c r="C203" s="24" t="str">
        <f>VLOOKUP(Ruimtestaat[[#This Row],[Code]],Locaties[#All],4,FALSE)</f>
        <v>Rohofstraat 83</v>
      </c>
      <c r="D203" s="24" t="str">
        <f>VLOOKUP(Ruimtestaat[[#This Row],[Code]],Locaties[#All],5,FALSE)</f>
        <v>7605 AT</v>
      </c>
      <c r="E203" s="24" t="str">
        <f>VLOOKUP(Ruimtestaat[[#This Row],[Code]],Locaties[#All],6,FALSE)</f>
        <v>Almelo</v>
      </c>
      <c r="F203" s="61"/>
      <c r="G203" s="24" t="s">
        <v>680</v>
      </c>
      <c r="H203" s="24" t="s">
        <v>690</v>
      </c>
      <c r="I203" s="334" t="s">
        <v>691</v>
      </c>
      <c r="J203" s="329">
        <v>16</v>
      </c>
      <c r="K203" s="330" t="str">
        <f>VLOOKUP(J203,Ruimtegroepen[],2,FALSE)</f>
        <v>Instructieruimte</v>
      </c>
      <c r="L203" s="329" t="s">
        <v>106</v>
      </c>
      <c r="M203" s="329" t="s">
        <v>126</v>
      </c>
      <c r="N203" s="332">
        <v>69.400000000000006</v>
      </c>
      <c r="O203" s="87"/>
      <c r="P203" s="97" t="str">
        <f>LEFT(VLOOKUP(Ruimtestaat[[#This Row],[Ruimte code]],Ruimtegroepen[#All],4,1),2)</f>
        <v>Bu</v>
      </c>
      <c r="Q203" s="97"/>
      <c r="R203" s="88">
        <v>52</v>
      </c>
      <c r="S203" s="88" t="s">
        <v>2</v>
      </c>
      <c r="T203" s="89">
        <f>IF(R203&gt;0,IF(RIGHT(Ruimtestaat[[#This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03" s="89">
        <f>IF(T203&gt;0,VLOOKUP($J203,Ruimtegroepen[],3,FALSE)*VLOOKUP($L203,Vloersoorten[],3,FALSE)*VLOOKUP($S203,Frequenties[],3,FALSE)*VLOOKUP($A203,Locaties[],3,FALSE),0)</f>
        <v>0</v>
      </c>
      <c r="V203" s="90">
        <f>Ruimtestaat[[#This Row],[Uitvoeringen werkdagen]]*Ruimtestaat[[#This Row],[Oppervlak (netto)]]</f>
        <v>18044</v>
      </c>
      <c r="W203" s="91">
        <f>IF(U203&gt;0,Ruimtestaat[[#This Row],[Prest. (m2 /jaar) werkdagen]]/Ruimtestaat[[#This Row],[Norm (m2/uur) werkdagen]],0)</f>
        <v>0</v>
      </c>
      <c r="X203" s="92">
        <f>Ruimtestaat[[#This Row],[uren / jaar werkdagen]]*Tariefsopbouw!$E$35</f>
        <v>0</v>
      </c>
      <c r="Y203" s="89"/>
      <c r="Z203" s="93">
        <f>IF(Ruimtestaat[[#This Row],[Frequentie weekend]]&gt;0,VALUE(LEFT(Y203,1))*R203,0)</f>
        <v>0</v>
      </c>
      <c r="AA203" s="89">
        <f>IF($Z203&gt;0,VLOOKUP($J203,Ruimtegroepen[],3,FALSE)*VLOOKUP($L203,Vloersoorten[],3,FALSE)*VLOOKUP($Y203,Frequenties[],3,FALSE)*VLOOKUP($A199,Locaties[],3,FALSE),0)</f>
        <v>0</v>
      </c>
      <c r="AB203" s="91">
        <f>Ruimtestaat[[#This Row],[Uitvoeringen weekend]]*Ruimtestaat[[#This Row],[Oppervlak (netto)]]</f>
        <v>0</v>
      </c>
      <c r="AC203" s="94">
        <f>IF(AB203&gt;0,Ruimtestaat[[#This Row],[Prest. (m2 /jaar) weekend]]/Ruimtestaat[[#This Row],[Norm (m2/uur) weekend]],0)</f>
        <v>0</v>
      </c>
      <c r="AD203" s="95">
        <f>Ruimtestaat[[#This Row],[uren / jaar weekend]]*Tariefsopbouw!$D$40</f>
        <v>0</v>
      </c>
      <c r="AE203" s="67">
        <f>Ruimtestaat[[#This Row],[Prest. (m2 /jaar) weekend]]+Ruimtestaat[[#This Row],[Prest. (m2 /jaar) werkdagen]]</f>
        <v>18044</v>
      </c>
      <c r="AF203" s="67">
        <f>Ruimtestaat[[#This Row],[uren / jaar weekend]]+Ruimtestaat[[#This Row],[uren / jaar werkdagen]]</f>
        <v>0</v>
      </c>
      <c r="AG203" s="68">
        <f>Ruimtestaat[[#This Row],[kosten / jaar weekend]]+Ruimtestaat[[#This Row],[kosten / jaar werkdagen]]</f>
        <v>0</v>
      </c>
      <c r="AH203" s="96"/>
      <c r="HL203" s="66"/>
    </row>
    <row r="204" spans="1:220" ht="15" customHeight="1">
      <c r="A204" s="114">
        <v>1</v>
      </c>
      <c r="B204" s="24" t="str">
        <f>VLOOKUP(Ruimtestaat[[#This Row],[Code]],Locaties[#All],2,FALSE)</f>
        <v>Hoofdgebouw</v>
      </c>
      <c r="C204" s="24" t="str">
        <f>VLOOKUP(Ruimtestaat[[#This Row],[Code]],Locaties[#All],4,FALSE)</f>
        <v>Rohofstraat 83</v>
      </c>
      <c r="D204" s="24" t="str">
        <f>VLOOKUP(Ruimtestaat[[#This Row],[Code]],Locaties[#All],5,FALSE)</f>
        <v>7605 AT</v>
      </c>
      <c r="E204" s="24" t="str">
        <f>VLOOKUP(Ruimtestaat[[#This Row],[Code]],Locaties[#All],6,FALSE)</f>
        <v>Almelo</v>
      </c>
      <c r="F204" s="61"/>
      <c r="G204" s="24" t="s">
        <v>680</v>
      </c>
      <c r="H204" s="24" t="s">
        <v>692</v>
      </c>
      <c r="I204" s="334" t="s">
        <v>693</v>
      </c>
      <c r="J204" s="329">
        <v>3</v>
      </c>
      <c r="K204" s="330" t="str">
        <f>VLOOKUP(J204,Ruimtegroepen[],2,FALSE)</f>
        <v>Reproruimte</v>
      </c>
      <c r="L204" s="329" t="s">
        <v>106</v>
      </c>
      <c r="M204" s="329" t="s">
        <v>126</v>
      </c>
      <c r="N204" s="332">
        <v>32.9</v>
      </c>
      <c r="O204" s="87"/>
      <c r="P204" s="97" t="str">
        <f>LEFT(VLOOKUP(Ruimtestaat[[#This Row],[Ruimte code]],Ruimtegroepen[#All],4,1),2)</f>
        <v>Ve</v>
      </c>
      <c r="Q204" s="97"/>
      <c r="R204" s="88">
        <v>52</v>
      </c>
      <c r="S204" s="88" t="s">
        <v>2</v>
      </c>
      <c r="T204" s="89">
        <f>IF(R204&gt;0,IF(RIGHT(Ruimtestaat[[#This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04" s="89">
        <f>IF(T204&gt;0,VLOOKUP($J204,Ruimtegroepen[],3,FALSE)*VLOOKUP($L204,Vloersoorten[],3,FALSE)*VLOOKUP($S204,Frequenties[],3,FALSE)*VLOOKUP($A204,Locaties[],3,FALSE),0)</f>
        <v>0</v>
      </c>
      <c r="V204" s="90">
        <f>Ruimtestaat[[#This Row],[Uitvoeringen werkdagen]]*Ruimtestaat[[#This Row],[Oppervlak (netto)]]</f>
        <v>8554</v>
      </c>
      <c r="W204" s="91">
        <f>IF(U204&gt;0,Ruimtestaat[[#This Row],[Prest. (m2 /jaar) werkdagen]]/Ruimtestaat[[#This Row],[Norm (m2/uur) werkdagen]],0)</f>
        <v>0</v>
      </c>
      <c r="X204" s="92">
        <f>Ruimtestaat[[#This Row],[uren / jaar werkdagen]]*Tariefsopbouw!$E$35</f>
        <v>0</v>
      </c>
      <c r="Y204" s="89"/>
      <c r="Z204" s="93">
        <f>IF(Ruimtestaat[[#This Row],[Frequentie weekend]]&gt;0,VALUE(LEFT(Y204,1))*R204,0)</f>
        <v>0</v>
      </c>
      <c r="AA204" s="89">
        <f>IF($Z204&gt;0,VLOOKUP($J204,Ruimtegroepen[],3,FALSE)*VLOOKUP($L204,Vloersoorten[],3,FALSE)*VLOOKUP($Y204,Frequenties[],3,FALSE)*VLOOKUP($A200,Locaties[],3,FALSE),0)</f>
        <v>0</v>
      </c>
      <c r="AB204" s="91">
        <f>Ruimtestaat[[#This Row],[Uitvoeringen weekend]]*Ruimtestaat[[#This Row],[Oppervlak (netto)]]</f>
        <v>0</v>
      </c>
      <c r="AC204" s="94">
        <f>IF(AB204&gt;0,Ruimtestaat[[#This Row],[Prest. (m2 /jaar) weekend]]/Ruimtestaat[[#This Row],[Norm (m2/uur) weekend]],0)</f>
        <v>0</v>
      </c>
      <c r="AD204" s="95">
        <f>Ruimtestaat[[#This Row],[uren / jaar weekend]]*Tariefsopbouw!$D$40</f>
        <v>0</v>
      </c>
      <c r="AE204" s="67">
        <f>Ruimtestaat[[#This Row],[Prest. (m2 /jaar) weekend]]+Ruimtestaat[[#This Row],[Prest. (m2 /jaar) werkdagen]]</f>
        <v>8554</v>
      </c>
      <c r="AF204" s="67">
        <f>Ruimtestaat[[#This Row],[uren / jaar weekend]]+Ruimtestaat[[#This Row],[uren / jaar werkdagen]]</f>
        <v>0</v>
      </c>
      <c r="AG204" s="68">
        <f>Ruimtestaat[[#This Row],[kosten / jaar weekend]]+Ruimtestaat[[#This Row],[kosten / jaar werkdagen]]</f>
        <v>0</v>
      </c>
      <c r="AH204" s="96"/>
      <c r="HL204" s="66"/>
    </row>
    <row r="205" spans="1:220" ht="15" customHeight="1">
      <c r="A205" s="114">
        <v>1</v>
      </c>
      <c r="B205" s="24" t="str">
        <f>VLOOKUP(Ruimtestaat[[#This Row],[Code]],Locaties[#All],2,FALSE)</f>
        <v>Hoofdgebouw</v>
      </c>
      <c r="C205" s="24" t="str">
        <f>VLOOKUP(Ruimtestaat[[#This Row],[Code]],Locaties[#All],4,FALSE)</f>
        <v>Rohofstraat 83</v>
      </c>
      <c r="D205" s="24" t="str">
        <f>VLOOKUP(Ruimtestaat[[#This Row],[Code]],Locaties[#All],5,FALSE)</f>
        <v>7605 AT</v>
      </c>
      <c r="E205" s="24" t="str">
        <f>VLOOKUP(Ruimtestaat[[#This Row],[Code]],Locaties[#All],6,FALSE)</f>
        <v>Almelo</v>
      </c>
      <c r="F205" s="61"/>
      <c r="G205" s="24" t="s">
        <v>680</v>
      </c>
      <c r="H205" s="24" t="s">
        <v>694</v>
      </c>
      <c r="I205" s="334" t="s">
        <v>674</v>
      </c>
      <c r="J205" s="329">
        <v>6</v>
      </c>
      <c r="K205" s="330" t="str">
        <f>VLOOKUP(J205,Ruimtegroepen[],2,FALSE)</f>
        <v>Gangen/hallen</v>
      </c>
      <c r="L205" s="329" t="s">
        <v>106</v>
      </c>
      <c r="M205" s="329" t="s">
        <v>126</v>
      </c>
      <c r="N205" s="332">
        <v>17.899999999999999</v>
      </c>
      <c r="O205" s="87"/>
      <c r="P205" s="97" t="str">
        <f>LEFT(VLOOKUP(Ruimtestaat[[#This Row],[Ruimte code]],Ruimtegroepen[#All],4,1),2)</f>
        <v>Ve</v>
      </c>
      <c r="Q205" s="97"/>
      <c r="R205" s="88">
        <v>52</v>
      </c>
      <c r="S205" s="88" t="s">
        <v>2</v>
      </c>
      <c r="T205" s="89">
        <f>IF(R205&gt;0,IF(RIGHT(Ruimtestaat[[#This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05" s="89">
        <f>IF(T205&gt;0,VLOOKUP($J205,Ruimtegroepen[],3,FALSE)*VLOOKUP($L205,Vloersoorten[],3,FALSE)*VLOOKUP($S205,Frequenties[],3,FALSE)*VLOOKUP($A205,Locaties[],3,FALSE),0)</f>
        <v>0</v>
      </c>
      <c r="V205" s="90">
        <f>Ruimtestaat[[#This Row],[Uitvoeringen werkdagen]]*Ruimtestaat[[#This Row],[Oppervlak (netto)]]</f>
        <v>4654</v>
      </c>
      <c r="W205" s="91">
        <f>IF(U205&gt;0,Ruimtestaat[[#This Row],[Prest. (m2 /jaar) werkdagen]]/Ruimtestaat[[#This Row],[Norm (m2/uur) werkdagen]],0)</f>
        <v>0</v>
      </c>
      <c r="X205" s="92">
        <f>Ruimtestaat[[#This Row],[uren / jaar werkdagen]]*Tariefsopbouw!$E$35</f>
        <v>0</v>
      </c>
      <c r="Y205" s="89"/>
      <c r="Z205" s="93">
        <f>IF(Ruimtestaat[[#This Row],[Frequentie weekend]]&gt;0,VALUE(LEFT(Y205,1))*R205,0)</f>
        <v>0</v>
      </c>
      <c r="AA205" s="89">
        <f>IF($Z205&gt;0,VLOOKUP($J205,Ruimtegroepen[],3,FALSE)*VLOOKUP($L205,Vloersoorten[],3,FALSE)*VLOOKUP($Y205,Frequenties[],3,FALSE)*VLOOKUP($A201,Locaties[],3,FALSE),0)</f>
        <v>0</v>
      </c>
      <c r="AB205" s="91">
        <f>Ruimtestaat[[#This Row],[Uitvoeringen weekend]]*Ruimtestaat[[#This Row],[Oppervlak (netto)]]</f>
        <v>0</v>
      </c>
      <c r="AC205" s="94">
        <f>IF(AB205&gt;0,Ruimtestaat[[#This Row],[Prest. (m2 /jaar) weekend]]/Ruimtestaat[[#This Row],[Norm (m2/uur) weekend]],0)</f>
        <v>0</v>
      </c>
      <c r="AD205" s="95">
        <f>Ruimtestaat[[#This Row],[uren / jaar weekend]]*Tariefsopbouw!$D$40</f>
        <v>0</v>
      </c>
      <c r="AE205" s="67">
        <f>Ruimtestaat[[#This Row],[Prest. (m2 /jaar) weekend]]+Ruimtestaat[[#This Row],[Prest. (m2 /jaar) werkdagen]]</f>
        <v>4654</v>
      </c>
      <c r="AF205" s="67">
        <f>Ruimtestaat[[#This Row],[uren / jaar weekend]]+Ruimtestaat[[#This Row],[uren / jaar werkdagen]]</f>
        <v>0</v>
      </c>
      <c r="AG205" s="68">
        <f>Ruimtestaat[[#This Row],[kosten / jaar weekend]]+Ruimtestaat[[#This Row],[kosten / jaar werkdagen]]</f>
        <v>0</v>
      </c>
      <c r="AH205" s="96"/>
      <c r="HL205" s="66"/>
    </row>
    <row r="206" spans="1:220" ht="15" customHeight="1">
      <c r="A206" s="114">
        <v>1</v>
      </c>
      <c r="B206" s="24" t="str">
        <f>VLOOKUP(Ruimtestaat[[#This Row],[Code]],Locaties[#All],2,FALSE)</f>
        <v>Hoofdgebouw</v>
      </c>
      <c r="C206" s="24" t="str">
        <f>VLOOKUP(Ruimtestaat[[#This Row],[Code]],Locaties[#All],4,FALSE)</f>
        <v>Rohofstraat 83</v>
      </c>
      <c r="D206" s="24" t="str">
        <f>VLOOKUP(Ruimtestaat[[#This Row],[Code]],Locaties[#All],5,FALSE)</f>
        <v>7605 AT</v>
      </c>
      <c r="E206" s="24" t="str">
        <f>VLOOKUP(Ruimtestaat[[#This Row],[Code]],Locaties[#All],6,FALSE)</f>
        <v>Almelo</v>
      </c>
      <c r="F206" s="61"/>
      <c r="G206" s="24" t="s">
        <v>680</v>
      </c>
      <c r="H206" s="24" t="s">
        <v>695</v>
      </c>
      <c r="I206" s="334" t="s">
        <v>481</v>
      </c>
      <c r="J206" s="329">
        <v>17</v>
      </c>
      <c r="K206" s="330" t="str">
        <f>VLOOKUP(J206,Ruimtegroepen[],2,FALSE)</f>
        <v>Niet in Onderhoud</v>
      </c>
      <c r="L206" s="329"/>
      <c r="M206" s="329"/>
      <c r="N206" s="332"/>
      <c r="O206" s="87">
        <v>3.5</v>
      </c>
      <c r="P206" s="97" t="str">
        <f>LEFT(VLOOKUP(Ruimtestaat[[#This Row],[Ruimte code]],Ruimtegroepen[#All],4,1),2)</f>
        <v/>
      </c>
      <c r="Q206" s="97"/>
      <c r="R206" s="88"/>
      <c r="S206" s="88"/>
      <c r="T206" s="89">
        <f>IF(R206&gt;0,IF(RIGHT(Ruimtestaat[[#This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6" s="89">
        <f>IF(T206&gt;0,VLOOKUP($J206,Ruimtegroepen[],3,FALSE)*VLOOKUP($L206,Vloersoorten[],3,FALSE)*VLOOKUP($S206,Frequenties[],3,FALSE)*VLOOKUP($A206,Locaties[],3,FALSE),0)</f>
        <v>0</v>
      </c>
      <c r="V206" s="90">
        <f>Ruimtestaat[[#This Row],[Uitvoeringen werkdagen]]*Ruimtestaat[[#This Row],[Oppervlak (netto)]]</f>
        <v>0</v>
      </c>
      <c r="W206" s="91">
        <f>IF(U206&gt;0,Ruimtestaat[[#This Row],[Prest. (m2 /jaar) werkdagen]]/Ruimtestaat[[#This Row],[Norm (m2/uur) werkdagen]],0)</f>
        <v>0</v>
      </c>
      <c r="X206" s="92">
        <f>Ruimtestaat[[#This Row],[uren / jaar werkdagen]]*Tariefsopbouw!$E$35</f>
        <v>0</v>
      </c>
      <c r="Y206" s="89"/>
      <c r="Z206" s="93">
        <f>IF(Ruimtestaat[[#This Row],[Frequentie weekend]]&gt;0,VALUE(LEFT(Y206,1))*R206,0)</f>
        <v>0</v>
      </c>
      <c r="AA206" s="89">
        <f>IF($Z206&gt;0,VLOOKUP($J206,Ruimtegroepen[],3,FALSE)*VLOOKUP($L206,Vloersoorten[],3,FALSE)*VLOOKUP($Y206,Frequenties[],3,FALSE)*VLOOKUP($A202,Locaties[],3,FALSE),0)</f>
        <v>0</v>
      </c>
      <c r="AB206" s="91">
        <f>Ruimtestaat[[#This Row],[Uitvoeringen weekend]]*Ruimtestaat[[#This Row],[Oppervlak (netto)]]</f>
        <v>0</v>
      </c>
      <c r="AC206" s="94">
        <f>IF(AB206&gt;0,Ruimtestaat[[#This Row],[Prest. (m2 /jaar) weekend]]/Ruimtestaat[[#This Row],[Norm (m2/uur) weekend]],0)</f>
        <v>0</v>
      </c>
      <c r="AD206" s="95">
        <f>Ruimtestaat[[#This Row],[uren / jaar weekend]]*Tariefsopbouw!$D$40</f>
        <v>0</v>
      </c>
      <c r="AE206" s="67">
        <f>Ruimtestaat[[#This Row],[Prest. (m2 /jaar) weekend]]+Ruimtestaat[[#This Row],[Prest. (m2 /jaar) werkdagen]]</f>
        <v>0</v>
      </c>
      <c r="AF206" s="67">
        <f>Ruimtestaat[[#This Row],[uren / jaar weekend]]+Ruimtestaat[[#This Row],[uren / jaar werkdagen]]</f>
        <v>0</v>
      </c>
      <c r="AG206" s="68">
        <f>Ruimtestaat[[#This Row],[kosten / jaar weekend]]+Ruimtestaat[[#This Row],[kosten / jaar werkdagen]]</f>
        <v>0</v>
      </c>
      <c r="AH206" s="96"/>
      <c r="HL206" s="66"/>
    </row>
    <row r="207" spans="1:220" ht="15" customHeight="1">
      <c r="A207" s="114">
        <v>1</v>
      </c>
      <c r="B207" s="24" t="str">
        <f>VLOOKUP(Ruimtestaat[[#This Row],[Code]],Locaties[#All],2,FALSE)</f>
        <v>Hoofdgebouw</v>
      </c>
      <c r="C207" s="24" t="str">
        <f>VLOOKUP(Ruimtestaat[[#This Row],[Code]],Locaties[#All],4,FALSE)</f>
        <v>Rohofstraat 83</v>
      </c>
      <c r="D207" s="24" t="str">
        <f>VLOOKUP(Ruimtestaat[[#This Row],[Code]],Locaties[#All],5,FALSE)</f>
        <v>7605 AT</v>
      </c>
      <c r="E207" s="24" t="str">
        <f>VLOOKUP(Ruimtestaat[[#This Row],[Code]],Locaties[#All],6,FALSE)</f>
        <v>Almelo</v>
      </c>
      <c r="F207" s="61"/>
      <c r="G207" s="24" t="s">
        <v>680</v>
      </c>
      <c r="H207" s="24" t="s">
        <v>696</v>
      </c>
      <c r="I207" s="334" t="s">
        <v>481</v>
      </c>
      <c r="J207" s="329">
        <v>17</v>
      </c>
      <c r="K207" s="330" t="str">
        <f>VLOOKUP(J207,Ruimtegroepen[],2,FALSE)</f>
        <v>Niet in Onderhoud</v>
      </c>
      <c r="L207" s="329"/>
      <c r="M207" s="329"/>
      <c r="N207" s="332"/>
      <c r="O207" s="87">
        <v>1.5</v>
      </c>
      <c r="P207" s="97" t="str">
        <f>LEFT(VLOOKUP(Ruimtestaat[[#This Row],[Ruimte code]],Ruimtegroepen[#All],4,1),2)</f>
        <v/>
      </c>
      <c r="Q207" s="97"/>
      <c r="R207" s="88"/>
      <c r="S207" s="88"/>
      <c r="T207" s="89">
        <f>IF(R207&gt;0,IF(RIGHT(Ruimtestaat[[#This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07" s="89">
        <f>IF(T207&gt;0,VLOOKUP($J207,Ruimtegroepen[],3,FALSE)*VLOOKUP($L207,Vloersoorten[],3,FALSE)*VLOOKUP($S207,Frequenties[],3,FALSE)*VLOOKUP($A207,Locaties[],3,FALSE),0)</f>
        <v>0</v>
      </c>
      <c r="V207" s="90">
        <f>Ruimtestaat[[#This Row],[Uitvoeringen werkdagen]]*Ruimtestaat[[#This Row],[Oppervlak (netto)]]</f>
        <v>0</v>
      </c>
      <c r="W207" s="91">
        <f>IF(U207&gt;0,Ruimtestaat[[#This Row],[Prest. (m2 /jaar) werkdagen]]/Ruimtestaat[[#This Row],[Norm (m2/uur) werkdagen]],0)</f>
        <v>0</v>
      </c>
      <c r="X207" s="92">
        <f>Ruimtestaat[[#This Row],[uren / jaar werkdagen]]*Tariefsopbouw!$E$35</f>
        <v>0</v>
      </c>
      <c r="Y207" s="89"/>
      <c r="Z207" s="93">
        <f>IF(Ruimtestaat[[#This Row],[Frequentie weekend]]&gt;0,VALUE(LEFT(Y207,1))*R207,0)</f>
        <v>0</v>
      </c>
      <c r="AA207" s="89">
        <f>IF($Z207&gt;0,VLOOKUP($J207,Ruimtegroepen[],3,FALSE)*VLOOKUP($L207,Vloersoorten[],3,FALSE)*VLOOKUP($Y207,Frequenties[],3,FALSE)*VLOOKUP($A203,Locaties[],3,FALSE),0)</f>
        <v>0</v>
      </c>
      <c r="AB207" s="91">
        <f>Ruimtestaat[[#This Row],[Uitvoeringen weekend]]*Ruimtestaat[[#This Row],[Oppervlak (netto)]]</f>
        <v>0</v>
      </c>
      <c r="AC207" s="94">
        <f>IF(AB207&gt;0,Ruimtestaat[[#This Row],[Prest. (m2 /jaar) weekend]]/Ruimtestaat[[#This Row],[Norm (m2/uur) weekend]],0)</f>
        <v>0</v>
      </c>
      <c r="AD207" s="95">
        <f>Ruimtestaat[[#This Row],[uren / jaar weekend]]*Tariefsopbouw!$D$40</f>
        <v>0</v>
      </c>
      <c r="AE207" s="67">
        <f>Ruimtestaat[[#This Row],[Prest. (m2 /jaar) weekend]]+Ruimtestaat[[#This Row],[Prest. (m2 /jaar) werkdagen]]</f>
        <v>0</v>
      </c>
      <c r="AF207" s="67">
        <f>Ruimtestaat[[#This Row],[uren / jaar weekend]]+Ruimtestaat[[#This Row],[uren / jaar werkdagen]]</f>
        <v>0</v>
      </c>
      <c r="AG207" s="68">
        <f>Ruimtestaat[[#This Row],[kosten / jaar weekend]]+Ruimtestaat[[#This Row],[kosten / jaar werkdagen]]</f>
        <v>0</v>
      </c>
      <c r="AH207" s="96"/>
      <c r="HL207" s="66"/>
    </row>
    <row r="208" spans="1:220" ht="15" customHeight="1">
      <c r="A208" s="114">
        <v>2</v>
      </c>
      <c r="B208" s="24" t="str">
        <f>VLOOKUP(Ruimtestaat[[#This Row],[Code]],Locaties[#All],2,FALSE)</f>
        <v>Magazijn</v>
      </c>
      <c r="C208" s="24" t="str">
        <f>VLOOKUP(Ruimtestaat[[#This Row],[Code]],Locaties[#All],4,FALSE)</f>
        <v>Rohofstraat 83</v>
      </c>
      <c r="D208" s="24" t="str">
        <f>VLOOKUP(Ruimtestaat[[#This Row],[Code]],Locaties[#All],5,FALSE)</f>
        <v>7605 AT</v>
      </c>
      <c r="E208" s="24" t="str">
        <f>VLOOKUP(Ruimtestaat[[#This Row],[Code]],Locaties[#All],6,FALSE)</f>
        <v>Almelo</v>
      </c>
      <c r="F208" s="61"/>
      <c r="G208" s="24" t="s">
        <v>435</v>
      </c>
      <c r="H208" s="24" t="s">
        <v>703</v>
      </c>
      <c r="I208" s="334" t="s">
        <v>40</v>
      </c>
      <c r="J208" s="329">
        <v>7</v>
      </c>
      <c r="K208" s="330" t="str">
        <f>VLOOKUP(J208,Ruimtegroepen[],2,FALSE)</f>
        <v>Entree</v>
      </c>
      <c r="L208" s="329" t="s">
        <v>103</v>
      </c>
      <c r="M208" s="329" t="s">
        <v>38</v>
      </c>
      <c r="N208" s="332">
        <v>8.3000000000000007</v>
      </c>
      <c r="O208" s="87"/>
      <c r="P208" s="97" t="str">
        <f>LEFT(VLOOKUP(Ruimtestaat[[#This Row],[Ruimte code]],Ruimtegroepen[#All],4,1),2)</f>
        <v>Ve</v>
      </c>
      <c r="Q208" s="97"/>
      <c r="R208" s="88">
        <v>52</v>
      </c>
      <c r="S208" s="88" t="s">
        <v>2</v>
      </c>
      <c r="T208" s="89">
        <f>IF(R208&gt;0,IF(RIGHT(Ruimtestaat[[#This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08" s="89">
        <f>IF(T208&gt;0,VLOOKUP($J208,Ruimtegroepen[],3,FALSE)*VLOOKUP($L208,Vloersoorten[],3,FALSE)*VLOOKUP($S208,Frequenties[],3,FALSE)*VLOOKUP($A208,Locaties[],3,FALSE),0)</f>
        <v>0</v>
      </c>
      <c r="V208" s="90">
        <f>Ruimtestaat[[#This Row],[Uitvoeringen werkdagen]]*Ruimtestaat[[#This Row],[Oppervlak (netto)]]</f>
        <v>2158</v>
      </c>
      <c r="W208" s="91">
        <f>IF(U208&gt;0,Ruimtestaat[[#This Row],[Prest. (m2 /jaar) werkdagen]]/Ruimtestaat[[#This Row],[Norm (m2/uur) werkdagen]],0)</f>
        <v>0</v>
      </c>
      <c r="X208" s="92">
        <f>Ruimtestaat[[#This Row],[uren / jaar werkdagen]]*Tariefsopbouw!$E$35</f>
        <v>0</v>
      </c>
      <c r="Y208" s="89"/>
      <c r="Z208" s="93">
        <f>IF(Ruimtestaat[[#This Row],[Frequentie weekend]]&gt;0,VALUE(LEFT(Y208,1))*R208,0)</f>
        <v>0</v>
      </c>
      <c r="AA208" s="89">
        <f>IF($Z208&gt;0,VLOOKUP($J208,Ruimtegroepen[],3,FALSE)*VLOOKUP($L208,Vloersoorten[],3,FALSE)*VLOOKUP($Y208,Frequenties[],3,FALSE)*VLOOKUP($A204,Locaties[],3,FALSE),0)</f>
        <v>0</v>
      </c>
      <c r="AB208" s="91">
        <f>Ruimtestaat[[#This Row],[Uitvoeringen weekend]]*Ruimtestaat[[#This Row],[Oppervlak (netto)]]</f>
        <v>0</v>
      </c>
      <c r="AC208" s="94">
        <f>IF(AB208&gt;0,Ruimtestaat[[#This Row],[Prest. (m2 /jaar) weekend]]/Ruimtestaat[[#This Row],[Norm (m2/uur) weekend]],0)</f>
        <v>0</v>
      </c>
      <c r="AD208" s="95">
        <f>Ruimtestaat[[#This Row],[uren / jaar weekend]]*Tariefsopbouw!$D$40</f>
        <v>0</v>
      </c>
      <c r="AE208" s="67">
        <f>Ruimtestaat[[#This Row],[Prest. (m2 /jaar) weekend]]+Ruimtestaat[[#This Row],[Prest. (m2 /jaar) werkdagen]]</f>
        <v>2158</v>
      </c>
      <c r="AF208" s="67">
        <f>Ruimtestaat[[#This Row],[uren / jaar weekend]]+Ruimtestaat[[#This Row],[uren / jaar werkdagen]]</f>
        <v>0</v>
      </c>
      <c r="AG208" s="68">
        <f>Ruimtestaat[[#This Row],[kosten / jaar weekend]]+Ruimtestaat[[#This Row],[kosten / jaar werkdagen]]</f>
        <v>0</v>
      </c>
      <c r="AH208" s="96"/>
      <c r="HL208" s="66"/>
    </row>
    <row r="209" spans="1:220" ht="15" customHeight="1">
      <c r="A209" s="114">
        <v>2</v>
      </c>
      <c r="B209" s="24" t="str">
        <f>VLOOKUP(Ruimtestaat[[#This Row],[Code]],Locaties[#All],2,FALSE)</f>
        <v>Magazijn</v>
      </c>
      <c r="C209" s="24" t="str">
        <f>VLOOKUP(Ruimtestaat[[#This Row],[Code]],Locaties[#All],4,FALSE)</f>
        <v>Rohofstraat 83</v>
      </c>
      <c r="D209" s="24" t="str">
        <f>VLOOKUP(Ruimtestaat[[#This Row],[Code]],Locaties[#All],5,FALSE)</f>
        <v>7605 AT</v>
      </c>
      <c r="E209" s="24" t="str">
        <f>VLOOKUP(Ruimtestaat[[#This Row],[Code]],Locaties[#All],6,FALSE)</f>
        <v>Almelo</v>
      </c>
      <c r="F209" s="61"/>
      <c r="G209" s="24" t="s">
        <v>435</v>
      </c>
      <c r="H209" s="24" t="s">
        <v>704</v>
      </c>
      <c r="I209" s="4" t="s">
        <v>705</v>
      </c>
      <c r="J209" s="24">
        <v>6</v>
      </c>
      <c r="K209" s="61" t="str">
        <f>VLOOKUP(J209,Ruimtegroepen[],2,FALSE)</f>
        <v>Gangen/hallen</v>
      </c>
      <c r="L209" s="24" t="s">
        <v>731</v>
      </c>
      <c r="M209" s="24" t="s">
        <v>366</v>
      </c>
      <c r="N209" s="87">
        <v>46</v>
      </c>
      <c r="O209" s="87"/>
      <c r="P209" s="97" t="str">
        <f>LEFT(VLOOKUP(Ruimtestaat[[#This Row],[Ruimte code]],Ruimtegroepen[#All],4,1),2)</f>
        <v>Ve</v>
      </c>
      <c r="Q209" s="97"/>
      <c r="R209" s="88">
        <v>52</v>
      </c>
      <c r="S209" s="88" t="s">
        <v>2</v>
      </c>
      <c r="T209" s="89">
        <f>IF(R209&gt;0,IF(RIGHT(Ruimtestaat[[#This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09" s="89">
        <f>IF(T209&gt;0,VLOOKUP($J209,Ruimtegroepen[],3,FALSE)*VLOOKUP($L209,Vloersoorten[],3,FALSE)*VLOOKUP($S209,Frequenties[],3,FALSE)*VLOOKUP($A209,Locaties[],3,FALSE),0)</f>
        <v>0</v>
      </c>
      <c r="V209" s="90">
        <f>Ruimtestaat[[#This Row],[Uitvoeringen werkdagen]]*Ruimtestaat[[#This Row],[Oppervlak (netto)]]</f>
        <v>11960</v>
      </c>
      <c r="W209" s="91">
        <f>IF(U209&gt;0,Ruimtestaat[[#This Row],[Prest. (m2 /jaar) werkdagen]]/Ruimtestaat[[#This Row],[Norm (m2/uur) werkdagen]],0)</f>
        <v>0</v>
      </c>
      <c r="X209" s="92">
        <f>Ruimtestaat[[#This Row],[uren / jaar werkdagen]]*Tariefsopbouw!$E$35</f>
        <v>0</v>
      </c>
      <c r="Y209" s="89"/>
      <c r="Z209" s="93">
        <f>IF(Ruimtestaat[[#This Row],[Frequentie weekend]]&gt;0,VALUE(LEFT(Y209,1))*R209,0)</f>
        <v>0</v>
      </c>
      <c r="AA209" s="89">
        <f>IF($Z209&gt;0,VLOOKUP($J209,Ruimtegroepen[],3,FALSE)*VLOOKUP($L209,Vloersoorten[],3,FALSE)*VLOOKUP($Y209,Frequenties[],3,FALSE)*VLOOKUP($A205,Locaties[],3,FALSE),0)</f>
        <v>0</v>
      </c>
      <c r="AB209" s="91">
        <f>Ruimtestaat[[#This Row],[Uitvoeringen weekend]]*Ruimtestaat[[#This Row],[Oppervlak (netto)]]</f>
        <v>0</v>
      </c>
      <c r="AC209" s="94">
        <f>IF(AB209&gt;0,Ruimtestaat[[#This Row],[Prest. (m2 /jaar) weekend]]/Ruimtestaat[[#This Row],[Norm (m2/uur) weekend]],0)</f>
        <v>0</v>
      </c>
      <c r="AD209" s="95">
        <f>Ruimtestaat[[#This Row],[uren / jaar weekend]]*Tariefsopbouw!$D$40</f>
        <v>0</v>
      </c>
      <c r="AE209" s="67">
        <f>Ruimtestaat[[#This Row],[Prest. (m2 /jaar) weekend]]+Ruimtestaat[[#This Row],[Prest. (m2 /jaar) werkdagen]]</f>
        <v>11960</v>
      </c>
      <c r="AF209" s="67">
        <f>Ruimtestaat[[#This Row],[uren / jaar weekend]]+Ruimtestaat[[#This Row],[uren / jaar werkdagen]]</f>
        <v>0</v>
      </c>
      <c r="AG209" s="68">
        <f>Ruimtestaat[[#This Row],[kosten / jaar weekend]]+Ruimtestaat[[#This Row],[kosten / jaar werkdagen]]</f>
        <v>0</v>
      </c>
      <c r="AH209" s="96"/>
      <c r="HL209" s="66"/>
    </row>
    <row r="210" spans="1:220" ht="15" customHeight="1">
      <c r="A210" s="114">
        <v>2</v>
      </c>
      <c r="B210" s="24" t="str">
        <f>VLOOKUP(Ruimtestaat[[#This Row],[Code]],Locaties[#All],2,FALSE)</f>
        <v>Magazijn</v>
      </c>
      <c r="C210" s="24" t="str">
        <f>VLOOKUP(Ruimtestaat[[#This Row],[Code]],Locaties[#All],4,FALSE)</f>
        <v>Rohofstraat 83</v>
      </c>
      <c r="D210" s="24" t="str">
        <f>VLOOKUP(Ruimtestaat[[#This Row],[Code]],Locaties[#All],5,FALSE)</f>
        <v>7605 AT</v>
      </c>
      <c r="E210" s="24" t="str">
        <f>VLOOKUP(Ruimtestaat[[#This Row],[Code]],Locaties[#All],6,FALSE)</f>
        <v>Almelo</v>
      </c>
      <c r="F210" s="61"/>
      <c r="G210" s="24" t="s">
        <v>435</v>
      </c>
      <c r="I210" s="4" t="s">
        <v>706</v>
      </c>
      <c r="J210" s="24">
        <v>10</v>
      </c>
      <c r="K210" s="61" t="str">
        <f>VLOOKUP(J210,Ruimtegroepen[],2,FALSE)</f>
        <v>Trappenhuizen/lift</v>
      </c>
      <c r="L210" s="24" t="s">
        <v>792</v>
      </c>
      <c r="M210" s="24" t="s">
        <v>791</v>
      </c>
      <c r="N210" s="87">
        <v>10</v>
      </c>
      <c r="O210" s="87"/>
      <c r="P210" s="97" t="str">
        <f>LEFT(VLOOKUP(Ruimtestaat[[#This Row],[Ruimte code]],Ruimtegroepen[#All],4,1),2)</f>
        <v>Ve</v>
      </c>
      <c r="Q210" s="97"/>
      <c r="R210" s="88">
        <v>52</v>
      </c>
      <c r="S210" s="88" t="s">
        <v>2</v>
      </c>
      <c r="T210" s="89">
        <f>IF(R210&gt;0,IF(RIGHT(Ruimtestaat[[#This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0" s="89">
        <f>IF(T210&gt;0,VLOOKUP($J210,Ruimtegroepen[],3,FALSE)*VLOOKUP($L210,Vloersoorten[],3,FALSE)*VLOOKUP($S210,Frequenties[],3,FALSE)*VLOOKUP($A210,Locaties[],3,FALSE),0)</f>
        <v>0</v>
      </c>
      <c r="V210" s="90">
        <f>Ruimtestaat[[#This Row],[Uitvoeringen werkdagen]]*Ruimtestaat[[#This Row],[Oppervlak (netto)]]</f>
        <v>2600</v>
      </c>
      <c r="W210" s="91">
        <f>IF(U210&gt;0,Ruimtestaat[[#This Row],[Prest. (m2 /jaar) werkdagen]]/Ruimtestaat[[#This Row],[Norm (m2/uur) werkdagen]],0)</f>
        <v>0</v>
      </c>
      <c r="X210" s="92">
        <f>Ruimtestaat[[#This Row],[uren / jaar werkdagen]]*Tariefsopbouw!$E$35</f>
        <v>0</v>
      </c>
      <c r="Y210" s="89"/>
      <c r="Z210" s="93">
        <f>IF(Ruimtestaat[[#This Row],[Frequentie weekend]]&gt;0,VALUE(LEFT(Y210,1))*R210,0)</f>
        <v>0</v>
      </c>
      <c r="AA210" s="89">
        <f>IF($Z210&gt;0,VLOOKUP($J210,Ruimtegroepen[],3,FALSE)*VLOOKUP($L210,Vloersoorten[],3,FALSE)*VLOOKUP($Y210,Frequenties[],3,FALSE)*VLOOKUP($A206,Locaties[],3,FALSE),0)</f>
        <v>0</v>
      </c>
      <c r="AB210" s="91">
        <f>Ruimtestaat[[#This Row],[Uitvoeringen weekend]]*Ruimtestaat[[#This Row],[Oppervlak (netto)]]</f>
        <v>0</v>
      </c>
      <c r="AC210" s="94">
        <f>IF(AB210&gt;0,Ruimtestaat[[#This Row],[Prest. (m2 /jaar) weekend]]/Ruimtestaat[[#This Row],[Norm (m2/uur) weekend]],0)</f>
        <v>0</v>
      </c>
      <c r="AD210" s="95">
        <f>Ruimtestaat[[#This Row],[uren / jaar weekend]]*Tariefsopbouw!$D$40</f>
        <v>0</v>
      </c>
      <c r="AE210" s="67">
        <f>Ruimtestaat[[#This Row],[Prest. (m2 /jaar) weekend]]+Ruimtestaat[[#This Row],[Prest. (m2 /jaar) werkdagen]]</f>
        <v>2600</v>
      </c>
      <c r="AF210" s="67">
        <f>Ruimtestaat[[#This Row],[uren / jaar weekend]]+Ruimtestaat[[#This Row],[uren / jaar werkdagen]]</f>
        <v>0</v>
      </c>
      <c r="AG210" s="68">
        <f>Ruimtestaat[[#This Row],[kosten / jaar weekend]]+Ruimtestaat[[#This Row],[kosten / jaar werkdagen]]</f>
        <v>0</v>
      </c>
      <c r="AH210" s="96"/>
      <c r="HL210" s="66"/>
    </row>
    <row r="211" spans="1:220" ht="15" customHeight="1">
      <c r="A211" s="114">
        <v>2</v>
      </c>
      <c r="B211" s="24" t="str">
        <f>VLOOKUP(Ruimtestaat[[#This Row],[Code]],Locaties[#All],2,FALSE)</f>
        <v>Magazijn</v>
      </c>
      <c r="C211" s="24" t="str">
        <f>VLOOKUP(Ruimtestaat[[#This Row],[Code]],Locaties[#All],4,FALSE)</f>
        <v>Rohofstraat 83</v>
      </c>
      <c r="D211" s="24" t="str">
        <f>VLOOKUP(Ruimtestaat[[#This Row],[Code]],Locaties[#All],5,FALSE)</f>
        <v>7605 AT</v>
      </c>
      <c r="E211" s="24" t="str">
        <f>VLOOKUP(Ruimtestaat[[#This Row],[Code]],Locaties[#All],6,FALSE)</f>
        <v>Almelo</v>
      </c>
      <c r="F211" s="61"/>
      <c r="G211" s="24" t="s">
        <v>435</v>
      </c>
      <c r="H211" s="24" t="s">
        <v>707</v>
      </c>
      <c r="I211" s="4" t="s">
        <v>708</v>
      </c>
      <c r="J211" s="24">
        <v>2</v>
      </c>
      <c r="K211" s="61" t="str">
        <f>VLOOKUP(J211,Ruimtegroepen[],2,FALSE)</f>
        <v>Kantoren</v>
      </c>
      <c r="L211" s="24" t="s">
        <v>731</v>
      </c>
      <c r="M211" s="24" t="s">
        <v>366</v>
      </c>
      <c r="N211" s="87">
        <v>26</v>
      </c>
      <c r="O211" s="87"/>
      <c r="P211" s="97" t="str">
        <f>LEFT(VLOOKUP(Ruimtestaat[[#This Row],[Ruimte code]],Ruimtegroepen[#All],4,1),2)</f>
        <v>Bu</v>
      </c>
      <c r="Q211" s="97"/>
      <c r="R211" s="88">
        <v>52</v>
      </c>
      <c r="S211" s="88" t="s">
        <v>2</v>
      </c>
      <c r="T211" s="89">
        <f>IF(R211&gt;0,IF(RIGHT(Ruimtestaat[[#This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1" s="89">
        <f>IF(T211&gt;0,VLOOKUP($J211,Ruimtegroepen[],3,FALSE)*VLOOKUP($L211,Vloersoorten[],3,FALSE)*VLOOKUP($S211,Frequenties[],3,FALSE)*VLOOKUP($A211,Locaties[],3,FALSE),0)</f>
        <v>0</v>
      </c>
      <c r="V211" s="90">
        <f>Ruimtestaat[[#This Row],[Uitvoeringen werkdagen]]*Ruimtestaat[[#This Row],[Oppervlak (netto)]]</f>
        <v>6760</v>
      </c>
      <c r="W211" s="91">
        <f>IF(U211&gt;0,Ruimtestaat[[#This Row],[Prest. (m2 /jaar) werkdagen]]/Ruimtestaat[[#This Row],[Norm (m2/uur) werkdagen]],0)</f>
        <v>0</v>
      </c>
      <c r="X211" s="92">
        <f>Ruimtestaat[[#This Row],[uren / jaar werkdagen]]*Tariefsopbouw!$E$35</f>
        <v>0</v>
      </c>
      <c r="Y211" s="89"/>
      <c r="Z211" s="93">
        <f>IF(Ruimtestaat[[#This Row],[Frequentie weekend]]&gt;0,VALUE(LEFT(Y211,1))*R211,0)</f>
        <v>0</v>
      </c>
      <c r="AA211" s="89">
        <f>IF($Z211&gt;0,VLOOKUP($J211,Ruimtegroepen[],3,FALSE)*VLOOKUP($L211,Vloersoorten[],3,FALSE)*VLOOKUP($Y211,Frequenties[],3,FALSE)*VLOOKUP($A207,Locaties[],3,FALSE),0)</f>
        <v>0</v>
      </c>
      <c r="AB211" s="91">
        <f>Ruimtestaat[[#This Row],[Uitvoeringen weekend]]*Ruimtestaat[[#This Row],[Oppervlak (netto)]]</f>
        <v>0</v>
      </c>
      <c r="AC211" s="94">
        <f>IF(AB211&gt;0,Ruimtestaat[[#This Row],[Prest. (m2 /jaar) weekend]]/Ruimtestaat[[#This Row],[Norm (m2/uur) weekend]],0)</f>
        <v>0</v>
      </c>
      <c r="AD211" s="95">
        <f>Ruimtestaat[[#This Row],[uren / jaar weekend]]*Tariefsopbouw!$D$40</f>
        <v>0</v>
      </c>
      <c r="AE211" s="67">
        <f>Ruimtestaat[[#This Row],[Prest. (m2 /jaar) weekend]]+Ruimtestaat[[#This Row],[Prest. (m2 /jaar) werkdagen]]</f>
        <v>6760</v>
      </c>
      <c r="AF211" s="67">
        <f>Ruimtestaat[[#This Row],[uren / jaar weekend]]+Ruimtestaat[[#This Row],[uren / jaar werkdagen]]</f>
        <v>0</v>
      </c>
      <c r="AG211" s="68">
        <f>Ruimtestaat[[#This Row],[kosten / jaar weekend]]+Ruimtestaat[[#This Row],[kosten / jaar werkdagen]]</f>
        <v>0</v>
      </c>
      <c r="AH211" s="96"/>
      <c r="HL211" s="66"/>
    </row>
    <row r="212" spans="1:220" ht="15" customHeight="1">
      <c r="A212" s="114">
        <v>2</v>
      </c>
      <c r="B212" s="24" t="str">
        <f>VLOOKUP(Ruimtestaat[[#This Row],[Code]],Locaties[#All],2,FALSE)</f>
        <v>Magazijn</v>
      </c>
      <c r="C212" s="24" t="str">
        <f>VLOOKUP(Ruimtestaat[[#This Row],[Code]],Locaties[#All],4,FALSE)</f>
        <v>Rohofstraat 83</v>
      </c>
      <c r="D212" s="24" t="str">
        <f>VLOOKUP(Ruimtestaat[[#This Row],[Code]],Locaties[#All],5,FALSE)</f>
        <v>7605 AT</v>
      </c>
      <c r="E212" s="24" t="str">
        <f>VLOOKUP(Ruimtestaat[[#This Row],[Code]],Locaties[#All],6,FALSE)</f>
        <v>Almelo</v>
      </c>
      <c r="F212" s="61"/>
      <c r="G212" s="24" t="s">
        <v>435</v>
      </c>
      <c r="H212" s="24" t="s">
        <v>709</v>
      </c>
      <c r="I212" s="4" t="s">
        <v>710</v>
      </c>
      <c r="J212" s="24">
        <v>14</v>
      </c>
      <c r="K212" s="61" t="str">
        <f>VLOOKUP(J212,Ruimtegroepen[],2,FALSE)</f>
        <v>Receptie</v>
      </c>
      <c r="L212" s="24" t="s">
        <v>104</v>
      </c>
      <c r="M212" s="24" t="s">
        <v>366</v>
      </c>
      <c r="N212" s="87">
        <v>40</v>
      </c>
      <c r="O212" s="87"/>
      <c r="P212" s="97" t="str">
        <f>LEFT(VLOOKUP(Ruimtestaat[[#This Row],[Ruimte code]],Ruimtegroepen[#All],4,1),2)</f>
        <v>Bu</v>
      </c>
      <c r="Q212" s="97"/>
      <c r="R212" s="88">
        <v>52</v>
      </c>
      <c r="S212" s="88" t="s">
        <v>2</v>
      </c>
      <c r="T212" s="89">
        <f>IF(R212&gt;0,IF(RIGHT(Ruimtestaat[[#This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2" s="89">
        <f>IF(T212&gt;0,VLOOKUP($J212,Ruimtegroepen[],3,FALSE)*VLOOKUP($L212,Vloersoorten[],3,FALSE)*VLOOKUP($S212,Frequenties[],3,FALSE)*VLOOKUP($A212,Locaties[],3,FALSE),0)</f>
        <v>0</v>
      </c>
      <c r="V212" s="90">
        <f>Ruimtestaat[[#This Row],[Uitvoeringen werkdagen]]*Ruimtestaat[[#This Row],[Oppervlak (netto)]]</f>
        <v>10400</v>
      </c>
      <c r="W212" s="91">
        <f>IF(U212&gt;0,Ruimtestaat[[#This Row],[Prest. (m2 /jaar) werkdagen]]/Ruimtestaat[[#This Row],[Norm (m2/uur) werkdagen]],0)</f>
        <v>0</v>
      </c>
      <c r="X212" s="92">
        <f>Ruimtestaat[[#This Row],[uren / jaar werkdagen]]*Tariefsopbouw!$E$35</f>
        <v>0</v>
      </c>
      <c r="Y212" s="89"/>
      <c r="Z212" s="93">
        <f>IF(Ruimtestaat[[#This Row],[Frequentie weekend]]&gt;0,VALUE(LEFT(Y212,1))*R212,0)</f>
        <v>0</v>
      </c>
      <c r="AA212" s="89">
        <f>IF($Z212&gt;0,VLOOKUP($J212,Ruimtegroepen[],3,FALSE)*VLOOKUP($L212,Vloersoorten[],3,FALSE)*VLOOKUP($Y212,Frequenties[],3,FALSE)*VLOOKUP($A208,Locaties[],3,FALSE),0)</f>
        <v>0</v>
      </c>
      <c r="AB212" s="91">
        <f>Ruimtestaat[[#This Row],[Uitvoeringen weekend]]*Ruimtestaat[[#This Row],[Oppervlak (netto)]]</f>
        <v>0</v>
      </c>
      <c r="AC212" s="94">
        <f>IF(AB212&gt;0,Ruimtestaat[[#This Row],[Prest. (m2 /jaar) weekend]]/Ruimtestaat[[#This Row],[Norm (m2/uur) weekend]],0)</f>
        <v>0</v>
      </c>
      <c r="AD212" s="95">
        <f>Ruimtestaat[[#This Row],[uren / jaar weekend]]*Tariefsopbouw!$D$40</f>
        <v>0</v>
      </c>
      <c r="AE212" s="67">
        <f>Ruimtestaat[[#This Row],[Prest. (m2 /jaar) weekend]]+Ruimtestaat[[#This Row],[Prest. (m2 /jaar) werkdagen]]</f>
        <v>10400</v>
      </c>
      <c r="AF212" s="67">
        <f>Ruimtestaat[[#This Row],[uren / jaar weekend]]+Ruimtestaat[[#This Row],[uren / jaar werkdagen]]</f>
        <v>0</v>
      </c>
      <c r="AG212" s="68">
        <f>Ruimtestaat[[#This Row],[kosten / jaar weekend]]+Ruimtestaat[[#This Row],[kosten / jaar werkdagen]]</f>
        <v>0</v>
      </c>
      <c r="AH212" s="96"/>
      <c r="HL212" s="66"/>
    </row>
    <row r="213" spans="1:220" ht="15" customHeight="1">
      <c r="A213" s="114">
        <v>2</v>
      </c>
      <c r="B213" s="24" t="str">
        <f>VLOOKUP(Ruimtestaat[[#This Row],[Code]],Locaties[#All],2,FALSE)</f>
        <v>Magazijn</v>
      </c>
      <c r="C213" s="24" t="str">
        <f>VLOOKUP(Ruimtestaat[[#This Row],[Code]],Locaties[#All],4,FALSE)</f>
        <v>Rohofstraat 83</v>
      </c>
      <c r="D213" s="24" t="str">
        <f>VLOOKUP(Ruimtestaat[[#This Row],[Code]],Locaties[#All],5,FALSE)</f>
        <v>7605 AT</v>
      </c>
      <c r="E213" s="24" t="str">
        <f>VLOOKUP(Ruimtestaat[[#This Row],[Code]],Locaties[#All],6,FALSE)</f>
        <v>Almelo</v>
      </c>
      <c r="F213" s="61"/>
      <c r="G213" s="24" t="s">
        <v>435</v>
      </c>
      <c r="H213" s="24" t="s">
        <v>711</v>
      </c>
      <c r="I213" s="4" t="s">
        <v>712</v>
      </c>
      <c r="J213" s="24">
        <v>5</v>
      </c>
      <c r="K213" s="61" t="str">
        <f>VLOOKUP(J213,Ruimtegroepen[],2,FALSE)</f>
        <v>Sanitair</v>
      </c>
      <c r="L213" s="24" t="s">
        <v>105</v>
      </c>
      <c r="M213" s="24" t="s">
        <v>702</v>
      </c>
      <c r="N213" s="87">
        <v>14</v>
      </c>
      <c r="O213" s="87"/>
      <c r="P213" s="97" t="str">
        <f>LEFT(VLOOKUP(Ruimtestaat[[#This Row],[Ruimte code]],Ruimtegroepen[#All],4,1),2)</f>
        <v>Sa</v>
      </c>
      <c r="Q213" s="97"/>
      <c r="R213" s="88">
        <v>52</v>
      </c>
      <c r="S213" s="88" t="s">
        <v>2</v>
      </c>
      <c r="T213" s="89">
        <f>IF(R213&gt;0,IF(RIGHT(Ruimtestaat[[#This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3" s="89">
        <f>IF(T213&gt;0,VLOOKUP($J213,Ruimtegroepen[],3,FALSE)*VLOOKUP($L213,Vloersoorten[],3,FALSE)*VLOOKUP($S213,Frequenties[],3,FALSE)*VLOOKUP($A213,Locaties[],3,FALSE),0)</f>
        <v>0</v>
      </c>
      <c r="V213" s="90">
        <f>Ruimtestaat[[#This Row],[Uitvoeringen werkdagen]]*Ruimtestaat[[#This Row],[Oppervlak (netto)]]</f>
        <v>3640</v>
      </c>
      <c r="W213" s="91">
        <f>IF(U213&gt;0,Ruimtestaat[[#This Row],[Prest. (m2 /jaar) werkdagen]]/Ruimtestaat[[#This Row],[Norm (m2/uur) werkdagen]],0)</f>
        <v>0</v>
      </c>
      <c r="X213" s="92">
        <f>Ruimtestaat[[#This Row],[uren / jaar werkdagen]]*Tariefsopbouw!$E$35</f>
        <v>0</v>
      </c>
      <c r="Y213" s="89"/>
      <c r="Z213" s="93">
        <f>IF(Ruimtestaat[[#This Row],[Frequentie weekend]]&gt;0,VALUE(LEFT(Y213,1))*R213,0)</f>
        <v>0</v>
      </c>
      <c r="AA213" s="89">
        <f>IF($Z213&gt;0,VLOOKUP($J213,Ruimtegroepen[],3,FALSE)*VLOOKUP($L213,Vloersoorten[],3,FALSE)*VLOOKUP($Y213,Frequenties[],3,FALSE)*VLOOKUP($A209,Locaties[],3,FALSE),0)</f>
        <v>0</v>
      </c>
      <c r="AB213" s="91">
        <f>Ruimtestaat[[#This Row],[Uitvoeringen weekend]]*Ruimtestaat[[#This Row],[Oppervlak (netto)]]</f>
        <v>0</v>
      </c>
      <c r="AC213" s="94">
        <f>IF(AB213&gt;0,Ruimtestaat[[#This Row],[Prest. (m2 /jaar) weekend]]/Ruimtestaat[[#This Row],[Norm (m2/uur) weekend]],0)</f>
        <v>0</v>
      </c>
      <c r="AD213" s="95">
        <f>Ruimtestaat[[#This Row],[uren / jaar weekend]]*Tariefsopbouw!$D$40</f>
        <v>0</v>
      </c>
      <c r="AE213" s="67">
        <f>Ruimtestaat[[#This Row],[Prest. (m2 /jaar) weekend]]+Ruimtestaat[[#This Row],[Prest. (m2 /jaar) werkdagen]]</f>
        <v>3640</v>
      </c>
      <c r="AF213" s="67">
        <f>Ruimtestaat[[#This Row],[uren / jaar weekend]]+Ruimtestaat[[#This Row],[uren / jaar werkdagen]]</f>
        <v>0</v>
      </c>
      <c r="AG213" s="68">
        <f>Ruimtestaat[[#This Row],[kosten / jaar weekend]]+Ruimtestaat[[#This Row],[kosten / jaar werkdagen]]</f>
        <v>0</v>
      </c>
      <c r="AH213" s="96"/>
      <c r="HL213" s="66"/>
    </row>
    <row r="214" spans="1:220" ht="15" customHeight="1">
      <c r="A214" s="114">
        <v>2</v>
      </c>
      <c r="B214" s="24" t="str">
        <f>VLOOKUP(Ruimtestaat[[#This Row],[Code]],Locaties[#All],2,FALSE)</f>
        <v>Magazijn</v>
      </c>
      <c r="C214" s="24" t="str">
        <f>VLOOKUP(Ruimtestaat[[#This Row],[Code]],Locaties[#All],4,FALSE)</f>
        <v>Rohofstraat 83</v>
      </c>
      <c r="D214" s="24" t="str">
        <f>VLOOKUP(Ruimtestaat[[#This Row],[Code]],Locaties[#All],5,FALSE)</f>
        <v>7605 AT</v>
      </c>
      <c r="E214" s="24" t="str">
        <f>VLOOKUP(Ruimtestaat[[#This Row],[Code]],Locaties[#All],6,FALSE)</f>
        <v>Almelo</v>
      </c>
      <c r="F214" s="61"/>
      <c r="G214" s="24" t="s">
        <v>435</v>
      </c>
      <c r="H214" s="24" t="s">
        <v>713</v>
      </c>
      <c r="I214" s="4" t="s">
        <v>714</v>
      </c>
      <c r="J214" s="24">
        <v>5</v>
      </c>
      <c r="K214" s="61" t="str">
        <f>VLOOKUP(J214,Ruimtegroepen[],2,FALSE)</f>
        <v>Sanitair</v>
      </c>
      <c r="L214" s="24" t="s">
        <v>105</v>
      </c>
      <c r="M214" s="24" t="s">
        <v>702</v>
      </c>
      <c r="N214" s="87">
        <v>5</v>
      </c>
      <c r="O214" s="87"/>
      <c r="P214" s="97" t="str">
        <f>LEFT(VLOOKUP(Ruimtestaat[[#This Row],[Ruimte code]],Ruimtegroepen[#All],4,1),2)</f>
        <v>Sa</v>
      </c>
      <c r="Q214" s="97"/>
      <c r="R214" s="88">
        <v>52</v>
      </c>
      <c r="S214" s="88" t="s">
        <v>2</v>
      </c>
      <c r="T214" s="89">
        <f>IF(R214&gt;0,IF(RIGHT(Ruimtestaat[[#This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4" s="89">
        <f>IF(T214&gt;0,VLOOKUP($J214,Ruimtegroepen[],3,FALSE)*VLOOKUP($L214,Vloersoorten[],3,FALSE)*VLOOKUP($S214,Frequenties[],3,FALSE)*VLOOKUP($A214,Locaties[],3,FALSE),0)</f>
        <v>0</v>
      </c>
      <c r="V214" s="90">
        <f>Ruimtestaat[[#This Row],[Uitvoeringen werkdagen]]*Ruimtestaat[[#This Row],[Oppervlak (netto)]]</f>
        <v>1300</v>
      </c>
      <c r="W214" s="91">
        <f>IF(U214&gt;0,Ruimtestaat[[#This Row],[Prest. (m2 /jaar) werkdagen]]/Ruimtestaat[[#This Row],[Norm (m2/uur) werkdagen]],0)</f>
        <v>0</v>
      </c>
      <c r="X214" s="92">
        <f>Ruimtestaat[[#This Row],[uren / jaar werkdagen]]*Tariefsopbouw!$E$35</f>
        <v>0</v>
      </c>
      <c r="Y214" s="89"/>
      <c r="Z214" s="93">
        <f>IF(Ruimtestaat[[#This Row],[Frequentie weekend]]&gt;0,VALUE(LEFT(Y214,1))*R214,0)</f>
        <v>0</v>
      </c>
      <c r="AA214" s="89">
        <f>IF($Z214&gt;0,VLOOKUP($J214,Ruimtegroepen[],3,FALSE)*VLOOKUP($L214,Vloersoorten[],3,FALSE)*VLOOKUP($Y214,Frequenties[],3,FALSE)*VLOOKUP($A210,Locaties[],3,FALSE),0)</f>
        <v>0</v>
      </c>
      <c r="AB214" s="91">
        <f>Ruimtestaat[[#This Row],[Uitvoeringen weekend]]*Ruimtestaat[[#This Row],[Oppervlak (netto)]]</f>
        <v>0</v>
      </c>
      <c r="AC214" s="94">
        <f>IF(AB214&gt;0,Ruimtestaat[[#This Row],[Prest. (m2 /jaar) weekend]]/Ruimtestaat[[#This Row],[Norm (m2/uur) weekend]],0)</f>
        <v>0</v>
      </c>
      <c r="AD214" s="95">
        <f>Ruimtestaat[[#This Row],[uren / jaar weekend]]*Tariefsopbouw!$D$40</f>
        <v>0</v>
      </c>
      <c r="AE214" s="67">
        <f>Ruimtestaat[[#This Row],[Prest. (m2 /jaar) weekend]]+Ruimtestaat[[#This Row],[Prest. (m2 /jaar) werkdagen]]</f>
        <v>1300</v>
      </c>
      <c r="AF214" s="67">
        <f>Ruimtestaat[[#This Row],[uren / jaar weekend]]+Ruimtestaat[[#This Row],[uren / jaar werkdagen]]</f>
        <v>0</v>
      </c>
      <c r="AG214" s="68">
        <f>Ruimtestaat[[#This Row],[kosten / jaar weekend]]+Ruimtestaat[[#This Row],[kosten / jaar werkdagen]]</f>
        <v>0</v>
      </c>
      <c r="AH214" s="96"/>
      <c r="HL214" s="66"/>
    </row>
    <row r="215" spans="1:220" ht="15" customHeight="1">
      <c r="A215" s="114">
        <v>2</v>
      </c>
      <c r="B215" s="24" t="str">
        <f>VLOOKUP(Ruimtestaat[[#This Row],[Code]],Locaties[#All],2,FALSE)</f>
        <v>Magazijn</v>
      </c>
      <c r="C215" s="24" t="str">
        <f>VLOOKUP(Ruimtestaat[[#This Row],[Code]],Locaties[#All],4,FALSE)</f>
        <v>Rohofstraat 83</v>
      </c>
      <c r="D215" s="24" t="str">
        <f>VLOOKUP(Ruimtestaat[[#This Row],[Code]],Locaties[#All],5,FALSE)</f>
        <v>7605 AT</v>
      </c>
      <c r="E215" s="24" t="str">
        <f>VLOOKUP(Ruimtestaat[[#This Row],[Code]],Locaties[#All],6,FALSE)</f>
        <v>Almelo</v>
      </c>
      <c r="F215" s="61"/>
      <c r="G215" s="24" t="s">
        <v>435</v>
      </c>
      <c r="H215" s="24" t="s">
        <v>715</v>
      </c>
      <c r="I215" s="4" t="s">
        <v>699</v>
      </c>
      <c r="J215" s="24">
        <v>11</v>
      </c>
      <c r="K215" s="61" t="str">
        <f>VLOOKUP(J215,Ruimtegroepen[],2,FALSE)</f>
        <v>Garderobes</v>
      </c>
      <c r="L215" s="24" t="s">
        <v>104</v>
      </c>
      <c r="M215" s="24" t="s">
        <v>366</v>
      </c>
      <c r="N215" s="98">
        <v>4.2</v>
      </c>
      <c r="O215" s="87"/>
      <c r="P215" s="97" t="str">
        <f>LEFT(VLOOKUP(Ruimtestaat[[#This Row],[Ruimte code]],Ruimtegroepen[#All],4,1),2)</f>
        <v>Ve</v>
      </c>
      <c r="Q215" s="97"/>
      <c r="R215" s="88">
        <v>52</v>
      </c>
      <c r="S215" s="88" t="s">
        <v>2</v>
      </c>
      <c r="T215" s="89">
        <f>IF(R215&gt;0,IF(RIGHT(Ruimtestaat[[#This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5" s="89">
        <f>IF(T215&gt;0,VLOOKUP($J215,Ruimtegroepen[],3,FALSE)*VLOOKUP($L215,Vloersoorten[],3,FALSE)*VLOOKUP($S215,Frequenties[],3,FALSE)*VLOOKUP($A215,Locaties[],3,FALSE),0)</f>
        <v>0</v>
      </c>
      <c r="V215" s="90">
        <f>Ruimtestaat[[#This Row],[Uitvoeringen werkdagen]]*Ruimtestaat[[#This Row],[Oppervlak (netto)]]</f>
        <v>1092</v>
      </c>
      <c r="W215" s="91">
        <f>IF(U215&gt;0,Ruimtestaat[[#This Row],[Prest. (m2 /jaar) werkdagen]]/Ruimtestaat[[#This Row],[Norm (m2/uur) werkdagen]],0)</f>
        <v>0</v>
      </c>
      <c r="X215" s="92">
        <f>Ruimtestaat[[#This Row],[uren / jaar werkdagen]]*Tariefsopbouw!$E$35</f>
        <v>0</v>
      </c>
      <c r="Y215" s="89"/>
      <c r="Z215" s="93">
        <f>IF(Ruimtestaat[[#This Row],[Frequentie weekend]]&gt;0,VALUE(LEFT(Y215,1))*R215,0)</f>
        <v>0</v>
      </c>
      <c r="AA215" s="89">
        <f>IF($Z215&gt;0,VLOOKUP($J215,Ruimtegroepen[],3,FALSE)*VLOOKUP($L215,Vloersoorten[],3,FALSE)*VLOOKUP($Y215,Frequenties[],3,FALSE)*VLOOKUP($A211,Locaties[],3,FALSE),0)</f>
        <v>0</v>
      </c>
      <c r="AB215" s="91">
        <f>Ruimtestaat[[#This Row],[Uitvoeringen weekend]]*Ruimtestaat[[#This Row],[Oppervlak (netto)]]</f>
        <v>0</v>
      </c>
      <c r="AC215" s="94">
        <f>IF(AB215&gt;0,Ruimtestaat[[#This Row],[Prest. (m2 /jaar) weekend]]/Ruimtestaat[[#This Row],[Norm (m2/uur) weekend]],0)</f>
        <v>0</v>
      </c>
      <c r="AD215" s="95">
        <f>Ruimtestaat[[#This Row],[uren / jaar weekend]]*Tariefsopbouw!$D$40</f>
        <v>0</v>
      </c>
      <c r="AE215" s="67">
        <f>Ruimtestaat[[#This Row],[Prest. (m2 /jaar) weekend]]+Ruimtestaat[[#This Row],[Prest. (m2 /jaar) werkdagen]]</f>
        <v>1092</v>
      </c>
      <c r="AF215" s="67">
        <f>Ruimtestaat[[#This Row],[uren / jaar weekend]]+Ruimtestaat[[#This Row],[uren / jaar werkdagen]]</f>
        <v>0</v>
      </c>
      <c r="AG215" s="68">
        <f>Ruimtestaat[[#This Row],[kosten / jaar weekend]]+Ruimtestaat[[#This Row],[kosten / jaar werkdagen]]</f>
        <v>0</v>
      </c>
      <c r="AH215" s="96"/>
      <c r="HL215" s="66"/>
    </row>
    <row r="216" spans="1:220" ht="15" customHeight="1">
      <c r="A216" s="114">
        <v>2</v>
      </c>
      <c r="B216" s="24" t="str">
        <f>VLOOKUP(Ruimtestaat[[#This Row],[Code]],Locaties[#All],2,FALSE)</f>
        <v>Magazijn</v>
      </c>
      <c r="C216" s="24" t="str">
        <f>VLOOKUP(Ruimtestaat[[#This Row],[Code]],Locaties[#All],4,FALSE)</f>
        <v>Rohofstraat 83</v>
      </c>
      <c r="D216" s="24" t="str">
        <f>VLOOKUP(Ruimtestaat[[#This Row],[Code]],Locaties[#All],5,FALSE)</f>
        <v>7605 AT</v>
      </c>
      <c r="E216" s="24" t="str">
        <f>VLOOKUP(Ruimtestaat[[#This Row],[Code]],Locaties[#All],6,FALSE)</f>
        <v>Almelo</v>
      </c>
      <c r="F216" s="61"/>
      <c r="G216" s="24" t="s">
        <v>574</v>
      </c>
      <c r="I216" s="4" t="s">
        <v>706</v>
      </c>
      <c r="J216" s="24">
        <v>10</v>
      </c>
      <c r="K216" s="61" t="str">
        <f>VLOOKUP(J216,Ruimtegroepen[],2,FALSE)</f>
        <v>Trappenhuizen/lift</v>
      </c>
      <c r="L216" s="24" t="s">
        <v>792</v>
      </c>
      <c r="M216" s="24" t="s">
        <v>791</v>
      </c>
      <c r="N216" s="87">
        <v>10</v>
      </c>
      <c r="O216" s="87"/>
      <c r="P216" s="97" t="str">
        <f>LEFT(VLOOKUP(Ruimtestaat[[#This Row],[Ruimte code]],Ruimtegroepen[#All],4,1),2)</f>
        <v>Ve</v>
      </c>
      <c r="Q216" s="97"/>
      <c r="R216" s="88">
        <v>52</v>
      </c>
      <c r="S216" s="88" t="s">
        <v>2</v>
      </c>
      <c r="T216" s="89">
        <f>IF(R216&gt;0,IF(RIGHT(Ruimtestaat[[#This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6" s="89">
        <f>IF(T216&gt;0,VLOOKUP($J216,Ruimtegroepen[],3,FALSE)*VLOOKUP($L216,Vloersoorten[],3,FALSE)*VLOOKUP($S216,Frequenties[],3,FALSE)*VLOOKUP($A216,Locaties[],3,FALSE),0)</f>
        <v>0</v>
      </c>
      <c r="V216" s="90">
        <f>Ruimtestaat[[#This Row],[Uitvoeringen werkdagen]]*Ruimtestaat[[#This Row],[Oppervlak (netto)]]</f>
        <v>2600</v>
      </c>
      <c r="W216" s="91">
        <f>IF(U216&gt;0,Ruimtestaat[[#This Row],[Prest. (m2 /jaar) werkdagen]]/Ruimtestaat[[#This Row],[Norm (m2/uur) werkdagen]],0)</f>
        <v>0</v>
      </c>
      <c r="X216" s="92">
        <f>Ruimtestaat[[#This Row],[uren / jaar werkdagen]]*Tariefsopbouw!$E$35</f>
        <v>0</v>
      </c>
      <c r="Y216" s="89"/>
      <c r="Z216" s="93">
        <f>IF(Ruimtestaat[[#This Row],[Frequentie weekend]]&gt;0,VALUE(LEFT(Y216,1))*R216,0)</f>
        <v>0</v>
      </c>
      <c r="AA216" s="89">
        <f>IF($Z216&gt;0,VLOOKUP($J216,Ruimtegroepen[],3,FALSE)*VLOOKUP($L216,Vloersoorten[],3,FALSE)*VLOOKUP($Y216,Frequenties[],3,FALSE)*VLOOKUP($A212,Locaties[],3,FALSE),0)</f>
        <v>0</v>
      </c>
      <c r="AB216" s="91">
        <f>Ruimtestaat[[#This Row],[Uitvoeringen weekend]]*Ruimtestaat[[#This Row],[Oppervlak (netto)]]</f>
        <v>0</v>
      </c>
      <c r="AC216" s="94">
        <f>IF(AB216&gt;0,Ruimtestaat[[#This Row],[Prest. (m2 /jaar) weekend]]/Ruimtestaat[[#This Row],[Norm (m2/uur) weekend]],0)</f>
        <v>0</v>
      </c>
      <c r="AD216" s="95">
        <f>Ruimtestaat[[#This Row],[uren / jaar weekend]]*Tariefsopbouw!$D$40</f>
        <v>0</v>
      </c>
      <c r="AE216" s="67">
        <f>Ruimtestaat[[#This Row],[Prest. (m2 /jaar) weekend]]+Ruimtestaat[[#This Row],[Prest. (m2 /jaar) werkdagen]]</f>
        <v>2600</v>
      </c>
      <c r="AF216" s="67">
        <f>Ruimtestaat[[#This Row],[uren / jaar weekend]]+Ruimtestaat[[#This Row],[uren / jaar werkdagen]]</f>
        <v>0</v>
      </c>
      <c r="AG216" s="68">
        <f>Ruimtestaat[[#This Row],[kosten / jaar weekend]]+Ruimtestaat[[#This Row],[kosten / jaar werkdagen]]</f>
        <v>0</v>
      </c>
      <c r="AH216" s="96"/>
      <c r="HL216" s="66"/>
    </row>
    <row r="217" spans="1:220" ht="15" customHeight="1">
      <c r="A217" s="114">
        <v>2</v>
      </c>
      <c r="B217" s="24" t="str">
        <f>VLOOKUP(Ruimtestaat[[#This Row],[Code]],Locaties[#All],2,FALSE)</f>
        <v>Magazijn</v>
      </c>
      <c r="C217" s="24" t="str">
        <f>VLOOKUP(Ruimtestaat[[#This Row],[Code]],Locaties[#All],4,FALSE)</f>
        <v>Rohofstraat 83</v>
      </c>
      <c r="D217" s="24" t="str">
        <f>VLOOKUP(Ruimtestaat[[#This Row],[Code]],Locaties[#All],5,FALSE)</f>
        <v>7605 AT</v>
      </c>
      <c r="E217" s="24" t="str">
        <f>VLOOKUP(Ruimtestaat[[#This Row],[Code]],Locaties[#All],6,FALSE)</f>
        <v>Almelo</v>
      </c>
      <c r="F217" s="61"/>
      <c r="G217" s="24" t="s">
        <v>574</v>
      </c>
      <c r="H217" s="24" t="s">
        <v>716</v>
      </c>
      <c r="I217" s="4" t="s">
        <v>717</v>
      </c>
      <c r="J217" s="24">
        <v>6</v>
      </c>
      <c r="K217" s="61" t="str">
        <f>VLOOKUP(J217,Ruimtegroepen[],2,FALSE)</f>
        <v>Gangen/hallen</v>
      </c>
      <c r="L217" s="24" t="s">
        <v>731</v>
      </c>
      <c r="M217" s="24" t="s">
        <v>366</v>
      </c>
      <c r="N217" s="87">
        <v>3.6</v>
      </c>
      <c r="O217" s="87"/>
      <c r="P217" s="97" t="str">
        <f>LEFT(VLOOKUP(Ruimtestaat[[#This Row],[Ruimte code]],Ruimtegroepen[#All],4,1),2)</f>
        <v>Ve</v>
      </c>
      <c r="Q217" s="97"/>
      <c r="R217" s="88">
        <v>52</v>
      </c>
      <c r="S217" s="88" t="s">
        <v>2</v>
      </c>
      <c r="T217" s="89">
        <f>IF(R217&gt;0,IF(RIGHT(Ruimtestaat[[#This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7" s="89">
        <f>IF(T217&gt;0,VLOOKUP($J217,Ruimtegroepen[],3,FALSE)*VLOOKUP($L217,Vloersoorten[],3,FALSE)*VLOOKUP($S217,Frequenties[],3,FALSE)*VLOOKUP($A217,Locaties[],3,FALSE),0)</f>
        <v>0</v>
      </c>
      <c r="V217" s="90">
        <f>Ruimtestaat[[#This Row],[Uitvoeringen werkdagen]]*Ruimtestaat[[#This Row],[Oppervlak (netto)]]</f>
        <v>936</v>
      </c>
      <c r="W217" s="91">
        <f>IF(U217&gt;0,Ruimtestaat[[#This Row],[Prest. (m2 /jaar) werkdagen]]/Ruimtestaat[[#This Row],[Norm (m2/uur) werkdagen]],0)</f>
        <v>0</v>
      </c>
      <c r="X217" s="92">
        <f>Ruimtestaat[[#This Row],[uren / jaar werkdagen]]*Tariefsopbouw!$E$35</f>
        <v>0</v>
      </c>
      <c r="Y217" s="89"/>
      <c r="Z217" s="93">
        <f>IF(Ruimtestaat[[#This Row],[Frequentie weekend]]&gt;0,VALUE(LEFT(Y217,1))*R217,0)</f>
        <v>0</v>
      </c>
      <c r="AA217" s="89">
        <f>IF($Z217&gt;0,VLOOKUP($J217,Ruimtegroepen[],3,FALSE)*VLOOKUP($L217,Vloersoorten[],3,FALSE)*VLOOKUP($Y217,Frequenties[],3,FALSE)*VLOOKUP($A213,Locaties[],3,FALSE),0)</f>
        <v>0</v>
      </c>
      <c r="AB217" s="91">
        <f>Ruimtestaat[[#This Row],[Uitvoeringen weekend]]*Ruimtestaat[[#This Row],[Oppervlak (netto)]]</f>
        <v>0</v>
      </c>
      <c r="AC217" s="94">
        <f>IF(AB217&gt;0,Ruimtestaat[[#This Row],[Prest. (m2 /jaar) weekend]]/Ruimtestaat[[#This Row],[Norm (m2/uur) weekend]],0)</f>
        <v>0</v>
      </c>
      <c r="AD217" s="95">
        <f>Ruimtestaat[[#This Row],[uren / jaar weekend]]*Tariefsopbouw!$D$40</f>
        <v>0</v>
      </c>
      <c r="AE217" s="67">
        <f>Ruimtestaat[[#This Row],[Prest. (m2 /jaar) weekend]]+Ruimtestaat[[#This Row],[Prest. (m2 /jaar) werkdagen]]</f>
        <v>936</v>
      </c>
      <c r="AF217" s="67">
        <f>Ruimtestaat[[#This Row],[uren / jaar weekend]]+Ruimtestaat[[#This Row],[uren / jaar werkdagen]]</f>
        <v>0</v>
      </c>
      <c r="AG217" s="68">
        <f>Ruimtestaat[[#This Row],[kosten / jaar weekend]]+Ruimtestaat[[#This Row],[kosten / jaar werkdagen]]</f>
        <v>0</v>
      </c>
      <c r="AH217" s="96"/>
      <c r="HL217" s="66"/>
    </row>
    <row r="218" spans="1:220" ht="15" customHeight="1">
      <c r="A218" s="114">
        <v>2</v>
      </c>
      <c r="B218" s="24" t="str">
        <f>VLOOKUP(Ruimtestaat[[#This Row],[Code]],Locaties[#All],2,FALSE)</f>
        <v>Magazijn</v>
      </c>
      <c r="C218" s="24" t="str">
        <f>VLOOKUP(Ruimtestaat[[#This Row],[Code]],Locaties[#All],4,FALSE)</f>
        <v>Rohofstraat 83</v>
      </c>
      <c r="D218" s="24" t="str">
        <f>VLOOKUP(Ruimtestaat[[#This Row],[Code]],Locaties[#All],5,FALSE)</f>
        <v>7605 AT</v>
      </c>
      <c r="E218" s="24" t="str">
        <f>VLOOKUP(Ruimtestaat[[#This Row],[Code]],Locaties[#All],6,FALSE)</f>
        <v>Almelo</v>
      </c>
      <c r="F218" s="61"/>
      <c r="G218" s="24" t="s">
        <v>574</v>
      </c>
      <c r="H218" s="24" t="s">
        <v>718</v>
      </c>
      <c r="I218" s="4" t="s">
        <v>57</v>
      </c>
      <c r="J218" s="24">
        <v>2</v>
      </c>
      <c r="K218" s="61" t="str">
        <f>VLOOKUP(J218,Ruimtegroepen[],2,FALSE)</f>
        <v>Kantoren</v>
      </c>
      <c r="L218" s="24" t="s">
        <v>731</v>
      </c>
      <c r="M218" s="24" t="s">
        <v>366</v>
      </c>
      <c r="N218" s="87">
        <v>83</v>
      </c>
      <c r="O218" s="87"/>
      <c r="P218" s="97" t="str">
        <f>LEFT(VLOOKUP(Ruimtestaat[[#This Row],[Ruimte code]],Ruimtegroepen[#All],4,1),2)</f>
        <v>Bu</v>
      </c>
      <c r="Q218" s="97"/>
      <c r="R218" s="88">
        <v>52</v>
      </c>
      <c r="S218" s="88" t="s">
        <v>2</v>
      </c>
      <c r="T218" s="89">
        <f>IF(R218&gt;0,IF(RIGHT(Ruimtestaat[[#This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8" s="89">
        <f>IF(T218&gt;0,VLOOKUP($J218,Ruimtegroepen[],3,FALSE)*VLOOKUP($L218,Vloersoorten[],3,FALSE)*VLOOKUP($S218,Frequenties[],3,FALSE)*VLOOKUP($A218,Locaties[],3,FALSE),0)</f>
        <v>0</v>
      </c>
      <c r="V218" s="90">
        <f>Ruimtestaat[[#This Row],[Uitvoeringen werkdagen]]*Ruimtestaat[[#This Row],[Oppervlak (netto)]]</f>
        <v>21580</v>
      </c>
      <c r="W218" s="91">
        <f>IF(U218&gt;0,Ruimtestaat[[#This Row],[Prest. (m2 /jaar) werkdagen]]/Ruimtestaat[[#This Row],[Norm (m2/uur) werkdagen]],0)</f>
        <v>0</v>
      </c>
      <c r="X218" s="92">
        <f>Ruimtestaat[[#This Row],[uren / jaar werkdagen]]*Tariefsopbouw!$E$35</f>
        <v>0</v>
      </c>
      <c r="Y218" s="89"/>
      <c r="Z218" s="93">
        <f>IF(Ruimtestaat[[#This Row],[Frequentie weekend]]&gt;0,VALUE(LEFT(Y218,1))*R218,0)</f>
        <v>0</v>
      </c>
      <c r="AA218" s="89">
        <f>IF($Z218&gt;0,VLOOKUP($J218,Ruimtegroepen[],3,FALSE)*VLOOKUP($L218,Vloersoorten[],3,FALSE)*VLOOKUP($Y218,Frequenties[],3,FALSE)*VLOOKUP($A214,Locaties[],3,FALSE),0)</f>
        <v>0</v>
      </c>
      <c r="AB218" s="91">
        <f>Ruimtestaat[[#This Row],[Uitvoeringen weekend]]*Ruimtestaat[[#This Row],[Oppervlak (netto)]]</f>
        <v>0</v>
      </c>
      <c r="AC218" s="94">
        <f>IF(AB218&gt;0,Ruimtestaat[[#This Row],[Prest. (m2 /jaar) weekend]]/Ruimtestaat[[#This Row],[Norm (m2/uur) weekend]],0)</f>
        <v>0</v>
      </c>
      <c r="AD218" s="95">
        <f>Ruimtestaat[[#This Row],[uren / jaar weekend]]*Tariefsopbouw!$D$40</f>
        <v>0</v>
      </c>
      <c r="AE218" s="67">
        <f>Ruimtestaat[[#This Row],[Prest. (m2 /jaar) weekend]]+Ruimtestaat[[#This Row],[Prest. (m2 /jaar) werkdagen]]</f>
        <v>21580</v>
      </c>
      <c r="AF218" s="67">
        <f>Ruimtestaat[[#This Row],[uren / jaar weekend]]+Ruimtestaat[[#This Row],[uren / jaar werkdagen]]</f>
        <v>0</v>
      </c>
      <c r="AG218" s="68">
        <f>Ruimtestaat[[#This Row],[kosten / jaar weekend]]+Ruimtestaat[[#This Row],[kosten / jaar werkdagen]]</f>
        <v>0</v>
      </c>
      <c r="AH218" s="96"/>
      <c r="HL218" s="66"/>
    </row>
    <row r="219" spans="1:220" ht="15" customHeight="1">
      <c r="A219" s="114">
        <v>2</v>
      </c>
      <c r="B219" s="24" t="str">
        <f>VLOOKUP(Ruimtestaat[[#This Row],[Code]],Locaties[#All],2,FALSE)</f>
        <v>Magazijn</v>
      </c>
      <c r="C219" s="24" t="str">
        <f>VLOOKUP(Ruimtestaat[[#This Row],[Code]],Locaties[#All],4,FALSE)</f>
        <v>Rohofstraat 83</v>
      </c>
      <c r="D219" s="24" t="str">
        <f>VLOOKUP(Ruimtestaat[[#This Row],[Code]],Locaties[#All],5,FALSE)</f>
        <v>7605 AT</v>
      </c>
      <c r="E219" s="24" t="str">
        <f>VLOOKUP(Ruimtestaat[[#This Row],[Code]],Locaties[#All],6,FALSE)</f>
        <v>Almelo</v>
      </c>
      <c r="F219" s="61"/>
      <c r="G219" s="24" t="s">
        <v>574</v>
      </c>
      <c r="H219" s="24" t="s">
        <v>719</v>
      </c>
      <c r="I219" s="4" t="s">
        <v>717</v>
      </c>
      <c r="J219" s="24">
        <v>6</v>
      </c>
      <c r="K219" s="61" t="str">
        <f>VLOOKUP(J219,Ruimtegroepen[],2,FALSE)</f>
        <v>Gangen/hallen</v>
      </c>
      <c r="L219" s="24" t="s">
        <v>731</v>
      </c>
      <c r="M219" s="24" t="s">
        <v>366</v>
      </c>
      <c r="N219" s="87">
        <v>32.5</v>
      </c>
      <c r="O219" s="87"/>
      <c r="P219" s="97" t="str">
        <f>LEFT(VLOOKUP(Ruimtestaat[[#This Row],[Ruimte code]],Ruimtegroepen[#All],4,1),2)</f>
        <v>Ve</v>
      </c>
      <c r="Q219" s="97"/>
      <c r="R219" s="88">
        <v>52</v>
      </c>
      <c r="S219" s="88" t="s">
        <v>2</v>
      </c>
      <c r="T219" s="89">
        <f>IF(R219&gt;0,IF(RIGHT(Ruimtestaat[[#This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19" s="89">
        <f>IF(T219&gt;0,VLOOKUP($J219,Ruimtegroepen[],3,FALSE)*VLOOKUP($L219,Vloersoorten[],3,FALSE)*VLOOKUP($S219,Frequenties[],3,FALSE)*VLOOKUP($A219,Locaties[],3,FALSE),0)</f>
        <v>0</v>
      </c>
      <c r="V219" s="90">
        <f>Ruimtestaat[[#This Row],[Uitvoeringen werkdagen]]*Ruimtestaat[[#This Row],[Oppervlak (netto)]]</f>
        <v>8450</v>
      </c>
      <c r="W219" s="91">
        <f>IF(U219&gt;0,Ruimtestaat[[#This Row],[Prest. (m2 /jaar) werkdagen]]/Ruimtestaat[[#This Row],[Norm (m2/uur) werkdagen]],0)</f>
        <v>0</v>
      </c>
      <c r="X219" s="92">
        <f>Ruimtestaat[[#This Row],[uren / jaar werkdagen]]*Tariefsopbouw!$E$35</f>
        <v>0</v>
      </c>
      <c r="Y219" s="89"/>
      <c r="Z219" s="93">
        <f>IF(Ruimtestaat[[#This Row],[Frequentie weekend]]&gt;0,VALUE(LEFT(Y219,1))*R219,0)</f>
        <v>0</v>
      </c>
      <c r="AA219" s="89">
        <f>IF($Z219&gt;0,VLOOKUP($J219,Ruimtegroepen[],3,FALSE)*VLOOKUP($L219,Vloersoorten[],3,FALSE)*VLOOKUP($Y219,Frequenties[],3,FALSE)*VLOOKUP($A215,Locaties[],3,FALSE),0)</f>
        <v>0</v>
      </c>
      <c r="AB219" s="91">
        <f>Ruimtestaat[[#This Row],[Uitvoeringen weekend]]*Ruimtestaat[[#This Row],[Oppervlak (netto)]]</f>
        <v>0</v>
      </c>
      <c r="AC219" s="94">
        <f>IF(AB219&gt;0,Ruimtestaat[[#This Row],[Prest. (m2 /jaar) weekend]]/Ruimtestaat[[#This Row],[Norm (m2/uur) weekend]],0)</f>
        <v>0</v>
      </c>
      <c r="AD219" s="95">
        <f>Ruimtestaat[[#This Row],[uren / jaar weekend]]*Tariefsopbouw!$D$40</f>
        <v>0</v>
      </c>
      <c r="AE219" s="67">
        <f>Ruimtestaat[[#This Row],[Prest. (m2 /jaar) weekend]]+Ruimtestaat[[#This Row],[Prest. (m2 /jaar) werkdagen]]</f>
        <v>8450</v>
      </c>
      <c r="AF219" s="67">
        <f>Ruimtestaat[[#This Row],[uren / jaar weekend]]+Ruimtestaat[[#This Row],[uren / jaar werkdagen]]</f>
        <v>0</v>
      </c>
      <c r="AG219" s="68">
        <f>Ruimtestaat[[#This Row],[kosten / jaar weekend]]+Ruimtestaat[[#This Row],[kosten / jaar werkdagen]]</f>
        <v>0</v>
      </c>
      <c r="AH219" s="96"/>
      <c r="HL219" s="66"/>
    </row>
    <row r="220" spans="1:220" ht="15" customHeight="1">
      <c r="A220" s="114">
        <v>2</v>
      </c>
      <c r="B220" s="24" t="str">
        <f>VLOOKUP(Ruimtestaat[[#This Row],[Code]],Locaties[#All],2,FALSE)</f>
        <v>Magazijn</v>
      </c>
      <c r="C220" s="24" t="str">
        <f>VLOOKUP(Ruimtestaat[[#This Row],[Code]],Locaties[#All],4,FALSE)</f>
        <v>Rohofstraat 83</v>
      </c>
      <c r="D220" s="24" t="str">
        <f>VLOOKUP(Ruimtestaat[[#This Row],[Code]],Locaties[#All],5,FALSE)</f>
        <v>7605 AT</v>
      </c>
      <c r="E220" s="24" t="str">
        <f>VLOOKUP(Ruimtestaat[[#This Row],[Code]],Locaties[#All],6,FALSE)</f>
        <v>Almelo</v>
      </c>
      <c r="F220" s="61"/>
      <c r="G220" s="24" t="s">
        <v>574</v>
      </c>
      <c r="H220" s="24" t="s">
        <v>720</v>
      </c>
      <c r="I220" s="4" t="s">
        <v>721</v>
      </c>
      <c r="J220" s="24">
        <v>5</v>
      </c>
      <c r="K220" s="61" t="str">
        <f>VLOOKUP(J220,Ruimtegroepen[],2,FALSE)</f>
        <v>Sanitair</v>
      </c>
      <c r="L220" s="24" t="s">
        <v>105</v>
      </c>
      <c r="M220" s="24" t="s">
        <v>702</v>
      </c>
      <c r="N220" s="87">
        <v>6.5</v>
      </c>
      <c r="O220" s="87"/>
      <c r="P220" s="97" t="str">
        <f>LEFT(VLOOKUP(Ruimtestaat[[#This Row],[Ruimte code]],Ruimtegroepen[#All],4,1),2)</f>
        <v>Sa</v>
      </c>
      <c r="Q220" s="97"/>
      <c r="R220" s="88">
        <v>52</v>
      </c>
      <c r="S220" s="88" t="s">
        <v>2</v>
      </c>
      <c r="T220" s="89">
        <f>IF(R220&gt;0,IF(RIGHT(Ruimtestaat[[#This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0" s="89">
        <f>IF(T220&gt;0,VLOOKUP($J220,Ruimtegroepen[],3,FALSE)*VLOOKUP($L220,Vloersoorten[],3,FALSE)*VLOOKUP($S220,Frequenties[],3,FALSE)*VLOOKUP($A220,Locaties[],3,FALSE),0)</f>
        <v>0</v>
      </c>
      <c r="V220" s="90">
        <f>Ruimtestaat[[#This Row],[Uitvoeringen werkdagen]]*Ruimtestaat[[#This Row],[Oppervlak (netto)]]</f>
        <v>1690</v>
      </c>
      <c r="W220" s="91">
        <f>IF(U220&gt;0,Ruimtestaat[[#This Row],[Prest. (m2 /jaar) werkdagen]]/Ruimtestaat[[#This Row],[Norm (m2/uur) werkdagen]],0)</f>
        <v>0</v>
      </c>
      <c r="X220" s="92">
        <f>Ruimtestaat[[#This Row],[uren / jaar werkdagen]]*Tariefsopbouw!$E$35</f>
        <v>0</v>
      </c>
      <c r="Y220" s="89"/>
      <c r="Z220" s="93">
        <f>IF(Ruimtestaat[[#This Row],[Frequentie weekend]]&gt;0,VALUE(LEFT(Y220,1))*R220,0)</f>
        <v>0</v>
      </c>
      <c r="AA220" s="89">
        <f>IF($Z220&gt;0,VLOOKUP($J220,Ruimtegroepen[],3,FALSE)*VLOOKUP($L220,Vloersoorten[],3,FALSE)*VLOOKUP($Y220,Frequenties[],3,FALSE)*VLOOKUP($A216,Locaties[],3,FALSE),0)</f>
        <v>0</v>
      </c>
      <c r="AB220" s="91">
        <f>Ruimtestaat[[#This Row],[Uitvoeringen weekend]]*Ruimtestaat[[#This Row],[Oppervlak (netto)]]</f>
        <v>0</v>
      </c>
      <c r="AC220" s="94">
        <f>IF(AB220&gt;0,Ruimtestaat[[#This Row],[Prest. (m2 /jaar) weekend]]/Ruimtestaat[[#This Row],[Norm (m2/uur) weekend]],0)</f>
        <v>0</v>
      </c>
      <c r="AD220" s="95">
        <f>Ruimtestaat[[#This Row],[uren / jaar weekend]]*Tariefsopbouw!$D$40</f>
        <v>0</v>
      </c>
      <c r="AE220" s="67">
        <f>Ruimtestaat[[#This Row],[Prest. (m2 /jaar) weekend]]+Ruimtestaat[[#This Row],[Prest. (m2 /jaar) werkdagen]]</f>
        <v>1690</v>
      </c>
      <c r="AF220" s="67">
        <f>Ruimtestaat[[#This Row],[uren / jaar weekend]]+Ruimtestaat[[#This Row],[uren / jaar werkdagen]]</f>
        <v>0</v>
      </c>
      <c r="AG220" s="68">
        <f>Ruimtestaat[[#This Row],[kosten / jaar weekend]]+Ruimtestaat[[#This Row],[kosten / jaar werkdagen]]</f>
        <v>0</v>
      </c>
      <c r="AH220" s="96"/>
      <c r="HL220" s="66"/>
    </row>
    <row r="221" spans="1:220" ht="15" customHeight="1">
      <c r="A221" s="114">
        <v>2</v>
      </c>
      <c r="B221" s="24" t="str">
        <f>VLOOKUP(Ruimtestaat[[#This Row],[Code]],Locaties[#All],2,FALSE)</f>
        <v>Magazijn</v>
      </c>
      <c r="C221" s="24" t="str">
        <f>VLOOKUP(Ruimtestaat[[#This Row],[Code]],Locaties[#All],4,FALSE)</f>
        <v>Rohofstraat 83</v>
      </c>
      <c r="D221" s="24" t="str">
        <f>VLOOKUP(Ruimtestaat[[#This Row],[Code]],Locaties[#All],5,FALSE)</f>
        <v>7605 AT</v>
      </c>
      <c r="E221" s="24" t="str">
        <f>VLOOKUP(Ruimtestaat[[#This Row],[Code]],Locaties[#All],6,FALSE)</f>
        <v>Almelo</v>
      </c>
      <c r="F221" s="61"/>
      <c r="G221" s="24" t="s">
        <v>574</v>
      </c>
      <c r="H221" s="24" t="s">
        <v>722</v>
      </c>
      <c r="I221" s="4" t="s">
        <v>721</v>
      </c>
      <c r="J221" s="24">
        <v>5</v>
      </c>
      <c r="K221" s="61" t="str">
        <f>VLOOKUP(J221,Ruimtegroepen[],2,FALSE)</f>
        <v>Sanitair</v>
      </c>
      <c r="L221" s="24" t="s">
        <v>105</v>
      </c>
      <c r="M221" s="24" t="s">
        <v>702</v>
      </c>
      <c r="N221" s="87">
        <v>3.5</v>
      </c>
      <c r="O221" s="87"/>
      <c r="P221" s="97" t="str">
        <f>LEFT(VLOOKUP(Ruimtestaat[[#This Row],[Ruimte code]],Ruimtegroepen[#All],4,1),2)</f>
        <v>Sa</v>
      </c>
      <c r="Q221" s="97"/>
      <c r="R221" s="88">
        <v>52</v>
      </c>
      <c r="S221" s="88" t="s">
        <v>2</v>
      </c>
      <c r="T221" s="89">
        <f>IF(R221&gt;0,IF(RIGHT(Ruimtestaat[[#This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1" s="89">
        <f>IF(T221&gt;0,VLOOKUP($J221,Ruimtegroepen[],3,FALSE)*VLOOKUP($L221,Vloersoorten[],3,FALSE)*VLOOKUP($S221,Frequenties[],3,FALSE)*VLOOKUP($A221,Locaties[],3,FALSE),0)</f>
        <v>0</v>
      </c>
      <c r="V221" s="90">
        <f>Ruimtestaat[[#This Row],[Uitvoeringen werkdagen]]*Ruimtestaat[[#This Row],[Oppervlak (netto)]]</f>
        <v>910</v>
      </c>
      <c r="W221" s="91">
        <f>IF(U221&gt;0,Ruimtestaat[[#This Row],[Prest. (m2 /jaar) werkdagen]]/Ruimtestaat[[#This Row],[Norm (m2/uur) werkdagen]],0)</f>
        <v>0</v>
      </c>
      <c r="X221" s="92">
        <f>Ruimtestaat[[#This Row],[uren / jaar werkdagen]]*Tariefsopbouw!$E$35</f>
        <v>0</v>
      </c>
      <c r="Y221" s="89"/>
      <c r="Z221" s="93">
        <f>IF(Ruimtestaat[[#This Row],[Frequentie weekend]]&gt;0,VALUE(LEFT(Y221,1))*R221,0)</f>
        <v>0</v>
      </c>
      <c r="AA221" s="89">
        <f>IF($Z221&gt;0,VLOOKUP($J221,Ruimtegroepen[],3,FALSE)*VLOOKUP($L221,Vloersoorten[],3,FALSE)*VLOOKUP($Y221,Frequenties[],3,FALSE)*VLOOKUP($A217,Locaties[],3,FALSE),0)</f>
        <v>0</v>
      </c>
      <c r="AB221" s="91">
        <f>Ruimtestaat[[#This Row],[Uitvoeringen weekend]]*Ruimtestaat[[#This Row],[Oppervlak (netto)]]</f>
        <v>0</v>
      </c>
      <c r="AC221" s="94">
        <f>IF(AB221&gt;0,Ruimtestaat[[#This Row],[Prest. (m2 /jaar) weekend]]/Ruimtestaat[[#This Row],[Norm (m2/uur) weekend]],0)</f>
        <v>0</v>
      </c>
      <c r="AD221" s="95">
        <f>Ruimtestaat[[#This Row],[uren / jaar weekend]]*Tariefsopbouw!$D$40</f>
        <v>0</v>
      </c>
      <c r="AE221" s="67">
        <f>Ruimtestaat[[#This Row],[Prest. (m2 /jaar) weekend]]+Ruimtestaat[[#This Row],[Prest. (m2 /jaar) werkdagen]]</f>
        <v>910</v>
      </c>
      <c r="AF221" s="67">
        <f>Ruimtestaat[[#This Row],[uren / jaar weekend]]+Ruimtestaat[[#This Row],[uren / jaar werkdagen]]</f>
        <v>0</v>
      </c>
      <c r="AG221" s="68">
        <f>Ruimtestaat[[#This Row],[kosten / jaar weekend]]+Ruimtestaat[[#This Row],[kosten / jaar werkdagen]]</f>
        <v>0</v>
      </c>
      <c r="AH221" s="96"/>
      <c r="HL221" s="66"/>
    </row>
    <row r="222" spans="1:220" ht="15" customHeight="1">
      <c r="A222" s="114">
        <v>2</v>
      </c>
      <c r="B222" s="24" t="str">
        <f>VLOOKUP(Ruimtestaat[[#This Row],[Code]],Locaties[#All],2,FALSE)</f>
        <v>Magazijn</v>
      </c>
      <c r="C222" s="24" t="str">
        <f>VLOOKUP(Ruimtestaat[[#This Row],[Code]],Locaties[#All],4,FALSE)</f>
        <v>Rohofstraat 83</v>
      </c>
      <c r="D222" s="24" t="str">
        <f>VLOOKUP(Ruimtestaat[[#This Row],[Code]],Locaties[#All],5,FALSE)</f>
        <v>7605 AT</v>
      </c>
      <c r="E222" s="24" t="str">
        <f>VLOOKUP(Ruimtestaat[[#This Row],[Code]],Locaties[#All],6,FALSE)</f>
        <v>Almelo</v>
      </c>
      <c r="F222" s="61"/>
      <c r="G222" s="24" t="s">
        <v>574</v>
      </c>
      <c r="H222" s="24" t="s">
        <v>723</v>
      </c>
      <c r="I222" s="4" t="s">
        <v>57</v>
      </c>
      <c r="J222" s="24">
        <v>2</v>
      </c>
      <c r="K222" s="61" t="str">
        <f>VLOOKUP(J222,Ruimtegroepen[],2,FALSE)</f>
        <v>Kantoren</v>
      </c>
      <c r="L222" s="24" t="s">
        <v>731</v>
      </c>
      <c r="M222" s="24" t="s">
        <v>366</v>
      </c>
      <c r="N222" s="87">
        <v>78</v>
      </c>
      <c r="O222" s="87"/>
      <c r="P222" s="97" t="str">
        <f>LEFT(VLOOKUP(Ruimtestaat[[#This Row],[Ruimte code]],Ruimtegroepen[#All],4,1),2)</f>
        <v>Bu</v>
      </c>
      <c r="Q222" s="97"/>
      <c r="R222" s="88">
        <v>52</v>
      </c>
      <c r="S222" s="88" t="s">
        <v>2</v>
      </c>
      <c r="T222" s="89">
        <f>IF(R222&gt;0,IF(RIGHT(Ruimtestaat[[#This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2" s="89">
        <f>IF(T222&gt;0,VLOOKUP($J222,Ruimtegroepen[],3,FALSE)*VLOOKUP($L222,Vloersoorten[],3,FALSE)*VLOOKUP($S222,Frequenties[],3,FALSE)*VLOOKUP($A222,Locaties[],3,FALSE),0)</f>
        <v>0</v>
      </c>
      <c r="V222" s="90">
        <f>Ruimtestaat[[#This Row],[Uitvoeringen werkdagen]]*Ruimtestaat[[#This Row],[Oppervlak (netto)]]</f>
        <v>20280</v>
      </c>
      <c r="W222" s="91">
        <f>IF(U222&gt;0,Ruimtestaat[[#This Row],[Prest. (m2 /jaar) werkdagen]]/Ruimtestaat[[#This Row],[Norm (m2/uur) werkdagen]],0)</f>
        <v>0</v>
      </c>
      <c r="X222" s="92">
        <f>Ruimtestaat[[#This Row],[uren / jaar werkdagen]]*Tariefsopbouw!$E$35</f>
        <v>0</v>
      </c>
      <c r="Y222" s="89"/>
      <c r="Z222" s="93">
        <f>IF(Ruimtestaat[[#This Row],[Frequentie weekend]]&gt;0,VALUE(LEFT(Y222,1))*R222,0)</f>
        <v>0</v>
      </c>
      <c r="AA222" s="89">
        <f>IF($Z222&gt;0,VLOOKUP($J222,Ruimtegroepen[],3,FALSE)*VLOOKUP($L222,Vloersoorten[],3,FALSE)*VLOOKUP($Y222,Frequenties[],3,FALSE)*VLOOKUP($A218,Locaties[],3,FALSE),0)</f>
        <v>0</v>
      </c>
      <c r="AB222" s="91">
        <f>Ruimtestaat[[#This Row],[Uitvoeringen weekend]]*Ruimtestaat[[#This Row],[Oppervlak (netto)]]</f>
        <v>0</v>
      </c>
      <c r="AC222" s="94">
        <f>IF(AB222&gt;0,Ruimtestaat[[#This Row],[Prest. (m2 /jaar) weekend]]/Ruimtestaat[[#This Row],[Norm (m2/uur) weekend]],0)</f>
        <v>0</v>
      </c>
      <c r="AD222" s="95">
        <f>Ruimtestaat[[#This Row],[uren / jaar weekend]]*Tariefsopbouw!$D$40</f>
        <v>0</v>
      </c>
      <c r="AE222" s="67">
        <f>Ruimtestaat[[#This Row],[Prest. (m2 /jaar) weekend]]+Ruimtestaat[[#This Row],[Prest. (m2 /jaar) werkdagen]]</f>
        <v>20280</v>
      </c>
      <c r="AF222" s="67">
        <f>Ruimtestaat[[#This Row],[uren / jaar weekend]]+Ruimtestaat[[#This Row],[uren / jaar werkdagen]]</f>
        <v>0</v>
      </c>
      <c r="AG222" s="68">
        <f>Ruimtestaat[[#This Row],[kosten / jaar weekend]]+Ruimtestaat[[#This Row],[kosten / jaar werkdagen]]</f>
        <v>0</v>
      </c>
      <c r="AH222" s="96"/>
      <c r="HL222" s="66"/>
    </row>
    <row r="223" spans="1:220" ht="15" customHeight="1">
      <c r="A223" s="114">
        <v>2</v>
      </c>
      <c r="B223" s="24" t="str">
        <f>VLOOKUP(Ruimtestaat[[#This Row],[Code]],Locaties[#All],2,FALSE)</f>
        <v>Magazijn</v>
      </c>
      <c r="C223" s="24" t="str">
        <f>VLOOKUP(Ruimtestaat[[#This Row],[Code]],Locaties[#All],4,FALSE)</f>
        <v>Rohofstraat 83</v>
      </c>
      <c r="D223" s="24" t="str">
        <f>VLOOKUP(Ruimtestaat[[#This Row],[Code]],Locaties[#All],5,FALSE)</f>
        <v>7605 AT</v>
      </c>
      <c r="E223" s="24" t="str">
        <f>VLOOKUP(Ruimtestaat[[#This Row],[Code]],Locaties[#All],6,FALSE)</f>
        <v>Almelo</v>
      </c>
      <c r="F223" s="61"/>
      <c r="G223" s="24" t="s">
        <v>574</v>
      </c>
      <c r="H223" s="24" t="s">
        <v>724</v>
      </c>
      <c r="I223" s="4" t="s">
        <v>717</v>
      </c>
      <c r="J223" s="24">
        <v>6</v>
      </c>
      <c r="K223" s="61" t="str">
        <f>VLOOKUP(J223,Ruimtegroepen[],2,FALSE)</f>
        <v>Gangen/hallen</v>
      </c>
      <c r="L223" s="24" t="s">
        <v>731</v>
      </c>
      <c r="M223" s="24" t="s">
        <v>366</v>
      </c>
      <c r="N223" s="87">
        <v>26</v>
      </c>
      <c r="O223" s="87"/>
      <c r="P223" s="97" t="str">
        <f>LEFT(VLOOKUP(Ruimtestaat[[#This Row],[Ruimte code]],Ruimtegroepen[#All],4,1),2)</f>
        <v>Ve</v>
      </c>
      <c r="Q223" s="97"/>
      <c r="R223" s="88">
        <v>52</v>
      </c>
      <c r="S223" s="88" t="s">
        <v>2</v>
      </c>
      <c r="T223" s="89">
        <f>IF(R223&gt;0,IF(RIGHT(Ruimtestaat[[#This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3" s="89">
        <f>IF(T223&gt;0,VLOOKUP($J223,Ruimtegroepen[],3,FALSE)*VLOOKUP($L223,Vloersoorten[],3,FALSE)*VLOOKUP($S223,Frequenties[],3,FALSE)*VLOOKUP($A223,Locaties[],3,FALSE),0)</f>
        <v>0</v>
      </c>
      <c r="V223" s="90">
        <f>Ruimtestaat[[#This Row],[Uitvoeringen werkdagen]]*Ruimtestaat[[#This Row],[Oppervlak (netto)]]</f>
        <v>6760</v>
      </c>
      <c r="W223" s="91">
        <f>IF(U223&gt;0,Ruimtestaat[[#This Row],[Prest. (m2 /jaar) werkdagen]]/Ruimtestaat[[#This Row],[Norm (m2/uur) werkdagen]],0)</f>
        <v>0</v>
      </c>
      <c r="X223" s="92">
        <f>Ruimtestaat[[#This Row],[uren / jaar werkdagen]]*Tariefsopbouw!$E$35</f>
        <v>0</v>
      </c>
      <c r="Y223" s="89"/>
      <c r="Z223" s="93">
        <f>IF(Ruimtestaat[[#This Row],[Frequentie weekend]]&gt;0,VALUE(LEFT(Y223,1))*R223,0)</f>
        <v>0</v>
      </c>
      <c r="AA223" s="89">
        <f>IF($Z223&gt;0,VLOOKUP($J223,Ruimtegroepen[],3,FALSE)*VLOOKUP($L223,Vloersoorten[],3,FALSE)*VLOOKUP($Y223,Frequenties[],3,FALSE)*VLOOKUP($A219,Locaties[],3,FALSE),0)</f>
        <v>0</v>
      </c>
      <c r="AB223" s="91">
        <f>Ruimtestaat[[#This Row],[Uitvoeringen weekend]]*Ruimtestaat[[#This Row],[Oppervlak (netto)]]</f>
        <v>0</v>
      </c>
      <c r="AC223" s="94">
        <f>IF(AB223&gt;0,Ruimtestaat[[#This Row],[Prest. (m2 /jaar) weekend]]/Ruimtestaat[[#This Row],[Norm (m2/uur) weekend]],0)</f>
        <v>0</v>
      </c>
      <c r="AD223" s="95">
        <f>Ruimtestaat[[#This Row],[uren / jaar weekend]]*Tariefsopbouw!$D$40</f>
        <v>0</v>
      </c>
      <c r="AE223" s="67">
        <f>Ruimtestaat[[#This Row],[Prest. (m2 /jaar) weekend]]+Ruimtestaat[[#This Row],[Prest. (m2 /jaar) werkdagen]]</f>
        <v>6760</v>
      </c>
      <c r="AF223" s="67">
        <f>Ruimtestaat[[#This Row],[uren / jaar weekend]]+Ruimtestaat[[#This Row],[uren / jaar werkdagen]]</f>
        <v>0</v>
      </c>
      <c r="AG223" s="68">
        <f>Ruimtestaat[[#This Row],[kosten / jaar weekend]]+Ruimtestaat[[#This Row],[kosten / jaar werkdagen]]</f>
        <v>0</v>
      </c>
      <c r="AH223" s="96"/>
      <c r="HL223" s="66"/>
    </row>
    <row r="224" spans="1:220" ht="15" customHeight="1">
      <c r="A224" s="114">
        <v>2</v>
      </c>
      <c r="B224" s="24" t="str">
        <f>VLOOKUP(Ruimtestaat[[#This Row],[Code]],Locaties[#All],2,FALSE)</f>
        <v>Magazijn</v>
      </c>
      <c r="C224" s="24" t="str">
        <f>VLOOKUP(Ruimtestaat[[#This Row],[Code]],Locaties[#All],4,FALSE)</f>
        <v>Rohofstraat 83</v>
      </c>
      <c r="D224" s="24" t="str">
        <f>VLOOKUP(Ruimtestaat[[#This Row],[Code]],Locaties[#All],5,FALSE)</f>
        <v>7605 AT</v>
      </c>
      <c r="E224" s="24" t="str">
        <f>VLOOKUP(Ruimtestaat[[#This Row],[Code]],Locaties[#All],6,FALSE)</f>
        <v>Almelo</v>
      </c>
      <c r="F224" s="61"/>
      <c r="G224" s="24" t="s">
        <v>574</v>
      </c>
      <c r="I224" s="4" t="s">
        <v>706</v>
      </c>
      <c r="J224" s="24">
        <v>10</v>
      </c>
      <c r="K224" s="61" t="str">
        <f>VLOOKUP(J224,Ruimtegroepen[],2,FALSE)</f>
        <v>Trappenhuizen/lift</v>
      </c>
      <c r="L224" s="24" t="s">
        <v>104</v>
      </c>
      <c r="M224" s="24" t="s">
        <v>366</v>
      </c>
      <c r="N224" s="87">
        <v>5</v>
      </c>
      <c r="O224" s="87"/>
      <c r="P224" s="97" t="str">
        <f>LEFT(VLOOKUP(Ruimtestaat[[#This Row],[Ruimte code]],Ruimtegroepen[#All],4,1),2)</f>
        <v>Ve</v>
      </c>
      <c r="Q224" s="97"/>
      <c r="R224" s="88">
        <v>52</v>
      </c>
      <c r="S224" s="88" t="s">
        <v>2</v>
      </c>
      <c r="T224" s="89">
        <f>IF(R224&gt;0,IF(RIGHT(Ruimtestaat[[#This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4" s="89">
        <f>IF(T224&gt;0,VLOOKUP($J224,Ruimtegroepen[],3,FALSE)*VLOOKUP($L224,Vloersoorten[],3,FALSE)*VLOOKUP($S224,Frequenties[],3,FALSE)*VLOOKUP($A224,Locaties[],3,FALSE),0)</f>
        <v>0</v>
      </c>
      <c r="V224" s="90">
        <f>Ruimtestaat[[#This Row],[Uitvoeringen werkdagen]]*Ruimtestaat[[#This Row],[Oppervlak (netto)]]</f>
        <v>1300</v>
      </c>
      <c r="W224" s="91">
        <f>IF(U224&gt;0,Ruimtestaat[[#This Row],[Prest. (m2 /jaar) werkdagen]]/Ruimtestaat[[#This Row],[Norm (m2/uur) werkdagen]],0)</f>
        <v>0</v>
      </c>
      <c r="X224" s="92">
        <f>Ruimtestaat[[#This Row],[uren / jaar werkdagen]]*Tariefsopbouw!$E$35</f>
        <v>0</v>
      </c>
      <c r="Y224" s="89"/>
      <c r="Z224" s="93">
        <f>IF(Ruimtestaat[[#This Row],[Frequentie weekend]]&gt;0,VALUE(LEFT(Y224,1))*R224,0)</f>
        <v>0</v>
      </c>
      <c r="AA224" s="89">
        <f>IF($Z224&gt;0,VLOOKUP($J224,Ruimtegroepen[],3,FALSE)*VLOOKUP($L224,Vloersoorten[],3,FALSE)*VLOOKUP($Y224,Frequenties[],3,FALSE)*VLOOKUP($A220,Locaties[],3,FALSE),0)</f>
        <v>0</v>
      </c>
      <c r="AB224" s="91">
        <f>Ruimtestaat[[#This Row],[Uitvoeringen weekend]]*Ruimtestaat[[#This Row],[Oppervlak (netto)]]</f>
        <v>0</v>
      </c>
      <c r="AC224" s="94">
        <f>IF(AB224&gt;0,Ruimtestaat[[#This Row],[Prest. (m2 /jaar) weekend]]/Ruimtestaat[[#This Row],[Norm (m2/uur) weekend]],0)</f>
        <v>0</v>
      </c>
      <c r="AD224" s="95">
        <f>Ruimtestaat[[#This Row],[uren / jaar weekend]]*Tariefsopbouw!$D$40</f>
        <v>0</v>
      </c>
      <c r="AE224" s="67">
        <f>Ruimtestaat[[#This Row],[Prest. (m2 /jaar) weekend]]+Ruimtestaat[[#This Row],[Prest. (m2 /jaar) werkdagen]]</f>
        <v>1300</v>
      </c>
      <c r="AF224" s="67">
        <f>Ruimtestaat[[#This Row],[uren / jaar weekend]]+Ruimtestaat[[#This Row],[uren / jaar werkdagen]]</f>
        <v>0</v>
      </c>
      <c r="AG224" s="68">
        <f>Ruimtestaat[[#This Row],[kosten / jaar weekend]]+Ruimtestaat[[#This Row],[kosten / jaar werkdagen]]</f>
        <v>0</v>
      </c>
      <c r="AH224" s="96"/>
      <c r="HL224" s="66"/>
    </row>
    <row r="225" spans="1:220" ht="15" customHeight="1">
      <c r="A225" s="114">
        <v>2</v>
      </c>
      <c r="B225" s="24" t="str">
        <f>VLOOKUP(Ruimtestaat[[#This Row],[Code]],Locaties[#All],2,FALSE)</f>
        <v>Magazijn</v>
      </c>
      <c r="C225" s="24" t="str">
        <f>VLOOKUP(Ruimtestaat[[#This Row],[Code]],Locaties[#All],4,FALSE)</f>
        <v>Rohofstraat 83</v>
      </c>
      <c r="D225" s="24" t="str">
        <f>VLOOKUP(Ruimtestaat[[#This Row],[Code]],Locaties[#All],5,FALSE)</f>
        <v>7605 AT</v>
      </c>
      <c r="E225" s="24" t="str">
        <f>VLOOKUP(Ruimtestaat[[#This Row],[Code]],Locaties[#All],6,FALSE)</f>
        <v>Almelo</v>
      </c>
      <c r="F225" s="61"/>
      <c r="G225" s="24" t="s">
        <v>574</v>
      </c>
      <c r="H225" s="24" t="s">
        <v>725</v>
      </c>
      <c r="I225" s="4" t="s">
        <v>717</v>
      </c>
      <c r="J225" s="24">
        <v>6</v>
      </c>
      <c r="K225" s="61" t="str">
        <f>VLOOKUP(J225,Ruimtegroepen[],2,FALSE)</f>
        <v>Gangen/hallen</v>
      </c>
      <c r="L225" s="24" t="s">
        <v>731</v>
      </c>
      <c r="M225" s="24" t="s">
        <v>366</v>
      </c>
      <c r="N225" s="87">
        <v>15</v>
      </c>
      <c r="O225" s="87"/>
      <c r="P225" s="97" t="str">
        <f>LEFT(VLOOKUP(Ruimtestaat[[#This Row],[Ruimte code]],Ruimtegroepen[#All],4,1),2)</f>
        <v>Ve</v>
      </c>
      <c r="Q225" s="97"/>
      <c r="R225" s="88">
        <v>52</v>
      </c>
      <c r="S225" s="88" t="s">
        <v>2</v>
      </c>
      <c r="T225" s="89">
        <f>IF(R225&gt;0,IF(RIGHT(Ruimtestaat[[#This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5" s="89">
        <f>IF(T225&gt;0,VLOOKUP($J225,Ruimtegroepen[],3,FALSE)*VLOOKUP($L225,Vloersoorten[],3,FALSE)*VLOOKUP($S225,Frequenties[],3,FALSE)*VLOOKUP($A225,Locaties[],3,FALSE),0)</f>
        <v>0</v>
      </c>
      <c r="V225" s="90">
        <f>Ruimtestaat[[#This Row],[Uitvoeringen werkdagen]]*Ruimtestaat[[#This Row],[Oppervlak (netto)]]</f>
        <v>3900</v>
      </c>
      <c r="W225" s="91">
        <f>IF(U225&gt;0,Ruimtestaat[[#This Row],[Prest. (m2 /jaar) werkdagen]]/Ruimtestaat[[#This Row],[Norm (m2/uur) werkdagen]],0)</f>
        <v>0</v>
      </c>
      <c r="X225" s="92">
        <f>Ruimtestaat[[#This Row],[uren / jaar werkdagen]]*Tariefsopbouw!$E$35</f>
        <v>0</v>
      </c>
      <c r="Y225" s="89"/>
      <c r="Z225" s="93">
        <f>IF(Ruimtestaat[[#This Row],[Frequentie weekend]]&gt;0,VALUE(LEFT(Y225,1))*R225,0)</f>
        <v>0</v>
      </c>
      <c r="AA225" s="89">
        <f>IF($Z225&gt;0,VLOOKUP($J225,Ruimtegroepen[],3,FALSE)*VLOOKUP($L225,Vloersoorten[],3,FALSE)*VLOOKUP($Y225,Frequenties[],3,FALSE)*VLOOKUP($A221,Locaties[],3,FALSE),0)</f>
        <v>0</v>
      </c>
      <c r="AB225" s="91">
        <f>Ruimtestaat[[#This Row],[Uitvoeringen weekend]]*Ruimtestaat[[#This Row],[Oppervlak (netto)]]</f>
        <v>0</v>
      </c>
      <c r="AC225" s="94">
        <f>IF(AB225&gt;0,Ruimtestaat[[#This Row],[Prest. (m2 /jaar) weekend]]/Ruimtestaat[[#This Row],[Norm (m2/uur) weekend]],0)</f>
        <v>0</v>
      </c>
      <c r="AD225" s="95">
        <f>Ruimtestaat[[#This Row],[uren / jaar weekend]]*Tariefsopbouw!$D$40</f>
        <v>0</v>
      </c>
      <c r="AE225" s="67">
        <f>Ruimtestaat[[#This Row],[Prest. (m2 /jaar) weekend]]+Ruimtestaat[[#This Row],[Prest. (m2 /jaar) werkdagen]]</f>
        <v>3900</v>
      </c>
      <c r="AF225" s="67">
        <f>Ruimtestaat[[#This Row],[uren / jaar weekend]]+Ruimtestaat[[#This Row],[uren / jaar werkdagen]]</f>
        <v>0</v>
      </c>
      <c r="AG225" s="68">
        <f>Ruimtestaat[[#This Row],[kosten / jaar weekend]]+Ruimtestaat[[#This Row],[kosten / jaar werkdagen]]</f>
        <v>0</v>
      </c>
      <c r="AH225" s="96"/>
      <c r="HL225" s="66"/>
    </row>
    <row r="226" spans="1:220" ht="15" customHeight="1">
      <c r="A226" s="114">
        <v>2</v>
      </c>
      <c r="B226" s="24" t="str">
        <f>VLOOKUP(Ruimtestaat[[#This Row],[Code]],Locaties[#All],2,FALSE)</f>
        <v>Magazijn</v>
      </c>
      <c r="C226" s="24" t="str">
        <f>VLOOKUP(Ruimtestaat[[#This Row],[Code]],Locaties[#All],4,FALSE)</f>
        <v>Rohofstraat 83</v>
      </c>
      <c r="D226" s="24" t="str">
        <f>VLOOKUP(Ruimtestaat[[#This Row],[Code]],Locaties[#All],5,FALSE)</f>
        <v>7605 AT</v>
      </c>
      <c r="E226" s="24" t="str">
        <f>VLOOKUP(Ruimtestaat[[#This Row],[Code]],Locaties[#All],6,FALSE)</f>
        <v>Almelo</v>
      </c>
      <c r="F226" s="61"/>
      <c r="G226" s="24" t="s">
        <v>574</v>
      </c>
      <c r="H226" s="24" t="s">
        <v>726</v>
      </c>
      <c r="I226" s="4" t="s">
        <v>57</v>
      </c>
      <c r="J226" s="24">
        <v>2</v>
      </c>
      <c r="K226" s="61" t="str">
        <f>VLOOKUP(J226,Ruimtegroepen[],2,FALSE)</f>
        <v>Kantoren</v>
      </c>
      <c r="L226" s="24" t="s">
        <v>731</v>
      </c>
      <c r="M226" s="24" t="s">
        <v>366</v>
      </c>
      <c r="N226" s="87">
        <v>27</v>
      </c>
      <c r="O226" s="87"/>
      <c r="P226" s="97" t="str">
        <f>LEFT(VLOOKUP(Ruimtestaat[[#This Row],[Ruimte code]],Ruimtegroepen[#All],4,1),2)</f>
        <v>Bu</v>
      </c>
      <c r="Q226" s="97"/>
      <c r="R226" s="88">
        <v>52</v>
      </c>
      <c r="S226" s="88" t="s">
        <v>2</v>
      </c>
      <c r="T226" s="89">
        <f>IF(R226&gt;0,IF(RIGHT(Ruimtestaat[[#This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6" s="89">
        <f>IF(T226&gt;0,VLOOKUP($J226,Ruimtegroepen[],3,FALSE)*VLOOKUP($L226,Vloersoorten[],3,FALSE)*VLOOKUP($S226,Frequenties[],3,FALSE)*VLOOKUP($A226,Locaties[],3,FALSE),0)</f>
        <v>0</v>
      </c>
      <c r="V226" s="90">
        <f>Ruimtestaat[[#This Row],[Uitvoeringen werkdagen]]*Ruimtestaat[[#This Row],[Oppervlak (netto)]]</f>
        <v>7020</v>
      </c>
      <c r="W226" s="91">
        <f>IF(U226&gt;0,Ruimtestaat[[#This Row],[Prest. (m2 /jaar) werkdagen]]/Ruimtestaat[[#This Row],[Norm (m2/uur) werkdagen]],0)</f>
        <v>0</v>
      </c>
      <c r="X226" s="92">
        <f>Ruimtestaat[[#This Row],[uren / jaar werkdagen]]*Tariefsopbouw!$E$35</f>
        <v>0</v>
      </c>
      <c r="Y226" s="89"/>
      <c r="Z226" s="93">
        <f>IF(Ruimtestaat[[#This Row],[Frequentie weekend]]&gt;0,VALUE(LEFT(Y226,1))*R226,0)</f>
        <v>0</v>
      </c>
      <c r="AA226" s="89">
        <f>IF($Z226&gt;0,VLOOKUP($J226,Ruimtegroepen[],3,FALSE)*VLOOKUP($L226,Vloersoorten[],3,FALSE)*VLOOKUP($Y226,Frequenties[],3,FALSE)*VLOOKUP($A222,Locaties[],3,FALSE),0)</f>
        <v>0</v>
      </c>
      <c r="AB226" s="91">
        <f>Ruimtestaat[[#This Row],[Uitvoeringen weekend]]*Ruimtestaat[[#This Row],[Oppervlak (netto)]]</f>
        <v>0</v>
      </c>
      <c r="AC226" s="94">
        <f>IF(AB226&gt;0,Ruimtestaat[[#This Row],[Prest. (m2 /jaar) weekend]]/Ruimtestaat[[#This Row],[Norm (m2/uur) weekend]],0)</f>
        <v>0</v>
      </c>
      <c r="AD226" s="95">
        <f>Ruimtestaat[[#This Row],[uren / jaar weekend]]*Tariefsopbouw!$D$40</f>
        <v>0</v>
      </c>
      <c r="AE226" s="67">
        <f>Ruimtestaat[[#This Row],[Prest. (m2 /jaar) weekend]]+Ruimtestaat[[#This Row],[Prest. (m2 /jaar) werkdagen]]</f>
        <v>7020</v>
      </c>
      <c r="AF226" s="67">
        <f>Ruimtestaat[[#This Row],[uren / jaar weekend]]+Ruimtestaat[[#This Row],[uren / jaar werkdagen]]</f>
        <v>0</v>
      </c>
      <c r="AG226" s="68">
        <f>Ruimtestaat[[#This Row],[kosten / jaar weekend]]+Ruimtestaat[[#This Row],[kosten / jaar werkdagen]]</f>
        <v>0</v>
      </c>
      <c r="AH226" s="96"/>
      <c r="HL226" s="66"/>
    </row>
    <row r="227" spans="1:220" ht="15" customHeight="1">
      <c r="A227" s="114">
        <v>2</v>
      </c>
      <c r="B227" s="24" t="str">
        <f>VLOOKUP(Ruimtestaat[[#This Row],[Code]],Locaties[#All],2,FALSE)</f>
        <v>Magazijn</v>
      </c>
      <c r="C227" s="24" t="str">
        <f>VLOOKUP(Ruimtestaat[[#This Row],[Code]],Locaties[#All],4,FALSE)</f>
        <v>Rohofstraat 83</v>
      </c>
      <c r="D227" s="24" t="str">
        <f>VLOOKUP(Ruimtestaat[[#This Row],[Code]],Locaties[#All],5,FALSE)</f>
        <v>7605 AT</v>
      </c>
      <c r="E227" s="24" t="str">
        <f>VLOOKUP(Ruimtestaat[[#This Row],[Code]],Locaties[#All],6,FALSE)</f>
        <v>Almelo</v>
      </c>
      <c r="F227" s="61"/>
      <c r="G227" s="24" t="s">
        <v>574</v>
      </c>
      <c r="H227" s="24" t="s">
        <v>727</v>
      </c>
      <c r="I227" s="4" t="s">
        <v>728</v>
      </c>
      <c r="J227" s="24">
        <v>15</v>
      </c>
      <c r="K227" s="61" t="str">
        <f>VLOOKUP(J227,Ruimtegroepen[],2,FALSE)</f>
        <v>Keuken/pantry</v>
      </c>
      <c r="L227" s="24" t="s">
        <v>104</v>
      </c>
      <c r="M227" s="24" t="s">
        <v>366</v>
      </c>
      <c r="N227" s="87">
        <v>3</v>
      </c>
      <c r="O227" s="87"/>
      <c r="P227" s="97" t="str">
        <f>LEFT(VLOOKUP(Ruimtestaat[[#This Row],[Ruimte code]],Ruimtegroepen[#All],4,1),2)</f>
        <v>Ve</v>
      </c>
      <c r="Q227" s="97"/>
      <c r="R227" s="88">
        <v>52</v>
      </c>
      <c r="S227" s="88" t="s">
        <v>2</v>
      </c>
      <c r="T227" s="89">
        <f>IF(R227&gt;0,IF(RIGHT(Ruimtestaat[[#This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7" s="89">
        <f>IF(T227&gt;0,VLOOKUP($J227,Ruimtegroepen[],3,FALSE)*VLOOKUP($L227,Vloersoorten[],3,FALSE)*VLOOKUP($S227,Frequenties[],3,FALSE)*VLOOKUP($A227,Locaties[],3,FALSE),0)</f>
        <v>0</v>
      </c>
      <c r="V227" s="90">
        <f>Ruimtestaat[[#This Row],[Uitvoeringen werkdagen]]*Ruimtestaat[[#This Row],[Oppervlak (netto)]]</f>
        <v>780</v>
      </c>
      <c r="W227" s="91">
        <f>IF(U227&gt;0,Ruimtestaat[[#This Row],[Prest. (m2 /jaar) werkdagen]]/Ruimtestaat[[#This Row],[Norm (m2/uur) werkdagen]],0)</f>
        <v>0</v>
      </c>
      <c r="X227" s="92">
        <f>Ruimtestaat[[#This Row],[uren / jaar werkdagen]]*Tariefsopbouw!$E$35</f>
        <v>0</v>
      </c>
      <c r="Y227" s="89"/>
      <c r="Z227" s="93">
        <f>IF(Ruimtestaat[[#This Row],[Frequentie weekend]]&gt;0,VALUE(LEFT(Y227,1))*R227,0)</f>
        <v>0</v>
      </c>
      <c r="AA227" s="89">
        <f>IF($Z227&gt;0,VLOOKUP($J227,Ruimtegroepen[],3,FALSE)*VLOOKUP($L227,Vloersoorten[],3,FALSE)*VLOOKUP($Y227,Frequenties[],3,FALSE)*VLOOKUP($A223,Locaties[],3,FALSE),0)</f>
        <v>0</v>
      </c>
      <c r="AB227" s="91">
        <f>Ruimtestaat[[#This Row],[Uitvoeringen weekend]]*Ruimtestaat[[#This Row],[Oppervlak (netto)]]</f>
        <v>0</v>
      </c>
      <c r="AC227" s="94">
        <f>IF(AB227&gt;0,Ruimtestaat[[#This Row],[Prest. (m2 /jaar) weekend]]/Ruimtestaat[[#This Row],[Norm (m2/uur) weekend]],0)</f>
        <v>0</v>
      </c>
      <c r="AD227" s="95">
        <f>Ruimtestaat[[#This Row],[uren / jaar weekend]]*Tariefsopbouw!$D$40</f>
        <v>0</v>
      </c>
      <c r="AE227" s="67">
        <f>Ruimtestaat[[#This Row],[Prest. (m2 /jaar) weekend]]+Ruimtestaat[[#This Row],[Prest. (m2 /jaar) werkdagen]]</f>
        <v>780</v>
      </c>
      <c r="AF227" s="67">
        <f>Ruimtestaat[[#This Row],[uren / jaar weekend]]+Ruimtestaat[[#This Row],[uren / jaar werkdagen]]</f>
        <v>0</v>
      </c>
      <c r="AG227" s="68">
        <f>Ruimtestaat[[#This Row],[kosten / jaar weekend]]+Ruimtestaat[[#This Row],[kosten / jaar werkdagen]]</f>
        <v>0</v>
      </c>
      <c r="AH227" s="96"/>
      <c r="HL227" s="66"/>
    </row>
    <row r="228" spans="1:220" ht="15" customHeight="1">
      <c r="A228" s="114">
        <v>2</v>
      </c>
      <c r="B228" s="24" t="str">
        <f>VLOOKUP(Ruimtestaat[[#This Row],[Code]],Locaties[#All],2,FALSE)</f>
        <v>Magazijn</v>
      </c>
      <c r="C228" s="24" t="str">
        <f>VLOOKUP(Ruimtestaat[[#This Row],[Code]],Locaties[#All],4,FALSE)</f>
        <v>Rohofstraat 83</v>
      </c>
      <c r="D228" s="24" t="str">
        <f>VLOOKUP(Ruimtestaat[[#This Row],[Code]],Locaties[#All],5,FALSE)</f>
        <v>7605 AT</v>
      </c>
      <c r="E228" s="24" t="str">
        <f>VLOOKUP(Ruimtestaat[[#This Row],[Code]],Locaties[#All],6,FALSE)</f>
        <v>Almelo</v>
      </c>
      <c r="F228" s="61"/>
      <c r="G228" s="24" t="s">
        <v>574</v>
      </c>
      <c r="H228" s="24" t="s">
        <v>729</v>
      </c>
      <c r="I228" s="4" t="s">
        <v>717</v>
      </c>
      <c r="J228" s="24">
        <v>6</v>
      </c>
      <c r="K228" s="61" t="str">
        <f>VLOOKUP(J228,Ruimtegroepen[],2,FALSE)</f>
        <v>Gangen/hallen</v>
      </c>
      <c r="L228" s="24" t="s">
        <v>731</v>
      </c>
      <c r="M228" s="24" t="s">
        <v>366</v>
      </c>
      <c r="N228" s="87">
        <v>35</v>
      </c>
      <c r="O228" s="87"/>
      <c r="P228" s="97" t="str">
        <f>LEFT(VLOOKUP(Ruimtestaat[[#This Row],[Ruimte code]],Ruimtegroepen[#All],4,1),2)</f>
        <v>Ve</v>
      </c>
      <c r="Q228" s="97"/>
      <c r="R228" s="88">
        <v>52</v>
      </c>
      <c r="S228" s="88" t="s">
        <v>2</v>
      </c>
      <c r="T228" s="89">
        <f>IF(R228&gt;0,IF(RIGHT(Ruimtestaat[[#This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8" s="89">
        <f>IF(T228&gt;0,VLOOKUP($J228,Ruimtegroepen[],3,FALSE)*VLOOKUP($L228,Vloersoorten[],3,FALSE)*VLOOKUP($S228,Frequenties[],3,FALSE)*VLOOKUP($A228,Locaties[],3,FALSE),0)</f>
        <v>0</v>
      </c>
      <c r="V228" s="90">
        <f>Ruimtestaat[[#This Row],[Uitvoeringen werkdagen]]*Ruimtestaat[[#This Row],[Oppervlak (netto)]]</f>
        <v>9100</v>
      </c>
      <c r="W228" s="91">
        <f>IF(U228&gt;0,Ruimtestaat[[#This Row],[Prest. (m2 /jaar) werkdagen]]/Ruimtestaat[[#This Row],[Norm (m2/uur) werkdagen]],0)</f>
        <v>0</v>
      </c>
      <c r="X228" s="92">
        <f>Ruimtestaat[[#This Row],[uren / jaar werkdagen]]*Tariefsopbouw!$E$35</f>
        <v>0</v>
      </c>
      <c r="Y228" s="89"/>
      <c r="Z228" s="93">
        <f>IF(Ruimtestaat[[#This Row],[Frequentie weekend]]&gt;0,VALUE(LEFT(Y228,1))*R228,0)</f>
        <v>0</v>
      </c>
      <c r="AA228" s="89">
        <f>IF($Z228&gt;0,VLOOKUP($J228,Ruimtegroepen[],3,FALSE)*VLOOKUP($L228,Vloersoorten[],3,FALSE)*VLOOKUP($Y228,Frequenties[],3,FALSE)*VLOOKUP($A224,Locaties[],3,FALSE),0)</f>
        <v>0</v>
      </c>
      <c r="AB228" s="91">
        <f>Ruimtestaat[[#This Row],[Uitvoeringen weekend]]*Ruimtestaat[[#This Row],[Oppervlak (netto)]]</f>
        <v>0</v>
      </c>
      <c r="AC228" s="94">
        <f>IF(AB228&gt;0,Ruimtestaat[[#This Row],[Prest. (m2 /jaar) weekend]]/Ruimtestaat[[#This Row],[Norm (m2/uur) weekend]],0)</f>
        <v>0</v>
      </c>
      <c r="AD228" s="95">
        <f>Ruimtestaat[[#This Row],[uren / jaar weekend]]*Tariefsopbouw!$D$40</f>
        <v>0</v>
      </c>
      <c r="AE228" s="67">
        <f>Ruimtestaat[[#This Row],[Prest. (m2 /jaar) weekend]]+Ruimtestaat[[#This Row],[Prest. (m2 /jaar) werkdagen]]</f>
        <v>9100</v>
      </c>
      <c r="AF228" s="67">
        <f>Ruimtestaat[[#This Row],[uren / jaar weekend]]+Ruimtestaat[[#This Row],[uren / jaar werkdagen]]</f>
        <v>0</v>
      </c>
      <c r="AG228" s="68">
        <f>Ruimtestaat[[#This Row],[kosten / jaar weekend]]+Ruimtestaat[[#This Row],[kosten / jaar werkdagen]]</f>
        <v>0</v>
      </c>
      <c r="AH228" s="96"/>
      <c r="HL228" s="66"/>
    </row>
    <row r="229" spans="1:220" ht="15" customHeight="1">
      <c r="A229" s="114">
        <v>2</v>
      </c>
      <c r="B229" s="24" t="str">
        <f>VLOOKUP(Ruimtestaat[[#This Row],[Code]],Locaties[#All],2,FALSE)</f>
        <v>Magazijn</v>
      </c>
      <c r="C229" s="24" t="str">
        <f>VLOOKUP(Ruimtestaat[[#This Row],[Code]],Locaties[#All],4,FALSE)</f>
        <v>Rohofstraat 83</v>
      </c>
      <c r="D229" s="24" t="str">
        <f>VLOOKUP(Ruimtestaat[[#This Row],[Code]],Locaties[#All],5,FALSE)</f>
        <v>7605 AT</v>
      </c>
      <c r="E229" s="24" t="str">
        <f>VLOOKUP(Ruimtestaat[[#This Row],[Code]],Locaties[#All],6,FALSE)</f>
        <v>Almelo</v>
      </c>
      <c r="F229" s="61"/>
      <c r="G229" s="24" t="s">
        <v>574</v>
      </c>
      <c r="H229" s="24" t="s">
        <v>730</v>
      </c>
      <c r="I229" s="4" t="s">
        <v>57</v>
      </c>
      <c r="J229" s="24">
        <v>2</v>
      </c>
      <c r="K229" s="61" t="str">
        <f>VLOOKUP(J229,Ruimtegroepen[],2,FALSE)</f>
        <v>Kantoren</v>
      </c>
      <c r="L229" s="24" t="s">
        <v>731</v>
      </c>
      <c r="M229" s="24" t="s">
        <v>366</v>
      </c>
      <c r="N229" s="87">
        <v>145</v>
      </c>
      <c r="O229" s="87"/>
      <c r="P229" s="97" t="str">
        <f>LEFT(VLOOKUP(Ruimtestaat[[#This Row],[Ruimte code]],Ruimtegroepen[#All],4,1),2)</f>
        <v>Bu</v>
      </c>
      <c r="Q229" s="97"/>
      <c r="R229" s="88">
        <v>52</v>
      </c>
      <c r="S229" s="88" t="s">
        <v>2</v>
      </c>
      <c r="T229" s="89">
        <f>IF(R229&gt;0,IF(RIGHT(Ruimtestaat[[#This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29" s="89">
        <f>IF(T229&gt;0,VLOOKUP($J229,Ruimtegroepen[],3,FALSE)*VLOOKUP($L229,Vloersoorten[],3,FALSE)*VLOOKUP($S229,Frequenties[],3,FALSE)*VLOOKUP($A229,Locaties[],3,FALSE),0)</f>
        <v>0</v>
      </c>
      <c r="V229" s="90">
        <f>Ruimtestaat[[#This Row],[Uitvoeringen werkdagen]]*Ruimtestaat[[#This Row],[Oppervlak (netto)]]</f>
        <v>37700</v>
      </c>
      <c r="W229" s="91">
        <f>IF(U229&gt;0,Ruimtestaat[[#This Row],[Prest. (m2 /jaar) werkdagen]]/Ruimtestaat[[#This Row],[Norm (m2/uur) werkdagen]],0)</f>
        <v>0</v>
      </c>
      <c r="X229" s="92">
        <f>Ruimtestaat[[#This Row],[uren / jaar werkdagen]]*Tariefsopbouw!$E$35</f>
        <v>0</v>
      </c>
      <c r="Y229" s="89"/>
      <c r="Z229" s="93">
        <f>IF(Ruimtestaat[[#This Row],[Frequentie weekend]]&gt;0,VALUE(LEFT(Y229,1))*R229,0)</f>
        <v>0</v>
      </c>
      <c r="AA229" s="89">
        <f>IF($Z229&gt;0,VLOOKUP($J229,Ruimtegroepen[],3,FALSE)*VLOOKUP($L229,Vloersoorten[],3,FALSE)*VLOOKUP($Y229,Frequenties[],3,FALSE)*VLOOKUP($A225,Locaties[],3,FALSE),0)</f>
        <v>0</v>
      </c>
      <c r="AB229" s="91">
        <f>Ruimtestaat[[#This Row],[Uitvoeringen weekend]]*Ruimtestaat[[#This Row],[Oppervlak (netto)]]</f>
        <v>0</v>
      </c>
      <c r="AC229" s="94">
        <f>IF(AB229&gt;0,Ruimtestaat[[#This Row],[Prest. (m2 /jaar) weekend]]/Ruimtestaat[[#This Row],[Norm (m2/uur) weekend]],0)</f>
        <v>0</v>
      </c>
      <c r="AD229" s="95">
        <f>Ruimtestaat[[#This Row],[uren / jaar weekend]]*Tariefsopbouw!$D$40</f>
        <v>0</v>
      </c>
      <c r="AE229" s="67">
        <f>Ruimtestaat[[#This Row],[Prest. (m2 /jaar) weekend]]+Ruimtestaat[[#This Row],[Prest. (m2 /jaar) werkdagen]]</f>
        <v>37700</v>
      </c>
      <c r="AF229" s="67">
        <f>Ruimtestaat[[#This Row],[uren / jaar weekend]]+Ruimtestaat[[#This Row],[uren / jaar werkdagen]]</f>
        <v>0</v>
      </c>
      <c r="AG229" s="68">
        <f>Ruimtestaat[[#This Row],[kosten / jaar weekend]]+Ruimtestaat[[#This Row],[kosten / jaar werkdagen]]</f>
        <v>0</v>
      </c>
      <c r="AH229" s="96"/>
      <c r="HL229" s="66"/>
    </row>
    <row r="230" spans="1:220" ht="15" customHeight="1">
      <c r="A230" s="114">
        <v>2</v>
      </c>
      <c r="B230" s="24" t="str">
        <f>VLOOKUP(Ruimtestaat[[#This Row],[Code]],Locaties[#All],2,FALSE)</f>
        <v>Magazijn</v>
      </c>
      <c r="C230" s="24" t="str">
        <f>VLOOKUP(Ruimtestaat[[#This Row],[Code]],Locaties[#All],4,FALSE)</f>
        <v>Rohofstraat 83</v>
      </c>
      <c r="D230" s="24" t="str">
        <f>VLOOKUP(Ruimtestaat[[#This Row],[Code]],Locaties[#All],5,FALSE)</f>
        <v>7605 AT</v>
      </c>
      <c r="E230" s="24" t="str">
        <f>VLOOKUP(Ruimtestaat[[#This Row],[Code]],Locaties[#All],6,FALSE)</f>
        <v>Almelo</v>
      </c>
      <c r="F230" s="61"/>
      <c r="G230" s="24" t="s">
        <v>574</v>
      </c>
      <c r="I230" s="4" t="s">
        <v>706</v>
      </c>
      <c r="J230" s="24">
        <v>10</v>
      </c>
      <c r="K230" s="61" t="str">
        <f>VLOOKUP(J230,Ruimtegroepen[],2,FALSE)</f>
        <v>Trappenhuizen/lift</v>
      </c>
      <c r="L230" s="24" t="s">
        <v>104</v>
      </c>
      <c r="M230" s="24" t="s">
        <v>366</v>
      </c>
      <c r="N230" s="87">
        <v>5</v>
      </c>
      <c r="O230" s="87"/>
      <c r="P230" s="97" t="str">
        <f>LEFT(VLOOKUP(Ruimtestaat[[#This Row],[Ruimte code]],Ruimtegroepen[#All],4,1),2)</f>
        <v>Ve</v>
      </c>
      <c r="Q230" s="97"/>
      <c r="R230" s="88">
        <v>52</v>
      </c>
      <c r="S230" s="88" t="s">
        <v>2</v>
      </c>
      <c r="T230" s="89">
        <f>IF(R230&gt;0,IF(RIGHT(Ruimtestaat[[#This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U230" s="89">
        <f>IF(T230&gt;0,VLOOKUP($J230,Ruimtegroepen[],3,FALSE)*VLOOKUP($L230,Vloersoorten[],3,FALSE)*VLOOKUP($S230,Frequenties[],3,FALSE)*VLOOKUP($A230,Locaties[],3,FALSE),0)</f>
        <v>0</v>
      </c>
      <c r="V230" s="90">
        <f>Ruimtestaat[[#This Row],[Uitvoeringen werkdagen]]*Ruimtestaat[[#This Row],[Oppervlak (netto)]]</f>
        <v>1300</v>
      </c>
      <c r="W230" s="91">
        <f>IF(U230&gt;0,Ruimtestaat[[#This Row],[Prest. (m2 /jaar) werkdagen]]/Ruimtestaat[[#This Row],[Norm (m2/uur) werkdagen]],0)</f>
        <v>0</v>
      </c>
      <c r="X230" s="92">
        <f>Ruimtestaat[[#This Row],[uren / jaar werkdagen]]*Tariefsopbouw!$E$35</f>
        <v>0</v>
      </c>
      <c r="Y230" s="89"/>
      <c r="Z230" s="93">
        <f>IF(Ruimtestaat[[#This Row],[Frequentie weekend]]&gt;0,VALUE(LEFT(Y230,1))*R230,0)</f>
        <v>0</v>
      </c>
      <c r="AA230" s="89">
        <f>IF($Z230&gt;0,VLOOKUP($J230,Ruimtegroepen[],3,FALSE)*VLOOKUP($L230,Vloersoorten[],3,FALSE)*VLOOKUP($Y230,Frequenties[],3,FALSE)*VLOOKUP($A226,Locaties[],3,FALSE),0)</f>
        <v>0</v>
      </c>
      <c r="AB230" s="91">
        <f>Ruimtestaat[[#This Row],[Uitvoeringen weekend]]*Ruimtestaat[[#This Row],[Oppervlak (netto)]]</f>
        <v>0</v>
      </c>
      <c r="AC230" s="94">
        <f>IF(AB230&gt;0,Ruimtestaat[[#This Row],[Prest. (m2 /jaar) weekend]]/Ruimtestaat[[#This Row],[Norm (m2/uur) weekend]],0)</f>
        <v>0</v>
      </c>
      <c r="AD230" s="95">
        <f>Ruimtestaat[[#This Row],[uren / jaar weekend]]*Tariefsopbouw!$D$40</f>
        <v>0</v>
      </c>
      <c r="AE230" s="67">
        <f>Ruimtestaat[[#This Row],[Prest. (m2 /jaar) weekend]]+Ruimtestaat[[#This Row],[Prest. (m2 /jaar) werkdagen]]</f>
        <v>1300</v>
      </c>
      <c r="AF230" s="67">
        <f>Ruimtestaat[[#This Row],[uren / jaar weekend]]+Ruimtestaat[[#This Row],[uren / jaar werkdagen]]</f>
        <v>0</v>
      </c>
      <c r="AG230" s="68">
        <f>Ruimtestaat[[#This Row],[kosten / jaar weekend]]+Ruimtestaat[[#This Row],[kosten / jaar werkdagen]]</f>
        <v>0</v>
      </c>
      <c r="AH230" s="96"/>
      <c r="HL230" s="66"/>
    </row>
    <row r="231" spans="1:220" ht="15" customHeight="1">
      <c r="A231" s="114"/>
      <c r="B231" s="24" t="e">
        <f>VLOOKUP(Ruimtestaat[[#This Row],[Code]],Locaties[#All],2,FALSE)</f>
        <v>#N/A</v>
      </c>
      <c r="C231" s="24" t="e">
        <f>VLOOKUP(Ruimtestaat[[#This Row],[Code]],Locaties[#All],4,FALSE)</f>
        <v>#N/A</v>
      </c>
      <c r="D231" s="24" t="e">
        <f>VLOOKUP(Ruimtestaat[[#This Row],[Code]],Locaties[#All],5,FALSE)</f>
        <v>#N/A</v>
      </c>
      <c r="E231" s="24" t="e">
        <f>VLOOKUP(Ruimtestaat[[#This Row],[Code]],Locaties[#All],6,FALSE)</f>
        <v>#N/A</v>
      </c>
      <c r="F231" s="61"/>
      <c r="G231" s="24"/>
      <c r="I231" s="4"/>
      <c r="K231" s="61" t="e">
        <f>VLOOKUP(J231,Ruimtegroepen[],2,FALSE)</f>
        <v>#N/A</v>
      </c>
      <c r="M231" s="24"/>
      <c r="N231" s="87"/>
      <c r="O231" s="87"/>
      <c r="P231" s="97" t="e">
        <f>LEFT(VLOOKUP(Ruimtestaat[[#This Row],[Ruimte code]],Ruimtegroepen[#All],4,1),2)</f>
        <v>#N/A</v>
      </c>
      <c r="Q231" s="97"/>
      <c r="R231" s="88"/>
      <c r="S231" s="88"/>
      <c r="T231" s="89">
        <f>IF(R231&gt;0,IF(RIGHT(Ruimtestaat[[#This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31" s="89">
        <f>IF(T231&gt;0,VLOOKUP($J231,Ruimtegroepen[],3,FALSE)*VLOOKUP($L231,Vloersoorten[],3,FALSE)*VLOOKUP($S231,Frequenties[],3,FALSE)*VLOOKUP($A231,Locaties[],3,FALSE),0)</f>
        <v>0</v>
      </c>
      <c r="V231" s="90">
        <f>Ruimtestaat[[#This Row],[Uitvoeringen werkdagen]]*Ruimtestaat[[#This Row],[Oppervlak (netto)]]</f>
        <v>0</v>
      </c>
      <c r="W231" s="91">
        <f>IF(U231&gt;0,Ruimtestaat[[#This Row],[Prest. (m2 /jaar) werkdagen]]/Ruimtestaat[[#This Row],[Norm (m2/uur) werkdagen]],0)</f>
        <v>0</v>
      </c>
      <c r="X231" s="92">
        <f>Ruimtestaat[[#This Row],[uren / jaar werkdagen]]*Tariefsopbouw!$E$35</f>
        <v>0</v>
      </c>
      <c r="Y231" s="89"/>
      <c r="Z231" s="93">
        <f>IF(Ruimtestaat[[#This Row],[Frequentie weekend]]&gt;0,VALUE(LEFT(Y231,1))*R231,0)</f>
        <v>0</v>
      </c>
      <c r="AA231" s="89">
        <f>IF($Z231&gt;0,VLOOKUP($J231,Ruimtegroepen[],3,FALSE)*VLOOKUP($L231,Vloersoorten[],3,FALSE)*VLOOKUP($Y231,Frequenties[],3,FALSE)*VLOOKUP($A227,Locaties[],3,FALSE),0)</f>
        <v>0</v>
      </c>
      <c r="AB231" s="91">
        <f>Ruimtestaat[[#This Row],[Uitvoeringen weekend]]*Ruimtestaat[[#This Row],[Oppervlak (netto)]]</f>
        <v>0</v>
      </c>
      <c r="AC231" s="94">
        <f>IF(AB231&gt;0,Ruimtestaat[[#This Row],[Prest. (m2 /jaar) weekend]]/Ruimtestaat[[#This Row],[Norm (m2/uur) weekend]],0)</f>
        <v>0</v>
      </c>
      <c r="AD231" s="95">
        <f>Ruimtestaat[[#This Row],[uren / jaar weekend]]*Tariefsopbouw!$D$40</f>
        <v>0</v>
      </c>
      <c r="AE231" s="67">
        <f>Ruimtestaat[[#This Row],[Prest. (m2 /jaar) weekend]]+Ruimtestaat[[#This Row],[Prest. (m2 /jaar) werkdagen]]</f>
        <v>0</v>
      </c>
      <c r="AF231" s="67">
        <f>Ruimtestaat[[#This Row],[uren / jaar weekend]]+Ruimtestaat[[#This Row],[uren / jaar werkdagen]]</f>
        <v>0</v>
      </c>
      <c r="AG231" s="68">
        <f>Ruimtestaat[[#This Row],[kosten / jaar weekend]]+Ruimtestaat[[#This Row],[kosten / jaar werkdagen]]</f>
        <v>0</v>
      </c>
      <c r="AH231" s="96"/>
      <c r="HL231" s="66"/>
    </row>
  </sheetData>
  <sortState xmlns:xlrd2="http://schemas.microsoft.com/office/spreadsheetml/2017/richdata2" ref="B7:T1112">
    <sortCondition ref="B7:B1112"/>
    <sortCondition ref="F7:F1112"/>
  </sortState>
  <mergeCells count="5">
    <mergeCell ref="A1:Q1"/>
    <mergeCell ref="R1:AG1"/>
    <mergeCell ref="S3:X3"/>
    <mergeCell ref="Y3:AD3"/>
    <mergeCell ref="AE3:AG3"/>
  </mergeCells>
  <phoneticPr fontId="8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9"/>
  <sheetViews>
    <sheetView showGridLines="0" view="pageBreakPreview" zoomScaleNormal="100" zoomScaleSheetLayoutView="100" workbookViewId="0">
      <selection activeCell="A17" sqref="A17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4" customWidth="1"/>
    <col min="4" max="4" width="66.85546875" style="4" customWidth="1"/>
    <col min="5" max="5" width="17.7109375" style="4" bestFit="1" customWidth="1"/>
    <col min="6" max="6" width="17.7109375" style="153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0" width="5.140625" style="4" customWidth="1"/>
    <col min="11" max="16384" width="9.140625" style="4"/>
  </cols>
  <sheetData>
    <row r="1" spans="1:9" s="7" customFormat="1" ht="26.25" customHeight="1">
      <c r="A1" s="282" t="s">
        <v>158</v>
      </c>
      <c r="B1" s="282"/>
      <c r="C1" s="282"/>
      <c r="D1" s="282"/>
      <c r="E1" s="282"/>
      <c r="F1" s="282"/>
      <c r="G1" s="282"/>
      <c r="H1" s="282"/>
    </row>
    <row r="2" spans="1:9" s="7" customFormat="1" ht="15" customHeight="1">
      <c r="A2" s="303" t="s">
        <v>211</v>
      </c>
      <c r="B2" s="283"/>
      <c r="C2" s="283"/>
      <c r="D2" s="283"/>
      <c r="E2" s="283"/>
      <c r="F2" s="283"/>
      <c r="G2" s="283"/>
      <c r="H2" s="283"/>
    </row>
    <row r="3" spans="1:9" ht="15" customHeight="1">
      <c r="B3" s="24"/>
      <c r="C3" s="4"/>
    </row>
    <row r="4" spans="1:9" ht="15" customHeight="1">
      <c r="A4" s="4" t="s">
        <v>243</v>
      </c>
      <c r="B4" s="25"/>
      <c r="C4" s="25"/>
      <c r="D4" s="25"/>
      <c r="E4" s="25"/>
      <c r="F4" s="154"/>
      <c r="G4" s="26"/>
    </row>
    <row r="5" spans="1:9" ht="15" customHeight="1">
      <c r="A5" s="4" t="s">
        <v>234</v>
      </c>
      <c r="B5" s="25"/>
      <c r="C5" s="25"/>
      <c r="D5" s="25"/>
      <c r="E5" s="25"/>
      <c r="F5" s="154"/>
      <c r="G5" s="26"/>
    </row>
    <row r="6" spans="1:9" ht="15" customHeight="1">
      <c r="A6" s="4" t="s">
        <v>226</v>
      </c>
      <c r="B6" s="28"/>
      <c r="C6" s="29"/>
      <c r="D6" s="29"/>
      <c r="E6" s="29"/>
      <c r="F6" s="155"/>
    </row>
    <row r="7" spans="1:9" ht="15" customHeight="1">
      <c r="B7" s="28"/>
      <c r="C7" s="28"/>
      <c r="D7" s="23"/>
      <c r="E7" s="23"/>
      <c r="F7" s="156"/>
      <c r="G7" s="29"/>
    </row>
    <row r="8" spans="1:9" s="19" customFormat="1" ht="26.25" customHeight="1">
      <c r="A8" s="42" t="s">
        <v>209</v>
      </c>
      <c r="B8" s="43" t="s">
        <v>146</v>
      </c>
      <c r="C8" s="44" t="s">
        <v>145</v>
      </c>
      <c r="D8" s="42" t="s">
        <v>389</v>
      </c>
      <c r="E8" s="42" t="s">
        <v>241</v>
      </c>
      <c r="F8" s="42" t="s">
        <v>240</v>
      </c>
      <c r="G8" s="42" t="s">
        <v>239</v>
      </c>
      <c r="H8" s="42" t="s">
        <v>251</v>
      </c>
      <c r="I8" s="42" t="s">
        <v>426</v>
      </c>
    </row>
    <row r="9" spans="1:9" ht="15" customHeight="1">
      <c r="A9" s="45">
        <v>1</v>
      </c>
      <c r="B9" s="46" t="s">
        <v>153</v>
      </c>
      <c r="C9" s="47">
        <v>0</v>
      </c>
      <c r="D9" s="50" t="s">
        <v>147</v>
      </c>
      <c r="E9" s="194" t="e">
        <f>InvulVloer[[#This Row],[Prijs]]*Tariefsopbouw!$I$37+InvulVloer[[#This Row],[Prijs]]</f>
        <v>#DIV/0!</v>
      </c>
      <c r="F9" s="195" t="e">
        <f>InvulVloer[[#This Row],[2025]]*Tariefsopbouw!$K$37+InvulVloer[[#This Row],[2025]]</f>
        <v>#DIV/0!</v>
      </c>
      <c r="G9" s="195" t="e">
        <f>InvulVloer[[#This Row],[2026]]*Tariefsopbouw!$M$37+InvulVloer[[#This Row],[2026]]</f>
        <v>#DIV/0!</v>
      </c>
      <c r="H9" s="195" t="e">
        <f>InvulVloer[[#This Row],[2027]]*Tariefsopbouw!$O$37+InvulVloer[[#This Row],[2027]]</f>
        <v>#DIV/0!</v>
      </c>
      <c r="I9" s="195" t="e">
        <f>InvulVloer[[#This Row],[2028]]*Tariefsopbouw!$Q$37+InvulVloer[[#This Row],[2028]]</f>
        <v>#DIV/0!</v>
      </c>
    </row>
    <row r="10" spans="1:9" ht="15" customHeight="1">
      <c r="A10" s="48">
        <v>2</v>
      </c>
      <c r="B10" s="49" t="s">
        <v>154</v>
      </c>
      <c r="C10" s="47">
        <v>0</v>
      </c>
      <c r="D10" s="53" t="s">
        <v>148</v>
      </c>
      <c r="E10" s="194" t="e">
        <f>InvulVloer[[#This Row],[Prijs]]*Tariefsopbouw!$I$37+InvulVloer[[#This Row],[Prijs]]</f>
        <v>#DIV/0!</v>
      </c>
      <c r="F10" s="196" t="e">
        <f>InvulVloer[[#This Row],[2025]]*Tariefsopbouw!$K$37+InvulVloer[[#This Row],[2025]]</f>
        <v>#DIV/0!</v>
      </c>
      <c r="G10" s="196" t="e">
        <f>InvulVloer[[#This Row],[2026]]*Tariefsopbouw!$M$37+InvulVloer[[#This Row],[2026]]</f>
        <v>#DIV/0!</v>
      </c>
      <c r="H10" s="196" t="e">
        <f>InvulVloer[[#This Row],[2027]]*Tariefsopbouw!$O$37+InvulVloer[[#This Row],[2027]]</f>
        <v>#DIV/0!</v>
      </c>
      <c r="I10" s="196" t="e">
        <f>InvulVloer[[#This Row],[2028]]*Tariefsopbouw!$Q$37+InvulVloer[[#This Row],[2028]]</f>
        <v>#DIV/0!</v>
      </c>
    </row>
    <row r="11" spans="1:9" ht="15" customHeight="1">
      <c r="A11" s="45">
        <v>3</v>
      </c>
      <c r="B11" s="46" t="s">
        <v>155</v>
      </c>
      <c r="C11" s="47">
        <v>0</v>
      </c>
      <c r="D11" s="50" t="s">
        <v>148</v>
      </c>
      <c r="E11" s="194" t="e">
        <f>InvulVloer[[#This Row],[Prijs]]*Tariefsopbouw!$I$37+InvulVloer[[#This Row],[Prijs]]</f>
        <v>#DIV/0!</v>
      </c>
      <c r="F11" s="197" t="e">
        <f>InvulVloer[[#This Row],[2025]]*Tariefsopbouw!$K$37+InvulVloer[[#This Row],[2025]]</f>
        <v>#DIV/0!</v>
      </c>
      <c r="G11" s="197" t="e">
        <f>InvulVloer[[#This Row],[2026]]*Tariefsopbouw!$M$37+InvulVloer[[#This Row],[2026]]</f>
        <v>#DIV/0!</v>
      </c>
      <c r="H11" s="197" t="e">
        <f>InvulVloer[[#This Row],[2027]]*Tariefsopbouw!$O$37+InvulVloer[[#This Row],[2027]]</f>
        <v>#DIV/0!</v>
      </c>
      <c r="I11" s="197" t="e">
        <f>InvulVloer[[#This Row],[2028]]*Tariefsopbouw!$Q$37+InvulVloer[[#This Row],[2028]]</f>
        <v>#DIV/0!</v>
      </c>
    </row>
    <row r="12" spans="1:9" ht="15" customHeight="1">
      <c r="A12" s="48">
        <v>4</v>
      </c>
      <c r="B12" s="49" t="s">
        <v>149</v>
      </c>
      <c r="C12" s="47">
        <v>0</v>
      </c>
      <c r="D12" s="53" t="s">
        <v>147</v>
      </c>
      <c r="E12" s="194" t="e">
        <f>InvulVloer[[#This Row],[Prijs]]*Tariefsopbouw!$I$37+InvulVloer[[#This Row],[Prijs]]</f>
        <v>#DIV/0!</v>
      </c>
      <c r="F12" s="196" t="e">
        <f>InvulVloer[[#This Row],[2025]]*Tariefsopbouw!$K$37+InvulVloer[[#This Row],[2025]]</f>
        <v>#DIV/0!</v>
      </c>
      <c r="G12" s="196" t="e">
        <f>InvulVloer[[#This Row],[2026]]*Tariefsopbouw!$M$37+InvulVloer[[#This Row],[2026]]</f>
        <v>#DIV/0!</v>
      </c>
      <c r="H12" s="196" t="e">
        <f>InvulVloer[[#This Row],[2027]]*Tariefsopbouw!$O$37+InvulVloer[[#This Row],[2027]]</f>
        <v>#DIV/0!</v>
      </c>
      <c r="I12" s="196" t="e">
        <f>InvulVloer[[#This Row],[2028]]*Tariefsopbouw!$Q$37+InvulVloer[[#This Row],[2028]]</f>
        <v>#DIV/0!</v>
      </c>
    </row>
    <row r="13" spans="1:9" ht="15" customHeight="1">
      <c r="A13" s="45">
        <v>5</v>
      </c>
      <c r="B13" s="46" t="s">
        <v>150</v>
      </c>
      <c r="C13" s="47">
        <v>0</v>
      </c>
      <c r="D13" s="50" t="s">
        <v>147</v>
      </c>
      <c r="E13" s="194" t="e">
        <f>InvulVloer[[#This Row],[Prijs]]*Tariefsopbouw!$I$37+InvulVloer[[#This Row],[Prijs]]</f>
        <v>#DIV/0!</v>
      </c>
      <c r="F13" s="197" t="e">
        <f>InvulVloer[[#This Row],[2025]]*Tariefsopbouw!$K$37+InvulVloer[[#This Row],[2025]]</f>
        <v>#DIV/0!</v>
      </c>
      <c r="G13" s="197" t="e">
        <f>InvulVloer[[#This Row],[2026]]*Tariefsopbouw!$M$37+InvulVloer[[#This Row],[2026]]</f>
        <v>#DIV/0!</v>
      </c>
      <c r="H13" s="197" t="e">
        <f>InvulVloer[[#This Row],[2027]]*Tariefsopbouw!$O$37+InvulVloer[[#This Row],[2027]]</f>
        <v>#DIV/0!</v>
      </c>
      <c r="I13" s="197" t="e">
        <f>InvulVloer[[#This Row],[2028]]*Tariefsopbouw!$Q$37+InvulVloer[[#This Row],[2028]]</f>
        <v>#DIV/0!</v>
      </c>
    </row>
    <row r="14" spans="1:9" ht="15" customHeight="1">
      <c r="A14" s="200">
        <v>6</v>
      </c>
      <c r="B14" s="49" t="s">
        <v>795</v>
      </c>
      <c r="C14" s="47">
        <v>0</v>
      </c>
      <c r="D14" s="53" t="s">
        <v>147</v>
      </c>
      <c r="E14" s="194" t="e">
        <f>InvulVloer[[#This Row],[Prijs]]*Tariefsopbouw!$I$37+InvulVloer[[#This Row],[Prijs]]</f>
        <v>#DIV/0!</v>
      </c>
      <c r="F14" s="196" t="e">
        <f>InvulVloer[[#This Row],[2025]]*Tariefsopbouw!$K$37+InvulVloer[[#This Row],[2025]]</f>
        <v>#DIV/0!</v>
      </c>
      <c r="G14" s="196" t="e">
        <f>InvulVloer[[#This Row],[2026]]*Tariefsopbouw!$M$37+InvulVloer[[#This Row],[2026]]</f>
        <v>#DIV/0!</v>
      </c>
      <c r="H14" s="196" t="e">
        <f>InvulVloer[[#This Row],[2027]]*Tariefsopbouw!$O$37+InvulVloer[[#This Row],[2027]]</f>
        <v>#DIV/0!</v>
      </c>
      <c r="I14" s="196" t="e">
        <f>InvulVloer[[#This Row],[2028]]*Tariefsopbouw!$Q$37+InvulVloer[[#This Row],[2028]]</f>
        <v>#DIV/0!</v>
      </c>
    </row>
    <row r="15" spans="1:9" ht="15" customHeight="1">
      <c r="A15" s="45">
        <v>7</v>
      </c>
      <c r="B15" s="50" t="s">
        <v>157</v>
      </c>
      <c r="C15" s="47">
        <v>0</v>
      </c>
      <c r="D15" s="50" t="s">
        <v>147</v>
      </c>
      <c r="E15" s="194" t="e">
        <f>InvulVloer[[#This Row],[Prijs]]*Tariefsopbouw!$I$37+InvulVloer[[#This Row],[Prijs]]</f>
        <v>#DIV/0!</v>
      </c>
      <c r="F15" s="197" t="e">
        <f>InvulVloer[[#This Row],[2025]]*Tariefsopbouw!$K$37+InvulVloer[[#This Row],[2025]]</f>
        <v>#DIV/0!</v>
      </c>
      <c r="G15" s="197" t="e">
        <f>InvulVloer[[#This Row],[2026]]*Tariefsopbouw!$M$37+InvulVloer[[#This Row],[2026]]</f>
        <v>#DIV/0!</v>
      </c>
      <c r="H15" s="197" t="e">
        <f>InvulVloer[[#This Row],[2027]]*Tariefsopbouw!$O$37+InvulVloer[[#This Row],[2027]]</f>
        <v>#DIV/0!</v>
      </c>
      <c r="I15" s="197" t="e">
        <f>InvulVloer[[#This Row],[2028]]*Tariefsopbouw!$Q$37+InvulVloer[[#This Row],[2028]]</f>
        <v>#DIV/0!</v>
      </c>
    </row>
    <row r="16" spans="1:9" ht="15" customHeight="1">
      <c r="A16" s="48">
        <v>8</v>
      </c>
      <c r="B16" s="51" t="s">
        <v>193</v>
      </c>
      <c r="C16" s="47">
        <v>0</v>
      </c>
      <c r="D16" s="53" t="s">
        <v>147</v>
      </c>
      <c r="E16" s="194" t="e">
        <f>InvulVloer[[#This Row],[Prijs]]*Tariefsopbouw!$I$37+InvulVloer[[#This Row],[Prijs]]</f>
        <v>#DIV/0!</v>
      </c>
      <c r="F16" s="196" t="e">
        <f>InvulVloer[[#This Row],[2025]]*Tariefsopbouw!$K$37+InvulVloer[[#This Row],[2025]]</f>
        <v>#DIV/0!</v>
      </c>
      <c r="G16" s="196" t="e">
        <f>InvulVloer[[#This Row],[2026]]*Tariefsopbouw!$M$37+InvulVloer[[#This Row],[2026]]</f>
        <v>#DIV/0!</v>
      </c>
      <c r="H16" s="196" t="e">
        <f>InvulVloer[[#This Row],[2027]]*Tariefsopbouw!$O$37+InvulVloer[[#This Row],[2027]]</f>
        <v>#DIV/0!</v>
      </c>
      <c r="I16" s="196" t="e">
        <f>InvulVloer[[#This Row],[2028]]*Tariefsopbouw!$Q$37+InvulVloer[[#This Row],[2028]]</f>
        <v>#DIV/0!</v>
      </c>
    </row>
    <row r="17" spans="1:9" ht="15" customHeight="1">
      <c r="A17" s="326">
        <v>9</v>
      </c>
      <c r="B17" s="52" t="s">
        <v>194</v>
      </c>
      <c r="C17" s="47">
        <v>0</v>
      </c>
      <c r="D17" s="50" t="s">
        <v>147</v>
      </c>
      <c r="E17" s="198" t="e">
        <f>InvulVloer[[#This Row],[Prijs]]*Tariefsopbouw!$I$37+InvulVloer[[#This Row],[Prijs]]</f>
        <v>#DIV/0!</v>
      </c>
      <c r="F17" s="199" t="e">
        <f>InvulVloer[[#This Row],[2025]]*Tariefsopbouw!$K$37+InvulVloer[[#This Row],[2025]]</f>
        <v>#DIV/0!</v>
      </c>
      <c r="G17" s="198" t="e">
        <f>InvulVloer[[#This Row],[2026]]*Tariefsopbouw!$M$37+InvulVloer[[#This Row],[2026]]</f>
        <v>#DIV/0!</v>
      </c>
      <c r="H17" s="198" t="e">
        <f>InvulVloer[[#This Row],[2027]]*Tariefsopbouw!$O$37+InvulVloer[[#This Row],[2027]]</f>
        <v>#DIV/0!</v>
      </c>
      <c r="I17" s="198" t="e">
        <f>InvulVloer[[#This Row],[2028]]*Tariefsopbouw!$Q$37+InvulVloer[[#This Row],[2028]]</f>
        <v>#DIV/0!</v>
      </c>
    </row>
    <row r="18" spans="1:9" ht="15" customHeight="1">
      <c r="B18" s="24"/>
      <c r="E18" s="31"/>
      <c r="F18" s="156"/>
      <c r="G18" s="31"/>
      <c r="H18" s="31"/>
    </row>
    <row r="19" spans="1:9" ht="15" customHeight="1">
      <c r="C19" s="25"/>
      <c r="D19" s="25"/>
    </row>
    <row r="20" spans="1:9" s="22" customFormat="1" ht="26.25" customHeight="1">
      <c r="A20" s="42" t="s">
        <v>208</v>
      </c>
      <c r="B20" s="43" t="s">
        <v>142</v>
      </c>
      <c r="C20" s="42" t="s">
        <v>209</v>
      </c>
      <c r="D20" s="54" t="s">
        <v>146</v>
      </c>
      <c r="E20" s="54" t="s">
        <v>151</v>
      </c>
      <c r="F20" s="157" t="s">
        <v>152</v>
      </c>
      <c r="G20" s="54" t="s">
        <v>156</v>
      </c>
      <c r="H20" s="55" t="s">
        <v>143</v>
      </c>
    </row>
    <row r="21" spans="1:9" ht="15" customHeight="1">
      <c r="A21" s="200">
        <v>1</v>
      </c>
      <c r="B21" s="151" t="str">
        <f>VLOOKUP(OverzichtVloer[[#This Row],[Code Locatie]],Locaties[],2,0)</f>
        <v>Hoofdgebouw</v>
      </c>
      <c r="C21" s="200">
        <v>4</v>
      </c>
      <c r="D21" s="201" t="str">
        <f>IF(Vloeronderhoud!$C21&gt;0,VLOOKUP(Vloeronderhoud!$C21,$A$8:$B$17,2,FALSE),"")</f>
        <v>Tapijtreinigen, sproei-extractiemethode</v>
      </c>
      <c r="E21" s="162" t="s">
        <v>103</v>
      </c>
      <c r="F21" s="158">
        <f>SUMIFS('Ruimtestaat'!$N:$N,'Ruimtestaat'!L:L,Vloeronderhoud!E21,'Ruimtestaat'!A:A,Vloeronderhoud!A21)</f>
        <v>3426.4600000000005</v>
      </c>
      <c r="G21" s="162">
        <v>1</v>
      </c>
      <c r="H21" s="202">
        <f>VLOOKUP(OverzichtVloer[[#This Row],[Code Taak]],InvulVloer[],3,3)*F21*G21</f>
        <v>0</v>
      </c>
    </row>
    <row r="22" spans="1:9" ht="15" customHeight="1">
      <c r="A22" s="200">
        <v>1</v>
      </c>
      <c r="B22" s="151" t="str">
        <f>VLOOKUP(OverzichtVloer[[#This Row],[Code Locatie]],Locaties[],2,0)</f>
        <v>Hoofdgebouw</v>
      </c>
      <c r="C22" s="200">
        <v>8</v>
      </c>
      <c r="D22" s="201" t="str">
        <f>IF(Vloeronderhoud!$C22&gt;0,VLOOKUP(Vloeronderhoud!$C22,$A$8:$B$17,2,FALSE),"")</f>
        <v>Machinaal schrobben en droogzuigen</v>
      </c>
      <c r="E22" s="162" t="s">
        <v>106</v>
      </c>
      <c r="F22" s="158">
        <f>SUMIFS('Ruimtestaat'!$N:$N,'Ruimtestaat'!L:L,Vloeronderhoud!E22,'Ruimtestaat'!A:A,Vloeronderhoud!A22)</f>
        <v>1162.1000000000004</v>
      </c>
      <c r="G22" s="162">
        <v>1</v>
      </c>
      <c r="H22" s="202">
        <f>VLOOKUP(OverzichtVloer[[#This Row],[Code Taak]],InvulVloer[],3,3)*F22*G22</f>
        <v>0</v>
      </c>
    </row>
    <row r="23" spans="1:9" ht="15.75" customHeight="1">
      <c r="A23" s="200">
        <v>2</v>
      </c>
      <c r="B23" s="151" t="str">
        <f>VLOOKUP(OverzichtVloer[[#This Row],[Code Locatie]],Locaties[],2,0)</f>
        <v>Magazijn</v>
      </c>
      <c r="C23" s="200">
        <v>1</v>
      </c>
      <c r="D23" s="201" t="str">
        <f>IF(Vloeronderhoud!$C23&gt;0,VLOOKUP(Vloeronderhoud!$C23,$A$8:$B$17,2,FALSE),"")</f>
        <v>Sprayen/opblokken</v>
      </c>
      <c r="E23" s="162" t="s">
        <v>104</v>
      </c>
      <c r="F23" s="158">
        <f>SUMIFS('Ruimtestaat'!$N:$N,'Ruimtestaat'!L:L,Vloeronderhoud!E23,'Ruimtestaat'!A:A,Vloeronderhoud!A23)</f>
        <v>574.29999999999995</v>
      </c>
      <c r="G23" s="162">
        <v>1</v>
      </c>
      <c r="H23" s="202">
        <f>VLOOKUP(OverzichtVloer[[#This Row],[Code Taak]],InvulVloer[],3,3)*F23*G23</f>
        <v>0</v>
      </c>
    </row>
    <row r="24" spans="1:9" ht="15" customHeight="1">
      <c r="A24" s="200">
        <v>2</v>
      </c>
      <c r="B24" s="151" t="str">
        <f>VLOOKUP(OverzichtVloer[[#This Row],[Code Locatie]],Locaties[],2,0)</f>
        <v>Magazijn</v>
      </c>
      <c r="C24" s="200">
        <v>2</v>
      </c>
      <c r="D24" s="201" t="str">
        <f>IF(Vloeronderhoud!$C24&gt;0,VLOOKUP(Vloeronderhoud!$C24,$A$8:$B$17,2,FALSE),"")</f>
        <v>Topstrippen en conserveren</v>
      </c>
      <c r="E24" s="162" t="s">
        <v>104</v>
      </c>
      <c r="F24" s="158">
        <f>SUMIFS('Ruimtestaat'!$N:$N,'Ruimtestaat'!L:L,Vloeronderhoud!E24,'Ruimtestaat'!A:A,Vloeronderhoud!A24)</f>
        <v>574.29999999999995</v>
      </c>
      <c r="G24" s="162">
        <v>1</v>
      </c>
      <c r="H24" s="202">
        <f>VLOOKUP(OverzichtVloer[[#This Row],[Code Taak]],InvulVloer[],3,3)*F24*G24</f>
        <v>0</v>
      </c>
    </row>
    <row r="25" spans="1:9" ht="15" customHeight="1">
      <c r="A25" s="200">
        <v>2</v>
      </c>
      <c r="B25" s="151" t="str">
        <f>VLOOKUP(OverzichtVloer[[#This Row],[Code Locatie]],Locaties[],2,0)</f>
        <v>Magazijn</v>
      </c>
      <c r="C25" s="200">
        <v>3</v>
      </c>
      <c r="D25" s="201" t="str">
        <f>IF(Vloeronderhoud!$C25&gt;0,VLOOKUP(Vloeronderhoud!$C25,$A$8:$B$17,2,FALSE),"")</f>
        <v>Diepstrippen, sealen en conserveren</v>
      </c>
      <c r="E25" s="162" t="s">
        <v>104</v>
      </c>
      <c r="F25" s="158">
        <f>SUMIFS('Ruimtestaat'!$N:$N,'Ruimtestaat'!L:L,Vloeronderhoud!E25,'Ruimtestaat'!A:A,Vloeronderhoud!A25)</f>
        <v>574.29999999999995</v>
      </c>
      <c r="G25" s="162">
        <v>0.25</v>
      </c>
      <c r="H25" s="202">
        <f>VLOOKUP(OverzichtVloer[[#This Row],[Code Taak]],InvulVloer[],3,3)*F25*G25</f>
        <v>0</v>
      </c>
    </row>
    <row r="26" spans="1:9" ht="15" customHeight="1">
      <c r="A26" s="200">
        <v>2</v>
      </c>
      <c r="B26" s="151" t="str">
        <f>VLOOKUP(OverzichtVloer[[#This Row],[Code Locatie]],Locaties[],2,0)</f>
        <v>Magazijn</v>
      </c>
      <c r="C26" s="200">
        <v>4</v>
      </c>
      <c r="D26" s="201" t="str">
        <f>IF(Vloeronderhoud!$C26&gt;0,VLOOKUP(Vloeronderhoud!$C26,$A$8:$B$17,2,FALSE),"")</f>
        <v>Tapijtreinigen, sproei-extractiemethode</v>
      </c>
      <c r="E26" s="162" t="s">
        <v>103</v>
      </c>
      <c r="F26" s="158">
        <f>SUMIFS('Ruimtestaat'!$N:$N,'Ruimtestaat'!L:L,Vloeronderhoud!E26,'Ruimtestaat'!A:A,Vloeronderhoud!A26)</f>
        <v>8.3000000000000007</v>
      </c>
      <c r="G26" s="162">
        <v>1</v>
      </c>
      <c r="H26" s="202">
        <f>VLOOKUP(OverzichtVloer[[#This Row],[Code Taak]],InvulVloer[],3,3)*F26*G26</f>
        <v>0</v>
      </c>
    </row>
    <row r="27" spans="1:9" ht="15" customHeight="1">
      <c r="A27" s="200">
        <v>2</v>
      </c>
      <c r="B27" s="151" t="str">
        <f>VLOOKUP(OverzichtVloer[[#This Row],[Code Locatie]],Locaties[],2,0)</f>
        <v>Magazijn</v>
      </c>
      <c r="C27" s="200">
        <v>6</v>
      </c>
      <c r="D27" s="201" t="str">
        <f>IF(Vloeronderhoud!$C27&gt;0,VLOOKUP(Vloeronderhoud!$C27,$A$8:$B$17,2,FALSE),"")</f>
        <v>Oliën houten vloer</v>
      </c>
      <c r="E27" s="162" t="s">
        <v>792</v>
      </c>
      <c r="F27" s="158">
        <f>SUMIFS('Ruimtestaat'!$N:$N,'Ruimtestaat'!L:L,Vloeronderhoud!E27,'Ruimtestaat'!A:A,Vloeronderhoud!A27)</f>
        <v>20</v>
      </c>
      <c r="G27" s="162">
        <v>1</v>
      </c>
      <c r="H27" s="202">
        <f>VLOOKUP(OverzichtVloer[[#This Row],[Code Taak]],InvulVloer[],3,3)*F27*G27</f>
        <v>0</v>
      </c>
    </row>
    <row r="28" spans="1:9" ht="15" customHeight="1">
      <c r="A28" s="171"/>
      <c r="B28" s="172" t="s">
        <v>33</v>
      </c>
      <c r="C28" s="171"/>
      <c r="D28" s="173"/>
      <c r="E28" s="171"/>
      <c r="F28" s="174"/>
      <c r="G28" s="171"/>
      <c r="H28" s="175">
        <f>SUBTOTAL(109,OverzichtVloer[Kosten/jaar excl. BTW])</f>
        <v>0</v>
      </c>
    </row>
    <row r="29" spans="1:9" ht="15" customHeight="1">
      <c r="A29" s="27"/>
      <c r="C29" s="25"/>
      <c r="D29" s="25"/>
      <c r="E29" s="25"/>
      <c r="F29" s="156"/>
      <c r="G29" s="34"/>
      <c r="H29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54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D610-5BBF-4E6C-AB32-FE2F2C9AEFBC}">
  <sheetPr>
    <tabColor theme="0" tint="-0.14999847407452621"/>
  </sheetPr>
  <dimension ref="A1:I101"/>
  <sheetViews>
    <sheetView view="pageBreakPreview" zoomScaleNormal="100" zoomScaleSheetLayoutView="100" workbookViewId="0">
      <selection sqref="A1:G1"/>
    </sheetView>
  </sheetViews>
  <sheetFormatPr defaultColWidth="9.140625" defaultRowHeight="11.25"/>
  <cols>
    <col min="1" max="1" width="11.5703125" style="24" customWidth="1"/>
    <col min="2" max="2" width="47.42578125" style="4" bestFit="1" customWidth="1"/>
    <col min="3" max="3" width="12.5703125" style="4" customWidth="1"/>
    <col min="4" max="4" width="52.140625" style="24" bestFit="1" customWidth="1"/>
    <col min="5" max="5" width="19" style="4" customWidth="1"/>
    <col min="6" max="6" width="17.7109375" style="4" bestFit="1" customWidth="1"/>
    <col min="7" max="7" width="18" style="4" customWidth="1"/>
    <col min="8" max="8" width="17.5703125" style="4" customWidth="1"/>
    <col min="9" max="9" width="27.28515625" style="4" customWidth="1"/>
    <col min="10" max="16384" width="9.140625" style="4"/>
  </cols>
  <sheetData>
    <row r="1" spans="1:9" s="7" customFormat="1" ht="26.25" customHeight="1">
      <c r="A1" s="293" t="s">
        <v>390</v>
      </c>
      <c r="B1" s="293"/>
      <c r="C1" s="293"/>
      <c r="D1" s="293"/>
      <c r="E1" s="293"/>
      <c r="F1" s="293"/>
      <c r="G1" s="293"/>
      <c r="H1" s="60"/>
    </row>
    <row r="2" spans="1:9" s="7" customFormat="1" ht="15" customHeight="1">
      <c r="A2" s="291" t="s">
        <v>211</v>
      </c>
      <c r="B2" s="305"/>
      <c r="C2" s="305"/>
      <c r="D2" s="305"/>
      <c r="E2" s="305"/>
      <c r="F2" s="305"/>
      <c r="G2" s="305"/>
      <c r="H2" s="306"/>
    </row>
    <row r="3" spans="1:9" ht="15" customHeight="1">
      <c r="B3" s="24"/>
      <c r="D3" s="208"/>
      <c r="E3" s="209"/>
    </row>
    <row r="4" spans="1:9" ht="15" customHeight="1">
      <c r="A4" s="4" t="s">
        <v>171</v>
      </c>
      <c r="B4" s="24"/>
      <c r="D4" s="208"/>
      <c r="E4" s="208"/>
    </row>
    <row r="5" spans="1:9" ht="15" customHeight="1">
      <c r="A5" s="4" t="s">
        <v>234</v>
      </c>
      <c r="B5" s="24"/>
      <c r="D5" s="4"/>
    </row>
    <row r="6" spans="1:9" ht="15" customHeight="1">
      <c r="A6" s="4" t="s">
        <v>192</v>
      </c>
      <c r="B6" s="28"/>
      <c r="C6" s="28"/>
      <c r="D6" s="23"/>
      <c r="E6" s="23"/>
      <c r="F6" s="29"/>
      <c r="G6" s="29"/>
    </row>
    <row r="7" spans="1:9" ht="15" customHeight="1">
      <c r="A7" s="4"/>
      <c r="B7" s="28"/>
      <c r="C7" s="28"/>
      <c r="D7" s="23"/>
      <c r="E7" s="304" t="s">
        <v>244</v>
      </c>
      <c r="F7" s="304"/>
      <c r="G7" s="304"/>
      <c r="H7" s="304"/>
      <c r="I7" s="304"/>
    </row>
    <row r="8" spans="1:9" s="19" customFormat="1" ht="26.25" customHeight="1">
      <c r="A8" s="42" t="s">
        <v>391</v>
      </c>
      <c r="B8" s="43" t="s">
        <v>392</v>
      </c>
      <c r="C8" s="44" t="s">
        <v>169</v>
      </c>
      <c r="D8" s="42" t="s">
        <v>144</v>
      </c>
      <c r="E8" s="42" t="s">
        <v>241</v>
      </c>
      <c r="F8" s="42" t="s">
        <v>240</v>
      </c>
      <c r="G8" s="42" t="s">
        <v>239</v>
      </c>
      <c r="H8" s="42" t="s">
        <v>251</v>
      </c>
      <c r="I8" s="42" t="s">
        <v>426</v>
      </c>
    </row>
    <row r="9" spans="1:9" ht="15" customHeight="1">
      <c r="A9" s="200">
        <v>1</v>
      </c>
      <c r="B9" s="210" t="s">
        <v>393</v>
      </c>
      <c r="C9" s="47">
        <v>0</v>
      </c>
      <c r="D9" s="151" t="s">
        <v>394</v>
      </c>
      <c r="E9" s="194" t="e">
        <f>(InvulGlas[[#This Row],[Prijs excl. BTW]]*Tariefsopbouw!$I$37)+InvulGlas[[#This Row],[Prijs excl. BTW]]</f>
        <v>#DIV/0!</v>
      </c>
      <c r="F9" s="194" t="e">
        <f>(InvulGlas[[#This Row],[2025]]*Tariefsopbouw!$K$37)+InvulGlas[[#This Row],[2025]]</f>
        <v>#DIV/0!</v>
      </c>
      <c r="G9" s="194" t="e">
        <f>(InvulGlas[[#This Row],[2026]]*Tariefsopbouw!$M$37)+InvulGlas[[#This Row],[2026]]</f>
        <v>#DIV/0!</v>
      </c>
      <c r="H9" s="194" t="e">
        <f>(InvulGlas[[#This Row],[2027]]*Tariefsopbouw!$O$37)+InvulGlas[[#This Row],[2027]]</f>
        <v>#DIV/0!</v>
      </c>
      <c r="I9" s="194" t="e">
        <f>(InvulGlas[[#This Row],[2028]]*Tariefsopbouw!$Q$37)+InvulGlas[[#This Row],[2028]]</f>
        <v>#DIV/0!</v>
      </c>
    </row>
    <row r="10" spans="1:9" ht="15" customHeight="1">
      <c r="A10" s="200">
        <v>2</v>
      </c>
      <c r="B10" s="210" t="s">
        <v>395</v>
      </c>
      <c r="C10" s="47">
        <v>0</v>
      </c>
      <c r="D10" s="151" t="s">
        <v>394</v>
      </c>
      <c r="E10" s="194" t="e">
        <f>(InvulGlas[[#This Row],[Prijs excl. BTW]]*Tariefsopbouw!$I$37)+InvulGlas[[#This Row],[Prijs excl. BTW]]</f>
        <v>#DIV/0!</v>
      </c>
      <c r="F10" s="194" t="e">
        <f>(InvulGlas[[#This Row],[2025]]*Tariefsopbouw!$K$37)+InvulGlas[[#This Row],[2025]]</f>
        <v>#DIV/0!</v>
      </c>
      <c r="G10" s="194" t="e">
        <f>(InvulGlas[[#This Row],[2026]]*Tariefsopbouw!$M$37)+InvulGlas[[#This Row],[2026]]</f>
        <v>#DIV/0!</v>
      </c>
      <c r="H10" s="194" t="e">
        <f>(InvulGlas[[#This Row],[2027]]*Tariefsopbouw!$O$37)+InvulGlas[[#This Row],[2027]]</f>
        <v>#DIV/0!</v>
      </c>
      <c r="I10" s="194" t="e">
        <f>(InvulGlas[[#This Row],[2028]]*Tariefsopbouw!$Q$37)+InvulGlas[[#This Row],[2028]]</f>
        <v>#DIV/0!</v>
      </c>
    </row>
    <row r="11" spans="1:9" ht="15" customHeight="1">
      <c r="A11" s="200">
        <v>3</v>
      </c>
      <c r="B11" s="210" t="s">
        <v>396</v>
      </c>
      <c r="C11" s="47">
        <v>0</v>
      </c>
      <c r="D11" s="151" t="s">
        <v>394</v>
      </c>
      <c r="E11" s="194" t="e">
        <f>(InvulGlas[[#This Row],[Prijs excl. BTW]]*Tariefsopbouw!$I$37)+InvulGlas[[#This Row],[Prijs excl. BTW]]</f>
        <v>#DIV/0!</v>
      </c>
      <c r="F11" s="194" t="e">
        <f>(InvulGlas[[#This Row],[2025]]*Tariefsopbouw!$K$37)+InvulGlas[[#This Row],[2025]]</f>
        <v>#DIV/0!</v>
      </c>
      <c r="G11" s="194" t="e">
        <f>(InvulGlas[[#This Row],[2026]]*Tariefsopbouw!$M$37)+InvulGlas[[#This Row],[2026]]</f>
        <v>#DIV/0!</v>
      </c>
      <c r="H11" s="194" t="e">
        <f>(InvulGlas[[#This Row],[2027]]*Tariefsopbouw!$O$37)+InvulGlas[[#This Row],[2027]]</f>
        <v>#DIV/0!</v>
      </c>
      <c r="I11" s="194" t="e">
        <f>(InvulGlas[[#This Row],[2028]]*Tariefsopbouw!$Q$37)+InvulGlas[[#This Row],[2028]]</f>
        <v>#DIV/0!</v>
      </c>
    </row>
    <row r="12" spans="1:9" ht="15" customHeight="1">
      <c r="A12" s="200">
        <v>4</v>
      </c>
      <c r="B12" s="210" t="s">
        <v>397</v>
      </c>
      <c r="C12" s="47">
        <v>0</v>
      </c>
      <c r="D12" s="151" t="s">
        <v>394</v>
      </c>
      <c r="E12" s="194" t="e">
        <f>(InvulGlas[[#This Row],[Prijs excl. BTW]]*Tariefsopbouw!$I$37)+InvulGlas[[#This Row],[Prijs excl. BTW]]</f>
        <v>#DIV/0!</v>
      </c>
      <c r="F12" s="194" t="e">
        <f>(InvulGlas[[#This Row],[2025]]*Tariefsopbouw!$K$37)+InvulGlas[[#This Row],[2025]]</f>
        <v>#DIV/0!</v>
      </c>
      <c r="G12" s="194" t="e">
        <f>(InvulGlas[[#This Row],[2026]]*Tariefsopbouw!$M$37)+InvulGlas[[#This Row],[2026]]</f>
        <v>#DIV/0!</v>
      </c>
      <c r="H12" s="194" t="e">
        <f>(InvulGlas[[#This Row],[2027]]*Tariefsopbouw!$O$37)+InvulGlas[[#This Row],[2027]]</f>
        <v>#DIV/0!</v>
      </c>
      <c r="I12" s="194" t="e">
        <f>(InvulGlas[[#This Row],[2028]]*Tariefsopbouw!$Q$37)+InvulGlas[[#This Row],[2028]]</f>
        <v>#DIV/0!</v>
      </c>
    </row>
    <row r="13" spans="1:9" ht="15" customHeight="1">
      <c r="A13" s="200">
        <v>5</v>
      </c>
      <c r="B13" s="210" t="s">
        <v>751</v>
      </c>
      <c r="C13" s="47">
        <v>0</v>
      </c>
      <c r="D13" s="151" t="s">
        <v>394</v>
      </c>
      <c r="E13" s="194" t="e">
        <f>(InvulGlas[[#This Row],[Prijs excl. BTW]]*Tariefsopbouw!$I$37)+InvulGlas[[#This Row],[Prijs excl. BTW]]</f>
        <v>#DIV/0!</v>
      </c>
      <c r="F13" s="194" t="e">
        <f>(InvulGlas[[#This Row],[2025]]*Tariefsopbouw!$K$37)+InvulGlas[[#This Row],[2025]]</f>
        <v>#DIV/0!</v>
      </c>
      <c r="G13" s="194" t="e">
        <f>(InvulGlas[[#This Row],[2026]]*Tariefsopbouw!$M$37)+InvulGlas[[#This Row],[2026]]</f>
        <v>#DIV/0!</v>
      </c>
      <c r="H13" s="194" t="e">
        <f>(InvulGlas[[#This Row],[2027]]*Tariefsopbouw!$O$37)+InvulGlas[[#This Row],[2027]]</f>
        <v>#DIV/0!</v>
      </c>
      <c r="I13" s="194" t="e">
        <f>(InvulGlas[[#This Row],[2028]]*Tariefsopbouw!$Q$37)+InvulGlas[[#This Row],[2028]]</f>
        <v>#DIV/0!</v>
      </c>
    </row>
    <row r="14" spans="1:9" ht="15" customHeight="1">
      <c r="A14" s="200">
        <v>6</v>
      </c>
      <c r="B14" s="210" t="s">
        <v>398</v>
      </c>
      <c r="C14" s="47">
        <v>0</v>
      </c>
      <c r="D14" s="151" t="s">
        <v>394</v>
      </c>
      <c r="E14" s="194" t="e">
        <f>(InvulGlas[[#This Row],[Prijs excl. BTW]]*Tariefsopbouw!$I$37)+InvulGlas[[#This Row],[Prijs excl. BTW]]</f>
        <v>#DIV/0!</v>
      </c>
      <c r="F14" s="194" t="e">
        <f>(InvulGlas[[#This Row],[2025]]*Tariefsopbouw!$K$37)+InvulGlas[[#This Row],[2025]]</f>
        <v>#DIV/0!</v>
      </c>
      <c r="G14" s="194" t="e">
        <f>(InvulGlas[[#This Row],[2026]]*Tariefsopbouw!$M$37)+InvulGlas[[#This Row],[2026]]</f>
        <v>#DIV/0!</v>
      </c>
      <c r="H14" s="194" t="e">
        <f>(InvulGlas[[#This Row],[2027]]*Tariefsopbouw!$O$37)+InvulGlas[[#This Row],[2027]]</f>
        <v>#DIV/0!</v>
      </c>
      <c r="I14" s="194" t="e">
        <f>(InvulGlas[[#This Row],[2028]]*Tariefsopbouw!$Q$37)+InvulGlas[[#This Row],[2028]]</f>
        <v>#DIV/0!</v>
      </c>
    </row>
    <row r="15" spans="1:9" ht="15" customHeight="1">
      <c r="A15" s="200">
        <v>7</v>
      </c>
      <c r="B15" s="210" t="s">
        <v>399</v>
      </c>
      <c r="C15" s="47">
        <v>0</v>
      </c>
      <c r="D15" s="151" t="s">
        <v>394</v>
      </c>
      <c r="E15" s="194" t="e">
        <f>(InvulGlas[[#This Row],[Prijs excl. BTW]]*Tariefsopbouw!$I$37)+InvulGlas[[#This Row],[Prijs excl. BTW]]</f>
        <v>#DIV/0!</v>
      </c>
      <c r="F15" s="194" t="e">
        <f>(InvulGlas[[#This Row],[2025]]*Tariefsopbouw!$K$37)+InvulGlas[[#This Row],[2025]]</f>
        <v>#DIV/0!</v>
      </c>
      <c r="G15" s="194" t="e">
        <f>(InvulGlas[[#This Row],[2026]]*Tariefsopbouw!$M$37)+InvulGlas[[#This Row],[2026]]</f>
        <v>#DIV/0!</v>
      </c>
      <c r="H15" s="194" t="e">
        <f>(InvulGlas[[#This Row],[2027]]*Tariefsopbouw!$O$37)+InvulGlas[[#This Row],[2027]]</f>
        <v>#DIV/0!</v>
      </c>
      <c r="I15" s="194" t="e">
        <f>(InvulGlas[[#This Row],[2028]]*Tariefsopbouw!$Q$37)+InvulGlas[[#This Row],[2028]]</f>
        <v>#DIV/0!</v>
      </c>
    </row>
    <row r="16" spans="1:9" ht="15" customHeight="1">
      <c r="A16" s="200">
        <v>8</v>
      </c>
      <c r="B16" s="210" t="s">
        <v>400</v>
      </c>
      <c r="C16" s="47">
        <v>0</v>
      </c>
      <c r="D16" s="151" t="s">
        <v>394</v>
      </c>
      <c r="E16" s="194" t="e">
        <f>(InvulGlas[[#This Row],[Prijs excl. BTW]]*Tariefsopbouw!$I$37)+InvulGlas[[#This Row],[Prijs excl. BTW]]</f>
        <v>#DIV/0!</v>
      </c>
      <c r="F16" s="194" t="e">
        <f>(InvulGlas[[#This Row],[2025]]*Tariefsopbouw!$K$37)+InvulGlas[[#This Row],[2025]]</f>
        <v>#DIV/0!</v>
      </c>
      <c r="G16" s="194" t="e">
        <f>(InvulGlas[[#This Row],[2026]]*Tariefsopbouw!$M$37)+InvulGlas[[#This Row],[2026]]</f>
        <v>#DIV/0!</v>
      </c>
      <c r="H16" s="194" t="e">
        <f>(InvulGlas[[#This Row],[2027]]*Tariefsopbouw!$O$37)+InvulGlas[[#This Row],[2027]]</f>
        <v>#DIV/0!</v>
      </c>
      <c r="I16" s="194" t="e">
        <f>(InvulGlas[[#This Row],[2028]]*Tariefsopbouw!$Q$37)+InvulGlas[[#This Row],[2028]]</f>
        <v>#DIV/0!</v>
      </c>
    </row>
    <row r="17" spans="1:9" ht="15" customHeight="1">
      <c r="A17" s="200">
        <v>9</v>
      </c>
      <c r="B17" s="210" t="s">
        <v>732</v>
      </c>
      <c r="C17" s="47">
        <v>0</v>
      </c>
      <c r="D17" s="151" t="s">
        <v>394</v>
      </c>
      <c r="E17" s="194" t="e">
        <f>(InvulGlas[[#This Row],[Prijs excl. BTW]]*Tariefsopbouw!$I$37)+InvulGlas[[#This Row],[Prijs excl. BTW]]</f>
        <v>#DIV/0!</v>
      </c>
      <c r="F17" s="194" t="e">
        <f>(InvulGlas[[#This Row],[2025]]*Tariefsopbouw!$K$37)+InvulGlas[[#This Row],[2025]]</f>
        <v>#DIV/0!</v>
      </c>
      <c r="G17" s="194" t="e">
        <f>(InvulGlas[[#This Row],[2026]]*Tariefsopbouw!$M$37)+InvulGlas[[#This Row],[2026]]</f>
        <v>#DIV/0!</v>
      </c>
      <c r="H17" s="194" t="e">
        <f>(InvulGlas[[#This Row],[2027]]*Tariefsopbouw!$O$37)+InvulGlas[[#This Row],[2027]]</f>
        <v>#DIV/0!</v>
      </c>
      <c r="I17" s="194" t="e">
        <f>(InvulGlas[[#This Row],[2028]]*Tariefsopbouw!$Q$37)+InvulGlas[[#This Row],[2028]]</f>
        <v>#DIV/0!</v>
      </c>
    </row>
    <row r="18" spans="1:9" ht="15" customHeight="1">
      <c r="A18" s="200" t="s">
        <v>401</v>
      </c>
      <c r="B18" s="210" t="s">
        <v>402</v>
      </c>
      <c r="C18" s="47">
        <v>0</v>
      </c>
      <c r="D18" s="151" t="s">
        <v>47</v>
      </c>
      <c r="E18" s="194" t="e">
        <f>(InvulGlas[[#This Row],[Prijs excl. BTW]]*Tariefsopbouw!$I$37)+InvulGlas[[#This Row],[Prijs excl. BTW]]</f>
        <v>#DIV/0!</v>
      </c>
      <c r="F18" s="194" t="e">
        <f>(InvulGlas[[#This Row],[2025]]*Tariefsopbouw!$K$37)+InvulGlas[[#This Row],[2025]]</f>
        <v>#DIV/0!</v>
      </c>
      <c r="G18" s="194" t="e">
        <f>(InvulGlas[[#This Row],[2026]]*Tariefsopbouw!$M$37)+InvulGlas[[#This Row],[2026]]</f>
        <v>#DIV/0!</v>
      </c>
      <c r="H18" s="194" t="e">
        <f>(InvulGlas[[#This Row],[2027]]*Tariefsopbouw!$O$37)+InvulGlas[[#This Row],[2027]]</f>
        <v>#DIV/0!</v>
      </c>
      <c r="I18" s="194" t="e">
        <f>(InvulGlas[[#This Row],[2028]]*Tariefsopbouw!$Q$37)+InvulGlas[[#This Row],[2028]]</f>
        <v>#DIV/0!</v>
      </c>
    </row>
    <row r="19" spans="1:9" ht="15" customHeight="1">
      <c r="A19" s="200" t="s">
        <v>403</v>
      </c>
      <c r="B19" s="210" t="s">
        <v>404</v>
      </c>
      <c r="C19" s="47">
        <v>0</v>
      </c>
      <c r="D19" s="151" t="s">
        <v>47</v>
      </c>
      <c r="E19" s="194" t="e">
        <f>(InvulGlas[[#This Row],[Prijs excl. BTW]]*Tariefsopbouw!$I$37)+InvulGlas[[#This Row],[Prijs excl. BTW]]</f>
        <v>#DIV/0!</v>
      </c>
      <c r="F19" s="194" t="e">
        <f>(InvulGlas[[#This Row],[2025]]*Tariefsopbouw!$K$37)+InvulGlas[[#This Row],[2025]]</f>
        <v>#DIV/0!</v>
      </c>
      <c r="G19" s="194" t="e">
        <f>(InvulGlas[[#This Row],[2026]]*Tariefsopbouw!$M$37)+InvulGlas[[#This Row],[2026]]</f>
        <v>#DIV/0!</v>
      </c>
      <c r="H19" s="194" t="e">
        <f>(InvulGlas[[#This Row],[2027]]*Tariefsopbouw!$O$37)+InvulGlas[[#This Row],[2027]]</f>
        <v>#DIV/0!</v>
      </c>
      <c r="I19" s="194" t="e">
        <f>(InvulGlas[[#This Row],[2028]]*Tariefsopbouw!$Q$37)+InvulGlas[[#This Row],[2028]]</f>
        <v>#DIV/0!</v>
      </c>
    </row>
    <row r="20" spans="1:9" ht="15" customHeight="1">
      <c r="A20" s="200" t="s">
        <v>405</v>
      </c>
      <c r="B20" s="210" t="s">
        <v>406</v>
      </c>
      <c r="C20" s="47">
        <v>0</v>
      </c>
      <c r="D20" s="151" t="s">
        <v>47</v>
      </c>
      <c r="E20" s="194" t="e">
        <f>(InvulGlas[[#This Row],[Prijs excl. BTW]]*Tariefsopbouw!$I$37)+InvulGlas[[#This Row],[Prijs excl. BTW]]</f>
        <v>#DIV/0!</v>
      </c>
      <c r="F20" s="194" t="e">
        <f>(InvulGlas[[#This Row],[2025]]*Tariefsopbouw!$K$37)+InvulGlas[[#This Row],[2025]]</f>
        <v>#DIV/0!</v>
      </c>
      <c r="G20" s="194" t="e">
        <f>(InvulGlas[[#This Row],[2026]]*Tariefsopbouw!$M$37)+InvulGlas[[#This Row],[2026]]</f>
        <v>#DIV/0!</v>
      </c>
      <c r="H20" s="194" t="e">
        <f>(InvulGlas[[#This Row],[2027]]*Tariefsopbouw!$O$37)+InvulGlas[[#This Row],[2027]]</f>
        <v>#DIV/0!</v>
      </c>
      <c r="I20" s="194" t="e">
        <f>(InvulGlas[[#This Row],[2028]]*Tariefsopbouw!$Q$37)+InvulGlas[[#This Row],[2028]]</f>
        <v>#DIV/0!</v>
      </c>
    </row>
    <row r="21" spans="1:9" ht="15" customHeight="1">
      <c r="A21" s="200" t="s">
        <v>407</v>
      </c>
      <c r="B21" s="210" t="s">
        <v>757</v>
      </c>
      <c r="C21" s="47">
        <v>0</v>
      </c>
      <c r="D21" s="151" t="s">
        <v>47</v>
      </c>
      <c r="E21" s="211" t="e">
        <f>(InvulGlas[[#This Row],[Prijs excl. BTW]]*Tariefsopbouw!$I$37)+InvulGlas[[#This Row],[Prijs excl. BTW]]</f>
        <v>#DIV/0!</v>
      </c>
      <c r="F21" s="211" t="e">
        <f>(InvulGlas[[#This Row],[2025]]*Tariefsopbouw!$K$37)+InvulGlas[[#This Row],[2025]]</f>
        <v>#DIV/0!</v>
      </c>
      <c r="G21" s="211" t="e">
        <f>(InvulGlas[[#This Row],[2026]]*Tariefsopbouw!$M$37)+InvulGlas[[#This Row],[2026]]</f>
        <v>#DIV/0!</v>
      </c>
      <c r="H21" s="194" t="e">
        <f>(InvulGlas[[#This Row],[2027]]*Tariefsopbouw!$O$37)+InvulGlas[[#This Row],[2027]]</f>
        <v>#DIV/0!</v>
      </c>
      <c r="I21" s="211" t="e">
        <f>(InvulGlas[[#This Row],[2028]]*Tariefsopbouw!$Q$37)+InvulGlas[[#This Row],[2028]]</f>
        <v>#DIV/0!</v>
      </c>
    </row>
    <row r="22" spans="1:9" ht="15" customHeight="1">
      <c r="C22" s="25"/>
      <c r="D22" s="25"/>
    </row>
    <row r="23" spans="1:9" s="217" customFormat="1" ht="26.25" customHeight="1">
      <c r="A23" s="212" t="s">
        <v>208</v>
      </c>
      <c r="B23" s="212" t="s">
        <v>142</v>
      </c>
      <c r="C23" s="212" t="s">
        <v>391</v>
      </c>
      <c r="D23" s="213" t="s">
        <v>392</v>
      </c>
      <c r="E23" s="213" t="s">
        <v>408</v>
      </c>
      <c r="F23" s="213" t="s">
        <v>409</v>
      </c>
      <c r="G23" s="214" t="s">
        <v>143</v>
      </c>
      <c r="H23" s="215" t="s">
        <v>410</v>
      </c>
      <c r="I23" s="216" t="s">
        <v>427</v>
      </c>
    </row>
    <row r="24" spans="1:9" ht="15" customHeight="1">
      <c r="A24" s="200">
        <v>1</v>
      </c>
      <c r="B24" s="61" t="str">
        <f>VLOOKUP(OverzichtGlas[[#This Row],[Code Locatie]],Totalisatie!$A$5:$B$9,2,FALSE)</f>
        <v>Hoofdgebouw</v>
      </c>
      <c r="C24" s="200">
        <v>1</v>
      </c>
      <c r="D24" s="201" t="str">
        <f>IF($C24&gt;0,VLOOKUP($C24,$A$8:$B$21,2,FALSE),"Hier vult u de inzet van eventuele hoogwerkers in")</f>
        <v>Gevelglas binnenzijde</v>
      </c>
      <c r="E24" s="24">
        <v>733</v>
      </c>
      <c r="F24" s="162">
        <v>2</v>
      </c>
      <c r="G24" s="202">
        <f>IF(C24&gt;0,VLOOKUP(OverzichtGlas[[#This Row],[Code taak]],InvulGlas[],3,0)*E24*F24,0)</f>
        <v>0</v>
      </c>
      <c r="H24" s="202">
        <f>OverzichtGlas[[#This Row],[Kosten/jaar excl. BTW]]*1.21</f>
        <v>0</v>
      </c>
      <c r="I24" s="200"/>
    </row>
    <row r="25" spans="1:9" ht="15" customHeight="1">
      <c r="A25" s="200">
        <v>1</v>
      </c>
      <c r="B25" s="61" t="str">
        <f>VLOOKUP(OverzichtGlas[[#This Row],[Code Locatie]],Totalisatie!$A$5:$B$9,2,FALSE)</f>
        <v>Hoofdgebouw</v>
      </c>
      <c r="C25" s="200">
        <v>2</v>
      </c>
      <c r="D25" s="201" t="str">
        <f t="shared" ref="D25:D40" si="0">IF($C25&gt;0,VLOOKUP($C25,$A$8:$B$21,2,FALSE),"Hier vult u de inzet van eventuele hoogwerkers in")</f>
        <v>Gevelglas buitenzijde</v>
      </c>
      <c r="E25" s="24">
        <v>733</v>
      </c>
      <c r="F25" s="162">
        <v>2</v>
      </c>
      <c r="G25" s="202">
        <f>IF(C25&gt;0,VLOOKUP(OverzichtGlas[[#This Row],[Code taak]],InvulGlas[],3,0)*E25*F25,0)</f>
        <v>0</v>
      </c>
      <c r="H25" s="202">
        <f>OverzichtGlas[[#This Row],[Kosten/jaar excl. BTW]]*1.21</f>
        <v>0</v>
      </c>
      <c r="I25" s="200"/>
    </row>
    <row r="26" spans="1:9" ht="15" customHeight="1">
      <c r="A26" s="200">
        <v>1</v>
      </c>
      <c r="B26" s="61" t="str">
        <f>VLOOKUP(OverzichtGlas[[#This Row],[Code Locatie]],Totalisatie!$A$5:$B$9,2,FALSE)</f>
        <v>Hoofdgebouw</v>
      </c>
      <c r="C26" s="200">
        <v>3</v>
      </c>
      <c r="D26" s="201" t="str">
        <f t="shared" si="0"/>
        <v>Separatieglas (enkel gemeten, dubbel te wassen)</v>
      </c>
      <c r="E26" s="24">
        <v>1563</v>
      </c>
      <c r="F26" s="162">
        <v>2</v>
      </c>
      <c r="G26" s="202">
        <f>IF(C26&gt;0,VLOOKUP(OverzichtGlas[[#This Row],[Code taak]],InvulGlas[],3,0)*E26*F26,0)</f>
        <v>0</v>
      </c>
      <c r="H26" s="202">
        <f>OverzichtGlas[[#This Row],[Kosten/jaar excl. BTW]]*1.21</f>
        <v>0</v>
      </c>
      <c r="I26" s="200"/>
    </row>
    <row r="27" spans="1:9" ht="33.75">
      <c r="A27" s="200">
        <v>1</v>
      </c>
      <c r="B27" s="61" t="str">
        <f>VLOOKUP(OverzichtGlas[[#This Row],[Code Locatie]],Totalisatie!$A$5:$B$9,2,FALSE)</f>
        <v>Hoofdgebouw</v>
      </c>
      <c r="C27" s="200">
        <v>5</v>
      </c>
      <c r="D27" s="201" t="str">
        <f t="shared" si="0"/>
        <v>Gevelbeplating wassen</v>
      </c>
      <c r="E27" s="24">
        <v>500</v>
      </c>
      <c r="F27" s="162">
        <v>2</v>
      </c>
      <c r="G27" s="202">
        <f>IF(C27&gt;0,VLOOKUP(OverzichtGlas[[#This Row],[Code taak]],InvulGlas[],3,0)*E27*F27,0)</f>
        <v>0</v>
      </c>
      <c r="H27" s="202">
        <f>OverzichtGlas[[#This Row],[Kosten/jaar excl. BTW]]*1.21</f>
        <v>0</v>
      </c>
      <c r="I27" s="253" t="s">
        <v>784</v>
      </c>
    </row>
    <row r="28" spans="1:9" ht="15" customHeight="1">
      <c r="A28" s="200">
        <v>1</v>
      </c>
      <c r="B28" s="61" t="str">
        <f>VLOOKUP(OverzichtGlas[[#This Row],[Code Locatie]],Totalisatie!$A$5:$B$9,2,FALSE)</f>
        <v>Hoofdgebouw</v>
      </c>
      <c r="C28" s="200">
        <v>6</v>
      </c>
      <c r="D28" s="23" t="str">
        <f t="shared" si="0"/>
        <v>Lichtkoepels (enkel gemeten, dubbel te wassen)</v>
      </c>
      <c r="E28" s="24">
        <v>2</v>
      </c>
      <c r="F28" s="162">
        <v>2</v>
      </c>
      <c r="G28" s="202">
        <f>IF(C28&gt;0,VLOOKUP(OverzichtGlas[[#This Row],[Code taak]],InvulGlas[],3,0)*E28*F28,0)</f>
        <v>0</v>
      </c>
      <c r="H28" s="202">
        <f>OverzichtGlas[[#This Row],[Kosten/jaar excl. BTW]]*1.21</f>
        <v>0</v>
      </c>
      <c r="I28" s="200"/>
    </row>
    <row r="29" spans="1:9" ht="15" customHeight="1">
      <c r="A29" s="200">
        <v>1</v>
      </c>
      <c r="B29" s="61" t="str">
        <f>VLOOKUP(OverzichtGlas[[#This Row],[Code Locatie]],Totalisatie!$A$5:$B$9,2,FALSE)</f>
        <v>Hoofdgebouw</v>
      </c>
      <c r="C29" s="200">
        <v>9</v>
      </c>
      <c r="D29" s="23" t="str">
        <f t="shared" si="0"/>
        <v>Glazen bouwstenen</v>
      </c>
      <c r="E29" s="24">
        <v>30.5</v>
      </c>
      <c r="F29" s="162">
        <v>2</v>
      </c>
      <c r="G29" s="202">
        <f>IF(C29&gt;0,VLOOKUP(OverzichtGlas[[#This Row],[Code taak]],InvulGlas[],3,0)*E29*F29,0)</f>
        <v>0</v>
      </c>
      <c r="H29" s="202">
        <f>OverzichtGlas[[#This Row],[Kosten/jaar excl. BTW]]*1.21</f>
        <v>0</v>
      </c>
      <c r="I29" s="200"/>
    </row>
    <row r="30" spans="1:9" ht="15" customHeight="1">
      <c r="A30" s="200">
        <v>1</v>
      </c>
      <c r="B30" s="61" t="str">
        <f>VLOOKUP(OverzichtGlas[[#This Row],[Code Locatie]],Totalisatie!$A$5:$B$9,2,FALSE)</f>
        <v>Hoofdgebouw</v>
      </c>
      <c r="C30" s="200" t="s">
        <v>756</v>
      </c>
      <c r="D30" s="23" t="str">
        <f t="shared" si="0"/>
        <v>Spinhoogwerker - binnen</v>
      </c>
      <c r="E30" s="228"/>
      <c r="F30" s="162">
        <v>2</v>
      </c>
      <c r="G30" s="202">
        <f>IF(C30&gt;0,VLOOKUP(OverzichtGlas[[#This Row],[Code taak]],InvulGlas[],3,0)*E30*F30,0)</f>
        <v>0</v>
      </c>
      <c r="H30" s="202">
        <f>OverzichtGlas[[#This Row],[Kosten/jaar excl. BTW]]*1.21</f>
        <v>0</v>
      </c>
      <c r="I30" s="200"/>
    </row>
    <row r="31" spans="1:9" ht="15" customHeight="1">
      <c r="A31" s="200">
        <v>1</v>
      </c>
      <c r="B31" s="61" t="str">
        <f>VLOOKUP(OverzichtGlas[[#This Row],[Code Locatie]],Totalisatie!$A$5:$B$9,2,FALSE)</f>
        <v>Hoofdgebouw</v>
      </c>
      <c r="C31" s="218"/>
      <c r="D31" s="23" t="str">
        <f t="shared" si="0"/>
        <v>Hier vult u de inzet van eventuele hoogwerkers in</v>
      </c>
      <c r="E31" s="228"/>
      <c r="F31" s="162">
        <v>2</v>
      </c>
      <c r="G31" s="202">
        <f>IF(C31&gt;0,VLOOKUP(OverzichtGlas[[#This Row],[Code taak]],InvulGlas[],3,0)*E31*F31,0)</f>
        <v>0</v>
      </c>
      <c r="H31" s="202">
        <f>OverzichtGlas[[#This Row],[Kosten/jaar excl. BTW]]*1.21</f>
        <v>0</v>
      </c>
      <c r="I31" s="200"/>
    </row>
    <row r="32" spans="1:9" ht="15" customHeight="1">
      <c r="A32" s="200">
        <v>1</v>
      </c>
      <c r="B32" s="61" t="str">
        <f>VLOOKUP(OverzichtGlas[[#This Row],[Code Locatie]],Totalisatie!$A$5:$B$9,2,FALSE)</f>
        <v>Hoofdgebouw</v>
      </c>
      <c r="C32" s="218"/>
      <c r="D32" s="23" t="str">
        <f t="shared" si="0"/>
        <v>Hier vult u de inzet van eventuele hoogwerkers in</v>
      </c>
      <c r="E32" s="228"/>
      <c r="F32" s="162">
        <v>2</v>
      </c>
      <c r="G32" s="202">
        <f>IF(C32&gt;0,VLOOKUP(OverzichtGlas[[#This Row],[Code taak]],InvulGlas[],3,0)*E32*F32,0)</f>
        <v>0</v>
      </c>
      <c r="H32" s="202">
        <f>OverzichtGlas[[#This Row],[Kosten/jaar excl. BTW]]*1.21</f>
        <v>0</v>
      </c>
      <c r="I32" s="200"/>
    </row>
    <row r="33" spans="1:9" ht="15" customHeight="1">
      <c r="A33" s="200">
        <v>2</v>
      </c>
      <c r="B33" s="61" t="str">
        <f>VLOOKUP(OverzichtGlas[[#This Row],[Code Locatie]],Totalisatie!$A$5:$B$9,2,FALSE)</f>
        <v>Magazijn</v>
      </c>
      <c r="C33" s="200">
        <v>1</v>
      </c>
      <c r="D33" s="23" t="str">
        <f t="shared" si="0"/>
        <v>Gevelglas binnenzijde</v>
      </c>
      <c r="E33" s="24">
        <v>268</v>
      </c>
      <c r="F33" s="162">
        <v>2</v>
      </c>
      <c r="G33" s="202">
        <f>IF(C33&gt;0,VLOOKUP(OverzichtGlas[[#This Row],[Code taak]],InvulGlas[],3,0)*E33*F33,0)</f>
        <v>0</v>
      </c>
      <c r="H33" s="202">
        <f>OverzichtGlas[[#This Row],[Kosten/jaar excl. BTW]]*1.21</f>
        <v>0</v>
      </c>
      <c r="I33" s="200"/>
    </row>
    <row r="34" spans="1:9" ht="15" customHeight="1">
      <c r="A34" s="200">
        <v>2</v>
      </c>
      <c r="B34" s="61" t="str">
        <f>VLOOKUP(OverzichtGlas[[#This Row],[Code Locatie]],Totalisatie!$A$5:$B$9,2,FALSE)</f>
        <v>Magazijn</v>
      </c>
      <c r="C34" s="200">
        <v>2</v>
      </c>
      <c r="D34" s="23" t="str">
        <f t="shared" si="0"/>
        <v>Gevelglas buitenzijde</v>
      </c>
      <c r="E34" s="24">
        <v>268</v>
      </c>
      <c r="F34" s="162">
        <v>2</v>
      </c>
      <c r="G34" s="202">
        <f>IF(C34&gt;0,VLOOKUP(OverzichtGlas[[#This Row],[Code taak]],InvulGlas[],3,0)*E34*F34,0)</f>
        <v>0</v>
      </c>
      <c r="H34" s="202">
        <f>OverzichtGlas[[#This Row],[Kosten/jaar excl. BTW]]*1.21</f>
        <v>0</v>
      </c>
      <c r="I34" s="200"/>
    </row>
    <row r="35" spans="1:9" ht="15" customHeight="1">
      <c r="A35" s="200">
        <v>2</v>
      </c>
      <c r="B35" s="61" t="str">
        <f>VLOOKUP(OverzichtGlas[[#This Row],[Code Locatie]],Totalisatie!$A$5:$B$9,2,FALSE)</f>
        <v>Magazijn</v>
      </c>
      <c r="C35" s="200">
        <v>3</v>
      </c>
      <c r="D35" s="23" t="str">
        <f t="shared" si="0"/>
        <v>Separatieglas (enkel gemeten, dubbel te wassen)</v>
      </c>
      <c r="E35" s="24">
        <v>26</v>
      </c>
      <c r="F35" s="162">
        <v>2</v>
      </c>
      <c r="G35" s="202">
        <f>IF(C35&gt;0,VLOOKUP(OverzichtGlas[[#This Row],[Code taak]],InvulGlas[],3,0)*E35*F35,0)</f>
        <v>0</v>
      </c>
      <c r="H35" s="202">
        <f>OverzichtGlas[[#This Row],[Kosten/jaar excl. BTW]]*1.21</f>
        <v>0</v>
      </c>
      <c r="I35" s="200"/>
    </row>
    <row r="36" spans="1:9" ht="39.75" customHeight="1">
      <c r="A36" s="200">
        <v>2</v>
      </c>
      <c r="B36" s="61" t="str">
        <f>VLOOKUP(OverzichtGlas[[#This Row],[Code Locatie]],Totalisatie!$A$5:$B$9,2,FALSE)</f>
        <v>Magazijn</v>
      </c>
      <c r="C36" s="200">
        <v>5</v>
      </c>
      <c r="D36" s="23" t="str">
        <f t="shared" si="0"/>
        <v>Gevelbeplating wassen</v>
      </c>
      <c r="E36" s="24">
        <v>100</v>
      </c>
      <c r="F36" s="162">
        <v>2</v>
      </c>
      <c r="G36" s="202">
        <f>IF(C36&gt;0,VLOOKUP(OverzichtGlas[[#This Row],[Code taak]],InvulGlas[],3,0)*E36*F36,0)</f>
        <v>0</v>
      </c>
      <c r="H36" s="202">
        <f>OverzichtGlas[[#This Row],[Kosten/jaar excl. BTW]]*1.21</f>
        <v>0</v>
      </c>
      <c r="I36" s="253" t="s">
        <v>784</v>
      </c>
    </row>
    <row r="37" spans="1:9" ht="15" customHeight="1">
      <c r="A37" s="200">
        <v>2</v>
      </c>
      <c r="B37" s="61" t="str">
        <f>VLOOKUP(OverzichtGlas[[#This Row],[Code Locatie]],Totalisatie!$A$5:$B$9,2,FALSE)</f>
        <v>Magazijn</v>
      </c>
      <c r="C37" s="218"/>
      <c r="D37" s="23" t="str">
        <f t="shared" si="0"/>
        <v>Hier vult u de inzet van eventuele hoogwerkers in</v>
      </c>
      <c r="E37" s="228"/>
      <c r="F37" s="162">
        <v>2</v>
      </c>
      <c r="G37" s="202">
        <f>IF(C37&gt;0,VLOOKUP(OverzichtGlas[[#This Row],[Code taak]],InvulGlas[],3,0)*E37*F37,0)</f>
        <v>0</v>
      </c>
      <c r="H37" s="202">
        <f>OverzichtGlas[[#This Row],[Kosten/jaar excl. BTW]]*1.21</f>
        <v>0</v>
      </c>
      <c r="I37" s="200"/>
    </row>
    <row r="38" spans="1:9" ht="15" customHeight="1">
      <c r="A38" s="200">
        <v>3</v>
      </c>
      <c r="B38" s="61" t="str">
        <f>VLOOKUP(OverzichtGlas[[#This Row],[Code Locatie]],Totalisatie!$A$5:$B$9,2,FALSE)</f>
        <v>Werkplaats</v>
      </c>
      <c r="C38" s="200">
        <v>1</v>
      </c>
      <c r="D38" s="23" t="str">
        <f t="shared" si="0"/>
        <v>Gevelglas binnenzijde</v>
      </c>
      <c r="E38" s="24">
        <v>158</v>
      </c>
      <c r="F38" s="162">
        <v>2</v>
      </c>
      <c r="G38" s="202">
        <f>IF(C38&gt;0,VLOOKUP(OverzichtGlas[[#This Row],[Code taak]],InvulGlas[],3,0)*E38*F38,0)</f>
        <v>0</v>
      </c>
      <c r="H38" s="202">
        <f>OverzichtGlas[[#This Row],[Kosten/jaar excl. BTW]]*1.21</f>
        <v>0</v>
      </c>
      <c r="I38" s="200"/>
    </row>
    <row r="39" spans="1:9" ht="15" customHeight="1">
      <c r="A39" s="200">
        <v>3</v>
      </c>
      <c r="B39" s="61" t="str">
        <f>VLOOKUP(OverzichtGlas[[#This Row],[Code Locatie]],Totalisatie!$A$5:$B$9,2,FALSE)</f>
        <v>Werkplaats</v>
      </c>
      <c r="C39" s="200">
        <v>2</v>
      </c>
      <c r="D39" s="23" t="str">
        <f t="shared" si="0"/>
        <v>Gevelglas buitenzijde</v>
      </c>
      <c r="E39" s="24">
        <v>158</v>
      </c>
      <c r="F39" s="162">
        <v>2</v>
      </c>
      <c r="G39" s="202">
        <f>IF(C39&gt;0,VLOOKUP(OverzichtGlas[[#This Row],[Code taak]],InvulGlas[],3,0)*E39*F39,0)</f>
        <v>0</v>
      </c>
      <c r="H39" s="202">
        <f>OverzichtGlas[[#This Row],[Kosten/jaar excl. BTW]]*1.21</f>
        <v>0</v>
      </c>
      <c r="I39" s="200"/>
    </row>
    <row r="40" spans="1:9" ht="15" customHeight="1">
      <c r="A40" s="200">
        <v>3</v>
      </c>
      <c r="B40" s="61" t="str">
        <f>VLOOKUP(OverzichtGlas[[#This Row],[Code Locatie]],Totalisatie!$A$5:$B$9,2,FALSE)</f>
        <v>Werkplaats</v>
      </c>
      <c r="C40" s="218"/>
      <c r="D40" s="23" t="str">
        <f t="shared" si="0"/>
        <v>Hier vult u de inzet van eventuele hoogwerkers in</v>
      </c>
      <c r="E40" s="228"/>
      <c r="F40" s="162">
        <v>2</v>
      </c>
      <c r="G40" s="202">
        <f>IF(C40&gt;0,VLOOKUP(OverzichtGlas[[#This Row],[Code taak]],InvulGlas[],3,0)*E40*F40,0)</f>
        <v>0</v>
      </c>
      <c r="H40" s="202">
        <f>OverzichtGlas[[#This Row],[Kosten/jaar excl. BTW]]*1.21</f>
        <v>0</v>
      </c>
      <c r="I40" s="200"/>
    </row>
    <row r="41" spans="1:9" ht="15" customHeight="1">
      <c r="A41" s="219" t="s">
        <v>33</v>
      </c>
      <c r="B41" s="220"/>
      <c r="C41" s="219"/>
      <c r="D41" s="221"/>
      <c r="E41" s="219"/>
      <c r="F41" s="219"/>
      <c r="G41" s="222">
        <f>SUBTOTAL(109,OverzichtGlas[Kosten/jaar excl. BTW])</f>
        <v>0</v>
      </c>
      <c r="H41" s="222">
        <f>SUBTOTAL(109,OverzichtGlas[Kosten/jaar incl. BTW])</f>
        <v>0</v>
      </c>
      <c r="I41" s="219"/>
    </row>
    <row r="42" spans="1:9" ht="15" customHeight="1">
      <c r="C42" s="24"/>
      <c r="D42" s="4"/>
    </row>
    <row r="43" spans="1:9" ht="15" customHeight="1">
      <c r="C43" s="24"/>
      <c r="D43" s="4"/>
    </row>
    <row r="44" spans="1:9" ht="15" customHeight="1">
      <c r="C44" s="24"/>
      <c r="D44" s="4"/>
    </row>
    <row r="45" spans="1:9" ht="15" customHeight="1">
      <c r="C45" s="24"/>
      <c r="D45" s="4"/>
    </row>
    <row r="46" spans="1:9" ht="15" customHeight="1">
      <c r="C46" s="24"/>
      <c r="D46" s="4"/>
    </row>
    <row r="47" spans="1:9" ht="15" customHeight="1">
      <c r="C47" s="24"/>
      <c r="D47" s="4"/>
    </row>
    <row r="48" spans="1:9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  <row r="80" spans="3:4" ht="15" customHeight="1">
      <c r="C80" s="24"/>
      <c r="D80" s="4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  <row r="87" spans="3:4" ht="15" customHeight="1">
      <c r="C87" s="24"/>
      <c r="D87" s="4"/>
    </row>
    <row r="88" spans="3:4" ht="15" customHeight="1">
      <c r="C88" s="24"/>
      <c r="D88" s="4"/>
    </row>
    <row r="89" spans="3:4" ht="15" customHeight="1">
      <c r="C89" s="24"/>
      <c r="D89" s="4"/>
    </row>
    <row r="90" spans="3:4" ht="15" customHeight="1">
      <c r="C90" s="24"/>
      <c r="D90" s="4"/>
    </row>
    <row r="91" spans="3:4" ht="15" customHeight="1">
      <c r="C91" s="24"/>
      <c r="D91" s="4"/>
    </row>
    <row r="92" spans="3:4" ht="15" customHeight="1">
      <c r="C92" s="24"/>
      <c r="D92" s="4"/>
    </row>
    <row r="93" spans="3:4" ht="15" customHeight="1">
      <c r="C93" s="24"/>
      <c r="D93" s="4"/>
    </row>
    <row r="94" spans="3:4" ht="15" customHeight="1">
      <c r="C94" s="24"/>
      <c r="D94" s="4"/>
    </row>
    <row r="95" spans="3:4" ht="15" customHeight="1">
      <c r="C95" s="24"/>
      <c r="D95" s="4"/>
    </row>
    <row r="96" spans="3:4" ht="15" customHeight="1">
      <c r="C96" s="24"/>
      <c r="D96" s="4"/>
    </row>
    <row r="97" spans="3:4" ht="15" customHeight="1">
      <c r="C97" s="24"/>
      <c r="D97" s="4"/>
    </row>
    <row r="98" spans="3:4" ht="15" customHeight="1">
      <c r="C98" s="24"/>
      <c r="D98" s="4"/>
    </row>
    <row r="99" spans="3:4" ht="15" customHeight="1">
      <c r="C99" s="24"/>
      <c r="D99" s="4"/>
    </row>
    <row r="100" spans="3:4" ht="15" customHeight="1">
      <c r="C100" s="24"/>
      <c r="D100" s="4"/>
    </row>
    <row r="101" spans="3:4" ht="15" customHeight="1">
      <c r="C101" s="24"/>
      <c r="D101" s="4"/>
    </row>
  </sheetData>
  <mergeCells count="3">
    <mergeCell ref="A1:G1"/>
    <mergeCell ref="E7:I7"/>
    <mergeCell ref="A2:H2"/>
  </mergeCells>
  <pageMargins left="0.7" right="0.7" top="0.75" bottom="0.75" header="0.3" footer="0.3"/>
  <pageSetup paperSize="9" scale="38" orientation="portrait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8"/>
  <sheetViews>
    <sheetView showGridLines="0" view="pageBreakPreview" zoomScaleNormal="100" zoomScaleSheetLayoutView="100" workbookViewId="0">
      <selection sqref="A1:H1"/>
    </sheetView>
  </sheetViews>
  <sheetFormatPr defaultColWidth="9.140625" defaultRowHeight="15" customHeight="1"/>
  <cols>
    <col min="1" max="1" width="9.42578125" style="4" customWidth="1"/>
    <col min="2" max="2" width="37" style="4" bestFit="1" customWidth="1"/>
    <col min="3" max="3" width="13" style="4" customWidth="1"/>
    <col min="4" max="4" width="44.140625" style="24" bestFit="1" customWidth="1"/>
    <col min="5" max="5" width="16.7109375" style="4" customWidth="1"/>
    <col min="6" max="6" width="17.7109375" style="156" bestFit="1" customWidth="1"/>
    <col min="7" max="7" width="20.28515625" style="4" bestFit="1" customWidth="1"/>
    <col min="8" max="8" width="18" style="104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293" t="s">
        <v>170</v>
      </c>
      <c r="B1" s="293"/>
      <c r="C1" s="293"/>
      <c r="D1" s="293"/>
      <c r="E1" s="293"/>
      <c r="F1" s="293"/>
      <c r="G1" s="293"/>
      <c r="H1" s="293"/>
      <c r="I1" s="60"/>
    </row>
    <row r="2" spans="1:11" s="7" customFormat="1" ht="15" customHeight="1">
      <c r="A2" s="307" t="s">
        <v>211</v>
      </c>
      <c r="B2" s="292"/>
      <c r="C2" s="292"/>
      <c r="D2" s="292"/>
      <c r="E2" s="292"/>
      <c r="F2" s="292"/>
      <c r="G2" s="292"/>
      <c r="H2" s="308"/>
    </row>
    <row r="3" spans="1:11" ht="15" customHeight="1">
      <c r="B3" s="24"/>
      <c r="D3" s="4"/>
    </row>
    <row r="4" spans="1:11" ht="15" customHeight="1">
      <c r="A4" s="4" t="s">
        <v>171</v>
      </c>
      <c r="B4" s="24"/>
      <c r="D4" s="4"/>
    </row>
    <row r="5" spans="1:11" ht="15" customHeight="1">
      <c r="A5" s="4" t="s">
        <v>234</v>
      </c>
      <c r="B5" s="24"/>
      <c r="D5" s="4"/>
    </row>
    <row r="6" spans="1:11" ht="15" customHeight="1">
      <c r="A6" s="4" t="s">
        <v>192</v>
      </c>
      <c r="B6" s="24"/>
      <c r="D6" s="4"/>
    </row>
    <row r="7" spans="1:11" ht="15" customHeight="1">
      <c r="B7" s="28"/>
      <c r="C7" s="28"/>
      <c r="D7" s="23"/>
      <c r="E7" s="23"/>
      <c r="G7" s="29"/>
      <c r="H7" s="122"/>
    </row>
    <row r="8" spans="1:11" s="19" customFormat="1" ht="26.25" customHeight="1">
      <c r="A8" s="42" t="s">
        <v>209</v>
      </c>
      <c r="B8" s="43" t="s">
        <v>146</v>
      </c>
      <c r="C8" s="42" t="s">
        <v>144</v>
      </c>
      <c r="D8" s="42" t="s">
        <v>203</v>
      </c>
      <c r="E8" s="44" t="s">
        <v>172</v>
      </c>
      <c r="F8" s="42" t="s">
        <v>241</v>
      </c>
      <c r="G8" s="42" t="s">
        <v>240</v>
      </c>
      <c r="H8" s="42" t="s">
        <v>239</v>
      </c>
      <c r="I8" s="42" t="s">
        <v>251</v>
      </c>
      <c r="J8" s="42" t="s">
        <v>426</v>
      </c>
    </row>
    <row r="9" spans="1:11" ht="15" customHeight="1">
      <c r="A9" s="326">
        <v>1</v>
      </c>
      <c r="B9" s="325" t="s">
        <v>740</v>
      </c>
      <c r="C9" s="327" t="s">
        <v>753</v>
      </c>
      <c r="D9" s="327" t="s">
        <v>788</v>
      </c>
      <c r="E9" s="47">
        <v>0</v>
      </c>
      <c r="F9" s="194" t="e">
        <f>InvulExtra[[#This Row],[Prijs
Excl. BTW]]*Tariefsopbouw!$I$37+InvulExtra[[#This Row],[Prijs
Excl. BTW]]</f>
        <v>#DIV/0!</v>
      </c>
      <c r="G9" s="194" t="e">
        <f>InvulExtra[[#This Row],[2025]]*Tariefsopbouw!$K$37+InvulExtra[[#This Row],[2025]]</f>
        <v>#DIV/0!</v>
      </c>
      <c r="H9" s="194" t="e">
        <f>InvulExtra[[#This Row],[2026]]*Tariefsopbouw!$M$37+InvulExtra[[#This Row],[2026]]</f>
        <v>#DIV/0!</v>
      </c>
      <c r="I9" s="194" t="e">
        <f>InvulExtra[[#This Row],[2027]]*Tariefsopbouw!$O$37+InvulExtra[[#This Row],[2027]]</f>
        <v>#DIV/0!</v>
      </c>
      <c r="J9" s="194" t="e">
        <f>InvulExtra[[#This Row],[2028]]*Tariefsopbouw!$Q$37+InvulExtra[[#This Row],[2028]]</f>
        <v>#DIV/0!</v>
      </c>
    </row>
    <row r="10" spans="1:11" ht="15" customHeight="1">
      <c r="A10" s="326">
        <v>2</v>
      </c>
      <c r="B10" s="325" t="s">
        <v>196</v>
      </c>
      <c r="C10" s="327" t="s">
        <v>790</v>
      </c>
      <c r="D10" s="327" t="s">
        <v>789</v>
      </c>
      <c r="E10" s="47">
        <v>0</v>
      </c>
      <c r="F10" s="194" t="e">
        <f>InvulExtra[[#This Row],[Prijs
Excl. BTW]]*Tariefsopbouw!$I$37+InvulExtra[[#This Row],[Prijs
Excl. BTW]]</f>
        <v>#DIV/0!</v>
      </c>
      <c r="G10" s="194" t="e">
        <f>InvulExtra[[#This Row],[2025]]*Tariefsopbouw!$K$37+InvulExtra[[#This Row],[2025]]</f>
        <v>#DIV/0!</v>
      </c>
      <c r="H10" s="194" t="e">
        <f>InvulExtra[[#This Row],[2026]]*Tariefsopbouw!$M$37+InvulExtra[[#This Row],[2026]]</f>
        <v>#DIV/0!</v>
      </c>
      <c r="I10" s="194" t="e">
        <f>InvulExtra[[#This Row],[2027]]*Tariefsopbouw!$O$37+InvulExtra[[#This Row],[2027]]</f>
        <v>#DIV/0!</v>
      </c>
      <c r="J10" s="194" t="e">
        <f>InvulExtra[[#This Row],[2028]]*Tariefsopbouw!$Q$37+InvulExtra[[#This Row],[2028]]</f>
        <v>#DIV/0!</v>
      </c>
    </row>
    <row r="11" spans="1:11" ht="15" customHeight="1">
      <c r="A11" s="326">
        <v>3</v>
      </c>
      <c r="B11" s="327" t="s">
        <v>787</v>
      </c>
      <c r="C11" s="327" t="s">
        <v>754</v>
      </c>
      <c r="D11" s="327" t="s">
        <v>755</v>
      </c>
      <c r="E11" s="47">
        <v>0</v>
      </c>
      <c r="F11" s="194" t="e">
        <f>InvulExtra[[#This Row],[Prijs
Excl. BTW]]*Tariefsopbouw!$I$37+InvulExtra[[#This Row],[Prijs
Excl. BTW]]</f>
        <v>#DIV/0!</v>
      </c>
      <c r="G11" s="194" t="e">
        <f>InvulExtra[[#This Row],[2025]]*Tariefsopbouw!$K$37+InvulExtra[[#This Row],[2025]]</f>
        <v>#DIV/0!</v>
      </c>
      <c r="H11" s="194" t="e">
        <f>InvulExtra[[#This Row],[2026]]*Tariefsopbouw!$M$37+InvulExtra[[#This Row],[2026]]</f>
        <v>#DIV/0!</v>
      </c>
      <c r="I11" s="194" t="e">
        <f>InvulExtra[[#This Row],[2027]]*Tariefsopbouw!$O$37+InvulExtra[[#This Row],[2027]]</f>
        <v>#DIV/0!</v>
      </c>
      <c r="J11" s="194" t="e">
        <f>InvulExtra[[#This Row],[2028]]*Tariefsopbouw!$Q$37+InvulExtra[[#This Row],[2028]]</f>
        <v>#DIV/0!</v>
      </c>
    </row>
    <row r="12" spans="1:11" ht="15" customHeight="1">
      <c r="B12" s="24"/>
      <c r="C12" s="24"/>
      <c r="D12" s="4"/>
      <c r="E12" s="31"/>
      <c r="G12" s="30"/>
      <c r="H12" s="123"/>
      <c r="I12" s="31"/>
    </row>
    <row r="13" spans="1:11" ht="15" customHeight="1">
      <c r="C13" s="25"/>
      <c r="D13" s="25"/>
      <c r="K13" s="32"/>
    </row>
    <row r="14" spans="1:11" s="22" customFormat="1" ht="26.25" customHeight="1">
      <c r="A14" s="125" t="s">
        <v>208</v>
      </c>
      <c r="B14" s="42" t="s">
        <v>142</v>
      </c>
      <c r="C14" s="42" t="s">
        <v>209</v>
      </c>
      <c r="D14" s="54" t="s">
        <v>175</v>
      </c>
      <c r="E14" s="54" t="s">
        <v>144</v>
      </c>
      <c r="F14" s="54" t="s">
        <v>204</v>
      </c>
      <c r="G14" s="54" t="s">
        <v>230</v>
      </c>
      <c r="H14" s="124" t="s">
        <v>143</v>
      </c>
      <c r="K14" s="33"/>
    </row>
    <row r="15" spans="1:11" ht="15" customHeight="1">
      <c r="A15" s="200">
        <v>1</v>
      </c>
      <c r="B15" s="151" t="str">
        <f>VLOOKUP(OverzichtExtra[[#This Row],[Code Locatie]],Locaties[],2,0)</f>
        <v>Hoofdgebouw</v>
      </c>
      <c r="C15" s="200">
        <v>1</v>
      </c>
      <c r="D15" s="23" t="str">
        <f>IF('Extra werkzaamheden'!$C15&gt;0,VLOOKUP('Extra werkzaamheden'!$C15,$A$8:$B$11,2,0),"")</f>
        <v>Dieptereiniging keuken conform HACCP</v>
      </c>
      <c r="E15" s="162" t="str">
        <f>VLOOKUP(OverzichtExtra[[#This Row],[Code Taak]],InvulExtra[#All],3,0)</f>
        <v>Per beurt</v>
      </c>
      <c r="F15" s="152">
        <v>1</v>
      </c>
      <c r="G15" s="152">
        <v>1</v>
      </c>
      <c r="H15" s="202">
        <f>IF(G15&gt;0,VLOOKUP(OverzichtExtra[[#This Row],[Code Taak]],InvulExtra[],5,2)*F15*G15,0)</f>
        <v>0</v>
      </c>
      <c r="K15" s="32"/>
    </row>
    <row r="16" spans="1:11" ht="15" customHeight="1">
      <c r="A16" s="200">
        <v>1</v>
      </c>
      <c r="B16" s="151" t="str">
        <f>VLOOKUP(OverzichtExtra[[#This Row],[Code Locatie]],Locaties[],2,0)</f>
        <v>Hoofdgebouw</v>
      </c>
      <c r="C16" s="200">
        <v>2</v>
      </c>
      <c r="D16" s="23" t="str">
        <f>IF('Extra werkzaamheden'!$C16&gt;0,VLOOKUP('Extra werkzaamheden'!$C16,$A$8:$B$11,2,0),"")</f>
        <v>Dieptereiniging sanitair</v>
      </c>
      <c r="E16" s="162" t="str">
        <f>VLOOKUP(OverzichtExtra[[#This Row],[Code Taak]],InvulExtra[#All],3,0)</f>
        <v>Per unit</v>
      </c>
      <c r="F16" s="152">
        <v>19</v>
      </c>
      <c r="G16" s="152">
        <v>1</v>
      </c>
      <c r="H16" s="202">
        <f>IF(G16&gt;0,VLOOKUP(OverzichtExtra[[#This Row],[Code Taak]],InvulExtra[],5,2)*F16*G16,0)</f>
        <v>0</v>
      </c>
      <c r="K16" s="32"/>
    </row>
    <row r="17" spans="1:11" ht="15" customHeight="1">
      <c r="A17" s="200">
        <v>1</v>
      </c>
      <c r="B17" s="151" t="str">
        <f>VLOOKUP(OverzichtExtra[[#This Row],[Code Locatie]],Locaties[],2,0)</f>
        <v>Hoofdgebouw</v>
      </c>
      <c r="C17" s="200">
        <v>3</v>
      </c>
      <c r="D17" s="23" t="str">
        <f>IF('Extra werkzaamheden'!$C17&gt;0,VLOOKUP('Extra werkzaamheden'!$C17,$A$8:$B$11,2,0),"")</f>
        <v>Toetsenborden en muizen reinigen</v>
      </c>
      <c r="E17" s="162" t="str">
        <f>VLOOKUP(OverzichtExtra[[#This Row],[Code Taak]],InvulExtra[#All],3,0)</f>
        <v>Per stuk</v>
      </c>
      <c r="F17" s="152">
        <v>210</v>
      </c>
      <c r="G17" s="152">
        <v>4</v>
      </c>
      <c r="H17" s="202">
        <f>IF(G17&gt;0,VLOOKUP(OverzichtExtra[[#This Row],[Code Taak]],InvulExtra[],5,2)*F17*G17,0)</f>
        <v>0</v>
      </c>
      <c r="K17" s="32"/>
    </row>
    <row r="18" spans="1:11" ht="15" customHeight="1">
      <c r="A18" s="219"/>
      <c r="B18" s="220" t="s">
        <v>33</v>
      </c>
      <c r="C18" s="219"/>
      <c r="D18" s="221"/>
      <c r="E18" s="219"/>
      <c r="F18" s="328"/>
      <c r="G18" s="219"/>
      <c r="H18" s="222">
        <f>SUBTOTAL(109,OverzichtExtra[Kosten/jaar excl. BTW])</f>
        <v>0</v>
      </c>
    </row>
    <row r="19" spans="1:11" ht="15" customHeight="1">
      <c r="C19" s="24"/>
      <c r="D19" s="4"/>
    </row>
    <row r="20" spans="1:11" ht="15" customHeight="1">
      <c r="B20" s="350" t="s">
        <v>801</v>
      </c>
      <c r="C20" s="351"/>
      <c r="D20" s="352"/>
    </row>
    <row r="21" spans="1:11" ht="15" customHeight="1">
      <c r="B21" s="353" t="s">
        <v>758</v>
      </c>
      <c r="C21" s="354" t="s">
        <v>759</v>
      </c>
      <c r="D21" s="353" t="s">
        <v>760</v>
      </c>
    </row>
    <row r="22" spans="1:11" ht="15" customHeight="1">
      <c r="B22" s="255" t="s">
        <v>761</v>
      </c>
      <c r="C22" s="258" t="s">
        <v>762</v>
      </c>
      <c r="D22" s="169" t="s">
        <v>763</v>
      </c>
    </row>
    <row r="23" spans="1:11" ht="15" customHeight="1">
      <c r="B23" s="256"/>
      <c r="C23" s="258" t="s">
        <v>764</v>
      </c>
      <c r="D23" s="169" t="s">
        <v>765</v>
      </c>
    </row>
    <row r="24" spans="1:11" ht="15" customHeight="1">
      <c r="B24" s="256"/>
      <c r="C24" s="258" t="s">
        <v>766</v>
      </c>
      <c r="D24" s="169" t="s">
        <v>767</v>
      </c>
    </row>
    <row r="25" spans="1:11" ht="15" customHeight="1">
      <c r="B25" s="256"/>
      <c r="C25" s="258" t="s">
        <v>762</v>
      </c>
      <c r="D25" s="169" t="s">
        <v>768</v>
      </c>
    </row>
    <row r="26" spans="1:11" ht="15" customHeight="1">
      <c r="B26" s="257"/>
      <c r="C26" s="258" t="s">
        <v>769</v>
      </c>
      <c r="D26" s="169" t="s">
        <v>332</v>
      </c>
    </row>
    <row r="27" spans="1:11" ht="15" customHeight="1">
      <c r="B27" s="259" t="s">
        <v>785</v>
      </c>
      <c r="C27" s="258" t="s">
        <v>770</v>
      </c>
      <c r="D27" s="169" t="s">
        <v>710</v>
      </c>
    </row>
    <row r="28" spans="1:11" ht="15" customHeight="1">
      <c r="B28" s="260"/>
      <c r="C28" s="258" t="s">
        <v>762</v>
      </c>
      <c r="D28" s="169" t="s">
        <v>771</v>
      </c>
    </row>
    <row r="29" spans="1:11" ht="15" customHeight="1">
      <c r="B29" s="260"/>
      <c r="C29" s="258" t="s">
        <v>772</v>
      </c>
      <c r="D29" s="169" t="s">
        <v>773</v>
      </c>
    </row>
    <row r="30" spans="1:11" ht="15" customHeight="1">
      <c r="B30" s="260"/>
      <c r="C30" s="258" t="s">
        <v>770</v>
      </c>
      <c r="D30" s="169" t="s">
        <v>783</v>
      </c>
    </row>
    <row r="31" spans="1:11" ht="15" customHeight="1">
      <c r="B31" s="260"/>
      <c r="C31" s="258" t="s">
        <v>770</v>
      </c>
      <c r="D31" s="169" t="s">
        <v>774</v>
      </c>
    </row>
    <row r="32" spans="1:11" ht="15" customHeight="1">
      <c r="B32" s="260"/>
      <c r="C32" s="258" t="s">
        <v>762</v>
      </c>
      <c r="D32" s="169" t="s">
        <v>768</v>
      </c>
    </row>
    <row r="33" spans="2:6" ht="15" customHeight="1">
      <c r="B33" s="260"/>
      <c r="C33" s="258" t="s">
        <v>762</v>
      </c>
      <c r="D33" s="169" t="s">
        <v>775</v>
      </c>
    </row>
    <row r="34" spans="2:6" ht="15" customHeight="1">
      <c r="B34" s="260"/>
      <c r="C34" s="258" t="s">
        <v>772</v>
      </c>
      <c r="D34" s="169" t="s">
        <v>776</v>
      </c>
    </row>
    <row r="35" spans="2:6" ht="15" customHeight="1">
      <c r="B35" s="260"/>
      <c r="C35" s="258" t="s">
        <v>770</v>
      </c>
      <c r="D35" s="169" t="s">
        <v>777</v>
      </c>
    </row>
    <row r="36" spans="2:6" ht="15" customHeight="1">
      <c r="B36" s="260"/>
      <c r="C36" s="258" t="s">
        <v>762</v>
      </c>
      <c r="D36" s="169" t="s">
        <v>778</v>
      </c>
    </row>
    <row r="37" spans="2:6" ht="15" customHeight="1">
      <c r="B37" s="260"/>
      <c r="C37" s="258" t="s">
        <v>762</v>
      </c>
      <c r="D37" s="169" t="s">
        <v>779</v>
      </c>
    </row>
    <row r="38" spans="2:6" ht="15" customHeight="1">
      <c r="B38" s="260"/>
      <c r="C38" s="258" t="s">
        <v>772</v>
      </c>
      <c r="D38" s="169" t="s">
        <v>780</v>
      </c>
    </row>
    <row r="39" spans="2:6" ht="15" customHeight="1">
      <c r="B39" s="260"/>
      <c r="C39" s="258" t="s">
        <v>781</v>
      </c>
      <c r="D39" s="169" t="s">
        <v>710</v>
      </c>
    </row>
    <row r="40" spans="2:6" ht="15" customHeight="1">
      <c r="B40" s="260"/>
      <c r="C40" s="258" t="s">
        <v>762</v>
      </c>
      <c r="D40" s="169" t="s">
        <v>782</v>
      </c>
    </row>
    <row r="41" spans="2:6" ht="15" customHeight="1">
      <c r="B41" s="261"/>
      <c r="C41" s="258" t="s">
        <v>770</v>
      </c>
      <c r="D41" s="169" t="s">
        <v>783</v>
      </c>
    </row>
    <row r="42" spans="2:6" ht="15" customHeight="1">
      <c r="C42" s="24"/>
      <c r="D42" s="4"/>
    </row>
    <row r="43" spans="2:6" ht="15" customHeight="1">
      <c r="B43" s="335" t="s">
        <v>802</v>
      </c>
      <c r="C43" s="336"/>
      <c r="D43" s="336"/>
      <c r="E43" s="336"/>
      <c r="F43" s="337"/>
    </row>
    <row r="44" spans="2:6" ht="15" customHeight="1">
      <c r="B44" s="342" t="s">
        <v>375</v>
      </c>
      <c r="C44" s="343"/>
      <c r="D44" s="343"/>
      <c r="E44" s="343"/>
      <c r="F44" s="344"/>
    </row>
    <row r="45" spans="2:6" ht="15" customHeight="1">
      <c r="B45" s="338" t="s">
        <v>376</v>
      </c>
      <c r="C45" s="339"/>
      <c r="D45" s="339"/>
      <c r="E45" s="339"/>
      <c r="F45" s="345"/>
    </row>
    <row r="46" spans="2:6" ht="15" customHeight="1">
      <c r="B46" s="338" t="s">
        <v>377</v>
      </c>
      <c r="C46" s="339"/>
      <c r="D46" s="339"/>
      <c r="E46" s="339"/>
      <c r="F46" s="345"/>
    </row>
    <row r="47" spans="2:6" ht="15" customHeight="1">
      <c r="B47" s="338" t="s">
        <v>378</v>
      </c>
      <c r="C47" s="339"/>
      <c r="D47" s="339"/>
      <c r="E47" s="339"/>
      <c r="F47" s="345"/>
    </row>
    <row r="48" spans="2:6" ht="15" customHeight="1">
      <c r="B48" s="338" t="s">
        <v>379</v>
      </c>
      <c r="C48" s="339"/>
      <c r="D48" s="339"/>
      <c r="E48" s="339"/>
      <c r="F48" s="345"/>
    </row>
    <row r="49" spans="2:6" ht="15" customHeight="1">
      <c r="B49" s="340" t="s">
        <v>380</v>
      </c>
      <c r="C49" s="341"/>
      <c r="D49" s="341"/>
      <c r="E49" s="341"/>
      <c r="F49" s="346"/>
    </row>
    <row r="50" spans="2:6" ht="15" customHeight="1">
      <c r="B50" s="340" t="s">
        <v>381</v>
      </c>
      <c r="C50" s="341"/>
      <c r="D50" s="341"/>
      <c r="E50" s="341"/>
      <c r="F50" s="346"/>
    </row>
    <row r="51" spans="2:6" ht="15" customHeight="1">
      <c r="B51" s="340" t="s">
        <v>382</v>
      </c>
      <c r="C51" s="341"/>
      <c r="D51" s="341"/>
      <c r="E51" s="341"/>
      <c r="F51" s="346"/>
    </row>
    <row r="52" spans="2:6" ht="15" customHeight="1">
      <c r="B52" s="340" t="s">
        <v>383</v>
      </c>
      <c r="C52" s="341"/>
      <c r="D52" s="341"/>
      <c r="E52" s="341"/>
      <c r="F52" s="346"/>
    </row>
    <row r="53" spans="2:6" ht="15" customHeight="1">
      <c r="B53" s="338" t="s">
        <v>384</v>
      </c>
      <c r="C53" s="339"/>
      <c r="D53" s="339"/>
      <c r="E53" s="339"/>
      <c r="F53" s="345"/>
    </row>
    <row r="54" spans="2:6" ht="15" customHeight="1">
      <c r="B54" s="338" t="s">
        <v>385</v>
      </c>
      <c r="C54" s="339"/>
      <c r="D54" s="339"/>
      <c r="E54" s="339"/>
      <c r="F54" s="345"/>
    </row>
    <row r="55" spans="2:6" ht="15" customHeight="1">
      <c r="B55" s="347" t="s">
        <v>386</v>
      </c>
      <c r="C55" s="348"/>
      <c r="D55" s="348"/>
      <c r="E55" s="348"/>
      <c r="F55" s="349"/>
    </row>
    <row r="56" spans="2:6" ht="15" customHeight="1">
      <c r="C56" s="24"/>
      <c r="D56" s="4"/>
    </row>
    <row r="57" spans="2:6" ht="15" customHeight="1">
      <c r="C57" s="24"/>
      <c r="D57" s="4"/>
    </row>
    <row r="58" spans="2:6" ht="15" customHeight="1">
      <c r="C58" s="24"/>
      <c r="D58" s="4"/>
    </row>
    <row r="59" spans="2:6" ht="15" customHeight="1">
      <c r="C59" s="24"/>
      <c r="D59" s="4"/>
    </row>
    <row r="60" spans="2:6" ht="15" customHeight="1">
      <c r="C60" s="24"/>
      <c r="D60" s="4"/>
    </row>
    <row r="61" spans="2:6" ht="15" customHeight="1">
      <c r="C61" s="24"/>
      <c r="D61" s="4"/>
    </row>
    <row r="62" spans="2:6" ht="15" customHeight="1">
      <c r="C62" s="24"/>
      <c r="D62" s="4"/>
    </row>
    <row r="63" spans="2:6" ht="15" customHeight="1">
      <c r="C63" s="24"/>
      <c r="D63" s="4"/>
    </row>
    <row r="64" spans="2:6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</sheetData>
  <mergeCells count="16">
    <mergeCell ref="B44:F44"/>
    <mergeCell ref="B43:F43"/>
    <mergeCell ref="B45:F45"/>
    <mergeCell ref="B55:F55"/>
    <mergeCell ref="B54:F54"/>
    <mergeCell ref="B53:F53"/>
    <mergeCell ref="B52:F52"/>
    <mergeCell ref="B51:F51"/>
    <mergeCell ref="B50:F50"/>
    <mergeCell ref="B49:F49"/>
    <mergeCell ref="B48:F48"/>
    <mergeCell ref="B47:F47"/>
    <mergeCell ref="B46:F46"/>
    <mergeCell ref="A2:H2"/>
    <mergeCell ref="A1:H1"/>
    <mergeCell ref="B20:D20"/>
  </mergeCells>
  <pageMargins left="0.70866141732283472" right="0.70866141732283472" top="0.35433070866141736" bottom="0.47244094488188981" header="0.31496062992125984" footer="0.31496062992125984"/>
  <pageSetup paperSize="9" scale="63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42007-A804-4F44-AC9D-FC8087898404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5d807127-6dfe-4777-9fc9-8a2ccfc388c3"/>
    <ds:schemaRef ds:uri="http://schemas.microsoft.com/office/infopath/2007/PartnerControls"/>
    <ds:schemaRef ds:uri="46c995e6-7f53-48aa-a5ad-a9d38912b46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42DC06-B723-403B-9229-25D07A9E3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8</vt:i4>
      </vt:variant>
    </vt:vector>
  </HeadingPairs>
  <TitlesOfParts>
    <vt:vector size="19" baseType="lpstr">
      <vt:lpstr>Overnamegegevens</vt:lpstr>
      <vt:lpstr>Opleverstaat dagelijks</vt:lpstr>
      <vt:lpstr>Werkprogramma periodiek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Inkada</dc:creator>
  <cp:lastModifiedBy>Myrna Lansink | Inkada Inkoop &amp; Advies</cp:lastModifiedBy>
  <cp:lastPrinted>2023-09-01T08:05:27Z</cp:lastPrinted>
  <dcterms:created xsi:type="dcterms:W3CDTF">1999-03-23T11:24:21Z</dcterms:created>
  <dcterms:modified xsi:type="dcterms:W3CDTF">2023-10-10T07:58:56Z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