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3-011 IBT&amp;D 2023\04 - BESCHRIJVENDE DOCUMENTEN\Bijlage VII - Prijsmodel\"/>
    </mc:Choice>
  </mc:AlternateContent>
  <xr:revisionPtr revIDLastSave="0" documentId="13_ncr:1_{8A0DFD2E-BCE8-49C8-9E70-5186330FA214}" xr6:coauthVersionLast="47" xr6:coauthVersionMax="47" xr10:uidLastSave="{00000000-0000-0000-0000-000000000000}"/>
  <bookViews>
    <workbookView xWindow="-28920" yWindow="-1875" windowWidth="29040" windowHeight="17640" xr2:uid="{00000000-000D-0000-FFFF-FFFF00000000}"/>
  </bookViews>
  <sheets>
    <sheet name="Tarieven" sheetId="2" r:id="rId1"/>
    <sheet name="Bonus-Malus" sheetId="3" r:id="rId2"/>
    <sheet name="BPK-Grafiek" sheetId="8" r:id="rId3"/>
    <sheet name="DATA" sheetId="9" state="hidden" r:id="rId4"/>
  </sheets>
  <externalReferences>
    <externalReference r:id="rId5"/>
    <externalReference r:id="rId6"/>
    <externalReference r:id="rId7"/>
    <externalReference r:id="rId8"/>
  </externalReferences>
  <definedNames>
    <definedName name="A">'[1]HULP-velden'!$D$8</definedName>
    <definedName name="LAQ">[2]Superformule!$K$22</definedName>
    <definedName name="Maximaal">'[2]HULP-velden'!$L$20</definedName>
    <definedName name="maxtarief">[3]Factor!$E$48</definedName>
    <definedName name="mintarief">[3]Factor!$E$26</definedName>
    <definedName name="Percentage_Qeisen">'[2]HULP-velden'!$J$80</definedName>
    <definedName name="Spreiding">'Bonus-Malus'!$B$18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8" l="1"/>
  <c r="C7" i="9"/>
  <c r="F83" i="8"/>
  <c r="F20" i="8"/>
  <c r="G20" i="8" s="1"/>
  <c r="F19" i="8"/>
  <c r="F21" i="8" s="1"/>
  <c r="G21" i="8" s="1"/>
  <c r="E16" i="8"/>
  <c r="G13" i="8"/>
  <c r="F12" i="8"/>
  <c r="F14" i="8" s="1"/>
  <c r="D7" i="9" s="1"/>
  <c r="F7" i="9" s="1"/>
  <c r="E7" i="9" l="1"/>
  <c r="F15" i="8" s="1"/>
  <c r="G19" i="8"/>
  <c r="G12" i="8"/>
  <c r="G14" i="8" s="1"/>
  <c r="C14" i="3" l="1"/>
  <c r="F12" i="2" l="1"/>
  <c r="L12" i="2" l="1"/>
  <c r="U12" i="2"/>
  <c r="J12" i="2"/>
  <c r="G12" i="2"/>
  <c r="G21" i="3" l="1"/>
  <c r="M12" i="2"/>
  <c r="H12" i="2"/>
  <c r="C35" i="3"/>
  <c r="G23" i="3" l="1"/>
  <c r="C45" i="3"/>
  <c r="C36" i="3" s="1"/>
  <c r="D35" i="3"/>
  <c r="E35" i="3" s="1"/>
  <c r="C25" i="3"/>
  <c r="N12" i="2"/>
  <c r="D14" i="3" l="1"/>
  <c r="C37" i="3"/>
  <c r="D36" i="3"/>
  <c r="E36" i="3" s="1"/>
  <c r="C26" i="3"/>
  <c r="C24" i="3"/>
  <c r="D25" i="3"/>
  <c r="C46" i="3"/>
  <c r="D45" i="3"/>
  <c r="C27" i="3" l="1"/>
  <c r="D26" i="3"/>
  <c r="E26" i="3" s="1"/>
  <c r="E25" i="3"/>
  <c r="E24" i="3" s="1"/>
  <c r="E14" i="3" s="1"/>
  <c r="C38" i="3"/>
  <c r="D37" i="3"/>
  <c r="E37" i="3" s="1"/>
  <c r="E45" i="3"/>
  <c r="E46" i="3" s="1"/>
  <c r="D38" i="3" l="1"/>
  <c r="E38" i="3" s="1"/>
  <c r="C39" i="3"/>
  <c r="D27" i="3"/>
  <c r="E27" i="3" s="1"/>
  <c r="C28" i="3"/>
  <c r="D28" i="3" l="1"/>
  <c r="E28" i="3" s="1"/>
  <c r="C29" i="3"/>
  <c r="D39" i="3"/>
  <c r="E39" i="3" s="1"/>
  <c r="C40" i="3"/>
  <c r="C41" i="3" l="1"/>
  <c r="D40" i="3"/>
  <c r="E40" i="3" s="1"/>
  <c r="C30" i="3"/>
  <c r="D29" i="3"/>
  <c r="E29" i="3" s="1"/>
  <c r="D30" i="3" l="1"/>
  <c r="E30" i="3" s="1"/>
  <c r="C31" i="3"/>
  <c r="C42" i="3"/>
  <c r="D41" i="3"/>
  <c r="E41" i="3" s="1"/>
  <c r="D42" i="3" l="1"/>
  <c r="E42" i="3" s="1"/>
  <c r="C43" i="3"/>
  <c r="D31" i="3"/>
  <c r="E31" i="3" s="1"/>
  <c r="C32" i="3"/>
  <c r="C33" i="3" l="1"/>
  <c r="D32" i="3"/>
  <c r="E32" i="3" s="1"/>
  <c r="D43" i="3"/>
  <c r="E43" i="3" s="1"/>
  <c r="C44" i="3"/>
  <c r="D44" i="3" s="1"/>
  <c r="E44" i="3" s="1"/>
  <c r="C34" i="3" l="1"/>
  <c r="D34" i="3" s="1"/>
  <c r="E34" i="3" s="1"/>
  <c r="D33" i="3"/>
  <c r="E33" i="3" s="1"/>
</calcChain>
</file>

<file path=xl/sharedStrings.xml><?xml version="1.0" encoding="utf-8"?>
<sst xmlns="http://schemas.openxmlformats.org/spreadsheetml/2006/main" count="155" uniqueCount="101">
  <si>
    <t>Europese Aanbesteding</t>
  </si>
  <si>
    <t xml:space="preserve">Naam Inschrijver: </t>
  </si>
  <si>
    <t>Functie</t>
  </si>
  <si>
    <t>Referentie
prijs</t>
  </si>
  <si>
    <t>Tarief 
per uur</t>
  </si>
  <si>
    <t>Factor</t>
  </si>
  <si>
    <t>Fictieve 
bonus / malus</t>
  </si>
  <si>
    <t>Totaal 
Referentie</t>
  </si>
  <si>
    <t>Uw inschrijving</t>
  </si>
  <si>
    <t xml:space="preserve"> </t>
  </si>
  <si>
    <t>Projectmanagement</t>
  </si>
  <si>
    <t>Research en planning Online Media</t>
  </si>
  <si>
    <t>Bepalen Fictieve bonus/malus</t>
  </si>
  <si>
    <t>Referentie 
Prijs</t>
  </si>
  <si>
    <t>Uw
tarief</t>
  </si>
  <si>
    <t xml:space="preserve">Fictieve </t>
  </si>
  <si>
    <t>bonus/malus</t>
  </si>
  <si>
    <t>factor voor spreiding %</t>
  </si>
  <si>
    <t>factor voor kromming</t>
  </si>
  <si>
    <t>Speiding in tarief</t>
  </si>
  <si>
    <t>afgerond op</t>
  </si>
  <si>
    <t>Tarief</t>
  </si>
  <si>
    <t>1 decimaal</t>
  </si>
  <si>
    <t>Ondergrens</t>
  </si>
  <si>
    <t>Pref</t>
  </si>
  <si>
    <t>Bovengrens</t>
  </si>
  <si>
    <t>Restrictie</t>
  </si>
  <si>
    <t>Informatie Beveiliging A&amp;P testen (IB A&amp;P)</t>
  </si>
  <si>
    <t>Uurtarief IB-A&amp;P test</t>
  </si>
  <si>
    <t>Tabel en grafiek voor het bepalen van de fictieve bonus / malus</t>
  </si>
  <si>
    <t>Grafiek fictieve bonus/malus voor geoffreerd uurtarief</t>
  </si>
  <si>
    <t>Kenmerk: IUC23-011</t>
  </si>
  <si>
    <t>Tarief
t.b.v. gunning</t>
  </si>
  <si>
    <t>Europese aanbesteding</t>
  </si>
  <si>
    <t>Indicatief 
aantal 
uren (5 jaar)</t>
  </si>
  <si>
    <r>
      <t>P</t>
    </r>
    <r>
      <rPr>
        <b/>
        <vertAlign val="subscript"/>
        <sz val="11"/>
        <color theme="1"/>
        <rFont val="RijksoverheidSansText"/>
        <family val="2"/>
      </rPr>
      <t>ref</t>
    </r>
  </si>
  <si>
    <r>
      <t>P</t>
    </r>
    <r>
      <rPr>
        <b/>
        <vertAlign val="subscript"/>
        <sz val="11"/>
        <color theme="1"/>
        <rFont val="RijksoverheidSansText"/>
        <family val="2"/>
      </rPr>
      <t>i</t>
    </r>
  </si>
  <si>
    <r>
      <t xml:space="preserve">  Restrictie: bij P</t>
    </r>
    <r>
      <rPr>
        <i/>
        <vertAlign val="subscript"/>
        <sz val="11"/>
        <color theme="1"/>
        <rFont val="RijksoverheidSansText"/>
        <family val="2"/>
      </rPr>
      <t>i</t>
    </r>
    <r>
      <rPr>
        <i/>
        <sz val="11"/>
        <color theme="1"/>
        <rFont val="RijksoverheidSansText"/>
        <family val="2"/>
      </rPr>
      <t xml:space="preserve"> &lt; ondergrens geldt een bonus van -10%  </t>
    </r>
  </si>
  <si>
    <r>
      <t xml:space="preserve">  Restrictie: bij P</t>
    </r>
    <r>
      <rPr>
        <i/>
        <vertAlign val="subscript"/>
        <sz val="11"/>
        <color theme="1"/>
        <rFont val="RijksoverheidSansText"/>
        <family val="2"/>
      </rPr>
      <t>i</t>
    </r>
    <r>
      <rPr>
        <i/>
        <sz val="11"/>
        <color theme="1"/>
        <rFont val="RijksoverheidSansText"/>
        <family val="2"/>
      </rPr>
      <t xml:space="preserve"> &gt; bovengrens geldt een malus van +10%  </t>
    </r>
  </si>
  <si>
    <r>
      <t xml:space="preserve">Factor </t>
    </r>
    <r>
      <rPr>
        <b/>
        <vertAlign val="superscript"/>
        <sz val="11"/>
        <color theme="1"/>
        <rFont val="RijksoverheidSansText"/>
        <family val="2"/>
      </rPr>
      <t>*1</t>
    </r>
  </si>
  <si>
    <t>T.b.v. 
Vergelijkingswaarde</t>
  </si>
  <si>
    <t>%</t>
  </si>
  <si>
    <t>Totaal kwaliteit</t>
  </si>
  <si>
    <t>Totaal</t>
  </si>
  <si>
    <t>Wensen</t>
  </si>
  <si>
    <t xml:space="preserve">Eisen </t>
  </si>
  <si>
    <t>Procenten</t>
  </si>
  <si>
    <t>Punten</t>
  </si>
  <si>
    <t>Opbouw Score voor kwaliteit</t>
  </si>
  <si>
    <t>*1</t>
  </si>
  <si>
    <t>Indicatie BPK-score</t>
  </si>
  <si>
    <t xml:space="preserve">Kwaliteit in eisen </t>
  </si>
  <si>
    <t>Score Kwaliteit</t>
  </si>
  <si>
    <t xml:space="preserve">      Indicatie eigen score</t>
  </si>
  <si>
    <t>Vergelijkingswaarde</t>
  </si>
  <si>
    <t>(Prijzen exclusief BTW)</t>
  </si>
  <si>
    <t>BPK-Grafiek</t>
  </si>
  <si>
    <t>Qbonus</t>
  </si>
  <si>
    <t>Qwensen</t>
  </si>
  <si>
    <t>Uw Inschrijving</t>
  </si>
  <si>
    <t>Qeisen</t>
  </si>
  <si>
    <t>LAQ (norm)</t>
  </si>
  <si>
    <t>Bonus (extra)</t>
  </si>
  <si>
    <t>genormaliseerd</t>
  </si>
  <si>
    <t>LAQ</t>
  </si>
  <si>
    <t>P</t>
  </si>
  <si>
    <t>Qref</t>
  </si>
  <si>
    <t>Qmin</t>
  </si>
  <si>
    <t>Qmax</t>
  </si>
  <si>
    <t>Referentie (Qmax)</t>
  </si>
  <si>
    <t>Referentie</t>
  </si>
  <si>
    <t>Exponent</t>
  </si>
  <si>
    <t>Hulpvelden t.b.v grafiek</t>
  </si>
  <si>
    <t>P berekend uit Q en EMVI=1,1</t>
  </si>
  <si>
    <t>EMVI</t>
  </si>
  <si>
    <t>Q berekend bij P=0 en EMVI=1,1</t>
  </si>
  <si>
    <t>P berekend uit Q en EMVI=0,6</t>
  </si>
  <si>
    <t>Q berekend bij P=0 en EMVI=0,6</t>
  </si>
  <si>
    <t>P berekend uit Q en EMVI=0,7</t>
  </si>
  <si>
    <t>Q berekend bij P=0 en EMVI=0,7</t>
  </si>
  <si>
    <t>P berekend uit Q en EMVI=0,8</t>
  </si>
  <si>
    <t>Q berekend bij P=0 en EMVI=0,8</t>
  </si>
  <si>
    <t>P berekend uit Q en EMVI=0,9</t>
  </si>
  <si>
    <t>Q berekend bij P=0 en EMVI=0,9</t>
  </si>
  <si>
    <t>P berekend uit Q en EMVI=1</t>
  </si>
  <si>
    <t>Q berekend bij P=0 en EMVI=1</t>
  </si>
  <si>
    <t>hulp=Q bij P=0</t>
  </si>
  <si>
    <t>EMVI-lijnen</t>
  </si>
  <si>
    <t>Ref (onder)</t>
  </si>
  <si>
    <t>Ref (boven)</t>
  </si>
  <si>
    <t>Ref</t>
  </si>
  <si>
    <t>Q</t>
  </si>
  <si>
    <t xml:space="preserve">P </t>
  </si>
  <si>
    <t>EVMI-punten</t>
  </si>
  <si>
    <t>LET OP  !!!</t>
  </si>
  <si>
    <t>Hulpvelden</t>
  </si>
  <si>
    <t>Hulpdata Grafiek Superformule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</si>
  <si>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</si>
  <si>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</si>
  <si>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*1 Zie voor bepalen factor (fictieve bonus/malus) tabblad 'Bonus-Malus'</t>
  </si>
  <si>
    <t xml:space="preserve">Informatie Beveiliging A&amp;P-testen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</si>
</sst>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(&quot;€&quot;* #,##0.00_);_(&quot;€&quot;* \(#,##0.00\);_(&quot;€&quot;* &quot;-&quot;??_);_(@_)"/>
    <numFmt numFmtId="165" formatCode="&quot;€&quot;\ #,##0.00_-"/>
    <numFmt numFmtId="166" formatCode="_ * #,##0.00000_ ;_ * \-#,##0.00000_ ;_ * &quot;-&quot;??_ ;_ @_ "/>
    <numFmt numFmtId="167" formatCode="_(* #,##0.00_);_(* \(#,##0.00\);_(* &quot;-&quot;??_);_(@_)"/>
    <numFmt numFmtId="168" formatCode="&quot;€&quot;\ #,##0.00"/>
    <numFmt numFmtId="169" formatCode="0.000000000"/>
    <numFmt numFmtId="170" formatCode="0.000"/>
    <numFmt numFmtId="171" formatCode="&quot;€&quot;#,##0.00_);\(&quot;€&quot;#,##0.00\)"/>
    <numFmt numFmtId="172" formatCode="0.0%"/>
    <numFmt numFmtId="173" formatCode="#,##0.00_ ;\-#,##0.00\ "/>
    <numFmt numFmtId="174" formatCode="_ * #,##0.000000_ ;_ * \-#,##0.000000_ ;_ * &quot;-&quot;??????_ ;_ @_ "/>
    <numFmt numFmtId="175" formatCode="_ * #,##0.000000_ ;_ * \-#,##0.000000_ ;_ * &quot;-&quot;??_ ;_ @_ "/>
    <numFmt numFmtId="176" formatCode="0.0"/>
    <numFmt numFmtId="177" formatCode="#,##0.0"/>
    <numFmt numFmtId="178" formatCode="_ &quot;€&quot;\ * #,##0_ ;_ &quot;€&quot;\ * \-#,##0_ ;_ &quot;€&quot;\ * &quot;-&quot;??_ ;_ @_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RijksoverheidSansText"/>
      <family val="2"/>
    </font>
    <font>
      <sz val="10"/>
      <color theme="1"/>
      <name val="RijksoverheidSansText"/>
      <family val="2"/>
    </font>
    <font>
      <b/>
      <sz val="18"/>
      <color theme="1"/>
      <name val="RijksoverheidSansText"/>
      <family val="2"/>
    </font>
    <font>
      <b/>
      <sz val="14"/>
      <color theme="1"/>
      <name val="RijksoverheidSansText"/>
      <family val="2"/>
    </font>
    <font>
      <b/>
      <sz val="14"/>
      <color theme="0"/>
      <name val="RijksoverheidSansText"/>
      <family val="2"/>
    </font>
    <font>
      <b/>
      <sz val="10"/>
      <color theme="1"/>
      <name val="RijksoverheidSansText"/>
      <family val="2"/>
    </font>
    <font>
      <sz val="10"/>
      <color indexed="9"/>
      <name val="RijksoverheidSansText"/>
      <family val="2"/>
    </font>
    <font>
      <sz val="11"/>
      <color theme="1"/>
      <name val="RijksoverheidSansText"/>
      <family val="2"/>
    </font>
    <font>
      <sz val="11"/>
      <name val="RijksoverheidSansText"/>
      <family val="2"/>
    </font>
    <font>
      <b/>
      <sz val="11"/>
      <color theme="1"/>
      <name val="RijksoverheidSansText"/>
      <family val="2"/>
    </font>
    <font>
      <i/>
      <sz val="11"/>
      <color theme="1"/>
      <name val="RijksoverheidSansText"/>
      <family val="2"/>
    </font>
    <font>
      <b/>
      <i/>
      <sz val="11"/>
      <color theme="1"/>
      <name val="RijksoverheidSansText"/>
      <family val="2"/>
    </font>
    <font>
      <b/>
      <vertAlign val="subscript"/>
      <sz val="11"/>
      <color theme="1"/>
      <name val="RijksoverheidSansText"/>
      <family val="2"/>
    </font>
    <font>
      <i/>
      <sz val="11"/>
      <color theme="0" tint="-0.34998626667073579"/>
      <name val="RijksoverheidSansText"/>
      <family val="2"/>
    </font>
    <font>
      <i/>
      <vertAlign val="subscript"/>
      <sz val="11"/>
      <color theme="1"/>
      <name val="RijksoverheidSansText"/>
      <family val="2"/>
    </font>
    <font>
      <b/>
      <vertAlign val="superscript"/>
      <sz val="11"/>
      <color theme="1"/>
      <name val="RijksoverheidSansText"/>
      <family val="2"/>
    </font>
    <font>
      <i/>
      <sz val="10"/>
      <color theme="1"/>
      <name val="RijksoverheidSansText"/>
      <family val="2"/>
    </font>
    <font>
      <sz val="11"/>
      <color theme="0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20"/>
      <color theme="0"/>
      <name val="Verdana"/>
      <family val="2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0"/>
      <name val="Verdana"/>
      <family val="2"/>
    </font>
    <font>
      <sz val="24"/>
      <color theme="0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i/>
      <sz val="12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</cellStyleXfs>
  <cellXfs count="209">
    <xf numFmtId="0" fontId="0" fillId="0" borderId="0" xfId="0"/>
    <xf numFmtId="0" fontId="3" fillId="0" borderId="0" xfId="3" applyFont="1" applyProtection="1">
      <protection hidden="1"/>
    </xf>
    <xf numFmtId="0" fontId="11" fillId="0" borderId="0" xfId="3" applyFont="1" applyProtection="1">
      <protection hidden="1"/>
    </xf>
    <xf numFmtId="0" fontId="11" fillId="0" borderId="0" xfId="3" applyFont="1" applyBorder="1" applyProtection="1">
      <protection hidden="1"/>
    </xf>
    <xf numFmtId="164" fontId="10" fillId="3" borderId="4" xfId="5" applyFont="1" applyFill="1" applyBorder="1" applyAlignment="1" applyProtection="1">
      <alignment horizontal="right" vertical="center"/>
      <protection locked="0"/>
    </xf>
    <xf numFmtId="0" fontId="6" fillId="2" borderId="0" xfId="3" applyFont="1" applyFill="1" applyBorder="1" applyProtection="1">
      <protection hidden="1"/>
    </xf>
    <xf numFmtId="0" fontId="4" fillId="0" borderId="0" xfId="7" applyFont="1" applyProtection="1">
      <protection hidden="1"/>
    </xf>
    <xf numFmtId="169" fontId="4" fillId="0" borderId="0" xfId="7" applyNumberFormat="1" applyFont="1" applyProtection="1">
      <protection hidden="1"/>
    </xf>
    <xf numFmtId="170" fontId="4" fillId="0" borderId="0" xfId="7" applyNumberFormat="1" applyFont="1" applyProtection="1">
      <protection hidden="1"/>
    </xf>
    <xf numFmtId="0" fontId="8" fillId="2" borderId="0" xfId="3" applyFont="1" applyFill="1" applyBorder="1" applyProtection="1">
      <protection hidden="1"/>
    </xf>
    <xf numFmtId="165" fontId="8" fillId="2" borderId="0" xfId="3" applyNumberFormat="1" applyFont="1" applyFill="1" applyBorder="1" applyProtection="1">
      <protection hidden="1"/>
    </xf>
    <xf numFmtId="165" fontId="8" fillId="2" borderId="0" xfId="3" applyNumberFormat="1" applyFont="1" applyFill="1" applyBorder="1" applyAlignment="1" applyProtection="1">
      <alignment horizontal="right"/>
      <protection hidden="1"/>
    </xf>
    <xf numFmtId="0" fontId="5" fillId="2" borderId="0" xfId="3" applyFont="1" applyFill="1" applyBorder="1" applyProtection="1">
      <protection hidden="1"/>
    </xf>
    <xf numFmtId="0" fontId="7" fillId="2" borderId="0" xfId="3" applyFont="1" applyFill="1" applyBorder="1" applyProtection="1">
      <protection hidden="1"/>
    </xf>
    <xf numFmtId="0" fontId="4" fillId="0" borderId="0" xfId="7" applyFont="1" applyAlignment="1" applyProtection="1">
      <alignment horizontal="center"/>
      <protection hidden="1"/>
    </xf>
    <xf numFmtId="0" fontId="10" fillId="0" borderId="7" xfId="0" applyFont="1" applyBorder="1" applyProtection="1">
      <protection hidden="1"/>
    </xf>
    <xf numFmtId="0" fontId="10" fillId="0" borderId="8" xfId="0" applyFont="1" applyBorder="1" applyProtection="1">
      <protection hidden="1"/>
    </xf>
    <xf numFmtId="0" fontId="10" fillId="0" borderId="10" xfId="0" applyFont="1" applyBorder="1" applyProtection="1">
      <protection hidden="1"/>
    </xf>
    <xf numFmtId="0" fontId="10" fillId="0" borderId="0" xfId="0" applyFont="1" applyBorder="1" applyProtection="1">
      <protection hidden="1"/>
    </xf>
    <xf numFmtId="0" fontId="12" fillId="2" borderId="0" xfId="0" applyFont="1" applyFill="1" applyAlignment="1" applyProtection="1">
      <protection hidden="1"/>
    </xf>
    <xf numFmtId="0" fontId="10" fillId="0" borderId="0" xfId="7" applyFont="1" applyProtection="1">
      <protection hidden="1"/>
    </xf>
    <xf numFmtId="0" fontId="12" fillId="2" borderId="0" xfId="7" applyFont="1" applyFill="1" applyAlignment="1" applyProtection="1">
      <alignment horizontal="right" wrapText="1"/>
      <protection hidden="1"/>
    </xf>
    <xf numFmtId="0" fontId="12" fillId="2" borderId="0" xfId="7" applyFont="1" applyFill="1" applyAlignment="1" applyProtection="1">
      <alignment horizontal="right"/>
      <protection hidden="1"/>
    </xf>
    <xf numFmtId="0" fontId="10" fillId="0" borderId="8" xfId="7" applyFont="1" applyBorder="1" applyProtection="1">
      <protection hidden="1"/>
    </xf>
    <xf numFmtId="0" fontId="10" fillId="0" borderId="9" xfId="7" applyFont="1" applyBorder="1" applyProtection="1">
      <protection hidden="1"/>
    </xf>
    <xf numFmtId="0" fontId="10" fillId="0" borderId="10" xfId="7" applyFont="1" applyBorder="1" applyProtection="1">
      <protection hidden="1"/>
    </xf>
    <xf numFmtId="0" fontId="10" fillId="0" borderId="0" xfId="7" applyFont="1" applyBorder="1" applyProtection="1">
      <protection hidden="1"/>
    </xf>
    <xf numFmtId="0" fontId="10" fillId="0" borderId="11" xfId="7" applyFont="1" applyBorder="1" applyProtection="1">
      <protection hidden="1"/>
    </xf>
    <xf numFmtId="171" fontId="13" fillId="8" borderId="4" xfId="1" applyNumberFormat="1" applyFont="1" applyFill="1" applyBorder="1" applyAlignment="1" applyProtection="1">
      <alignment vertical="center"/>
      <protection hidden="1"/>
    </xf>
    <xf numFmtId="171" fontId="13" fillId="4" borderId="4" xfId="1" applyNumberFormat="1" applyFont="1" applyFill="1" applyBorder="1" applyAlignment="1" applyProtection="1">
      <alignment vertical="center"/>
      <protection hidden="1"/>
    </xf>
    <xf numFmtId="166" fontId="10" fillId="0" borderId="4" xfId="4" applyNumberFormat="1" applyFont="1" applyFill="1" applyBorder="1" applyAlignment="1" applyProtection="1">
      <alignment horizontal="right" vertical="center"/>
      <protection hidden="1"/>
    </xf>
    <xf numFmtId="172" fontId="10" fillId="0" borderId="4" xfId="2" applyNumberFormat="1" applyFont="1" applyBorder="1" applyProtection="1">
      <protection hidden="1"/>
    </xf>
    <xf numFmtId="0" fontId="16" fillId="0" borderId="0" xfId="7" applyFont="1" applyProtection="1">
      <protection hidden="1"/>
    </xf>
    <xf numFmtId="173" fontId="10" fillId="0" borderId="0" xfId="4" applyNumberFormat="1" applyFont="1" applyProtection="1">
      <protection hidden="1"/>
    </xf>
    <xf numFmtId="0" fontId="10" fillId="0" borderId="0" xfId="7" applyFont="1" applyAlignment="1" applyProtection="1">
      <alignment horizontal="center"/>
      <protection hidden="1"/>
    </xf>
    <xf numFmtId="0" fontId="13" fillId="0" borderId="4" xfId="7" applyFont="1" applyFill="1" applyBorder="1" applyProtection="1">
      <protection hidden="1"/>
    </xf>
    <xf numFmtId="0" fontId="10" fillId="2" borderId="0" xfId="7" applyFont="1" applyFill="1" applyProtection="1">
      <protection hidden="1"/>
    </xf>
    <xf numFmtId="0" fontId="13" fillId="0" borderId="10" xfId="7" applyFont="1" applyBorder="1" applyAlignment="1" applyProtection="1">
      <alignment vertical="top"/>
      <protection hidden="1"/>
    </xf>
    <xf numFmtId="0" fontId="10" fillId="0" borderId="0" xfId="7" applyFont="1" applyBorder="1" applyAlignment="1" applyProtection="1">
      <alignment vertical="top"/>
      <protection hidden="1"/>
    </xf>
    <xf numFmtId="0" fontId="11" fillId="0" borderId="0" xfId="3" applyFont="1" applyBorder="1" applyAlignment="1" applyProtection="1">
      <alignment vertical="top"/>
      <protection hidden="1"/>
    </xf>
    <xf numFmtId="0" fontId="13" fillId="0" borderId="12" xfId="7" applyFont="1" applyBorder="1" applyAlignment="1" applyProtection="1">
      <alignment vertical="top"/>
      <protection hidden="1"/>
    </xf>
    <xf numFmtId="0" fontId="10" fillId="0" borderId="13" xfId="7" applyFont="1" applyBorder="1" applyAlignment="1" applyProtection="1">
      <alignment vertical="top"/>
      <protection hidden="1"/>
    </xf>
    <xf numFmtId="0" fontId="11" fillId="0" borderId="13" xfId="3" applyFont="1" applyBorder="1" applyAlignment="1" applyProtection="1">
      <alignment vertical="top"/>
      <protection hidden="1"/>
    </xf>
    <xf numFmtId="0" fontId="10" fillId="0" borderId="13" xfId="7" applyFont="1" applyBorder="1" applyProtection="1">
      <protection hidden="1"/>
    </xf>
    <xf numFmtId="0" fontId="10" fillId="0" borderId="14" xfId="7" applyFont="1" applyBorder="1" applyProtection="1">
      <protection hidden="1"/>
    </xf>
    <xf numFmtId="168" fontId="13" fillId="0" borderId="4" xfId="1" applyNumberFormat="1" applyFont="1" applyFill="1" applyBorder="1" applyProtection="1">
      <protection hidden="1"/>
    </xf>
    <xf numFmtId="0" fontId="13" fillId="0" borderId="0" xfId="7" applyFont="1" applyBorder="1" applyAlignment="1" applyProtection="1">
      <alignment vertical="top"/>
      <protection hidden="1"/>
    </xf>
    <xf numFmtId="174" fontId="16" fillId="0" borderId="0" xfId="7" applyNumberFormat="1" applyFont="1" applyProtection="1">
      <protection hidden="1"/>
    </xf>
    <xf numFmtId="0" fontId="10" fillId="2" borderId="7" xfId="7" applyFont="1" applyFill="1" applyBorder="1" applyProtection="1">
      <protection hidden="1"/>
    </xf>
    <xf numFmtId="0" fontId="16" fillId="2" borderId="8" xfId="7" applyFont="1" applyFill="1" applyBorder="1" applyAlignment="1" applyProtection="1">
      <alignment horizontal="right"/>
      <protection hidden="1"/>
    </xf>
    <xf numFmtId="0" fontId="12" fillId="2" borderId="8" xfId="7" applyFont="1" applyFill="1" applyBorder="1" applyAlignment="1" applyProtection="1">
      <alignment horizontal="right"/>
      <protection hidden="1"/>
    </xf>
    <xf numFmtId="0" fontId="12" fillId="2" borderId="9" xfId="7" applyFont="1" applyFill="1" applyBorder="1" applyAlignment="1" applyProtection="1">
      <alignment horizontal="right"/>
      <protection hidden="1"/>
    </xf>
    <xf numFmtId="0" fontId="12" fillId="2" borderId="0" xfId="7" quotePrefix="1" applyFont="1" applyFill="1" applyAlignment="1" applyProtection="1">
      <alignment horizontal="left"/>
      <protection hidden="1"/>
    </xf>
    <xf numFmtId="0" fontId="16" fillId="2" borderId="0" xfId="7" applyFont="1" applyFill="1" applyProtection="1">
      <protection hidden="1"/>
    </xf>
    <xf numFmtId="0" fontId="10" fillId="2" borderId="10" xfId="7" applyFont="1" applyFill="1" applyBorder="1" applyProtection="1">
      <protection hidden="1"/>
    </xf>
    <xf numFmtId="169" fontId="12" fillId="2" borderId="0" xfId="7" applyNumberFormat="1" applyFont="1" applyFill="1" applyBorder="1" applyAlignment="1" applyProtection="1">
      <alignment horizontal="right"/>
      <protection hidden="1"/>
    </xf>
    <xf numFmtId="0" fontId="12" fillId="2" borderId="0" xfId="7" applyFont="1" applyFill="1" applyBorder="1" applyAlignment="1" applyProtection="1">
      <alignment horizontal="right"/>
      <protection hidden="1"/>
    </xf>
    <xf numFmtId="0" fontId="12" fillId="2" borderId="11" xfId="7" applyFont="1" applyFill="1" applyBorder="1" applyAlignment="1" applyProtection="1">
      <alignment horizontal="right"/>
      <protection hidden="1"/>
    </xf>
    <xf numFmtId="0" fontId="10" fillId="2" borderId="0" xfId="7" applyFont="1" applyFill="1" applyAlignment="1" applyProtection="1">
      <alignment horizontal="left"/>
      <protection hidden="1"/>
    </xf>
    <xf numFmtId="0" fontId="14" fillId="2" borderId="11" xfId="7" applyFont="1" applyFill="1" applyBorder="1" applyAlignment="1" applyProtection="1">
      <alignment horizontal="right"/>
      <protection hidden="1"/>
    </xf>
    <xf numFmtId="0" fontId="12" fillId="2" borderId="0" xfId="7" applyFont="1" applyFill="1" applyAlignment="1" applyProtection="1">
      <alignment horizontal="left"/>
      <protection hidden="1"/>
    </xf>
    <xf numFmtId="0" fontId="13" fillId="2" borderId="0" xfId="7" applyFont="1" applyFill="1" applyAlignment="1" applyProtection="1">
      <alignment horizontal="left"/>
      <protection hidden="1"/>
    </xf>
    <xf numFmtId="169" fontId="10" fillId="0" borderId="4" xfId="7" applyNumberFormat="1" applyFont="1" applyBorder="1" applyAlignment="1" applyProtection="1">
      <alignment horizontal="right"/>
      <protection hidden="1"/>
    </xf>
    <xf numFmtId="175" fontId="10" fillId="0" borderId="4" xfId="7" applyNumberFormat="1" applyFont="1" applyBorder="1" applyAlignment="1" applyProtection="1">
      <alignment horizontal="right"/>
      <protection hidden="1"/>
    </xf>
    <xf numFmtId="0" fontId="12" fillId="2" borderId="10" xfId="7" applyFont="1" applyFill="1" applyBorder="1" applyAlignment="1" applyProtection="1">
      <alignment horizontal="right"/>
      <protection hidden="1"/>
    </xf>
    <xf numFmtId="4" fontId="10" fillId="6" borderId="4" xfId="7" applyNumberFormat="1" applyFont="1" applyFill="1" applyBorder="1" applyProtection="1">
      <protection locked="0"/>
    </xf>
    <xf numFmtId="175" fontId="10" fillId="0" borderId="4" xfId="4" applyNumberFormat="1" applyFont="1" applyBorder="1" applyAlignment="1" applyProtection="1">
      <protection hidden="1"/>
    </xf>
    <xf numFmtId="4" fontId="10" fillId="0" borderId="4" xfId="7" applyNumberFormat="1" applyFont="1" applyBorder="1" applyProtection="1">
      <protection hidden="1"/>
    </xf>
    <xf numFmtId="4" fontId="10" fillId="7" borderId="4" xfId="7" applyNumberFormat="1" applyFont="1" applyFill="1" applyBorder="1" applyProtection="1">
      <protection hidden="1"/>
    </xf>
    <xf numFmtId="0" fontId="10" fillId="2" borderId="12" xfId="7" applyFont="1" applyFill="1" applyBorder="1" applyProtection="1">
      <protection hidden="1"/>
    </xf>
    <xf numFmtId="172" fontId="10" fillId="0" borderId="4" xfId="7" applyNumberFormat="1" applyFont="1" applyBorder="1" applyAlignment="1" applyProtection="1">
      <alignment horizontal="right"/>
      <protection hidden="1"/>
    </xf>
    <xf numFmtId="0" fontId="13" fillId="2" borderId="1" xfId="7" applyFont="1" applyFill="1" applyBorder="1" applyProtection="1">
      <protection hidden="1"/>
    </xf>
    <xf numFmtId="0" fontId="10" fillId="2" borderId="2" xfId="7" applyFont="1" applyFill="1" applyBorder="1" applyProtection="1">
      <protection hidden="1"/>
    </xf>
    <xf numFmtId="0" fontId="10" fillId="2" borderId="3" xfId="7" applyFont="1" applyFill="1" applyBorder="1" applyProtection="1"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2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6" fillId="2" borderId="0" xfId="0" applyFont="1" applyFill="1" applyProtection="1">
      <protection hidden="1"/>
    </xf>
    <xf numFmtId="0" fontId="27" fillId="2" borderId="0" xfId="0" applyFont="1" applyFill="1" applyAlignment="1" applyProtection="1">
      <alignment vertical="center"/>
      <protection hidden="1"/>
    </xf>
    <xf numFmtId="0" fontId="28" fillId="2" borderId="0" xfId="0" applyFont="1" applyFill="1" applyAlignment="1" applyProtection="1">
      <alignment vertical="center"/>
      <protection hidden="1"/>
    </xf>
    <xf numFmtId="1" fontId="29" fillId="0" borderId="15" xfId="0" applyNumberFormat="1" applyFont="1" applyBorder="1" applyProtection="1">
      <protection hidden="1"/>
    </xf>
    <xf numFmtId="1" fontId="21" fillId="0" borderId="15" xfId="0" applyNumberFormat="1" applyFont="1" applyBorder="1" applyAlignment="1" applyProtection="1">
      <alignment horizontal="right"/>
      <protection hidden="1"/>
    </xf>
    <xf numFmtId="1" fontId="21" fillId="0" borderId="15" xfId="0" applyNumberFormat="1" applyFont="1" applyBorder="1" applyProtection="1">
      <protection hidden="1"/>
    </xf>
    <xf numFmtId="1" fontId="30" fillId="0" borderId="15" xfId="0" applyNumberFormat="1" applyFont="1" applyBorder="1" applyProtection="1">
      <protection hidden="1"/>
    </xf>
    <xf numFmtId="164" fontId="21" fillId="0" borderId="0" xfId="1" applyFont="1" applyAlignment="1" applyProtection="1">
      <alignment horizontal="left"/>
      <protection hidden="1"/>
    </xf>
    <xf numFmtId="0" fontId="22" fillId="0" borderId="0" xfId="0" applyFont="1" applyAlignment="1" applyProtection="1">
      <alignment wrapText="1"/>
      <protection hidden="1"/>
    </xf>
    <xf numFmtId="171" fontId="31" fillId="4" borderId="4" xfId="1" quotePrefix="1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wrapText="1"/>
      <protection locked="0"/>
    </xf>
    <xf numFmtId="0" fontId="27" fillId="2" borderId="3" xfId="0" applyFont="1" applyFill="1" applyBorder="1" applyAlignment="1" applyProtection="1">
      <alignment horizontal="right" vertical="center" wrapText="1"/>
      <protection hidden="1"/>
    </xf>
    <xf numFmtId="3" fontId="31" fillId="5" borderId="4" xfId="0" quotePrefix="1" applyNumberFormat="1" applyFont="1" applyFill="1" applyBorder="1" applyAlignment="1" applyProtection="1">
      <alignment horizontal="right" vertical="center" wrapText="1"/>
      <protection hidden="1"/>
    </xf>
    <xf numFmtId="176" fontId="31" fillId="0" borderId="1" xfId="0" applyNumberFormat="1" applyFont="1" applyBorder="1" applyAlignment="1" applyProtection="1">
      <alignment horizontal="right" vertical="center"/>
      <protection hidden="1"/>
    </xf>
    <xf numFmtId="176" fontId="31" fillId="0" borderId="3" xfId="0" applyNumberFormat="1" applyFont="1" applyBorder="1" applyAlignment="1" applyProtection="1">
      <alignment horizontal="left" vertical="center"/>
      <protection hidden="1"/>
    </xf>
    <xf numFmtId="177" fontId="22" fillId="10" borderId="4" xfId="9" applyNumberFormat="1" applyFont="1" applyFill="1" applyBorder="1" applyAlignment="1" applyProtection="1">
      <alignment horizontal="right"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right" vertical="center"/>
      <protection hidden="1"/>
    </xf>
    <xf numFmtId="3" fontId="22" fillId="0" borderId="4" xfId="0" applyNumberFormat="1" applyFont="1" applyBorder="1" applyAlignment="1" applyProtection="1">
      <alignment horizontal="right" vertical="center"/>
      <protection hidden="1"/>
    </xf>
    <xf numFmtId="170" fontId="33" fillId="0" borderId="4" xfId="0" applyNumberFormat="1" applyFont="1" applyBorder="1" applyAlignment="1" applyProtection="1">
      <alignment horizontal="right" vertical="center"/>
      <protection hidden="1"/>
    </xf>
    <xf numFmtId="0" fontId="32" fillId="0" borderId="1" xfId="0" applyFont="1" applyBorder="1" applyAlignment="1" applyProtection="1">
      <alignment horizontal="right" vertical="center"/>
      <protection hidden="1"/>
    </xf>
    <xf numFmtId="0" fontId="28" fillId="0" borderId="2" xfId="8" applyFont="1" applyBorder="1" applyAlignment="1" applyProtection="1">
      <alignment vertical="center"/>
      <protection hidden="1"/>
    </xf>
    <xf numFmtId="0" fontId="31" fillId="0" borderId="3" xfId="8" applyFont="1" applyBorder="1" applyAlignment="1" applyProtection="1">
      <alignment vertical="center"/>
      <protection hidden="1"/>
    </xf>
    <xf numFmtId="0" fontId="31" fillId="0" borderId="10" xfId="8" applyFont="1" applyBorder="1" applyAlignment="1" applyProtection="1">
      <alignment vertical="center"/>
      <protection hidden="1"/>
    </xf>
    <xf numFmtId="0" fontId="31" fillId="0" borderId="0" xfId="8" applyFont="1" applyAlignment="1" applyProtection="1">
      <alignment horizontal="left" vertical="center"/>
      <protection hidden="1"/>
    </xf>
    <xf numFmtId="0" fontId="32" fillId="0" borderId="0" xfId="0" applyFont="1" applyAlignment="1" applyProtection="1">
      <alignment horizontal="right" vertical="center"/>
      <protection hidden="1"/>
    </xf>
    <xf numFmtId="0" fontId="27" fillId="2" borderId="8" xfId="0" applyFont="1" applyFill="1" applyBorder="1" applyAlignment="1" applyProtection="1">
      <alignment horizontal="right" vertical="center" wrapText="1"/>
      <protection hidden="1"/>
    </xf>
    <xf numFmtId="0" fontId="31" fillId="0" borderId="0" xfId="0" applyFont="1" applyProtection="1">
      <protection hidden="1"/>
    </xf>
    <xf numFmtId="0" fontId="0" fillId="0" borderId="0" xfId="0" applyProtection="1">
      <protection hidden="1"/>
    </xf>
    <xf numFmtId="0" fontId="27" fillId="2" borderId="10" xfId="0" applyFont="1" applyFill="1" applyBorder="1" applyAlignment="1" applyProtection="1">
      <alignment horizontal="center" vertical="center"/>
      <protection hidden="1"/>
    </xf>
    <xf numFmtId="0" fontId="27" fillId="2" borderId="0" xfId="0" applyFont="1" applyFill="1" applyAlignment="1" applyProtection="1">
      <alignment horizontal="center" vertical="center"/>
      <protection hidden="1"/>
    </xf>
    <xf numFmtId="0" fontId="22" fillId="0" borderId="4" xfId="0" applyFont="1" applyBorder="1" applyAlignment="1" applyProtection="1">
      <alignment horizontal="right" vertical="center"/>
      <protection hidden="1"/>
    </xf>
    <xf numFmtId="0" fontId="31" fillId="0" borderId="1" xfId="2" applyNumberFormat="1" applyFont="1" applyBorder="1" applyAlignment="1" applyProtection="1">
      <alignment vertical="center"/>
      <protection hidden="1"/>
    </xf>
    <xf numFmtId="0" fontId="20" fillId="5" borderId="0" xfId="0" applyFont="1" applyFill="1" applyProtection="1">
      <protection hidden="1"/>
    </xf>
    <xf numFmtId="0" fontId="34" fillId="5" borderId="0" xfId="0" applyFont="1" applyFill="1" applyProtection="1">
      <protection hidden="1"/>
    </xf>
    <xf numFmtId="0" fontId="34" fillId="5" borderId="0" xfId="0" applyFont="1" applyFill="1" applyAlignment="1" applyProtection="1">
      <alignment wrapText="1"/>
      <protection hidden="1"/>
    </xf>
    <xf numFmtId="0" fontId="36" fillId="5" borderId="0" xfId="0" applyFont="1" applyFill="1" applyAlignment="1" applyProtection="1">
      <alignment horizontal="left" vertical="center"/>
      <protection hidden="1"/>
    </xf>
    <xf numFmtId="0" fontId="34" fillId="5" borderId="0" xfId="0" applyFont="1" applyFill="1" applyAlignment="1" applyProtection="1">
      <alignment horizontal="center" vertical="center"/>
      <protection hidden="1"/>
    </xf>
    <xf numFmtId="164" fontId="34" fillId="5" borderId="0" xfId="1" applyFont="1" applyFill="1" applyBorder="1" applyAlignment="1" applyProtection="1">
      <alignment horizontal="right" vertical="center" wrapText="1"/>
      <protection hidden="1"/>
    </xf>
    <xf numFmtId="176" fontId="34" fillId="5" borderId="0" xfId="0" applyNumberFormat="1" applyFont="1" applyFill="1" applyAlignment="1" applyProtection="1">
      <alignment horizontal="right" vertical="center" wrapText="1"/>
      <protection hidden="1"/>
    </xf>
    <xf numFmtId="170" fontId="37" fillId="5" borderId="0" xfId="0" applyNumberFormat="1" applyFont="1" applyFill="1" applyAlignment="1" applyProtection="1">
      <alignment horizontal="right" vertical="center"/>
      <protection hidden="1"/>
    </xf>
    <xf numFmtId="1" fontId="37" fillId="5" borderId="0" xfId="0" applyNumberFormat="1" applyFont="1" applyFill="1" applyAlignment="1" applyProtection="1">
      <alignment horizontal="right" vertical="center"/>
      <protection hidden="1"/>
    </xf>
    <xf numFmtId="0" fontId="38" fillId="5" borderId="0" xfId="0" applyFont="1" applyFill="1" applyAlignment="1" applyProtection="1">
      <alignment vertical="center"/>
      <protection hidden="1"/>
    </xf>
    <xf numFmtId="0" fontId="39" fillId="5" borderId="0" xfId="0" applyFont="1" applyFill="1" applyAlignment="1" applyProtection="1">
      <alignment vertical="center"/>
      <protection hidden="1"/>
    </xf>
    <xf numFmtId="0" fontId="34" fillId="5" borderId="0" xfId="0" applyFont="1" applyFill="1" applyAlignment="1" applyProtection="1">
      <alignment vertical="center"/>
      <protection hidden="1"/>
    </xf>
    <xf numFmtId="0" fontId="36" fillId="5" borderId="0" xfId="0" applyFont="1" applyFill="1" applyAlignment="1" applyProtection="1">
      <alignment horizontal="left" vertical="center"/>
      <protection locked="0"/>
    </xf>
    <xf numFmtId="0" fontId="36" fillId="5" borderId="0" xfId="0" applyFont="1" applyFill="1" applyAlignment="1" applyProtection="1">
      <alignment horizontal="right" vertical="center"/>
      <protection locked="0"/>
    </xf>
    <xf numFmtId="0" fontId="34" fillId="5" borderId="0" xfId="0" applyFont="1" applyFill="1" applyProtection="1">
      <protection locked="0"/>
    </xf>
    <xf numFmtId="0" fontId="37" fillId="5" borderId="0" xfId="0" applyFont="1" applyFill="1" applyAlignment="1" applyProtection="1">
      <alignment horizontal="center" vertical="center"/>
      <protection locked="0"/>
    </xf>
    <xf numFmtId="171" fontId="37" fillId="5" borderId="0" xfId="1" applyNumberFormat="1" applyFont="1" applyFill="1" applyBorder="1" applyAlignment="1" applyProtection="1">
      <alignment horizontal="right" vertical="center"/>
      <protection locked="0"/>
    </xf>
    <xf numFmtId="176" fontId="37" fillId="5" borderId="0" xfId="0" applyNumberFormat="1" applyFont="1" applyFill="1" applyAlignment="1" applyProtection="1">
      <alignment horizontal="right" vertical="center"/>
      <protection locked="0"/>
    </xf>
    <xf numFmtId="170" fontId="37" fillId="5" borderId="0" xfId="0" applyNumberFormat="1" applyFont="1" applyFill="1" applyAlignment="1" applyProtection="1">
      <alignment horizontal="right" vertical="center"/>
      <protection locked="0"/>
    </xf>
    <xf numFmtId="0" fontId="36" fillId="5" borderId="0" xfId="0" applyFont="1" applyFill="1" applyAlignment="1" applyProtection="1">
      <alignment vertical="center"/>
      <protection locked="0"/>
    </xf>
    <xf numFmtId="167" fontId="34" fillId="5" borderId="0" xfId="9" applyFont="1" applyFill="1" applyBorder="1" applyAlignment="1" applyProtection="1">
      <alignment vertical="center"/>
      <protection locked="0"/>
    </xf>
    <xf numFmtId="167" fontId="36" fillId="5" borderId="0" xfId="9" applyFont="1" applyFill="1" applyBorder="1" applyAlignment="1" applyProtection="1">
      <alignment vertical="center"/>
      <protection locked="0"/>
    </xf>
    <xf numFmtId="0" fontId="34" fillId="5" borderId="0" xfId="0" applyFont="1" applyFill="1" applyAlignment="1" applyProtection="1">
      <alignment vertical="center" wrapText="1"/>
      <protection locked="0"/>
    </xf>
    <xf numFmtId="0" fontId="34" fillId="5" borderId="0" xfId="0" applyFont="1" applyFill="1" applyAlignment="1" applyProtection="1">
      <alignment vertical="center"/>
      <protection locked="0"/>
    </xf>
    <xf numFmtId="0" fontId="34" fillId="5" borderId="0" xfId="0" applyFont="1" applyFill="1" applyAlignment="1" applyProtection="1">
      <alignment wrapText="1"/>
      <protection locked="0"/>
    </xf>
    <xf numFmtId="2" fontId="34" fillId="5" borderId="0" xfId="0" applyNumberFormat="1" applyFont="1" applyFill="1" applyProtection="1">
      <protection locked="0"/>
    </xf>
    <xf numFmtId="167" fontId="34" fillId="5" borderId="0" xfId="9" applyFont="1" applyFill="1" applyBorder="1" applyAlignment="1" applyProtection="1">
      <alignment horizontal="right"/>
      <protection locked="0"/>
    </xf>
    <xf numFmtId="0" fontId="20" fillId="5" borderId="0" xfId="0" applyFont="1" applyFill="1" applyProtection="1">
      <protection locked="0"/>
    </xf>
    <xf numFmtId="0" fontId="34" fillId="5" borderId="0" xfId="0" applyFont="1" applyFill="1" applyAlignment="1" applyProtection="1">
      <alignment horizontal="center" vertical="center"/>
      <protection locked="0"/>
    </xf>
    <xf numFmtId="178" fontId="34" fillId="5" borderId="0" xfId="1" applyNumberFormat="1" applyFont="1" applyFill="1" applyBorder="1" applyAlignment="1" applyProtection="1">
      <alignment horizontal="right" vertical="center"/>
      <protection locked="0"/>
    </xf>
    <xf numFmtId="1" fontId="34" fillId="5" borderId="0" xfId="0" applyNumberFormat="1" applyFont="1" applyFill="1" applyAlignment="1" applyProtection="1">
      <alignment horizontal="right" vertical="center"/>
      <protection locked="0"/>
    </xf>
    <xf numFmtId="164" fontId="34" fillId="5" borderId="0" xfId="1" applyFont="1" applyFill="1" applyBorder="1" applyAlignment="1" applyProtection="1">
      <alignment horizontal="center" vertical="center"/>
      <protection locked="0"/>
    </xf>
    <xf numFmtId="0" fontId="34" fillId="5" borderId="0" xfId="0" applyFont="1" applyFill="1" applyAlignment="1" applyProtection="1">
      <alignment horizontal="right" vertical="center"/>
      <protection locked="0"/>
    </xf>
    <xf numFmtId="1" fontId="34" fillId="5" borderId="0" xfId="9" applyNumberFormat="1" applyFont="1" applyFill="1" applyBorder="1" applyAlignment="1" applyProtection="1">
      <alignment horizontal="center" vertical="center"/>
      <protection locked="0"/>
    </xf>
    <xf numFmtId="1" fontId="34" fillId="5" borderId="0" xfId="0" applyNumberFormat="1" applyFont="1" applyFill="1" applyAlignment="1" applyProtection="1">
      <alignment horizontal="center" vertical="center"/>
      <protection locked="0"/>
    </xf>
    <xf numFmtId="164" fontId="34" fillId="5" borderId="0" xfId="1" applyFont="1" applyFill="1" applyBorder="1" applyAlignment="1" applyProtection="1">
      <alignment horizontal="right" vertical="center"/>
      <protection locked="0"/>
    </xf>
    <xf numFmtId="0" fontId="20" fillId="5" borderId="0" xfId="0" applyFont="1" applyFill="1" applyAlignment="1" applyProtection="1">
      <alignment horizontal="center" vertical="center"/>
      <protection locked="0"/>
    </xf>
    <xf numFmtId="0" fontId="3" fillId="0" borderId="0" xfId="3" applyFont="1" applyProtection="1"/>
    <xf numFmtId="0" fontId="3" fillId="0" borderId="0" xfId="3" applyFont="1" applyAlignment="1" applyProtection="1">
      <alignment horizontal="right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right"/>
    </xf>
    <xf numFmtId="0" fontId="3" fillId="0" borderId="0" xfId="3" applyFont="1" applyBorder="1" applyProtection="1"/>
    <xf numFmtId="0" fontId="5" fillId="2" borderId="0" xfId="0" applyFont="1" applyFill="1" applyAlignment="1" applyProtection="1"/>
    <xf numFmtId="0" fontId="6" fillId="2" borderId="0" xfId="3" applyFont="1" applyFill="1" applyBorder="1" applyProtection="1"/>
    <xf numFmtId="0" fontId="7" fillId="2" borderId="0" xfId="0" applyFont="1" applyFill="1" applyAlignment="1" applyProtection="1"/>
    <xf numFmtId="0" fontId="12" fillId="2" borderId="0" xfId="0" applyFont="1" applyFill="1" applyAlignment="1" applyProtection="1"/>
    <xf numFmtId="0" fontId="12" fillId="2" borderId="0" xfId="0" applyFont="1" applyFill="1" applyAlignment="1" applyProtection="1">
      <alignment horizontal="right"/>
    </xf>
    <xf numFmtId="0" fontId="19" fillId="2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horizontal="right"/>
    </xf>
    <xf numFmtId="0" fontId="9" fillId="2" borderId="0" xfId="0" applyFont="1" applyFill="1" applyProtection="1"/>
    <xf numFmtId="0" fontId="3" fillId="0" borderId="0" xfId="3" applyFont="1" applyBorder="1" applyAlignment="1" applyProtection="1">
      <alignment horizontal="right"/>
    </xf>
    <xf numFmtId="0" fontId="3" fillId="0" borderId="0" xfId="3" applyFont="1" applyBorder="1" applyAlignment="1" applyProtection="1">
      <alignment horizontal="center"/>
    </xf>
    <xf numFmtId="0" fontId="11" fillId="0" borderId="0" xfId="3" applyFont="1" applyBorder="1" applyProtection="1"/>
    <xf numFmtId="0" fontId="12" fillId="2" borderId="0" xfId="3" applyFont="1" applyFill="1" applyBorder="1" applyAlignment="1" applyProtection="1">
      <alignment wrapText="1"/>
    </xf>
    <xf numFmtId="0" fontId="12" fillId="2" borderId="0" xfId="3" applyFont="1" applyFill="1" applyBorder="1" applyAlignment="1" applyProtection="1">
      <alignment horizontal="right" wrapText="1"/>
    </xf>
    <xf numFmtId="0" fontId="11" fillId="0" borderId="5" xfId="3" applyFont="1" applyBorder="1" applyProtection="1"/>
    <xf numFmtId="0" fontId="11" fillId="0" borderId="0" xfId="3" applyFont="1" applyProtection="1"/>
    <xf numFmtId="0" fontId="11" fillId="0" borderId="0" xfId="3" applyFont="1" applyBorder="1" applyAlignment="1" applyProtection="1">
      <alignment horizontal="right"/>
    </xf>
    <xf numFmtId="166" fontId="11" fillId="0" borderId="0" xfId="3" applyNumberFormat="1" applyFont="1" applyBorder="1" applyAlignment="1" applyProtection="1">
      <alignment horizontal="right"/>
    </xf>
    <xf numFmtId="167" fontId="11" fillId="0" borderId="0" xfId="4" applyFont="1" applyBorder="1" applyAlignment="1" applyProtection="1">
      <alignment horizontal="right"/>
    </xf>
    <xf numFmtId="167" fontId="11" fillId="0" borderId="0" xfId="3" applyNumberFormat="1" applyFont="1" applyBorder="1" applyAlignment="1" applyProtection="1">
      <alignment horizontal="right"/>
    </xf>
    <xf numFmtId="4" fontId="10" fillId="5" borderId="4" xfId="3" applyNumberFormat="1" applyFont="1" applyFill="1" applyBorder="1" applyAlignment="1" applyProtection="1">
      <alignment horizontal="left" vertical="top"/>
    </xf>
    <xf numFmtId="164" fontId="10" fillId="5" borderId="4" xfId="5" applyFont="1" applyFill="1" applyBorder="1" applyAlignment="1" applyProtection="1">
      <alignment horizontal="right" vertical="center" wrapText="1"/>
    </xf>
    <xf numFmtId="10" fontId="10" fillId="0" borderId="4" xfId="2" applyNumberFormat="1" applyFont="1" applyBorder="1" applyAlignment="1" applyProtection="1">
      <alignment horizontal="right" vertical="center"/>
    </xf>
    <xf numFmtId="3" fontId="10" fillId="9" borderId="4" xfId="3" applyNumberFormat="1" applyFont="1" applyFill="1" applyBorder="1" applyAlignment="1" applyProtection="1">
      <alignment horizontal="right" vertical="center"/>
    </xf>
    <xf numFmtId="164" fontId="10" fillId="5" borderId="4" xfId="5" applyFont="1" applyFill="1" applyBorder="1" applyAlignment="1" applyProtection="1">
      <alignment horizontal="right" vertical="center"/>
    </xf>
    <xf numFmtId="164" fontId="12" fillId="4" borderId="6" xfId="5" applyFont="1" applyFill="1" applyBorder="1" applyAlignment="1" applyProtection="1">
      <alignment horizontal="right" vertical="center"/>
    </xf>
    <xf numFmtId="168" fontId="11" fillId="0" borderId="0" xfId="3" applyNumberFormat="1" applyFont="1" applyBorder="1" applyProtection="1"/>
    <xf numFmtId="0" fontId="13" fillId="0" borderId="4" xfId="3" applyFont="1" applyFill="1" applyBorder="1" applyAlignment="1" applyProtection="1">
      <alignment horizontal="left"/>
    </xf>
    <xf numFmtId="164" fontId="11" fillId="0" borderId="0" xfId="5" applyFont="1" applyBorder="1" applyAlignment="1" applyProtection="1">
      <alignment horizontal="right"/>
    </xf>
    <xf numFmtId="0" fontId="11" fillId="0" borderId="0" xfId="3" applyFont="1" applyFill="1" applyBorder="1" applyAlignment="1" applyProtection="1">
      <alignment horizontal="right"/>
    </xf>
    <xf numFmtId="164" fontId="11" fillId="0" borderId="0" xfId="5" applyFont="1" applyFill="1" applyBorder="1" applyAlignment="1" applyProtection="1">
      <alignment horizontal="right"/>
    </xf>
    <xf numFmtId="164" fontId="10" fillId="5" borderId="0" xfId="5" applyFont="1" applyFill="1" applyBorder="1" applyAlignment="1" applyProtection="1">
      <alignment horizontal="right" vertical="center"/>
    </xf>
    <xf numFmtId="0" fontId="13" fillId="0" borderId="0" xfId="3" applyFont="1" applyFill="1" applyBorder="1" applyAlignment="1" applyProtection="1">
      <alignment horizontal="left"/>
    </xf>
    <xf numFmtId="9" fontId="3" fillId="0" borderId="0" xfId="6" applyFont="1" applyProtection="1"/>
    <xf numFmtId="164" fontId="10" fillId="3" borderId="1" xfId="5" applyFont="1" applyFill="1" applyBorder="1" applyAlignment="1" applyProtection="1">
      <alignment horizontal="left" vertical="center"/>
      <protection locked="0"/>
    </xf>
    <xf numFmtId="164" fontId="10" fillId="3" borderId="2" xfId="5" applyFont="1" applyFill="1" applyBorder="1" applyAlignment="1" applyProtection="1">
      <alignment horizontal="left" vertical="center"/>
      <protection locked="0"/>
    </xf>
    <xf numFmtId="164" fontId="10" fillId="3" borderId="3" xfId="5" applyFont="1" applyFill="1" applyBorder="1" applyAlignment="1" applyProtection="1">
      <alignment horizontal="left" vertical="center"/>
      <protection locked="0"/>
    </xf>
    <xf numFmtId="0" fontId="6" fillId="2" borderId="0" xfId="7" applyFont="1" applyFill="1" applyAlignment="1" applyProtection="1">
      <alignment horizontal="left"/>
      <protection hidden="1"/>
    </xf>
    <xf numFmtId="0" fontId="27" fillId="2" borderId="1" xfId="0" applyFont="1" applyFill="1" applyBorder="1" applyAlignment="1" applyProtection="1">
      <alignment horizontal="left" vertical="center" wrapText="1"/>
      <protection hidden="1"/>
    </xf>
    <xf numFmtId="0" fontId="27" fillId="2" borderId="3" xfId="0" applyFont="1" applyFill="1" applyBorder="1" applyAlignment="1" applyProtection="1">
      <alignment horizontal="left" vertical="center" wrapText="1"/>
      <protection hidden="1"/>
    </xf>
    <xf numFmtId="0" fontId="27" fillId="2" borderId="1" xfId="0" applyFont="1" applyFill="1" applyBorder="1" applyAlignment="1" applyProtection="1">
      <alignment horizontal="right" vertical="center" wrapText="1"/>
      <protection hidden="1"/>
    </xf>
    <xf numFmtId="0" fontId="27" fillId="2" borderId="3" xfId="0" applyFont="1" applyFill="1" applyBorder="1" applyAlignment="1" applyProtection="1">
      <alignment horizontal="right" vertical="center" wrapText="1"/>
      <protection hidden="1"/>
    </xf>
    <xf numFmtId="0" fontId="27" fillId="0" borderId="4" xfId="0" applyFont="1" applyBorder="1" applyAlignment="1" applyProtection="1">
      <alignment horizontal="right" vertical="center"/>
      <protection hidden="1"/>
    </xf>
    <xf numFmtId="0" fontId="22" fillId="0" borderId="1" xfId="0" applyFont="1" applyBorder="1" applyAlignment="1" applyProtection="1">
      <alignment horizontal="right" vertical="center"/>
      <protection hidden="1"/>
    </xf>
    <xf numFmtId="0" fontId="22" fillId="0" borderId="3" xfId="0" applyFont="1" applyBorder="1" applyAlignment="1" applyProtection="1">
      <alignment horizontal="right" vertical="center"/>
      <protection hidden="1"/>
    </xf>
    <xf numFmtId="0" fontId="27" fillId="0" borderId="1" xfId="0" applyFont="1" applyBorder="1" applyAlignment="1" applyProtection="1">
      <alignment horizontal="right" vertical="center"/>
      <protection hidden="1"/>
    </xf>
    <xf numFmtId="0" fontId="27" fillId="0" borderId="3" xfId="0" applyFont="1" applyBorder="1" applyAlignment="1" applyProtection="1">
      <alignment horizontal="right" vertical="center"/>
      <protection hidden="1"/>
    </xf>
    <xf numFmtId="0" fontId="35" fillId="5" borderId="0" xfId="0" applyFont="1" applyFill="1" applyAlignment="1" applyProtection="1">
      <alignment vertical="center"/>
      <protection hidden="1"/>
    </xf>
    <xf numFmtId="0" fontId="39" fillId="5" borderId="0" xfId="0" applyFont="1" applyFill="1" applyAlignment="1" applyProtection="1">
      <alignment horizontal="left" vertical="top" wrapText="1"/>
      <protection hidden="1"/>
    </xf>
    <xf numFmtId="0" fontId="27" fillId="0" borderId="0" xfId="0" applyFont="1" applyAlignment="1" applyProtection="1">
      <alignment horizontal="right" vertical="center"/>
      <protection hidden="1"/>
    </xf>
    <xf numFmtId="3" fontId="22" fillId="0" borderId="0" xfId="0" applyNumberFormat="1" applyFont="1" applyAlignment="1" applyProtection="1">
      <alignment horizontal="right" vertical="center"/>
      <protection hidden="1"/>
    </xf>
    <xf numFmtId="176" fontId="31" fillId="0" borderId="0" xfId="0" applyNumberFormat="1" applyFont="1" applyAlignment="1" applyProtection="1">
      <alignment horizontal="right" vertical="center"/>
      <protection hidden="1"/>
    </xf>
    <xf numFmtId="176" fontId="31" fillId="0" borderId="0" xfId="0" applyNumberFormat="1" applyFont="1" applyAlignment="1" applyProtection="1">
      <alignment horizontal="left" vertical="center"/>
      <protection hidden="1"/>
    </xf>
  </cellXfs>
  <cellStyles count="10">
    <cellStyle name="Komma 2" xfId="9" xr:uid="{00000000-0005-0000-0000-000000000000}"/>
    <cellStyle name="Komma 3" xfId="4" xr:uid="{00000000-0005-0000-0000-000001000000}"/>
    <cellStyle name="Procent" xfId="2" builtinId="5"/>
    <cellStyle name="Procent 3" xfId="6" xr:uid="{00000000-0005-0000-0000-000003000000}"/>
    <cellStyle name="Standaard" xfId="0" builtinId="0"/>
    <cellStyle name="Standaard 3" xfId="8" xr:uid="{00000000-0005-0000-0000-000005000000}"/>
    <cellStyle name="Standaard 4" xfId="3" xr:uid="{00000000-0005-0000-0000-000006000000}"/>
    <cellStyle name="Standaard 5" xfId="7" xr:uid="{00000000-0005-0000-0000-000007000000}"/>
    <cellStyle name="Valuta" xfId="1" builtinId="4"/>
    <cellStyle name="Valuta 4" xfId="5" xr:uid="{00000000-0005-0000-0000-000009000000}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'Bonus-Malus'!$C$25:$C$45</c:f>
              <c:numCache>
                <c:formatCode>#,##0.00</c:formatCode>
                <c:ptCount val="21"/>
                <c:pt idx="0">
                  <c:v>80</c:v>
                </c:pt>
                <c:pt idx="1">
                  <c:v>83</c:v>
                </c:pt>
                <c:pt idx="2">
                  <c:v>86</c:v>
                </c:pt>
                <c:pt idx="3">
                  <c:v>89</c:v>
                </c:pt>
                <c:pt idx="4">
                  <c:v>92</c:v>
                </c:pt>
                <c:pt idx="5">
                  <c:v>95</c:v>
                </c:pt>
                <c:pt idx="6">
                  <c:v>98</c:v>
                </c:pt>
                <c:pt idx="7">
                  <c:v>101</c:v>
                </c:pt>
                <c:pt idx="8">
                  <c:v>104</c:v>
                </c:pt>
                <c:pt idx="9">
                  <c:v>107</c:v>
                </c:pt>
                <c:pt idx="10">
                  <c:v>110</c:v>
                </c:pt>
                <c:pt idx="11">
                  <c:v>113</c:v>
                </c:pt>
                <c:pt idx="12">
                  <c:v>116</c:v>
                </c:pt>
                <c:pt idx="13">
                  <c:v>119</c:v>
                </c:pt>
                <c:pt idx="14">
                  <c:v>122</c:v>
                </c:pt>
                <c:pt idx="15">
                  <c:v>125</c:v>
                </c:pt>
                <c:pt idx="16">
                  <c:v>128</c:v>
                </c:pt>
                <c:pt idx="17">
                  <c:v>131</c:v>
                </c:pt>
                <c:pt idx="18">
                  <c:v>134</c:v>
                </c:pt>
                <c:pt idx="19">
                  <c:v>137</c:v>
                </c:pt>
                <c:pt idx="20">
                  <c:v>140</c:v>
                </c:pt>
              </c:numCache>
            </c:numRef>
          </c:cat>
          <c:val>
            <c:numRef>
              <c:f>'Bonus-Malus'!$E$25:$E$45</c:f>
              <c:numCache>
                <c:formatCode>0.0%</c:formatCode>
                <c:ptCount val="21"/>
                <c:pt idx="0">
                  <c:v>-0.1</c:v>
                </c:pt>
                <c:pt idx="1">
                  <c:v>-7.2999999999999995E-2</c:v>
                </c:pt>
                <c:pt idx="2">
                  <c:v>-5.6000000000000001E-2</c:v>
                </c:pt>
                <c:pt idx="3">
                  <c:v>-4.3999999999999997E-2</c:v>
                </c:pt>
                <c:pt idx="4">
                  <c:v>-3.4000000000000002E-2</c:v>
                </c:pt>
                <c:pt idx="5">
                  <c:v>-2.7E-2</c:v>
                </c:pt>
                <c:pt idx="6">
                  <c:v>-0.02</c:v>
                </c:pt>
                <c:pt idx="7">
                  <c:v>-1.4999999999999999E-2</c:v>
                </c:pt>
                <c:pt idx="8">
                  <c:v>-0.01</c:v>
                </c:pt>
                <c:pt idx="9">
                  <c:v>-5.0000000000000001E-3</c:v>
                </c:pt>
                <c:pt idx="10">
                  <c:v>0</c:v>
                </c:pt>
                <c:pt idx="11">
                  <c:v>5.0000000000000001E-3</c:v>
                </c:pt>
                <c:pt idx="12">
                  <c:v>0.01</c:v>
                </c:pt>
                <c:pt idx="13">
                  <c:v>1.4999999999999999E-2</c:v>
                </c:pt>
                <c:pt idx="14">
                  <c:v>0.02</c:v>
                </c:pt>
                <c:pt idx="15">
                  <c:v>2.7E-2</c:v>
                </c:pt>
                <c:pt idx="16">
                  <c:v>3.4000000000000002E-2</c:v>
                </c:pt>
                <c:pt idx="17">
                  <c:v>4.3999999999999997E-2</c:v>
                </c:pt>
                <c:pt idx="18">
                  <c:v>5.6000000000000001E-2</c:v>
                </c:pt>
                <c:pt idx="19">
                  <c:v>7.2999999999999995E-2</c:v>
                </c:pt>
                <c:pt idx="2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5-428E-A46E-30F984A10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013024"/>
        <c:axId val="321013416"/>
      </c:lineChart>
      <c:scatterChart>
        <c:scatterStyle val="lineMarker"/>
        <c:varyColors val="0"/>
        <c:ser>
          <c:idx val="1"/>
          <c:order val="1"/>
          <c:tx>
            <c:v>Pref</c:v>
          </c:tx>
          <c:spPr>
            <a:ln w="1905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5.2980132450331126E-2"/>
                  <c:y val="-6.138107416879795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F5-428E-A46E-30F984A10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'Bonus-Malus'!$C$35</c:f>
              <c:numCache>
                <c:formatCode>#,##0.00</c:formatCode>
                <c:ptCount val="1"/>
                <c:pt idx="0">
                  <c:v>110</c:v>
                </c:pt>
              </c:numCache>
            </c:numRef>
          </c:xVal>
          <c:yVal>
            <c:numRef>
              <c:f>'Bonus-Malus'!$E$35</c:f>
              <c:numCache>
                <c:formatCode>0.0%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FF5-428E-A46E-30F984A10451}"/>
            </c:ext>
          </c:extLst>
        </c:ser>
        <c:ser>
          <c:idx val="2"/>
          <c:order val="2"/>
          <c:tx>
            <c:v>Uw Tarief</c:v>
          </c:tx>
          <c:spPr>
            <a:ln w="1905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4.856512141280353E-2"/>
                  <c:y val="6.47911338448422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F5-428E-A46E-30F984A1045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'Bonus-Malus'!$C$14</c:f>
              <c:numCache>
                <c:formatCode>"€"#,##0.00_);\("€"#,##0.00\)</c:formatCode>
                <c:ptCount val="1"/>
                <c:pt idx="0">
                  <c:v>0</c:v>
                </c:pt>
              </c:numCache>
            </c:numRef>
          </c:xVal>
          <c:yVal>
            <c:numRef>
              <c:f>'Bonus-Malus'!$E$14</c:f>
              <c:numCache>
                <c:formatCode>0.0%</c:formatCode>
                <c:ptCount val="1"/>
                <c:pt idx="0">
                  <c:v>-0.1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FF5-428E-A46E-30F984A10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1013024"/>
        <c:axId val="321013416"/>
      </c:scatterChart>
      <c:dateAx>
        <c:axId val="321013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21013416"/>
        <c:crosses val="autoZero"/>
        <c:auto val="0"/>
        <c:lblOffset val="100"/>
        <c:baseTimeUnit val="days"/>
        <c:majorUnit val="10"/>
        <c:majorTimeUnit val="days"/>
        <c:minorUnit val="1"/>
        <c:minorTimeUnit val="days"/>
      </c:dateAx>
      <c:valAx>
        <c:axId val="321013416"/>
        <c:scaling>
          <c:orientation val="minMax"/>
          <c:max val="0.1"/>
          <c:min val="-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21013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59.669341164554389</c:v>
                </c:pt>
                <c:pt idx="1">
                  <c:v>60.17347439999746</c:v>
                </c:pt>
                <c:pt idx="2">
                  <c:v>60.677607635440523</c:v>
                </c:pt>
                <c:pt idx="3">
                  <c:v>61.685874106326679</c:v>
                </c:pt>
                <c:pt idx="4">
                  <c:v>63.702407048098955</c:v>
                </c:pt>
                <c:pt idx="5">
                  <c:v>65.718939989871231</c:v>
                </c:pt>
                <c:pt idx="6">
                  <c:v>67.7354729316435</c:v>
                </c:pt>
                <c:pt idx="7">
                  <c:v>69.752005873415783</c:v>
                </c:pt>
                <c:pt idx="8">
                  <c:v>71.76853881518808</c:v>
                </c:pt>
                <c:pt idx="9">
                  <c:v>73.785071756960349</c:v>
                </c:pt>
                <c:pt idx="10">
                  <c:v>75.801604698732632</c:v>
                </c:pt>
                <c:pt idx="11">
                  <c:v>77.818137640504915</c:v>
                </c:pt>
                <c:pt idx="12">
                  <c:v>79.834670582277184</c:v>
                </c:pt>
                <c:pt idx="13">
                  <c:v>81.851203524049481</c:v>
                </c:pt>
                <c:pt idx="14">
                  <c:v>83.867736465821764</c:v>
                </c:pt>
                <c:pt idx="15">
                  <c:v>85.884269407594033</c:v>
                </c:pt>
                <c:pt idx="16">
                  <c:v>87.900802349366316</c:v>
                </c:pt>
                <c:pt idx="17">
                  <c:v>89.917335291138585</c:v>
                </c:pt>
                <c:pt idx="18">
                  <c:v>91.933868232910882</c:v>
                </c:pt>
                <c:pt idx="19">
                  <c:v>93.950401174683151</c:v>
                </c:pt>
                <c:pt idx="20">
                  <c:v>95.966934116455448</c:v>
                </c:pt>
                <c:pt idx="21">
                  <c:v>97.983467058227731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600221.34046039765</c:v>
                </c:pt>
                <c:pt idx="2">
                  <c:v>751482.1522938062</c:v>
                </c:pt>
                <c:pt idx="3">
                  <c:v>939260.14687311219</c:v>
                </c:pt>
                <c:pt idx="4">
                  <c:v>1169936.7806517186</c:v>
                </c:pt>
                <c:pt idx="5">
                  <c:v>1326488.8516131581</c:v>
                </c:pt>
                <c:pt idx="6">
                  <c:v>1447154.4160196204</c:v>
                </c:pt>
                <c:pt idx="7">
                  <c:v>1545790.5213721222</c:v>
                </c:pt>
                <c:pt idx="8">
                  <c:v>1629205.7421058752</c:v>
                </c:pt>
                <c:pt idx="9">
                  <c:v>1701319.3733918827</c:v>
                </c:pt>
                <c:pt idx="10">
                  <c:v>1764623.2206222229</c:v>
                </c:pt>
                <c:pt idx="11">
                  <c:v>1820814.32142086</c:v>
                </c:pt>
                <c:pt idx="12">
                  <c:v>1871108.5167070956</c:v>
                </c:pt>
                <c:pt idx="13">
                  <c:v>1916411.5516544753</c:v>
                </c:pt>
                <c:pt idx="14">
                  <c:v>1957419.4436273701</c:v>
                </c:pt>
                <c:pt idx="15">
                  <c:v>1994680.78587021</c:v>
                </c:pt>
                <c:pt idx="16">
                  <c:v>2028637.2258047122</c:v>
                </c:pt>
                <c:pt idx="17">
                  <c:v>2059650.7694919687</c:v>
                </c:pt>
                <c:pt idx="18">
                  <c:v>2088022.7891208886</c:v>
                </c:pt>
                <c:pt idx="19">
                  <c:v>2114007.6146088848</c:v>
                </c:pt>
                <c:pt idx="20">
                  <c:v>2137822.4802070865</c:v>
                </c:pt>
                <c:pt idx="21">
                  <c:v>2159654.9522432936</c:v>
                </c:pt>
                <c:pt idx="22">
                  <c:v>2179668.5755499732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A2-4D15-AA85-AC5D235244A9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69.702407048098948</c:v>
                </c:pt>
                <c:pt idx="1">
                  <c:v>70.081126959997704</c:v>
                </c:pt>
                <c:pt idx="2">
                  <c:v>70.459846871896474</c:v>
                </c:pt>
                <c:pt idx="3">
                  <c:v>71.217286695694</c:v>
                </c:pt>
                <c:pt idx="4">
                  <c:v>72.732166343289052</c:v>
                </c:pt>
                <c:pt idx="5">
                  <c:v>74.247045990884104</c:v>
                </c:pt>
                <c:pt idx="6">
                  <c:v>75.76192563847917</c:v>
                </c:pt>
                <c:pt idx="7">
                  <c:v>77.276805286074207</c:v>
                </c:pt>
                <c:pt idx="8">
                  <c:v>78.791684933669274</c:v>
                </c:pt>
                <c:pt idx="9">
                  <c:v>80.306564581264311</c:v>
                </c:pt>
                <c:pt idx="10">
                  <c:v>81.821444228859377</c:v>
                </c:pt>
                <c:pt idx="11">
                  <c:v>83.336323876454415</c:v>
                </c:pt>
                <c:pt idx="12">
                  <c:v>84.851203524049467</c:v>
                </c:pt>
                <c:pt idx="13">
                  <c:v>86.366083171644533</c:v>
                </c:pt>
                <c:pt idx="14">
                  <c:v>87.880962819239571</c:v>
                </c:pt>
                <c:pt idx="15">
                  <c:v>89.395842466834637</c:v>
                </c:pt>
                <c:pt idx="16">
                  <c:v>90.910722114429689</c:v>
                </c:pt>
                <c:pt idx="17">
                  <c:v>92.425601762024741</c:v>
                </c:pt>
                <c:pt idx="18">
                  <c:v>93.940481409619792</c:v>
                </c:pt>
                <c:pt idx="19">
                  <c:v>95.45536105721483</c:v>
                </c:pt>
                <c:pt idx="20">
                  <c:v>96.970240704809896</c:v>
                </c:pt>
                <c:pt idx="21">
                  <c:v>98.485120352404948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509378.07220836508</c:v>
                </c:pt>
                <c:pt idx="2">
                  <c:v>637924.76723217487</c:v>
                </c:pt>
                <c:pt idx="3">
                  <c:v>797777.40636618505</c:v>
                </c:pt>
                <c:pt idx="4">
                  <c:v>994838.63405855943</c:v>
                </c:pt>
                <c:pt idx="5">
                  <c:v>1129260.1457195801</c:v>
                </c:pt>
                <c:pt idx="6">
                  <c:v>1233420.3718049659</c:v>
                </c:pt>
                <c:pt idx="7">
                  <c:v>1319041.2393593458</c:v>
                </c:pt>
                <c:pt idx="8">
                  <c:v>1391876.6083449966</c:v>
                </c:pt>
                <c:pt idx="9">
                  <c:v>1455235.3026243229</c:v>
                </c:pt>
                <c:pt idx="10">
                  <c:v>1511218.7719751317</c:v>
                </c:pt>
                <c:pt idx="11">
                  <c:v>1561256.5756568196</c:v>
                </c:pt>
                <c:pt idx="12">
                  <c:v>1606371.6518942735</c:v>
                </c:pt>
                <c:pt idx="13">
                  <c:v>1647325.00218177</c:v>
                </c:pt>
                <c:pt idx="14">
                  <c:v>1684700.5270145575</c:v>
                </c:pt>
                <c:pt idx="15">
                  <c:v>1718957.6648109872</c:v>
                </c:pt>
                <c:pt idx="16">
                  <c:v>1750465.5754018172</c:v>
                </c:pt>
                <c:pt idx="17">
                  <c:v>1779526.1871467731</c:v>
                </c:pt>
                <c:pt idx="18">
                  <c:v>1806390.2323453133</c:v>
                </c:pt>
                <c:pt idx="19">
                  <c:v>1831268.7070317657</c:v>
                </c:pt>
                <c:pt idx="20">
                  <c:v>1854341.2521469174</c:v>
                </c:pt>
                <c:pt idx="21">
                  <c:v>1875762.4078068044</c:v>
                </c:pt>
                <c:pt idx="22">
                  <c:v>1895666.3638369387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A2-4D15-AA85-AC5D235244A9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79.735472931643514</c:v>
                </c:pt>
                <c:pt idx="1">
                  <c:v>79.988779519997962</c:v>
                </c:pt>
                <c:pt idx="2">
                  <c:v>80.242086108352424</c:v>
                </c:pt>
                <c:pt idx="3">
                  <c:v>80.748699285061349</c:v>
                </c:pt>
                <c:pt idx="4">
                  <c:v>81.76192563847917</c:v>
                </c:pt>
                <c:pt idx="5">
                  <c:v>82.775151991896976</c:v>
                </c:pt>
                <c:pt idx="6">
                  <c:v>83.788378345314811</c:v>
                </c:pt>
                <c:pt idx="7">
                  <c:v>84.801604698732646</c:v>
                </c:pt>
                <c:pt idx="8">
                  <c:v>85.814831052150453</c:v>
                </c:pt>
                <c:pt idx="9">
                  <c:v>86.828057405568288</c:v>
                </c:pt>
                <c:pt idx="10">
                  <c:v>87.841283758986094</c:v>
                </c:pt>
                <c:pt idx="11">
                  <c:v>88.854510112403929</c:v>
                </c:pt>
                <c:pt idx="12">
                  <c:v>89.867736465821764</c:v>
                </c:pt>
                <c:pt idx="13">
                  <c:v>90.880962819239571</c:v>
                </c:pt>
                <c:pt idx="14">
                  <c:v>91.894189172657406</c:v>
                </c:pt>
                <c:pt idx="15">
                  <c:v>92.907415526075241</c:v>
                </c:pt>
                <c:pt idx="16">
                  <c:v>93.920641879493047</c:v>
                </c:pt>
                <c:pt idx="17">
                  <c:v>94.933868232910882</c:v>
                </c:pt>
                <c:pt idx="18">
                  <c:v>95.947094586328703</c:v>
                </c:pt>
                <c:pt idx="19">
                  <c:v>96.960320939746524</c:v>
                </c:pt>
                <c:pt idx="20">
                  <c:v>97.973547293164359</c:v>
                </c:pt>
                <c:pt idx="21">
                  <c:v>98.986773646582165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412750.07271219644</c:v>
                </c:pt>
                <c:pt idx="2">
                  <c:v>517093.06675569934</c:v>
                </c:pt>
                <c:pt idx="3">
                  <c:v>647122.85660598613</c:v>
                </c:pt>
                <c:pt idx="4">
                  <c:v>808115.56979777594</c:v>
                </c:pt>
                <c:pt idx="5">
                  <c:v>918621.04321375152</c:v>
                </c:pt>
                <c:pt idx="6">
                  <c:v>1004802.6378204027</c:v>
                </c:pt>
                <c:pt idx="7">
                  <c:v>1076120.6179818346</c:v>
                </c:pt>
                <c:pt idx="8">
                  <c:v>1137213.1406950511</c:v>
                </c:pt>
                <c:pt idx="9">
                  <c:v>1190744.22439704</c:v>
                </c:pt>
                <c:pt idx="10">
                  <c:v>1238403.7096225107</c:v>
                </c:pt>
                <c:pt idx="11">
                  <c:v>1281339.6706045689</c:v>
                </c:pt>
                <c:pt idx="12">
                  <c:v>1320372.5133845075</c:v>
                </c:pt>
                <c:pt idx="13">
                  <c:v>1356111.6898338292</c:v>
                </c:pt>
                <c:pt idx="14">
                  <c:v>1389024.0977219772</c:v>
                </c:pt>
                <c:pt idx="15">
                  <c:v>1419476.4996036126</c:v>
                </c:pt>
                <c:pt idx="16">
                  <c:v>1447763.0549616837</c:v>
                </c:pt>
                <c:pt idx="17">
                  <c:v>1474123.8728785331</c:v>
                </c:pt>
                <c:pt idx="18">
                  <c:v>1498757.9131978878</c:v>
                </c:pt>
                <c:pt idx="19">
                  <c:v>1521832.2010842559</c:v>
                </c:pt>
                <c:pt idx="20">
                  <c:v>1543488.5620372342</c:v>
                </c:pt>
                <c:pt idx="21">
                  <c:v>1563848.6445082107</c:v>
                </c:pt>
                <c:pt idx="22">
                  <c:v>1583017.7322731169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FA2-4D15-AA85-AC5D235244A9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89.76853881518808</c:v>
                </c:pt>
                <c:pt idx="1">
                  <c:v>89.896432079998235</c:v>
                </c:pt>
                <c:pt idx="2">
                  <c:v>90.024325344808361</c:v>
                </c:pt>
                <c:pt idx="3">
                  <c:v>90.280111874428684</c:v>
                </c:pt>
                <c:pt idx="4">
                  <c:v>90.791684933669288</c:v>
                </c:pt>
                <c:pt idx="5">
                  <c:v>91.303257992909863</c:v>
                </c:pt>
                <c:pt idx="6">
                  <c:v>91.814831052150453</c:v>
                </c:pt>
                <c:pt idx="7">
                  <c:v>92.326404111391057</c:v>
                </c:pt>
                <c:pt idx="8">
                  <c:v>92.83797717063166</c:v>
                </c:pt>
                <c:pt idx="9">
                  <c:v>93.349550229872264</c:v>
                </c:pt>
                <c:pt idx="10">
                  <c:v>93.86112328911284</c:v>
                </c:pt>
                <c:pt idx="11">
                  <c:v>94.372696348353429</c:v>
                </c:pt>
                <c:pt idx="12">
                  <c:v>94.884269407594033</c:v>
                </c:pt>
                <c:pt idx="13">
                  <c:v>95.395842466834637</c:v>
                </c:pt>
                <c:pt idx="14">
                  <c:v>95.907415526075241</c:v>
                </c:pt>
                <c:pt idx="15">
                  <c:v>96.41898858531583</c:v>
                </c:pt>
                <c:pt idx="16">
                  <c:v>96.93056164455642</c:v>
                </c:pt>
                <c:pt idx="17">
                  <c:v>97.442134703797024</c:v>
                </c:pt>
                <c:pt idx="18">
                  <c:v>97.953707763037627</c:v>
                </c:pt>
                <c:pt idx="19">
                  <c:v>98.465280822278217</c:v>
                </c:pt>
                <c:pt idx="20">
                  <c:v>98.976853881518807</c:v>
                </c:pt>
                <c:pt idx="21">
                  <c:v>99.488426940759396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301907.96632748569</c:v>
                </c:pt>
                <c:pt idx="2">
                  <c:v>378400.55762254173</c:v>
                </c:pt>
                <c:pt idx="3">
                  <c:v>473982.17631517717</c:v>
                </c:pt>
                <c:pt idx="4">
                  <c:v>592975.76090001059</c:v>
                </c:pt>
                <c:pt idx="5">
                  <c:v>675294.25450126105</c:v>
                </c:pt>
                <c:pt idx="6">
                  <c:v>740006.64322949701</c:v>
                </c:pt>
                <c:pt idx="7">
                  <c:v>793997.18672319001</c:v>
                </c:pt>
                <c:pt idx="8">
                  <c:v>840636.01531826099</c:v>
                </c:pt>
                <c:pt idx="9">
                  <c:v>881855.9478270564</c:v>
                </c:pt>
                <c:pt idx="10">
                  <c:v>918881.17511101882</c:v>
                </c:pt>
                <c:pt idx="11">
                  <c:v>952542.14884300227</c:v>
                </c:pt>
                <c:pt idx="12">
                  <c:v>983431.38681743061</c:v>
                </c:pt>
                <c:pt idx="13">
                  <c:v>1011988.3529871239</c:v>
                </c:pt>
                <c:pt idx="14">
                  <c:v>1038549.1686706089</c:v>
                </c:pt>
                <c:pt idx="15">
                  <c:v>1063377.4212622186</c:v>
                </c:pt>
                <c:pt idx="16">
                  <c:v>1086684.1477139194</c:v>
                </c:pt>
                <c:pt idx="17">
                  <c:v>1108641.2917194464</c:v>
                </c:pt>
                <c:pt idx="18">
                  <c:v>1129391.0554484583</c:v>
                </c:pt>
                <c:pt idx="19">
                  <c:v>1149052.5745521747</c:v>
                </c:pt>
                <c:pt idx="20">
                  <c:v>1167726.7937469189</c:v>
                </c:pt>
                <c:pt idx="21">
                  <c:v>1185500.1003161336</c:v>
                </c:pt>
                <c:pt idx="22">
                  <c:v>1202447.0801988409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FA2-4D15-AA85-AC5D235244A9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3750000.0000000009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FA2-4D15-AA85-AC5D235244A9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3750000.0000000009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FA2-4D15-AA85-AC5D235244A9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2-4D15-AA85-AC5D23524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80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1875000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FA2-4D15-AA85-AC5D235244A9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FA2-4D15-AA85-AC5D23524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2179687.5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FA2-4D15-AA85-AC5D235244A9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A2-4D15-AA85-AC5D23524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FA2-4D15-AA85-AC5D235244A9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1500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A2-4D15-AA85-AC5D23524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FA2-4D15-AA85-AC5D235244A9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2500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A2-4D15-AA85-AC5D23524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FA2-4D15-AA85-AC5D235244A9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3750000.0000000009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FA2-4D15-AA85-AC5D235244A9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70</c:v>
                </c:pt>
                <c:pt idx="1">
                  <c:v>70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3750000.0000000009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FA2-4D15-AA85-AC5D235244A9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FA2-4D15-AA85-AC5D235244A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4FA2-4D15-AA85-AC5D23524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4FA2-4D15-AA85-AC5D23524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3750000.0000000009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1875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47625</xdr:colOff>
      <xdr:row>1</xdr:row>
      <xdr:rowOff>76200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2753975" y="238125"/>
          <a:ext cx="1076325" cy="801902"/>
        </a:xfrm>
        <a:prstGeom prst="rect">
          <a:avLst/>
        </a:prstGeom>
      </xdr:spPr>
    </xdr:pic>
    <xdr:clientData/>
  </xdr:oneCellAnchor>
  <xdr:twoCellAnchor editAs="oneCell">
    <xdr:from>
      <xdr:col>12</xdr:col>
      <xdr:colOff>581025</xdr:colOff>
      <xdr:row>4</xdr:row>
      <xdr:rowOff>95250</xdr:rowOff>
    </xdr:from>
    <xdr:to>
      <xdr:col>13</xdr:col>
      <xdr:colOff>1315610</xdr:colOff>
      <xdr:row>7</xdr:row>
      <xdr:rowOff>68712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rcRect l="11158"/>
        <a:stretch/>
      </xdr:blipFill>
      <xdr:spPr>
        <a:xfrm>
          <a:off x="9991725" y="962025"/>
          <a:ext cx="1928385" cy="5576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57150</xdr:colOff>
      <xdr:row>1</xdr:row>
      <xdr:rowOff>38100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9229725" y="200025"/>
          <a:ext cx="1076325" cy="801902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23</xdr:row>
      <xdr:rowOff>0</xdr:rowOff>
    </xdr:from>
    <xdr:to>
      <xdr:col>15</xdr:col>
      <xdr:colOff>0</xdr:colOff>
      <xdr:row>46</xdr:row>
      <xdr:rowOff>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6</xdr:col>
      <xdr:colOff>104775</xdr:colOff>
      <xdr:row>11</xdr:row>
      <xdr:rowOff>19050</xdr:rowOff>
    </xdr:from>
    <xdr:ext cx="3028949" cy="880984"/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67250" y="2447925"/>
          <a:ext cx="3028949" cy="88098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7471</xdr:colOff>
      <xdr:row>6</xdr:row>
      <xdr:rowOff>59204</xdr:rowOff>
    </xdr:from>
    <xdr:to>
      <xdr:col>1</xdr:col>
      <xdr:colOff>6357471</xdr:colOff>
      <xdr:row>25</xdr:row>
      <xdr:rowOff>313204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8F446825-B891-4EAB-805F-ABAD3D3B4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862853</xdr:colOff>
      <xdr:row>10</xdr:row>
      <xdr:rowOff>11206</xdr:rowOff>
    </xdr:from>
    <xdr:to>
      <xdr:col>1</xdr:col>
      <xdr:colOff>2364442</xdr:colOff>
      <xdr:row>15</xdr:row>
      <xdr:rowOff>126439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9482A02-3CD9-43D8-B591-3F2CD1EA1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3" y="2551206"/>
          <a:ext cx="1498414" cy="1877358"/>
        </a:xfrm>
        <a:prstGeom prst="rect">
          <a:avLst/>
        </a:prstGeom>
      </xdr:spPr>
    </xdr:pic>
    <xdr:clientData/>
  </xdr:two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B5FF5E2C-A6AE-4644-AEAC-2938840EE8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706160" y="1248896"/>
          <a:ext cx="2529854" cy="365934"/>
        </a:xfrm>
        <a:prstGeom prst="rect">
          <a:avLst/>
        </a:prstGeom>
      </xdr:spPr>
    </xdr:pic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SPROW55/CFD_UG_HKT/Inkoop-UNIT/80-INKOOPDOSSIERS-ICT/IUC19-001%20Employer%20branding%20site/04%20-%20BESCHRIJVENDE%20DOCUMENTEN/Gunning/UITGANGSPUNTEN%20-%20IUC19-001%20-%20Employer%20branding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jn%20Documenten\AANBESTEDINGEN\IUC%2019-001%20Employer%20Branding\UITGANGSPUNTEN%20-%20IUC19-001%20-%20Employer%20branding%20de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jn%20Documenten\AANBESTEDINGEN\IUC%2019-001%20Employer%20Branding\Bijlage%209%20Prijzenformulier%200.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SO-CFD/UG_HKT_Inkoop-UNIT/80-INKOOPDOSSIERS-ICT/IUC23-011%20IBT&amp;D%202023/01%20-%20VOORBEREIDING/4%20-%20Econoom/TBV%20PRIJSMODEL%20-%20IUC23-011%20-%20Informatie%20Beveiliging%20A&amp;P-testen%20v1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GRAFIEK"/>
      <sheetName val="DATA"/>
      <sheetName val="HULP-velden"/>
      <sheetName val="HULP-data"/>
    </sheetNames>
    <sheetDataSet>
      <sheetData sheetId="0"/>
      <sheetData sheetId="1">
        <row r="11">
          <cell r="K11">
            <v>100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D8">
            <v>1.2233333333333334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GRAFIEK"/>
      <sheetName val="DATA"/>
      <sheetName val="HULP-velden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B7" t="str">
            <v>Uw inschrijving</v>
          </cell>
        </row>
      </sheetData>
      <sheetData sheetId="7">
        <row r="20">
          <cell r="L20">
            <v>1.3333333333333333</v>
          </cell>
        </row>
        <row r="80">
          <cell r="J80">
            <v>0.5</v>
          </cell>
        </row>
      </sheetData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envatting"/>
      <sheetName val="Tarieven"/>
      <sheetName val="Factor"/>
      <sheetName val="Oplossing"/>
      <sheetName val="Casus 1"/>
      <sheetName val="Casus 2"/>
    </sheetNames>
    <sheetDataSet>
      <sheetData sheetId="0">
        <row r="10">
          <cell r="H10">
            <v>3443875</v>
          </cell>
        </row>
      </sheetData>
      <sheetData sheetId="1">
        <row r="29">
          <cell r="M29">
            <v>3038875</v>
          </cell>
        </row>
      </sheetData>
      <sheetData sheetId="2">
        <row r="16">
          <cell r="C16">
            <v>100</v>
          </cell>
        </row>
        <row r="26">
          <cell r="E26">
            <v>-0.1</v>
          </cell>
        </row>
        <row r="48">
          <cell r="E48">
            <v>0.1</v>
          </cell>
        </row>
      </sheetData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K-Grafiek"/>
      <sheetName val="DATA"/>
    </sheetNames>
    <sheetDataSet>
      <sheetData sheetId="0"/>
      <sheetData sheetId="1">
        <row r="7">
          <cell r="B7" t="str">
            <v>Uw inschrijving</v>
          </cell>
          <cell r="C7">
            <v>0</v>
          </cell>
          <cell r="F7">
            <v>60</v>
          </cell>
        </row>
        <row r="19">
          <cell r="D19">
            <v>0</v>
          </cell>
          <cell r="E19">
            <v>600221.34046039765</v>
          </cell>
          <cell r="F19">
            <v>751482.1522938062</v>
          </cell>
          <cell r="G19">
            <v>939260.14687311219</v>
          </cell>
          <cell r="H19">
            <v>1169936.7806517186</v>
          </cell>
          <cell r="I19">
            <v>1326488.8516131581</v>
          </cell>
          <cell r="J19">
            <v>1447154.4160196204</v>
          </cell>
          <cell r="K19">
            <v>1545790.5213721222</v>
          </cell>
          <cell r="L19">
            <v>1629205.7421058752</v>
          </cell>
          <cell r="M19">
            <v>1701319.3733918827</v>
          </cell>
          <cell r="N19">
            <v>1764623.2206222229</v>
          </cell>
          <cell r="O19">
            <v>1820814.32142086</v>
          </cell>
          <cell r="P19">
            <v>1871108.5167070956</v>
          </cell>
          <cell r="Q19">
            <v>1916411.5516544753</v>
          </cell>
          <cell r="R19">
            <v>1957419.4436273701</v>
          </cell>
          <cell r="S19">
            <v>1994680.78587021</v>
          </cell>
          <cell r="T19">
            <v>2028637.2258047122</v>
          </cell>
          <cell r="U19">
            <v>2059650.7694919687</v>
          </cell>
          <cell r="V19">
            <v>2088022.7891208886</v>
          </cell>
          <cell r="W19">
            <v>2114007.6146088848</v>
          </cell>
          <cell r="X19">
            <v>2137822.4802070865</v>
          </cell>
          <cell r="Y19">
            <v>2159654.9522432936</v>
          </cell>
          <cell r="Z19">
            <v>2179668.5755499732</v>
          </cell>
        </row>
        <row r="20">
          <cell r="D20">
            <v>59.669341164554389</v>
          </cell>
          <cell r="E20">
            <v>60.17347439999746</v>
          </cell>
          <cell r="F20">
            <v>60.677607635440523</v>
          </cell>
          <cell r="G20">
            <v>61.685874106326679</v>
          </cell>
          <cell r="H20">
            <v>63.702407048098955</v>
          </cell>
          <cell r="I20">
            <v>65.718939989871231</v>
          </cell>
          <cell r="J20">
            <v>67.7354729316435</v>
          </cell>
          <cell r="K20">
            <v>69.752005873415783</v>
          </cell>
          <cell r="L20">
            <v>71.76853881518808</v>
          </cell>
          <cell r="M20">
            <v>73.785071756960349</v>
          </cell>
          <cell r="N20">
            <v>75.801604698732632</v>
          </cell>
          <cell r="O20">
            <v>77.818137640504915</v>
          </cell>
          <cell r="P20">
            <v>79.834670582277184</v>
          </cell>
          <cell r="Q20">
            <v>81.851203524049481</v>
          </cell>
          <cell r="R20">
            <v>83.867736465821764</v>
          </cell>
          <cell r="S20">
            <v>85.884269407594033</v>
          </cell>
          <cell r="T20">
            <v>87.900802349366316</v>
          </cell>
          <cell r="U20">
            <v>89.917335291138585</v>
          </cell>
          <cell r="V20">
            <v>91.933868232910882</v>
          </cell>
          <cell r="W20">
            <v>93.950401174683151</v>
          </cell>
          <cell r="X20">
            <v>95.966934116455448</v>
          </cell>
          <cell r="Y20">
            <v>97.983467058227731</v>
          </cell>
          <cell r="Z20">
            <v>100</v>
          </cell>
        </row>
        <row r="22">
          <cell r="D22">
            <v>0</v>
          </cell>
          <cell r="E22">
            <v>509378.07220836508</v>
          </cell>
          <cell r="F22">
            <v>637924.76723217487</v>
          </cell>
          <cell r="G22">
            <v>797777.40636618505</v>
          </cell>
          <cell r="H22">
            <v>994838.63405855943</v>
          </cell>
          <cell r="I22">
            <v>1129260.1457195801</v>
          </cell>
          <cell r="J22">
            <v>1233420.3718049659</v>
          </cell>
          <cell r="K22">
            <v>1319041.2393593458</v>
          </cell>
          <cell r="L22">
            <v>1391876.6083449966</v>
          </cell>
          <cell r="M22">
            <v>1455235.3026243229</v>
          </cell>
          <cell r="N22">
            <v>1511218.7719751317</v>
          </cell>
          <cell r="O22">
            <v>1561256.5756568196</v>
          </cell>
          <cell r="P22">
            <v>1606371.6518942735</v>
          </cell>
          <cell r="Q22">
            <v>1647325.00218177</v>
          </cell>
          <cell r="R22">
            <v>1684700.5270145575</v>
          </cell>
          <cell r="S22">
            <v>1718957.6648109872</v>
          </cell>
          <cell r="T22">
            <v>1750465.5754018172</v>
          </cell>
          <cell r="U22">
            <v>1779526.1871467731</v>
          </cell>
          <cell r="V22">
            <v>1806390.2323453133</v>
          </cell>
          <cell r="W22">
            <v>1831268.7070317657</v>
          </cell>
          <cell r="X22">
            <v>1854341.2521469174</v>
          </cell>
          <cell r="Y22">
            <v>1875762.4078068044</v>
          </cell>
          <cell r="Z22">
            <v>1895666.3638369387</v>
          </cell>
        </row>
        <row r="23">
          <cell r="D23">
            <v>69.702407048098948</v>
          </cell>
          <cell r="E23">
            <v>70.081126959997704</v>
          </cell>
          <cell r="F23">
            <v>70.459846871896474</v>
          </cell>
          <cell r="G23">
            <v>71.217286695694</v>
          </cell>
          <cell r="H23">
            <v>72.732166343289052</v>
          </cell>
          <cell r="I23">
            <v>74.247045990884104</v>
          </cell>
          <cell r="J23">
            <v>75.76192563847917</v>
          </cell>
          <cell r="K23">
            <v>77.276805286074207</v>
          </cell>
          <cell r="L23">
            <v>78.791684933669274</v>
          </cell>
          <cell r="M23">
            <v>80.306564581264311</v>
          </cell>
          <cell r="N23">
            <v>81.821444228859377</v>
          </cell>
          <cell r="O23">
            <v>83.336323876454415</v>
          </cell>
          <cell r="P23">
            <v>84.851203524049467</v>
          </cell>
          <cell r="Q23">
            <v>86.366083171644533</v>
          </cell>
          <cell r="R23">
            <v>87.880962819239571</v>
          </cell>
          <cell r="S23">
            <v>89.395842466834637</v>
          </cell>
          <cell r="T23">
            <v>90.910722114429689</v>
          </cell>
          <cell r="U23">
            <v>92.425601762024741</v>
          </cell>
          <cell r="V23">
            <v>93.940481409619792</v>
          </cell>
          <cell r="W23">
            <v>95.45536105721483</v>
          </cell>
          <cell r="X23">
            <v>96.970240704809896</v>
          </cell>
          <cell r="Y23">
            <v>98.485120352404948</v>
          </cell>
          <cell r="Z23">
            <v>100</v>
          </cell>
        </row>
        <row r="25">
          <cell r="D25">
            <v>0</v>
          </cell>
          <cell r="E25">
            <v>412750.07271219644</v>
          </cell>
          <cell r="F25">
            <v>517093.06675569934</v>
          </cell>
          <cell r="G25">
            <v>647122.85660598613</v>
          </cell>
          <cell r="H25">
            <v>808115.56979777594</v>
          </cell>
          <cell r="I25">
            <v>918621.04321375152</v>
          </cell>
          <cell r="J25">
            <v>1004802.6378204027</v>
          </cell>
          <cell r="K25">
            <v>1076120.6179818346</v>
          </cell>
          <cell r="L25">
            <v>1137213.1406950511</v>
          </cell>
          <cell r="M25">
            <v>1190744.22439704</v>
          </cell>
          <cell r="N25">
            <v>1238403.7096225107</v>
          </cell>
          <cell r="O25">
            <v>1281339.6706045689</v>
          </cell>
          <cell r="P25">
            <v>1320372.5133845075</v>
          </cell>
          <cell r="Q25">
            <v>1356111.6898338292</v>
          </cell>
          <cell r="R25">
            <v>1389024.0977219772</v>
          </cell>
          <cell r="S25">
            <v>1419476.4996036126</v>
          </cell>
          <cell r="T25">
            <v>1447763.0549616837</v>
          </cell>
          <cell r="U25">
            <v>1474123.8728785331</v>
          </cell>
          <cell r="V25">
            <v>1498757.9131978878</v>
          </cell>
          <cell r="W25">
            <v>1521832.2010842559</v>
          </cell>
          <cell r="X25">
            <v>1543488.5620372342</v>
          </cell>
          <cell r="Y25">
            <v>1563848.6445082107</v>
          </cell>
          <cell r="Z25">
            <v>1583017.7322731169</v>
          </cell>
        </row>
        <row r="26">
          <cell r="D26">
            <v>79.735472931643514</v>
          </cell>
          <cell r="E26">
            <v>79.988779519997962</v>
          </cell>
          <cell r="F26">
            <v>80.242086108352424</v>
          </cell>
          <cell r="G26">
            <v>80.748699285061349</v>
          </cell>
          <cell r="H26">
            <v>81.76192563847917</v>
          </cell>
          <cell r="I26">
            <v>82.775151991896976</v>
          </cell>
          <cell r="J26">
            <v>83.788378345314811</v>
          </cell>
          <cell r="K26">
            <v>84.801604698732646</v>
          </cell>
          <cell r="L26">
            <v>85.814831052150453</v>
          </cell>
          <cell r="M26">
            <v>86.828057405568288</v>
          </cell>
          <cell r="N26">
            <v>87.841283758986094</v>
          </cell>
          <cell r="O26">
            <v>88.854510112403929</v>
          </cell>
          <cell r="P26">
            <v>89.867736465821764</v>
          </cell>
          <cell r="Q26">
            <v>90.880962819239571</v>
          </cell>
          <cell r="R26">
            <v>91.894189172657406</v>
          </cell>
          <cell r="S26">
            <v>92.907415526075241</v>
          </cell>
          <cell r="T26">
            <v>93.920641879493047</v>
          </cell>
          <cell r="U26">
            <v>94.933868232910882</v>
          </cell>
          <cell r="V26">
            <v>95.947094586328703</v>
          </cell>
          <cell r="W26">
            <v>96.960320939746524</v>
          </cell>
          <cell r="X26">
            <v>97.973547293164359</v>
          </cell>
          <cell r="Y26">
            <v>98.986773646582165</v>
          </cell>
          <cell r="Z26">
            <v>100</v>
          </cell>
        </row>
        <row r="28">
          <cell r="D28">
            <v>0</v>
          </cell>
          <cell r="E28">
            <v>301907.96632748569</v>
          </cell>
          <cell r="F28">
            <v>378400.55762254173</v>
          </cell>
          <cell r="G28">
            <v>473982.17631517717</v>
          </cell>
          <cell r="H28">
            <v>592975.76090001059</v>
          </cell>
          <cell r="I28">
            <v>675294.25450126105</v>
          </cell>
          <cell r="J28">
            <v>740006.64322949701</v>
          </cell>
          <cell r="K28">
            <v>793997.18672319001</v>
          </cell>
          <cell r="L28">
            <v>840636.01531826099</v>
          </cell>
          <cell r="M28">
            <v>881855.9478270564</v>
          </cell>
          <cell r="N28">
            <v>918881.17511101882</v>
          </cell>
          <cell r="O28">
            <v>952542.14884300227</v>
          </cell>
          <cell r="P28">
            <v>983431.38681743061</v>
          </cell>
          <cell r="Q28">
            <v>1011988.3529871239</v>
          </cell>
          <cell r="R28">
            <v>1038549.1686706089</v>
          </cell>
          <cell r="S28">
            <v>1063377.4212622186</v>
          </cell>
          <cell r="T28">
            <v>1086684.1477139194</v>
          </cell>
          <cell r="U28">
            <v>1108641.2917194464</v>
          </cell>
          <cell r="V28">
            <v>1129391.0554484583</v>
          </cell>
          <cell r="W28">
            <v>1149052.5745521747</v>
          </cell>
          <cell r="X28">
            <v>1167726.7937469189</v>
          </cell>
          <cell r="Y28">
            <v>1185500.1003161336</v>
          </cell>
          <cell r="Z28">
            <v>1202447.0801988409</v>
          </cell>
        </row>
        <row r="29">
          <cell r="D29">
            <v>89.76853881518808</v>
          </cell>
          <cell r="E29">
            <v>89.896432079998235</v>
          </cell>
          <cell r="F29">
            <v>90.024325344808361</v>
          </cell>
          <cell r="G29">
            <v>90.280111874428684</v>
          </cell>
          <cell r="H29">
            <v>90.791684933669288</v>
          </cell>
          <cell r="I29">
            <v>91.303257992909863</v>
          </cell>
          <cell r="J29">
            <v>91.814831052150453</v>
          </cell>
          <cell r="K29">
            <v>92.326404111391057</v>
          </cell>
          <cell r="L29">
            <v>92.83797717063166</v>
          </cell>
          <cell r="M29">
            <v>93.349550229872264</v>
          </cell>
          <cell r="N29">
            <v>93.86112328911284</v>
          </cell>
          <cell r="O29">
            <v>94.372696348353429</v>
          </cell>
          <cell r="P29">
            <v>94.884269407594033</v>
          </cell>
          <cell r="Q29">
            <v>95.395842466834637</v>
          </cell>
          <cell r="R29">
            <v>95.907415526075241</v>
          </cell>
          <cell r="S29">
            <v>96.41898858531583</v>
          </cell>
          <cell r="T29">
            <v>96.93056164455642</v>
          </cell>
          <cell r="U29">
            <v>97.442134703797024</v>
          </cell>
          <cell r="V29">
            <v>97.953707763037627</v>
          </cell>
          <cell r="W29">
            <v>98.465280822278217</v>
          </cell>
          <cell r="X29">
            <v>98.976853881518807</v>
          </cell>
          <cell r="Y29">
            <v>99.488426940759396</v>
          </cell>
          <cell r="Z29">
            <v>100</v>
          </cell>
        </row>
        <row r="38">
          <cell r="B38" t="str">
            <v>Referentie</v>
          </cell>
          <cell r="C38">
            <v>1875000</v>
          </cell>
          <cell r="D38">
            <v>80</v>
          </cell>
        </row>
        <row r="39">
          <cell r="B39" t="str">
            <v>Referentie (Qmax)</v>
          </cell>
          <cell r="C39">
            <v>2179687.5</v>
          </cell>
          <cell r="D39">
            <v>100</v>
          </cell>
        </row>
        <row r="40">
          <cell r="C40">
            <v>100</v>
          </cell>
          <cell r="D40">
            <v>100</v>
          </cell>
          <cell r="G40">
            <v>2500</v>
          </cell>
        </row>
        <row r="41">
          <cell r="C41">
            <v>60</v>
          </cell>
          <cell r="D41">
            <v>60</v>
          </cell>
          <cell r="G41">
            <v>1500</v>
          </cell>
        </row>
        <row r="43">
          <cell r="C43">
            <v>0</v>
          </cell>
          <cell r="D43">
            <v>3750000.0000000009</v>
          </cell>
        </row>
        <row r="44">
          <cell r="G44">
            <v>70</v>
          </cell>
          <cell r="H44">
            <v>70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7">
    <pageSetUpPr fitToPage="1"/>
  </sheetPr>
  <dimension ref="A1:AL129"/>
  <sheetViews>
    <sheetView showGridLines="0" tabSelected="1" zoomScaleNormal="100" workbookViewId="0">
      <selection activeCell="E12" sqref="E12"/>
    </sheetView>
  </sheetViews>
  <sheetFormatPr defaultColWidth="0" defaultRowHeight="0" customHeight="1" zeroHeight="1" x14ac:dyDescent="0.3"/>
  <cols>
    <col min="1" max="2" width="1.6328125" style="152" customWidth="1"/>
    <col min="3" max="3" width="29" style="152" customWidth="1"/>
    <col min="4" max="4" width="13.90625" style="153" customWidth="1"/>
    <col min="5" max="5" width="9.36328125" style="153" bestFit="1" customWidth="1"/>
    <col min="6" max="6" width="9.453125" style="152" customWidth="1"/>
    <col min="7" max="7" width="13.6328125" style="152" bestFit="1" customWidth="1"/>
    <col min="8" max="8" width="11.36328125" style="152" bestFit="1" customWidth="1"/>
    <col min="9" max="9" width="12" style="152" bestFit="1" customWidth="1"/>
    <col min="10" max="10" width="18.6328125" style="152" customWidth="1"/>
    <col min="11" max="11" width="1.6328125" style="152" customWidth="1"/>
    <col min="12" max="13" width="18.6328125" style="152" customWidth="1"/>
    <col min="14" max="14" width="21.26953125" style="152" customWidth="1"/>
    <col min="15" max="15" width="3.08984375" style="152" customWidth="1"/>
    <col min="16" max="16" width="1.6328125" style="152" hidden="1" customWidth="1"/>
    <col min="17" max="17" width="13.54296875" style="152" hidden="1" customWidth="1"/>
    <col min="18" max="18" width="2.08984375" style="152" hidden="1" customWidth="1"/>
    <col min="19" max="19" width="31.453125" style="152" hidden="1" customWidth="1"/>
    <col min="20" max="20" width="2.36328125" style="152" hidden="1" customWidth="1"/>
    <col min="21" max="23" width="15.6328125" style="152" hidden="1" customWidth="1"/>
    <col min="24" max="24" width="2.36328125" style="152" hidden="1" customWidth="1"/>
    <col min="25" max="25" width="7" style="152" hidden="1" customWidth="1"/>
    <col min="26" max="26" width="2.36328125" style="152" hidden="1" customWidth="1"/>
    <col min="27" max="27" width="21.6328125" style="152" hidden="1" customWidth="1"/>
    <col min="28" max="29" width="3.90625" style="152" hidden="1" customWidth="1"/>
    <col min="30" max="30" width="12.08984375" style="152" hidden="1" customWidth="1"/>
    <col min="31" max="31" width="6.6328125" style="152" hidden="1" customWidth="1"/>
    <col min="32" max="32" width="12.08984375" style="152" hidden="1" customWidth="1"/>
    <col min="33" max="33" width="6.6328125" style="152" hidden="1" customWidth="1"/>
    <col min="34" max="34" width="12.08984375" style="152" hidden="1" customWidth="1"/>
    <col min="35" max="35" width="1.6328125" style="152" hidden="1" customWidth="1"/>
    <col min="36" max="38" width="2.6328125" style="152" hidden="1" customWidth="1"/>
    <col min="39" max="16384" width="9.08984375" style="152" hidden="1"/>
  </cols>
  <sheetData>
    <row r="1" spans="2:35" ht="13" x14ac:dyDescent="0.3"/>
    <row r="2" spans="2:35" ht="13" x14ac:dyDescent="0.3">
      <c r="C2" s="154"/>
      <c r="D2" s="155"/>
      <c r="E2" s="155"/>
      <c r="F2" s="154"/>
      <c r="G2" s="154"/>
      <c r="H2" s="154"/>
      <c r="I2" s="154"/>
      <c r="J2" s="154"/>
      <c r="K2" s="154"/>
      <c r="L2" s="154"/>
      <c r="M2" s="154"/>
      <c r="N2" s="154"/>
      <c r="O2" s="156"/>
    </row>
    <row r="3" spans="2:35" ht="23.5" x14ac:dyDescent="0.55000000000000004">
      <c r="C3" s="157" t="s">
        <v>0</v>
      </c>
      <c r="D3" s="155"/>
      <c r="E3" s="155"/>
      <c r="F3" s="154"/>
      <c r="G3" s="154"/>
      <c r="H3" s="154"/>
      <c r="I3" s="154"/>
      <c r="J3" s="154"/>
      <c r="K3" s="154"/>
      <c r="L3" s="154"/>
      <c r="M3" s="154"/>
      <c r="N3" s="154"/>
      <c r="O3" s="156"/>
    </row>
    <row r="4" spans="2:35" ht="18.5" x14ac:dyDescent="0.45">
      <c r="C4" s="158" t="s">
        <v>27</v>
      </c>
      <c r="D4" s="155"/>
      <c r="E4" s="155"/>
      <c r="F4" s="154"/>
      <c r="G4" s="154"/>
      <c r="H4" s="154"/>
      <c r="I4" s="154"/>
      <c r="J4" s="154"/>
      <c r="K4" s="154"/>
      <c r="L4" s="154"/>
      <c r="M4" s="154"/>
      <c r="N4" s="154"/>
      <c r="O4" s="156"/>
    </row>
    <row r="5" spans="2:35" ht="18.5" x14ac:dyDescent="0.45">
      <c r="C5" s="159" t="s">
        <v>28</v>
      </c>
      <c r="D5" s="155"/>
      <c r="E5" s="155"/>
      <c r="F5" s="154"/>
      <c r="G5" s="154"/>
      <c r="H5" s="154"/>
      <c r="I5" s="154"/>
      <c r="J5" s="154"/>
      <c r="K5" s="154"/>
      <c r="L5" s="154"/>
      <c r="M5" s="154"/>
      <c r="N5" s="154"/>
      <c r="O5" s="156"/>
    </row>
    <row r="6" spans="2:35" ht="14.5" x14ac:dyDescent="0.35">
      <c r="C6" s="160" t="s">
        <v>31</v>
      </c>
      <c r="D6" s="155"/>
      <c r="E6" s="161" t="s">
        <v>1</v>
      </c>
      <c r="F6" s="190"/>
      <c r="G6" s="191"/>
      <c r="H6" s="191"/>
      <c r="I6" s="192"/>
      <c r="J6" s="154"/>
      <c r="K6" s="154"/>
      <c r="L6" s="154"/>
      <c r="M6" s="154"/>
      <c r="N6" s="154"/>
      <c r="O6" s="156"/>
    </row>
    <row r="7" spans="2:35" ht="13" x14ac:dyDescent="0.3">
      <c r="C7" s="162" t="s">
        <v>55</v>
      </c>
      <c r="D7" s="163"/>
      <c r="E7" s="163"/>
      <c r="F7" s="164"/>
      <c r="G7" s="164"/>
      <c r="H7" s="164"/>
      <c r="I7" s="164"/>
      <c r="J7" s="164"/>
      <c r="K7" s="164"/>
      <c r="L7" s="164"/>
      <c r="M7" s="164"/>
      <c r="N7" s="164"/>
      <c r="O7" s="156"/>
    </row>
    <row r="8" spans="2:35" ht="13" x14ac:dyDescent="0.3">
      <c r="C8" s="164"/>
      <c r="D8" s="163"/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56"/>
    </row>
    <row r="9" spans="2:35" ht="13" x14ac:dyDescent="0.3">
      <c r="B9" s="156"/>
      <c r="C9" s="156"/>
      <c r="D9" s="165"/>
      <c r="E9" s="165"/>
      <c r="F9" s="166"/>
      <c r="G9" s="166"/>
      <c r="H9" s="166"/>
      <c r="I9" s="166"/>
      <c r="J9" s="166"/>
      <c r="K9" s="166"/>
      <c r="L9" s="166"/>
      <c r="M9" s="166"/>
      <c r="N9" s="166"/>
      <c r="O9" s="156"/>
    </row>
    <row r="10" spans="2:35" s="171" customFormat="1" ht="43.5" x14ac:dyDescent="0.35">
      <c r="B10" s="167"/>
      <c r="C10" s="168" t="s">
        <v>2</v>
      </c>
      <c r="D10" s="169" t="s">
        <v>3</v>
      </c>
      <c r="E10" s="169" t="s">
        <v>4</v>
      </c>
      <c r="F10" s="169" t="s">
        <v>39</v>
      </c>
      <c r="G10" s="169" t="s">
        <v>6</v>
      </c>
      <c r="H10" s="169" t="s">
        <v>32</v>
      </c>
      <c r="I10" s="169" t="s">
        <v>34</v>
      </c>
      <c r="J10" s="169" t="s">
        <v>7</v>
      </c>
      <c r="K10" s="169"/>
      <c r="L10" s="169" t="s">
        <v>8</v>
      </c>
      <c r="M10" s="169" t="s">
        <v>6</v>
      </c>
      <c r="N10" s="169" t="s">
        <v>40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70"/>
    </row>
    <row r="11" spans="2:35" s="171" customFormat="1" ht="14" x14ac:dyDescent="0.3">
      <c r="B11" s="167"/>
      <c r="C11" s="167"/>
      <c r="D11" s="172"/>
      <c r="E11" s="172"/>
      <c r="F11" s="167"/>
      <c r="G11" s="173"/>
      <c r="H11" s="174"/>
      <c r="I11" s="175" t="s">
        <v>9</v>
      </c>
      <c r="J11" s="172"/>
      <c r="K11" s="172"/>
      <c r="L11" s="172"/>
      <c r="M11" s="172"/>
      <c r="N11" s="172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</row>
    <row r="12" spans="2:35" s="171" customFormat="1" ht="25.5" customHeight="1" thickBot="1" x14ac:dyDescent="0.35">
      <c r="B12" s="167"/>
      <c r="C12" s="176" t="s">
        <v>28</v>
      </c>
      <c r="D12" s="177">
        <v>110</v>
      </c>
      <c r="E12" s="4"/>
      <c r="F12" s="178" t="str">
        <f>IF(ISBLANK(E12),"",IF(OR(E12&gt;D12+Spreiding,E12&lt;D12-Spreiding),IF(E12&lt;D12-Spreiding,-0.1,0.1),ROUND((1+TAN((E12-D12)/'Bonus-Malus'!$B$17)*'Bonus-Malus'!$B$16-1),3)))</f>
        <v/>
      </c>
      <c r="G12" s="177" t="str">
        <f>IF(ISBLANK(E12),"",+D12*F12)</f>
        <v/>
      </c>
      <c r="H12" s="177" t="str">
        <f>IF(ISBLANK(E12),"",+E12+G12)</f>
        <v/>
      </c>
      <c r="I12" s="179">
        <v>17000</v>
      </c>
      <c r="J12" s="180">
        <f>+I12*D12</f>
        <v>1870000</v>
      </c>
      <c r="K12" s="172"/>
      <c r="L12" s="180">
        <f>+E12*I12</f>
        <v>0</v>
      </c>
      <c r="M12" s="180" t="str">
        <f>IF(ISBLANK(E12),"",+I12*G12)</f>
        <v/>
      </c>
      <c r="N12" s="181">
        <f>SUM(L12:M12)</f>
        <v>0</v>
      </c>
      <c r="O12" s="182"/>
      <c r="P12" s="167"/>
      <c r="Q12" s="167"/>
      <c r="R12" s="167"/>
      <c r="S12" s="183" t="s">
        <v>10</v>
      </c>
      <c r="T12" s="167"/>
      <c r="U12" s="167" t="e">
        <f>IF(ROWS($12:12)&gt;COUNTIF(#REF!,"x"),"",VLOOKUP("x",CHOOSE({1,2},IF(ISNA(MATCH($A$9:$A$12,U$9:U10,0)),#REF!,""),$A$9:$A$12),2,0))</f>
        <v>#REF!</v>
      </c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</row>
    <row r="13" spans="2:35" s="171" customFormat="1" ht="14.5" thickTop="1" x14ac:dyDescent="0.3">
      <c r="B13" s="167"/>
      <c r="C13" s="167"/>
      <c r="D13" s="184"/>
      <c r="E13" s="184"/>
      <c r="F13" s="185"/>
      <c r="G13" s="186"/>
      <c r="H13" s="186"/>
      <c r="I13" s="172"/>
      <c r="J13" s="187"/>
      <c r="K13" s="187"/>
      <c r="L13" s="187"/>
      <c r="M13" s="187"/>
      <c r="N13" s="187"/>
      <c r="O13" s="182"/>
      <c r="P13" s="167"/>
      <c r="Q13" s="167"/>
      <c r="R13" s="167"/>
      <c r="S13" s="183" t="s">
        <v>11</v>
      </c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</row>
    <row r="14" spans="2:35" s="171" customFormat="1" ht="14" x14ac:dyDescent="0.3">
      <c r="B14" s="167"/>
      <c r="C14" s="167" t="s">
        <v>99</v>
      </c>
      <c r="D14" s="184"/>
      <c r="E14" s="184"/>
      <c r="F14" s="185"/>
      <c r="G14" s="186"/>
      <c r="H14" s="186"/>
      <c r="I14" s="172"/>
      <c r="J14" s="187"/>
      <c r="K14" s="187"/>
      <c r="L14" s="187"/>
      <c r="M14" s="187"/>
      <c r="N14" s="187" t="s">
        <v>9</v>
      </c>
      <c r="O14" s="182"/>
      <c r="P14" s="167"/>
      <c r="Q14" s="167"/>
      <c r="R14" s="167"/>
      <c r="S14" s="188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</row>
    <row r="15" spans="2:35" s="171" customFormat="1" ht="14" x14ac:dyDescent="0.3">
      <c r="B15" s="167"/>
      <c r="C15" s="167"/>
      <c r="D15" s="184"/>
      <c r="E15" s="184"/>
      <c r="F15" s="185"/>
      <c r="G15" s="186"/>
      <c r="H15" s="186"/>
      <c r="I15" s="172"/>
      <c r="J15" s="187"/>
      <c r="K15" s="187"/>
      <c r="L15" s="187"/>
      <c r="M15" s="187"/>
      <c r="N15" s="187"/>
      <c r="O15" s="182"/>
      <c r="P15" s="167"/>
      <c r="Q15" s="167"/>
      <c r="R15" s="167"/>
      <c r="S15" s="188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</row>
    <row r="16" spans="2:35" ht="13" hidden="1" x14ac:dyDescent="0.3">
      <c r="M16" s="189"/>
      <c r="AA16" s="156"/>
      <c r="AB16" s="156"/>
      <c r="AC16" s="156"/>
      <c r="AD16" s="156"/>
      <c r="AE16" s="156"/>
      <c r="AF16" s="156"/>
      <c r="AG16" s="156"/>
      <c r="AH16" s="156"/>
    </row>
    <row r="17" spans="27:34" ht="13" hidden="1" x14ac:dyDescent="0.3">
      <c r="AA17" s="156"/>
      <c r="AB17" s="156"/>
      <c r="AC17" s="156"/>
      <c r="AD17" s="156"/>
      <c r="AE17" s="156"/>
      <c r="AF17" s="156"/>
      <c r="AG17" s="156"/>
      <c r="AH17" s="156"/>
    </row>
    <row r="18" spans="27:34" ht="13" hidden="1" x14ac:dyDescent="0.3">
      <c r="AA18" s="156"/>
      <c r="AB18" s="156"/>
      <c r="AC18" s="156"/>
      <c r="AD18" s="156"/>
      <c r="AE18" s="156"/>
      <c r="AF18" s="156"/>
      <c r="AG18" s="156"/>
      <c r="AH18" s="156"/>
    </row>
    <row r="19" spans="27:34" ht="13" hidden="1" x14ac:dyDescent="0.3">
      <c r="AA19" s="156"/>
      <c r="AB19" s="156"/>
      <c r="AC19" s="156"/>
      <c r="AD19" s="156"/>
      <c r="AE19" s="156"/>
      <c r="AF19" s="156"/>
      <c r="AG19" s="156"/>
      <c r="AH19" s="156"/>
    </row>
    <row r="20" spans="27:34" ht="13" hidden="1" x14ac:dyDescent="0.3">
      <c r="AA20" s="156"/>
      <c r="AB20" s="156"/>
      <c r="AC20" s="156"/>
      <c r="AD20" s="156"/>
      <c r="AE20" s="156"/>
      <c r="AF20" s="156"/>
      <c r="AG20" s="156"/>
      <c r="AH20" s="156"/>
    </row>
    <row r="21" spans="27:34" ht="13" hidden="1" x14ac:dyDescent="0.3">
      <c r="AA21" s="156"/>
      <c r="AB21" s="156"/>
      <c r="AC21" s="156"/>
      <c r="AD21" s="156"/>
      <c r="AE21" s="156"/>
      <c r="AF21" s="156"/>
      <c r="AG21" s="156"/>
      <c r="AH21" s="156"/>
    </row>
    <row r="22" spans="27:34" ht="13" hidden="1" x14ac:dyDescent="0.3">
      <c r="AA22" s="156"/>
      <c r="AB22" s="156"/>
      <c r="AC22" s="156"/>
      <c r="AD22" s="156"/>
      <c r="AE22" s="156"/>
      <c r="AF22" s="156"/>
      <c r="AG22" s="156"/>
      <c r="AH22" s="156"/>
    </row>
    <row r="23" spans="27:34" ht="13" hidden="1" x14ac:dyDescent="0.3">
      <c r="AA23" s="156"/>
      <c r="AB23" s="156"/>
      <c r="AC23" s="156"/>
      <c r="AD23" s="156"/>
      <c r="AE23" s="156"/>
      <c r="AF23" s="156"/>
      <c r="AG23" s="156"/>
      <c r="AH23" s="156"/>
    </row>
    <row r="24" spans="27:34" ht="13" hidden="1" x14ac:dyDescent="0.3">
      <c r="AA24" s="156"/>
      <c r="AB24" s="156"/>
      <c r="AC24" s="156"/>
      <c r="AD24" s="156"/>
      <c r="AE24" s="156"/>
      <c r="AF24" s="156"/>
      <c r="AG24" s="156"/>
      <c r="AH24" s="156"/>
    </row>
    <row r="25" spans="27:34" ht="13" hidden="1" x14ac:dyDescent="0.3">
      <c r="AA25" s="156"/>
      <c r="AB25" s="156"/>
      <c r="AC25" s="156"/>
      <c r="AD25" s="156"/>
      <c r="AE25" s="156"/>
      <c r="AF25" s="156"/>
      <c r="AG25" s="156"/>
      <c r="AH25" s="156"/>
    </row>
    <row r="26" spans="27:34" ht="13" hidden="1" x14ac:dyDescent="0.3">
      <c r="AA26" s="156"/>
      <c r="AB26" s="156"/>
      <c r="AC26" s="156"/>
      <c r="AD26" s="156"/>
      <c r="AE26" s="156"/>
      <c r="AF26" s="156"/>
      <c r="AG26" s="156"/>
      <c r="AH26" s="156"/>
    </row>
    <row r="27" spans="27:34" ht="13" hidden="1" x14ac:dyDescent="0.3">
      <c r="AA27" s="156"/>
      <c r="AB27" s="156"/>
      <c r="AC27" s="156"/>
      <c r="AD27" s="156"/>
      <c r="AE27" s="156"/>
      <c r="AF27" s="156"/>
      <c r="AG27" s="156"/>
      <c r="AH27" s="156"/>
    </row>
    <row r="28" spans="27:34" ht="13" hidden="1" x14ac:dyDescent="0.3">
      <c r="AA28" s="156"/>
      <c r="AB28" s="156"/>
      <c r="AC28" s="156"/>
      <c r="AD28" s="156"/>
      <c r="AE28" s="156"/>
      <c r="AF28" s="156"/>
      <c r="AG28" s="156"/>
      <c r="AH28" s="156"/>
    </row>
    <row r="29" spans="27:34" ht="13" hidden="1" x14ac:dyDescent="0.3">
      <c r="AA29" s="156"/>
      <c r="AB29" s="156"/>
      <c r="AC29" s="156"/>
      <c r="AD29" s="156"/>
      <c r="AE29" s="156"/>
      <c r="AF29" s="156"/>
      <c r="AG29" s="156"/>
      <c r="AH29" s="156"/>
    </row>
    <row r="30" spans="27:34" ht="13" hidden="1" x14ac:dyDescent="0.3">
      <c r="AA30" s="156"/>
      <c r="AB30" s="156"/>
      <c r="AC30" s="156"/>
      <c r="AD30" s="156"/>
      <c r="AE30" s="156"/>
      <c r="AF30" s="156"/>
      <c r="AG30" s="156"/>
      <c r="AH30" s="156"/>
    </row>
    <row r="31" spans="27:34" ht="13" hidden="1" x14ac:dyDescent="0.3">
      <c r="AA31" s="156"/>
      <c r="AB31" s="156"/>
      <c r="AC31" s="156"/>
      <c r="AD31" s="156"/>
      <c r="AE31" s="156"/>
      <c r="AF31" s="156"/>
      <c r="AG31" s="156"/>
      <c r="AH31" s="156"/>
    </row>
    <row r="32" spans="27:34" ht="13" hidden="1" x14ac:dyDescent="0.3">
      <c r="AA32" s="156"/>
      <c r="AB32" s="156"/>
      <c r="AC32" s="156"/>
      <c r="AD32" s="156"/>
      <c r="AE32" s="156"/>
      <c r="AF32" s="156"/>
      <c r="AG32" s="156"/>
      <c r="AH32" s="156"/>
    </row>
    <row r="33" spans="27:34" ht="13" hidden="1" x14ac:dyDescent="0.3">
      <c r="AA33" s="156"/>
      <c r="AB33" s="156"/>
      <c r="AC33" s="156"/>
      <c r="AD33" s="156"/>
      <c r="AE33" s="156"/>
      <c r="AF33" s="156"/>
      <c r="AG33" s="156"/>
      <c r="AH33" s="156"/>
    </row>
    <row r="34" spans="27:34" ht="13" hidden="1" x14ac:dyDescent="0.3">
      <c r="AA34" s="156"/>
      <c r="AB34" s="156"/>
      <c r="AC34" s="156"/>
      <c r="AD34" s="156"/>
      <c r="AE34" s="156"/>
      <c r="AF34" s="156"/>
      <c r="AG34" s="156"/>
      <c r="AH34" s="156"/>
    </row>
    <row r="35" spans="27:34" ht="13" hidden="1" x14ac:dyDescent="0.3">
      <c r="AA35" s="156"/>
      <c r="AB35" s="156"/>
      <c r="AC35" s="156"/>
      <c r="AD35" s="156"/>
      <c r="AE35" s="156"/>
      <c r="AF35" s="156"/>
      <c r="AG35" s="156"/>
      <c r="AH35" s="156"/>
    </row>
    <row r="36" spans="27:34" ht="13" hidden="1" x14ac:dyDescent="0.3">
      <c r="AA36" s="156"/>
      <c r="AB36" s="156"/>
      <c r="AC36" s="156"/>
      <c r="AD36" s="156"/>
      <c r="AE36" s="156"/>
      <c r="AF36" s="156"/>
      <c r="AG36" s="156"/>
      <c r="AH36" s="156"/>
    </row>
    <row r="37" spans="27:34" ht="13" hidden="1" x14ac:dyDescent="0.3">
      <c r="AA37" s="156"/>
      <c r="AB37" s="156"/>
      <c r="AC37" s="156"/>
      <c r="AD37" s="156"/>
      <c r="AE37" s="156"/>
      <c r="AF37" s="156"/>
      <c r="AG37" s="156"/>
      <c r="AH37" s="156"/>
    </row>
    <row r="38" spans="27:34" ht="13" hidden="1" x14ac:dyDescent="0.3">
      <c r="AA38" s="156"/>
      <c r="AB38" s="156"/>
      <c r="AC38" s="156"/>
      <c r="AD38" s="156"/>
      <c r="AE38" s="156"/>
      <c r="AF38" s="156"/>
      <c r="AG38" s="156"/>
      <c r="AH38" s="156"/>
    </row>
    <row r="39" spans="27:34" ht="13" hidden="1" x14ac:dyDescent="0.3">
      <c r="AA39" s="156"/>
      <c r="AB39" s="156"/>
      <c r="AC39" s="156"/>
      <c r="AD39" s="156"/>
      <c r="AE39" s="156"/>
      <c r="AF39" s="156"/>
      <c r="AG39" s="156"/>
      <c r="AH39" s="156"/>
    </row>
    <row r="40" spans="27:34" ht="13" hidden="1" x14ac:dyDescent="0.3">
      <c r="AA40" s="156"/>
      <c r="AB40" s="156"/>
      <c r="AC40" s="156"/>
      <c r="AD40" s="156"/>
      <c r="AE40" s="156"/>
      <c r="AF40" s="156"/>
      <c r="AG40" s="156"/>
      <c r="AH40" s="156"/>
    </row>
    <row r="41" spans="27:34" ht="13" hidden="1" x14ac:dyDescent="0.3">
      <c r="AA41" s="156"/>
      <c r="AB41" s="156"/>
      <c r="AC41" s="156"/>
      <c r="AD41" s="156"/>
      <c r="AE41" s="156"/>
      <c r="AF41" s="156"/>
      <c r="AG41" s="156"/>
      <c r="AH41" s="156"/>
    </row>
    <row r="42" spans="27:34" ht="13" hidden="1" x14ac:dyDescent="0.3">
      <c r="AA42" s="156"/>
      <c r="AB42" s="156"/>
      <c r="AC42" s="156"/>
      <c r="AD42" s="156"/>
      <c r="AE42" s="156"/>
      <c r="AF42" s="156"/>
      <c r="AG42" s="156"/>
      <c r="AH42" s="156"/>
    </row>
    <row r="43" spans="27:34" ht="13" hidden="1" x14ac:dyDescent="0.3">
      <c r="AA43" s="156"/>
      <c r="AB43" s="156"/>
      <c r="AC43" s="156"/>
      <c r="AD43" s="156"/>
      <c r="AE43" s="156"/>
      <c r="AF43" s="156"/>
      <c r="AG43" s="156"/>
      <c r="AH43" s="156"/>
    </row>
    <row r="44" spans="27:34" ht="13" hidden="1" x14ac:dyDescent="0.3">
      <c r="AA44" s="156"/>
      <c r="AB44" s="156"/>
      <c r="AC44" s="156"/>
      <c r="AD44" s="156"/>
      <c r="AE44" s="156"/>
      <c r="AF44" s="156"/>
      <c r="AG44" s="156"/>
      <c r="AH44" s="156"/>
    </row>
    <row r="45" spans="27:34" ht="13" hidden="1" x14ac:dyDescent="0.3">
      <c r="AA45" s="156"/>
      <c r="AB45" s="156"/>
      <c r="AC45" s="156"/>
      <c r="AD45" s="156"/>
      <c r="AE45" s="156"/>
      <c r="AF45" s="156"/>
      <c r="AG45" s="156"/>
      <c r="AH45" s="156"/>
    </row>
    <row r="46" spans="27:34" ht="13" hidden="1" x14ac:dyDescent="0.3">
      <c r="AA46" s="156"/>
      <c r="AB46" s="156"/>
      <c r="AC46" s="156"/>
      <c r="AD46" s="156"/>
      <c r="AE46" s="156"/>
      <c r="AF46" s="156"/>
      <c r="AG46" s="156"/>
      <c r="AH46" s="156"/>
    </row>
    <row r="47" spans="27:34" ht="13" hidden="1" x14ac:dyDescent="0.3">
      <c r="AA47" s="156"/>
      <c r="AB47" s="156"/>
      <c r="AC47" s="156"/>
      <c r="AD47" s="156"/>
      <c r="AE47" s="156"/>
      <c r="AF47" s="156"/>
      <c r="AG47" s="156"/>
      <c r="AH47" s="156"/>
    </row>
    <row r="48" spans="27:34" ht="13" hidden="1" x14ac:dyDescent="0.3">
      <c r="AA48" s="156"/>
      <c r="AB48" s="156"/>
      <c r="AC48" s="156"/>
      <c r="AD48" s="156"/>
      <c r="AE48" s="156"/>
      <c r="AF48" s="156"/>
      <c r="AG48" s="156"/>
      <c r="AH48" s="156"/>
    </row>
    <row r="49" spans="27:34" ht="13" hidden="1" x14ac:dyDescent="0.3">
      <c r="AA49" s="156"/>
      <c r="AB49" s="156"/>
      <c r="AC49" s="156"/>
      <c r="AD49" s="156"/>
      <c r="AE49" s="156"/>
      <c r="AF49" s="156"/>
      <c r="AG49" s="156"/>
      <c r="AH49" s="156"/>
    </row>
    <row r="50" spans="27:34" ht="13" hidden="1" x14ac:dyDescent="0.3">
      <c r="AA50" s="156"/>
      <c r="AB50" s="156"/>
      <c r="AC50" s="156"/>
      <c r="AD50" s="156"/>
      <c r="AE50" s="156"/>
      <c r="AF50" s="156"/>
      <c r="AG50" s="156"/>
      <c r="AH50" s="156"/>
    </row>
    <row r="51" spans="27:34" ht="13" hidden="1" x14ac:dyDescent="0.3">
      <c r="AA51" s="156"/>
      <c r="AB51" s="156"/>
      <c r="AC51" s="156"/>
      <c r="AD51" s="156"/>
      <c r="AE51" s="156"/>
      <c r="AF51" s="156"/>
      <c r="AG51" s="156"/>
      <c r="AH51" s="156"/>
    </row>
    <row r="52" spans="27:34" ht="13" hidden="1" x14ac:dyDescent="0.3">
      <c r="AA52" s="156"/>
      <c r="AB52" s="156"/>
      <c r="AC52" s="156"/>
      <c r="AD52" s="156"/>
      <c r="AE52" s="156"/>
      <c r="AF52" s="156"/>
      <c r="AG52" s="156"/>
      <c r="AH52" s="156"/>
    </row>
    <row r="53" spans="27:34" ht="13" hidden="1" x14ac:dyDescent="0.3">
      <c r="AA53" s="156"/>
      <c r="AB53" s="156"/>
      <c r="AC53" s="156"/>
      <c r="AD53" s="156"/>
      <c r="AE53" s="156"/>
      <c r="AF53" s="156"/>
      <c r="AG53" s="156"/>
      <c r="AH53" s="156"/>
    </row>
    <row r="54" spans="27:34" ht="13" hidden="1" x14ac:dyDescent="0.3">
      <c r="AA54" s="156"/>
      <c r="AB54" s="156"/>
      <c r="AC54" s="156"/>
      <c r="AD54" s="156"/>
      <c r="AE54" s="156"/>
      <c r="AF54" s="156"/>
      <c r="AG54" s="156"/>
      <c r="AH54" s="156"/>
    </row>
    <row r="55" spans="27:34" ht="13" hidden="1" x14ac:dyDescent="0.3">
      <c r="AA55" s="156"/>
      <c r="AB55" s="156"/>
      <c r="AC55" s="156"/>
      <c r="AD55" s="156"/>
      <c r="AE55" s="156"/>
      <c r="AF55" s="156"/>
      <c r="AG55" s="156"/>
      <c r="AH55" s="156"/>
    </row>
    <row r="56" spans="27:34" ht="13" hidden="1" x14ac:dyDescent="0.3">
      <c r="AA56" s="156"/>
      <c r="AB56" s="156"/>
      <c r="AC56" s="156"/>
      <c r="AD56" s="156"/>
      <c r="AE56" s="156"/>
      <c r="AF56" s="156"/>
      <c r="AG56" s="156"/>
      <c r="AH56" s="156"/>
    </row>
    <row r="57" spans="27:34" ht="13" hidden="1" x14ac:dyDescent="0.3">
      <c r="AA57" s="156"/>
      <c r="AB57" s="156"/>
      <c r="AC57" s="156"/>
      <c r="AD57" s="156"/>
      <c r="AE57" s="156"/>
      <c r="AF57" s="156"/>
      <c r="AG57" s="156"/>
      <c r="AH57" s="156"/>
    </row>
    <row r="58" spans="27:34" ht="13" hidden="1" x14ac:dyDescent="0.3">
      <c r="AA58" s="156"/>
      <c r="AB58" s="156"/>
      <c r="AC58" s="156"/>
      <c r="AD58" s="156"/>
      <c r="AE58" s="156"/>
      <c r="AF58" s="156"/>
      <c r="AG58" s="156"/>
      <c r="AH58" s="156"/>
    </row>
    <row r="59" spans="27:34" ht="13" hidden="1" x14ac:dyDescent="0.3">
      <c r="AA59" s="156"/>
      <c r="AB59" s="156"/>
      <c r="AC59" s="156"/>
      <c r="AD59" s="156"/>
      <c r="AE59" s="156"/>
      <c r="AF59" s="156"/>
      <c r="AG59" s="156"/>
      <c r="AH59" s="156"/>
    </row>
    <row r="60" spans="27:34" ht="13" hidden="1" x14ac:dyDescent="0.3">
      <c r="AA60" s="156"/>
      <c r="AB60" s="156"/>
      <c r="AC60" s="156"/>
      <c r="AD60" s="156"/>
      <c r="AE60" s="156"/>
      <c r="AF60" s="156"/>
      <c r="AG60" s="156"/>
      <c r="AH60" s="156"/>
    </row>
    <row r="61" spans="27:34" ht="13" hidden="1" x14ac:dyDescent="0.3">
      <c r="AA61" s="156"/>
      <c r="AB61" s="156"/>
      <c r="AC61" s="156"/>
      <c r="AD61" s="156"/>
      <c r="AE61" s="156"/>
      <c r="AF61" s="156"/>
      <c r="AG61" s="156"/>
      <c r="AH61" s="156"/>
    </row>
    <row r="62" spans="27:34" ht="13" hidden="1" x14ac:dyDescent="0.3">
      <c r="AA62" s="156"/>
      <c r="AB62" s="156"/>
      <c r="AC62" s="156"/>
      <c r="AD62" s="156"/>
      <c r="AE62" s="156"/>
      <c r="AF62" s="156"/>
      <c r="AG62" s="156"/>
      <c r="AH62" s="156"/>
    </row>
    <row r="63" spans="27:34" ht="13" hidden="1" x14ac:dyDescent="0.3">
      <c r="AA63" s="156"/>
      <c r="AB63" s="156"/>
      <c r="AC63" s="156"/>
      <c r="AD63" s="156"/>
      <c r="AE63" s="156"/>
      <c r="AF63" s="156"/>
      <c r="AG63" s="156"/>
      <c r="AH63" s="156"/>
    </row>
    <row r="64" spans="27:34" ht="13" hidden="1" x14ac:dyDescent="0.3">
      <c r="AA64" s="156"/>
      <c r="AB64" s="156"/>
      <c r="AC64" s="156"/>
      <c r="AD64" s="156"/>
      <c r="AE64" s="156"/>
      <c r="AF64" s="156"/>
      <c r="AG64" s="156"/>
      <c r="AH64" s="156"/>
    </row>
    <row r="65" spans="27:34" ht="13" hidden="1" x14ac:dyDescent="0.3">
      <c r="AA65" s="156"/>
      <c r="AB65" s="156"/>
      <c r="AC65" s="156"/>
      <c r="AD65" s="156"/>
      <c r="AE65" s="156"/>
      <c r="AF65" s="156"/>
      <c r="AG65" s="156"/>
      <c r="AH65" s="156"/>
    </row>
    <row r="66" spans="27:34" ht="13" hidden="1" x14ac:dyDescent="0.3">
      <c r="AA66" s="156"/>
      <c r="AB66" s="156"/>
      <c r="AC66" s="156"/>
      <c r="AD66" s="156"/>
      <c r="AE66" s="156"/>
      <c r="AF66" s="156"/>
      <c r="AG66" s="156"/>
      <c r="AH66" s="156"/>
    </row>
    <row r="67" spans="27:34" ht="13" hidden="1" x14ac:dyDescent="0.3">
      <c r="AA67" s="156"/>
      <c r="AB67" s="156"/>
      <c r="AC67" s="156"/>
      <c r="AD67" s="156"/>
      <c r="AE67" s="156"/>
      <c r="AF67" s="156"/>
      <c r="AG67" s="156"/>
      <c r="AH67" s="156"/>
    </row>
    <row r="68" spans="27:34" ht="13" hidden="1" x14ac:dyDescent="0.3">
      <c r="AA68" s="156"/>
      <c r="AB68" s="156"/>
      <c r="AC68" s="156"/>
      <c r="AD68" s="156"/>
      <c r="AE68" s="156"/>
      <c r="AF68" s="156"/>
      <c r="AG68" s="156"/>
      <c r="AH68" s="156"/>
    </row>
    <row r="69" spans="27:34" ht="13" hidden="1" x14ac:dyDescent="0.3">
      <c r="AA69" s="156"/>
      <c r="AB69" s="156"/>
      <c r="AC69" s="156"/>
      <c r="AD69" s="156"/>
      <c r="AE69" s="156"/>
      <c r="AF69" s="156"/>
      <c r="AG69" s="156"/>
      <c r="AH69" s="156"/>
    </row>
    <row r="70" spans="27:34" ht="13" hidden="1" x14ac:dyDescent="0.3">
      <c r="AA70" s="156"/>
      <c r="AB70" s="156"/>
      <c r="AC70" s="156"/>
      <c r="AD70" s="156"/>
      <c r="AE70" s="156"/>
      <c r="AF70" s="156"/>
      <c r="AG70" s="156"/>
      <c r="AH70" s="156"/>
    </row>
    <row r="71" spans="27:34" ht="13" hidden="1" x14ac:dyDescent="0.3">
      <c r="AA71" s="156"/>
      <c r="AB71" s="156"/>
      <c r="AC71" s="156"/>
      <c r="AD71" s="156"/>
      <c r="AE71" s="156"/>
      <c r="AF71" s="156"/>
      <c r="AG71" s="156"/>
      <c r="AH71" s="156"/>
    </row>
    <row r="72" spans="27:34" ht="13" hidden="1" x14ac:dyDescent="0.3">
      <c r="AA72" s="156"/>
      <c r="AB72" s="156"/>
      <c r="AC72" s="156"/>
      <c r="AD72" s="156"/>
      <c r="AE72" s="156"/>
      <c r="AF72" s="156"/>
      <c r="AG72" s="156"/>
      <c r="AH72" s="156"/>
    </row>
    <row r="73" spans="27:34" ht="13" hidden="1" x14ac:dyDescent="0.3">
      <c r="AA73" s="156"/>
      <c r="AB73" s="156"/>
      <c r="AC73" s="156"/>
      <c r="AD73" s="156"/>
      <c r="AE73" s="156"/>
      <c r="AF73" s="156"/>
      <c r="AG73" s="156"/>
      <c r="AH73" s="156"/>
    </row>
    <row r="74" spans="27:34" ht="13" hidden="1" x14ac:dyDescent="0.3">
      <c r="AA74" s="156"/>
      <c r="AB74" s="156"/>
      <c r="AC74" s="156"/>
      <c r="AD74" s="156"/>
      <c r="AE74" s="156"/>
      <c r="AF74" s="156"/>
      <c r="AG74" s="156"/>
      <c r="AH74" s="156"/>
    </row>
    <row r="75" spans="27:34" ht="13" hidden="1" x14ac:dyDescent="0.3">
      <c r="AA75" s="156"/>
      <c r="AB75" s="156"/>
      <c r="AC75" s="156"/>
      <c r="AD75" s="156"/>
      <c r="AE75" s="156"/>
      <c r="AF75" s="156"/>
      <c r="AG75" s="156"/>
      <c r="AH75" s="156"/>
    </row>
    <row r="76" spans="27:34" ht="13" hidden="1" x14ac:dyDescent="0.3">
      <c r="AA76" s="156"/>
      <c r="AB76" s="156"/>
      <c r="AC76" s="156"/>
      <c r="AD76" s="156"/>
      <c r="AE76" s="156"/>
      <c r="AF76" s="156"/>
      <c r="AG76" s="156"/>
      <c r="AH76" s="156"/>
    </row>
    <row r="77" spans="27:34" ht="13" hidden="1" x14ac:dyDescent="0.3">
      <c r="AA77" s="156"/>
      <c r="AB77" s="156"/>
      <c r="AC77" s="156"/>
      <c r="AD77" s="156"/>
      <c r="AE77" s="156"/>
      <c r="AF77" s="156"/>
      <c r="AG77" s="156"/>
      <c r="AH77" s="156"/>
    </row>
    <row r="78" spans="27:34" ht="13" hidden="1" x14ac:dyDescent="0.3">
      <c r="AA78" s="156"/>
      <c r="AB78" s="156"/>
      <c r="AC78" s="156"/>
      <c r="AD78" s="156"/>
      <c r="AE78" s="156"/>
      <c r="AF78" s="156"/>
      <c r="AG78" s="156"/>
      <c r="AH78" s="156"/>
    </row>
    <row r="79" spans="27:34" ht="13" hidden="1" x14ac:dyDescent="0.3">
      <c r="AA79" s="156"/>
      <c r="AB79" s="156"/>
      <c r="AC79" s="156"/>
      <c r="AD79" s="156"/>
      <c r="AE79" s="156"/>
      <c r="AF79" s="156"/>
      <c r="AG79" s="156"/>
      <c r="AH79" s="156"/>
    </row>
    <row r="80" spans="27:34" ht="13" hidden="1" x14ac:dyDescent="0.3">
      <c r="AA80" s="156"/>
      <c r="AB80" s="156"/>
      <c r="AC80" s="156"/>
      <c r="AD80" s="156"/>
      <c r="AE80" s="156"/>
      <c r="AF80" s="156"/>
      <c r="AG80" s="156"/>
      <c r="AH80" s="156"/>
    </row>
    <row r="81" spans="27:34" ht="13" hidden="1" x14ac:dyDescent="0.3">
      <c r="AA81" s="156"/>
      <c r="AB81" s="156"/>
      <c r="AC81" s="156"/>
      <c r="AD81" s="156"/>
      <c r="AE81" s="156"/>
      <c r="AF81" s="156"/>
      <c r="AG81" s="156"/>
      <c r="AH81" s="156"/>
    </row>
    <row r="82" spans="27:34" ht="13" hidden="1" x14ac:dyDescent="0.3">
      <c r="AA82" s="156"/>
      <c r="AB82" s="156"/>
      <c r="AC82" s="156"/>
      <c r="AD82" s="156"/>
      <c r="AE82" s="156"/>
      <c r="AF82" s="156"/>
      <c r="AG82" s="156"/>
      <c r="AH82" s="156"/>
    </row>
    <row r="83" spans="27:34" ht="13" hidden="1" x14ac:dyDescent="0.3">
      <c r="AA83" s="156"/>
      <c r="AB83" s="156"/>
      <c r="AC83" s="156"/>
      <c r="AD83" s="156"/>
      <c r="AE83" s="156"/>
      <c r="AF83" s="156"/>
      <c r="AG83" s="156"/>
      <c r="AH83" s="156"/>
    </row>
    <row r="84" spans="27:34" ht="13" hidden="1" x14ac:dyDescent="0.3">
      <c r="AA84" s="156"/>
      <c r="AB84" s="156"/>
      <c r="AC84" s="156"/>
      <c r="AD84" s="156"/>
      <c r="AE84" s="156"/>
      <c r="AF84" s="156"/>
      <c r="AG84" s="156"/>
      <c r="AH84" s="156"/>
    </row>
    <row r="85" spans="27:34" ht="13" hidden="1" x14ac:dyDescent="0.3">
      <c r="AA85" s="156"/>
      <c r="AB85" s="156"/>
      <c r="AC85" s="156"/>
      <c r="AD85" s="156"/>
      <c r="AE85" s="156"/>
      <c r="AF85" s="156"/>
      <c r="AG85" s="156"/>
      <c r="AH85" s="156"/>
    </row>
    <row r="86" spans="27:34" ht="13" hidden="1" x14ac:dyDescent="0.3">
      <c r="AA86" s="156"/>
      <c r="AB86" s="156"/>
      <c r="AC86" s="156"/>
      <c r="AD86" s="156"/>
      <c r="AE86" s="156"/>
      <c r="AF86" s="156"/>
      <c r="AG86" s="156"/>
      <c r="AH86" s="156"/>
    </row>
    <row r="87" spans="27:34" ht="13" hidden="1" x14ac:dyDescent="0.3">
      <c r="AA87" s="156"/>
      <c r="AB87" s="156"/>
      <c r="AC87" s="156"/>
      <c r="AD87" s="156"/>
      <c r="AE87" s="156"/>
      <c r="AF87" s="156"/>
      <c r="AG87" s="156"/>
      <c r="AH87" s="156"/>
    </row>
    <row r="88" spans="27:34" ht="13" hidden="1" x14ac:dyDescent="0.3">
      <c r="AA88" s="156"/>
      <c r="AB88" s="156"/>
      <c r="AC88" s="156"/>
      <c r="AD88" s="156"/>
      <c r="AE88" s="156"/>
      <c r="AF88" s="156"/>
      <c r="AG88" s="156"/>
      <c r="AH88" s="156"/>
    </row>
    <row r="89" spans="27:34" ht="13" hidden="1" x14ac:dyDescent="0.3">
      <c r="AA89" s="156"/>
      <c r="AB89" s="156"/>
      <c r="AC89" s="156"/>
      <c r="AD89" s="156"/>
      <c r="AE89" s="156"/>
      <c r="AF89" s="156"/>
      <c r="AG89" s="156"/>
      <c r="AH89" s="156"/>
    </row>
    <row r="90" spans="27:34" ht="13" hidden="1" x14ac:dyDescent="0.3">
      <c r="AA90" s="156"/>
      <c r="AB90" s="156"/>
      <c r="AC90" s="156"/>
      <c r="AD90" s="156"/>
      <c r="AE90" s="156"/>
      <c r="AF90" s="156"/>
      <c r="AG90" s="156"/>
      <c r="AH90" s="156"/>
    </row>
    <row r="91" spans="27:34" ht="13" hidden="1" x14ac:dyDescent="0.3">
      <c r="AA91" s="156"/>
      <c r="AB91" s="156"/>
      <c r="AC91" s="156"/>
      <c r="AD91" s="156"/>
      <c r="AE91" s="156"/>
      <c r="AF91" s="156"/>
      <c r="AG91" s="156"/>
      <c r="AH91" s="156"/>
    </row>
    <row r="92" spans="27:34" ht="13" hidden="1" x14ac:dyDescent="0.3">
      <c r="AA92" s="156"/>
      <c r="AB92" s="156"/>
      <c r="AC92" s="156"/>
      <c r="AD92" s="156"/>
      <c r="AE92" s="156"/>
      <c r="AF92" s="156"/>
      <c r="AG92" s="156"/>
      <c r="AH92" s="156"/>
    </row>
    <row r="93" spans="27:34" ht="13" hidden="1" x14ac:dyDescent="0.3">
      <c r="AA93" s="156"/>
      <c r="AB93" s="156"/>
      <c r="AC93" s="156"/>
      <c r="AD93" s="156"/>
      <c r="AE93" s="156"/>
      <c r="AF93" s="156"/>
      <c r="AG93" s="156"/>
      <c r="AH93" s="156"/>
    </row>
    <row r="94" spans="27:34" ht="13" hidden="1" x14ac:dyDescent="0.3">
      <c r="AA94" s="156"/>
      <c r="AB94" s="156"/>
      <c r="AC94" s="156"/>
      <c r="AD94" s="156"/>
      <c r="AE94" s="156"/>
      <c r="AF94" s="156"/>
      <c r="AG94" s="156"/>
      <c r="AH94" s="156"/>
    </row>
    <row r="95" spans="27:34" ht="13" hidden="1" x14ac:dyDescent="0.3">
      <c r="AA95" s="156"/>
      <c r="AB95" s="156"/>
      <c r="AC95" s="156"/>
      <c r="AD95" s="156"/>
      <c r="AE95" s="156"/>
      <c r="AF95" s="156"/>
      <c r="AG95" s="156"/>
      <c r="AH95" s="156"/>
    </row>
    <row r="96" spans="27:34" ht="13" hidden="1" x14ac:dyDescent="0.3">
      <c r="AA96" s="156"/>
      <c r="AB96" s="156"/>
      <c r="AC96" s="156"/>
      <c r="AD96" s="156"/>
      <c r="AE96" s="156"/>
      <c r="AF96" s="156"/>
      <c r="AG96" s="156"/>
      <c r="AH96" s="156"/>
    </row>
    <row r="97" spans="27:34" ht="13" hidden="1" x14ac:dyDescent="0.3">
      <c r="AA97" s="156"/>
      <c r="AB97" s="156"/>
      <c r="AC97" s="156"/>
      <c r="AD97" s="156"/>
      <c r="AE97" s="156"/>
      <c r="AF97" s="156"/>
      <c r="AG97" s="156"/>
      <c r="AH97" s="156"/>
    </row>
    <row r="98" spans="27:34" ht="13" hidden="1" x14ac:dyDescent="0.3">
      <c r="AA98" s="156"/>
      <c r="AB98" s="156"/>
      <c r="AC98" s="156"/>
      <c r="AD98" s="156"/>
      <c r="AE98" s="156"/>
      <c r="AF98" s="156"/>
      <c r="AG98" s="156"/>
      <c r="AH98" s="156"/>
    </row>
    <row r="99" spans="27:34" ht="13" hidden="1" x14ac:dyDescent="0.3"/>
    <row r="100" spans="27:34" ht="13" hidden="1" x14ac:dyDescent="0.3"/>
    <row r="101" spans="27:34" ht="13" hidden="1" x14ac:dyDescent="0.3"/>
    <row r="102" spans="27:34" ht="13" hidden="1" x14ac:dyDescent="0.3"/>
    <row r="103" spans="27:34" ht="13" hidden="1" x14ac:dyDescent="0.3"/>
    <row r="104" spans="27:34" ht="13" hidden="1" x14ac:dyDescent="0.3"/>
    <row r="105" spans="27:34" ht="13" hidden="1" x14ac:dyDescent="0.3"/>
    <row r="106" spans="27:34" ht="13" hidden="1" x14ac:dyDescent="0.3"/>
    <row r="107" spans="27:34" ht="13" hidden="1" x14ac:dyDescent="0.3"/>
    <row r="108" spans="27:34" ht="13" hidden="1" x14ac:dyDescent="0.3"/>
    <row r="109" spans="27:34" ht="13" hidden="1" x14ac:dyDescent="0.3"/>
    <row r="110" spans="27:34" ht="13" hidden="1" x14ac:dyDescent="0.3"/>
    <row r="111" spans="27:34" ht="13" hidden="1" x14ac:dyDescent="0.3"/>
    <row r="112" spans="27:34" ht="13" hidden="1" x14ac:dyDescent="0.3"/>
    <row r="113" ht="13" hidden="1" x14ac:dyDescent="0.3"/>
    <row r="114" ht="13" hidden="1" x14ac:dyDescent="0.3"/>
    <row r="115" ht="13" hidden="1" x14ac:dyDescent="0.3"/>
    <row r="116" ht="13" hidden="1" x14ac:dyDescent="0.3"/>
    <row r="117" ht="13" hidden="1" x14ac:dyDescent="0.3"/>
    <row r="118" ht="13" hidden="1" x14ac:dyDescent="0.3"/>
    <row r="119" ht="13" hidden="1" x14ac:dyDescent="0.3"/>
    <row r="120" ht="13" hidden="1" x14ac:dyDescent="0.3"/>
    <row r="121" ht="13" hidden="1" x14ac:dyDescent="0.3"/>
    <row r="122" ht="13" hidden="1" x14ac:dyDescent="0.3"/>
    <row r="123" ht="13" hidden="1" x14ac:dyDescent="0.3"/>
    <row r="124" ht="13" hidden="1" x14ac:dyDescent="0.3"/>
    <row r="125" ht="13" hidden="1" x14ac:dyDescent="0.3"/>
    <row r="126" ht="12.75" hidden="1" customHeight="1" x14ac:dyDescent="0.3"/>
    <row r="127" ht="12.75" hidden="1" customHeight="1" x14ac:dyDescent="0.3"/>
    <row r="128" ht="12.75" hidden="1" customHeight="1" x14ac:dyDescent="0.3"/>
    <row r="129" ht="12.75" hidden="1" customHeight="1" x14ac:dyDescent="0.3"/>
  </sheetData>
  <sheetProtection algorithmName="SHA-512" hashValue="8jXDDgAOJ0J8fRUmt4Rg6JD3wf26fJ10Y+BDB/w8EM6qrHq3o5KJVXi0paa7ph9lWJTsJgltns6VQKc8V9eWpA==" saltValue="LBatP5x2ZJpiVTIV2qwWKg==" spinCount="100000" sheet="1" objects="1" scenarios="1"/>
  <mergeCells count="1">
    <mergeCell ref="F6:I6"/>
  </mergeCells>
  <pageMargins left="0.75" right="0.75" top="1" bottom="1" header="0.5" footer="0.5"/>
  <pageSetup paperSize="9" scale="77" orientation="portrait" r:id="rId1"/>
  <headerFooter alignWithMargins="0">
    <oddFooter>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P48"/>
  <sheetViews>
    <sheetView showGridLines="0" workbookViewId="0">
      <selection activeCell="D41" sqref="D41"/>
    </sheetView>
  </sheetViews>
  <sheetFormatPr defaultColWidth="0" defaultRowHeight="0" customHeight="1" zeroHeight="1" x14ac:dyDescent="0.3"/>
  <cols>
    <col min="1" max="1" width="3.6328125" style="6" customWidth="1"/>
    <col min="2" max="2" width="15.6328125" style="6" customWidth="1"/>
    <col min="3" max="3" width="15.6328125" style="7" customWidth="1"/>
    <col min="4" max="5" width="15.6328125" style="6" customWidth="1"/>
    <col min="6" max="6" width="3" style="6" customWidth="1"/>
    <col min="7" max="7" width="13.08984375" style="6" customWidth="1"/>
    <col min="8" max="15" width="9.08984375" style="6" customWidth="1"/>
    <col min="16" max="16" width="3.6328125" style="6" customWidth="1"/>
    <col min="17" max="16384" width="9.08984375" style="6" hidden="1"/>
  </cols>
  <sheetData>
    <row r="1" spans="2:16" ht="13" x14ac:dyDescent="0.3">
      <c r="D1" s="8"/>
    </row>
    <row r="2" spans="2:16" ht="13.5" x14ac:dyDescent="0.35">
      <c r="B2" s="9"/>
      <c r="C2" s="9"/>
      <c r="D2" s="10"/>
      <c r="E2" s="11"/>
      <c r="F2" s="11"/>
      <c r="G2" s="11"/>
      <c r="H2" s="9"/>
      <c r="I2" s="9"/>
      <c r="J2" s="9"/>
      <c r="K2" s="9"/>
      <c r="L2" s="9"/>
      <c r="M2" s="9"/>
      <c r="N2" s="9"/>
      <c r="O2" s="9"/>
    </row>
    <row r="3" spans="2:16" ht="23.5" x14ac:dyDescent="0.55000000000000004">
      <c r="B3" s="12" t="s">
        <v>33</v>
      </c>
      <c r="C3" s="9"/>
      <c r="D3" s="10"/>
      <c r="E3" s="11"/>
      <c r="F3" s="11"/>
      <c r="G3" s="11"/>
      <c r="H3" s="9"/>
      <c r="I3" s="9"/>
      <c r="J3" s="9"/>
      <c r="K3" s="9"/>
      <c r="L3" s="9"/>
      <c r="M3" s="9"/>
      <c r="N3" s="9"/>
      <c r="O3" s="9"/>
    </row>
    <row r="4" spans="2:16" ht="18.5" x14ac:dyDescent="0.45">
      <c r="B4" s="5" t="s">
        <v>27</v>
      </c>
      <c r="C4" s="10"/>
      <c r="D4" s="10"/>
      <c r="E4" s="11"/>
      <c r="F4" s="11"/>
      <c r="G4" s="11"/>
      <c r="H4" s="10"/>
      <c r="I4" s="10"/>
      <c r="J4" s="10"/>
      <c r="K4" s="10"/>
      <c r="L4" s="10"/>
      <c r="M4" s="10"/>
      <c r="N4" s="10"/>
      <c r="O4" s="10"/>
    </row>
    <row r="5" spans="2:16" ht="18.5" x14ac:dyDescent="0.45">
      <c r="B5" s="13" t="s">
        <v>12</v>
      </c>
      <c r="C5" s="10"/>
      <c r="D5" s="10"/>
      <c r="E5" s="11"/>
      <c r="F5" s="11"/>
      <c r="G5" s="11"/>
      <c r="H5" s="10"/>
      <c r="I5" s="10"/>
      <c r="J5" s="10"/>
      <c r="K5" s="10"/>
      <c r="L5" s="10"/>
      <c r="M5" s="10"/>
      <c r="N5" s="10"/>
      <c r="O5" s="10"/>
    </row>
    <row r="6" spans="2:16" ht="14.5" x14ac:dyDescent="0.35">
      <c r="B6" s="19" t="s">
        <v>31</v>
      </c>
      <c r="C6" s="10"/>
      <c r="D6" s="10"/>
      <c r="E6" s="11"/>
      <c r="F6" s="11"/>
      <c r="G6" s="11"/>
      <c r="H6" s="10"/>
      <c r="I6" s="10"/>
      <c r="J6" s="10"/>
      <c r="K6" s="10"/>
      <c r="L6" s="10"/>
      <c r="M6" s="10"/>
      <c r="N6" s="10"/>
      <c r="O6" s="10"/>
    </row>
    <row r="7" spans="2:16" ht="13.5" x14ac:dyDescent="0.35">
      <c r="B7" s="74" t="s">
        <v>55</v>
      </c>
      <c r="C7" s="10"/>
      <c r="D7" s="10"/>
      <c r="E7" s="11"/>
      <c r="F7" s="11"/>
      <c r="G7" s="11"/>
      <c r="H7" s="10"/>
      <c r="I7" s="10"/>
      <c r="J7" s="10"/>
      <c r="K7" s="10"/>
      <c r="L7" s="10"/>
      <c r="M7" s="10"/>
      <c r="N7" s="10"/>
      <c r="O7" s="10"/>
    </row>
    <row r="8" spans="2:16" ht="13.5" x14ac:dyDescent="0.35">
      <c r="B8" s="9"/>
      <c r="C8" s="10"/>
      <c r="D8" s="10"/>
      <c r="E8" s="11"/>
      <c r="F8" s="11"/>
      <c r="G8" s="11"/>
      <c r="H8" s="10"/>
      <c r="I8" s="10"/>
      <c r="J8" s="10"/>
      <c r="K8" s="10"/>
      <c r="L8" s="10"/>
      <c r="M8" s="10"/>
      <c r="N8" s="10"/>
      <c r="O8" s="10"/>
    </row>
    <row r="9" spans="2:16" ht="13" x14ac:dyDescent="0.3">
      <c r="B9" s="14"/>
      <c r="C9" s="14"/>
      <c r="D9" s="14"/>
    </row>
    <row r="10" spans="2:16" ht="18.5" x14ac:dyDescent="0.45">
      <c r="B10" s="193" t="s">
        <v>29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</row>
    <row r="11" spans="2:16" ht="13" x14ac:dyDescent="0.3">
      <c r="B11" s="14"/>
      <c r="C11" s="14"/>
      <c r="D11" s="14"/>
      <c r="I11" s="1"/>
    </row>
    <row r="12" spans="2:16" s="20" customFormat="1" ht="29" x14ac:dyDescent="0.35">
      <c r="B12" s="21" t="s">
        <v>13</v>
      </c>
      <c r="C12" s="21" t="s">
        <v>14</v>
      </c>
      <c r="D12" s="22" t="s">
        <v>9</v>
      </c>
      <c r="E12" s="22" t="s">
        <v>15</v>
      </c>
      <c r="G12" s="15"/>
      <c r="H12" s="23"/>
      <c r="I12" s="23"/>
      <c r="J12" s="23"/>
      <c r="K12" s="23"/>
      <c r="L12" s="16"/>
      <c r="M12" s="23"/>
      <c r="N12" s="23"/>
      <c r="O12" s="24"/>
    </row>
    <row r="13" spans="2:16" s="20" customFormat="1" ht="16.5" x14ac:dyDescent="0.45">
      <c r="B13" s="22" t="s">
        <v>35</v>
      </c>
      <c r="C13" s="22" t="s">
        <v>36</v>
      </c>
      <c r="D13" s="22" t="s">
        <v>5</v>
      </c>
      <c r="E13" s="22" t="s">
        <v>16</v>
      </c>
      <c r="G13" s="25"/>
      <c r="H13" s="26"/>
      <c r="I13" s="26"/>
      <c r="J13" s="26"/>
      <c r="K13" s="26"/>
      <c r="L13" s="26"/>
      <c r="M13" s="26"/>
      <c r="N13" s="26"/>
      <c r="O13" s="27"/>
    </row>
    <row r="14" spans="2:16" s="20" customFormat="1" ht="12.75" customHeight="1" x14ac:dyDescent="0.3">
      <c r="B14" s="28">
        <v>110</v>
      </c>
      <c r="C14" s="29">
        <f>+Tarieven!E12</f>
        <v>0</v>
      </c>
      <c r="D14" s="30" t="str">
        <f>IF(C14&lt;C25,"Restrictie",IF(C14&gt;C45,"Restrictie ",1+TAN((C14-$C$35)/$B$17)*$B$16))</f>
        <v>Restrictie</v>
      </c>
      <c r="E14" s="31">
        <f>IF(OR(C14&gt;C45,C14&lt;C25),IF(C14&lt;C25,E24,IF(C14&gt;C45,E46)),ROUND((D14-1),3))</f>
        <v>-0.1</v>
      </c>
      <c r="F14" s="32"/>
      <c r="G14" s="25"/>
      <c r="H14" s="26"/>
      <c r="I14" s="26"/>
      <c r="J14" s="26"/>
      <c r="K14" s="26"/>
      <c r="L14" s="26"/>
      <c r="M14" s="26"/>
      <c r="N14" s="26"/>
      <c r="O14" s="27"/>
      <c r="P14" s="33" t="s">
        <v>9</v>
      </c>
    </row>
    <row r="15" spans="2:16" s="20" customFormat="1" ht="14" x14ac:dyDescent="0.3">
      <c r="B15" s="34"/>
      <c r="C15" s="34"/>
      <c r="D15" s="34"/>
      <c r="F15" s="32" t="s">
        <v>9</v>
      </c>
      <c r="G15" s="17"/>
      <c r="H15" s="26"/>
      <c r="I15" s="3"/>
      <c r="J15" s="26"/>
      <c r="K15" s="26"/>
      <c r="L15" s="18"/>
      <c r="M15" s="26"/>
      <c r="N15" s="26"/>
      <c r="O15" s="27"/>
    </row>
    <row r="16" spans="2:16" s="20" customFormat="1" ht="17" x14ac:dyDescent="0.3">
      <c r="B16" s="35">
        <v>3.9E-2</v>
      </c>
      <c r="C16" s="71" t="s">
        <v>17</v>
      </c>
      <c r="D16" s="72"/>
      <c r="E16" s="73"/>
      <c r="F16" s="32"/>
      <c r="G16" s="37" t="s">
        <v>37</v>
      </c>
      <c r="H16" s="38"/>
      <c r="I16" s="39"/>
      <c r="J16" s="38"/>
      <c r="K16" s="38"/>
      <c r="L16" s="38"/>
      <c r="M16" s="38"/>
      <c r="N16" s="26"/>
      <c r="O16" s="27"/>
    </row>
    <row r="17" spans="1:15" s="20" customFormat="1" ht="17" x14ac:dyDescent="0.3">
      <c r="B17" s="35">
        <v>25</v>
      </c>
      <c r="C17" s="71" t="s">
        <v>18</v>
      </c>
      <c r="D17" s="72"/>
      <c r="E17" s="73"/>
      <c r="F17" s="32"/>
      <c r="G17" s="40" t="s">
        <v>38</v>
      </c>
      <c r="H17" s="41"/>
      <c r="I17" s="42"/>
      <c r="J17" s="41"/>
      <c r="K17" s="41"/>
      <c r="L17" s="41"/>
      <c r="M17" s="41"/>
      <c r="N17" s="43"/>
      <c r="O17" s="44"/>
    </row>
    <row r="18" spans="1:15" s="20" customFormat="1" ht="14" x14ac:dyDescent="0.3">
      <c r="B18" s="45">
        <v>30</v>
      </c>
      <c r="C18" s="71" t="s">
        <v>19</v>
      </c>
      <c r="D18" s="72"/>
      <c r="E18" s="73"/>
      <c r="F18" s="32"/>
      <c r="G18" s="46"/>
      <c r="H18" s="38"/>
      <c r="I18" s="39"/>
      <c r="J18" s="38"/>
      <c r="K18" s="38"/>
      <c r="L18" s="38"/>
      <c r="M18" s="38"/>
      <c r="N18" s="26"/>
      <c r="O18" s="26"/>
    </row>
    <row r="19" spans="1:15" s="20" customFormat="1" ht="14" x14ac:dyDescent="0.3">
      <c r="B19" s="34"/>
      <c r="C19" s="34"/>
      <c r="D19" s="34"/>
      <c r="F19" s="32"/>
      <c r="G19" s="47"/>
      <c r="I19" s="2"/>
    </row>
    <row r="20" spans="1:15" s="20" customFormat="1" ht="14.5" x14ac:dyDescent="0.35">
      <c r="B20" s="48"/>
      <c r="C20" s="49"/>
      <c r="D20" s="50" t="s">
        <v>9</v>
      </c>
      <c r="E20" s="51" t="s">
        <v>15</v>
      </c>
      <c r="F20" s="32"/>
      <c r="G20" s="52" t="s">
        <v>30</v>
      </c>
      <c r="H20" s="53"/>
      <c r="I20" s="53"/>
      <c r="J20" s="53"/>
      <c r="K20" s="36"/>
      <c r="L20" s="36"/>
      <c r="M20" s="36"/>
      <c r="N20" s="36"/>
      <c r="O20" s="36"/>
    </row>
    <row r="21" spans="1:15" s="20" customFormat="1" ht="14.5" x14ac:dyDescent="0.35">
      <c r="B21" s="54"/>
      <c r="C21" s="55" t="s">
        <v>9</v>
      </c>
      <c r="D21" s="56" t="s">
        <v>9</v>
      </c>
      <c r="E21" s="57" t="s">
        <v>16</v>
      </c>
      <c r="G21" s="58" t="str">
        <f>"Bij een referentietarief van € "&amp;B14&amp;",00"</f>
        <v>Bij een referentietarief van € 110,00</v>
      </c>
      <c r="H21" s="36"/>
      <c r="I21" s="36"/>
      <c r="J21" s="36"/>
      <c r="K21" s="36"/>
      <c r="L21" s="36"/>
      <c r="M21" s="36"/>
      <c r="N21" s="36"/>
      <c r="O21" s="36"/>
    </row>
    <row r="22" spans="1:15" s="20" customFormat="1" ht="14.5" x14ac:dyDescent="0.35">
      <c r="B22" s="54"/>
      <c r="C22" s="55"/>
      <c r="D22" s="56"/>
      <c r="E22" s="59" t="s">
        <v>20</v>
      </c>
      <c r="G22" s="60" t="s">
        <v>9</v>
      </c>
      <c r="H22" s="36"/>
      <c r="I22" s="36"/>
      <c r="J22" s="36"/>
      <c r="K22" s="36"/>
      <c r="L22" s="36"/>
      <c r="M22" s="36"/>
      <c r="N22" s="36"/>
      <c r="O22" s="36"/>
    </row>
    <row r="23" spans="1:15" s="20" customFormat="1" ht="14.5" x14ac:dyDescent="0.35">
      <c r="B23" s="54"/>
      <c r="C23" s="55" t="s">
        <v>21</v>
      </c>
      <c r="D23" s="56" t="s">
        <v>5</v>
      </c>
      <c r="E23" s="59" t="s">
        <v>22</v>
      </c>
      <c r="G23" s="61" t="str">
        <f>IF(ABS(B14-C14)&gt;Spreiding,"Uw tarief wordt niet weergegeven in grafiek!","")</f>
        <v>Uw tarief wordt niet weergegeven in grafiek!</v>
      </c>
      <c r="H23" s="36"/>
      <c r="I23" s="36"/>
      <c r="J23" s="36"/>
      <c r="K23" s="36"/>
      <c r="L23" s="36"/>
      <c r="M23" s="36"/>
      <c r="N23" s="36"/>
      <c r="O23" s="36"/>
    </row>
    <row r="24" spans="1:15" s="20" customFormat="1" ht="14" x14ac:dyDescent="0.3">
      <c r="B24" s="54"/>
      <c r="C24" s="62" t="str">
        <f xml:space="preserve"> "&lt;  € "&amp;C25 &amp; ",00"</f>
        <v>&lt;  € 80,00</v>
      </c>
      <c r="D24" s="63" t="s">
        <v>26</v>
      </c>
      <c r="E24" s="31">
        <f>+E25</f>
        <v>-0.1</v>
      </c>
    </row>
    <row r="25" spans="1:15" s="20" customFormat="1" ht="14.5" x14ac:dyDescent="0.35">
      <c r="B25" s="64" t="s">
        <v>23</v>
      </c>
      <c r="C25" s="65">
        <f>+C35-B18</f>
        <v>80</v>
      </c>
      <c r="D25" s="66">
        <f>1+TAN((C25-C35)/B17)*B16</f>
        <v>0.89968608673707351</v>
      </c>
      <c r="E25" s="31">
        <f>ROUND((D25-1),3)</f>
        <v>-0.1</v>
      </c>
    </row>
    <row r="26" spans="1:15" s="20" customFormat="1" ht="14" x14ac:dyDescent="0.3">
      <c r="B26" s="54"/>
      <c r="C26" s="67">
        <f t="shared" ref="C26:C34" si="0">C25+($C$35-$C$25)/10</f>
        <v>83</v>
      </c>
      <c r="D26" s="66">
        <f>1+TAN((C26-C35)/B17)*B16</f>
        <v>0.92702252382198269</v>
      </c>
      <c r="E26" s="31">
        <f t="shared" ref="E26:E45" si="1">ROUND((D26-1),3)</f>
        <v>-7.2999999999999995E-2</v>
      </c>
    </row>
    <row r="27" spans="1:15" s="20" customFormat="1" ht="14" x14ac:dyDescent="0.3">
      <c r="B27" s="54"/>
      <c r="C27" s="67">
        <f t="shared" si="0"/>
        <v>86</v>
      </c>
      <c r="D27" s="66">
        <f>1+TAN((C27-C35)/B17)*B16</f>
        <v>0.94429405785397924</v>
      </c>
      <c r="E27" s="31">
        <f t="shared" si="1"/>
        <v>-5.6000000000000001E-2</v>
      </c>
    </row>
    <row r="28" spans="1:15" s="20" customFormat="1" ht="14" x14ac:dyDescent="0.3">
      <c r="A28" s="20" t="s">
        <v>9</v>
      </c>
      <c r="B28" s="54"/>
      <c r="C28" s="67">
        <f t="shared" si="0"/>
        <v>89</v>
      </c>
      <c r="D28" s="66">
        <f>1+TAN((C28-C35)/B17)*B16</f>
        <v>0.95649033840609998</v>
      </c>
      <c r="E28" s="31">
        <f t="shared" si="1"/>
        <v>-4.3999999999999997E-2</v>
      </c>
    </row>
    <row r="29" spans="1:15" s="20" customFormat="1" ht="14" x14ac:dyDescent="0.3">
      <c r="A29" s="20" t="s">
        <v>9</v>
      </c>
      <c r="B29" s="54"/>
      <c r="C29" s="67">
        <f t="shared" si="0"/>
        <v>92</v>
      </c>
      <c r="D29" s="66">
        <f>1+TAN((C29-C35)/B17)*B16</f>
        <v>0.9657943519048815</v>
      </c>
      <c r="E29" s="31">
        <f t="shared" si="1"/>
        <v>-3.4000000000000002E-2</v>
      </c>
    </row>
    <row r="30" spans="1:15" s="20" customFormat="1" ht="14" x14ac:dyDescent="0.3">
      <c r="A30" s="20" t="s">
        <v>9</v>
      </c>
      <c r="B30" s="54"/>
      <c r="C30" s="67">
        <f t="shared" si="0"/>
        <v>95</v>
      </c>
      <c r="D30" s="66">
        <f>1+TAN((C30-C35)/B17)*B16</f>
        <v>0.97331866447467397</v>
      </c>
      <c r="E30" s="31">
        <f t="shared" si="1"/>
        <v>-2.7E-2</v>
      </c>
    </row>
    <row r="31" spans="1:15" s="20" customFormat="1" ht="14" x14ac:dyDescent="0.3">
      <c r="A31" s="20" t="s">
        <v>9</v>
      </c>
      <c r="B31" s="54"/>
      <c r="C31" s="67">
        <f t="shared" si="0"/>
        <v>98</v>
      </c>
      <c r="D31" s="66">
        <f>1+TAN((C31-C35)/B17)*B16</f>
        <v>0.97969617707654089</v>
      </c>
      <c r="E31" s="31">
        <f t="shared" si="1"/>
        <v>-0.02</v>
      </c>
    </row>
    <row r="32" spans="1:15" s="20" customFormat="1" ht="14" x14ac:dyDescent="0.3">
      <c r="A32" s="20" t="s">
        <v>9</v>
      </c>
      <c r="B32" s="54"/>
      <c r="C32" s="67">
        <f t="shared" si="0"/>
        <v>101</v>
      </c>
      <c r="D32" s="66">
        <f>1+TAN((C32-C35)/B17)*B16</f>
        <v>0.9853202887859609</v>
      </c>
      <c r="E32" s="31">
        <f t="shared" si="1"/>
        <v>-1.4999999999999999E-2</v>
      </c>
    </row>
    <row r="33" spans="1:5" s="20" customFormat="1" ht="14" x14ac:dyDescent="0.3">
      <c r="A33" s="20" t="s">
        <v>9</v>
      </c>
      <c r="B33" s="54"/>
      <c r="C33" s="67">
        <f t="shared" si="0"/>
        <v>104</v>
      </c>
      <c r="D33" s="66">
        <f>1+TAN((C33-C35)/B17)*B16</f>
        <v>0.99045604859413583</v>
      </c>
      <c r="E33" s="31">
        <f t="shared" si="1"/>
        <v>-0.01</v>
      </c>
    </row>
    <row r="34" spans="1:5" s="20" customFormat="1" ht="14" x14ac:dyDescent="0.3">
      <c r="A34" s="20" t="s">
        <v>9</v>
      </c>
      <c r="B34" s="54"/>
      <c r="C34" s="67">
        <f t="shared" si="0"/>
        <v>107</v>
      </c>
      <c r="D34" s="66">
        <f>1+TAN((C34-C35)/B17)*B16</f>
        <v>0.99529740584875914</v>
      </c>
      <c r="E34" s="31">
        <f t="shared" si="1"/>
        <v>-5.0000000000000001E-3</v>
      </c>
    </row>
    <row r="35" spans="1:5" s="20" customFormat="1" ht="14.5" x14ac:dyDescent="0.35">
      <c r="A35" s="20" t="s">
        <v>9</v>
      </c>
      <c r="B35" s="64" t="s">
        <v>24</v>
      </c>
      <c r="C35" s="68">
        <f>+B14</f>
        <v>110</v>
      </c>
      <c r="D35" s="66">
        <f>1+TAN((C35-C35)/B17)*B16</f>
        <v>1</v>
      </c>
      <c r="E35" s="31">
        <f t="shared" si="1"/>
        <v>0</v>
      </c>
    </row>
    <row r="36" spans="1:5" s="20" customFormat="1" ht="14" x14ac:dyDescent="0.3">
      <c r="A36" s="20" t="s">
        <v>9</v>
      </c>
      <c r="B36" s="54"/>
      <c r="C36" s="67">
        <f t="shared" ref="C36:C44" si="2">C35+($C$45-$C$35)/10</f>
        <v>113</v>
      </c>
      <c r="D36" s="66">
        <f>1+TAN((C36-C35)/B17)*B16</f>
        <v>1.0047025941512409</v>
      </c>
      <c r="E36" s="31">
        <f t="shared" si="1"/>
        <v>5.0000000000000001E-3</v>
      </c>
    </row>
    <row r="37" spans="1:5" s="20" customFormat="1" ht="14" x14ac:dyDescent="0.3">
      <c r="A37" s="20" t="s">
        <v>9</v>
      </c>
      <c r="B37" s="54"/>
      <c r="C37" s="67">
        <f t="shared" si="2"/>
        <v>116</v>
      </c>
      <c r="D37" s="66">
        <f>1+TAN((C37-C35)/B17)*B16</f>
        <v>1.0095439514058642</v>
      </c>
      <c r="E37" s="31">
        <f t="shared" si="1"/>
        <v>0.01</v>
      </c>
    </row>
    <row r="38" spans="1:5" s="20" customFormat="1" ht="14" x14ac:dyDescent="0.3">
      <c r="A38" s="20" t="s">
        <v>9</v>
      </c>
      <c r="B38" s="54"/>
      <c r="C38" s="67">
        <f t="shared" si="2"/>
        <v>119</v>
      </c>
      <c r="D38" s="66">
        <f>1+TAN((C38-C35)/B17)*B16</f>
        <v>1.0146797112140391</v>
      </c>
      <c r="E38" s="31">
        <f t="shared" si="1"/>
        <v>1.4999999999999999E-2</v>
      </c>
    </row>
    <row r="39" spans="1:5" s="20" customFormat="1" ht="14" x14ac:dyDescent="0.3">
      <c r="B39" s="54"/>
      <c r="C39" s="67">
        <f t="shared" si="2"/>
        <v>122</v>
      </c>
      <c r="D39" s="66">
        <f>1+TAN((C39-C35)/B17)*B16</f>
        <v>1.0203038229234591</v>
      </c>
      <c r="E39" s="31">
        <f t="shared" si="1"/>
        <v>0.02</v>
      </c>
    </row>
    <row r="40" spans="1:5" s="20" customFormat="1" ht="14" x14ac:dyDescent="0.3">
      <c r="B40" s="54"/>
      <c r="C40" s="67">
        <f t="shared" si="2"/>
        <v>125</v>
      </c>
      <c r="D40" s="66">
        <f>1+TAN((C40-C35)/B17)*B16</f>
        <v>1.0266813355253259</v>
      </c>
      <c r="E40" s="31">
        <f t="shared" si="1"/>
        <v>2.7E-2</v>
      </c>
    </row>
    <row r="41" spans="1:5" s="20" customFormat="1" ht="14" x14ac:dyDescent="0.3">
      <c r="B41" s="54"/>
      <c r="C41" s="67">
        <f t="shared" si="2"/>
        <v>128</v>
      </c>
      <c r="D41" s="66">
        <f>1+TAN((C41-C35)/B17)*B16</f>
        <v>1.0342056480951185</v>
      </c>
      <c r="E41" s="31">
        <f t="shared" si="1"/>
        <v>3.4000000000000002E-2</v>
      </c>
    </row>
    <row r="42" spans="1:5" s="20" customFormat="1" ht="14" x14ac:dyDescent="0.3">
      <c r="B42" s="54"/>
      <c r="C42" s="67">
        <f t="shared" si="2"/>
        <v>131</v>
      </c>
      <c r="D42" s="66">
        <f>1+TAN((C42-C35)/B17)*B16</f>
        <v>1.0435096615938999</v>
      </c>
      <c r="E42" s="31">
        <f t="shared" si="1"/>
        <v>4.3999999999999997E-2</v>
      </c>
    </row>
    <row r="43" spans="1:5" s="20" customFormat="1" ht="14" x14ac:dyDescent="0.3">
      <c r="B43" s="54"/>
      <c r="C43" s="67">
        <f t="shared" si="2"/>
        <v>134</v>
      </c>
      <c r="D43" s="66">
        <f>1+TAN((C43-C35)/B17)*B16</f>
        <v>1.0557059421460209</v>
      </c>
      <c r="E43" s="31">
        <f t="shared" si="1"/>
        <v>5.6000000000000001E-2</v>
      </c>
    </row>
    <row r="44" spans="1:5" s="20" customFormat="1" ht="14" x14ac:dyDescent="0.3">
      <c r="B44" s="54"/>
      <c r="C44" s="67">
        <f t="shared" si="2"/>
        <v>137</v>
      </c>
      <c r="D44" s="66">
        <f>1+TAN((C44-C35)/B17)*B16</f>
        <v>1.0729774761780173</v>
      </c>
      <c r="E44" s="31">
        <f t="shared" si="1"/>
        <v>7.2999999999999995E-2</v>
      </c>
    </row>
    <row r="45" spans="1:5" s="20" customFormat="1" ht="14.5" x14ac:dyDescent="0.35">
      <c r="B45" s="64" t="s">
        <v>25</v>
      </c>
      <c r="C45" s="65">
        <f>+C35+B18</f>
        <v>140</v>
      </c>
      <c r="D45" s="66">
        <f>1+TAN((C45-C35)/B17)*B16</f>
        <v>1.1003139132629265</v>
      </c>
      <c r="E45" s="31">
        <f t="shared" si="1"/>
        <v>0.1</v>
      </c>
    </row>
    <row r="46" spans="1:5" s="20" customFormat="1" ht="14" x14ac:dyDescent="0.3">
      <c r="B46" s="69"/>
      <c r="C46" s="62" t="str">
        <f xml:space="preserve"> "&gt;  € "&amp;C45 &amp; ",00"</f>
        <v>&gt;  € 140,00</v>
      </c>
      <c r="D46" s="63" t="s">
        <v>26</v>
      </c>
      <c r="E46" s="70">
        <f>+E45</f>
        <v>0.1</v>
      </c>
    </row>
    <row r="47" spans="1:5" ht="13" x14ac:dyDescent="0.3">
      <c r="C47" s="6"/>
    </row>
    <row r="48" spans="1:5" ht="13" hidden="1" x14ac:dyDescent="0.3">
      <c r="B48" s="14"/>
      <c r="C48" s="14"/>
      <c r="D48" s="14"/>
    </row>
  </sheetData>
  <sheetProtection algorithmName="SHA-512" hashValue="a0D3crzp6Oly9nYc9ORiEfk2v7O58ARnw3clfhhfxfwLkR/nQkzS1bPZVbTgc387EYvqUFDgEGBiK2cClM4SuA==" saltValue="kg5b0medNeZbm5WzC5xYKQ==" spinCount="100000" sheet="1" objects="1" scenarios="1"/>
  <mergeCells count="1">
    <mergeCell ref="B10:O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07A4-DD94-438B-B431-54A82F49C526}">
  <sheetPr>
    <tabColor theme="0" tint="-0.499984740745262"/>
    <pageSetUpPr fitToPage="1"/>
  </sheetPr>
  <dimension ref="A1:P95"/>
  <sheetViews>
    <sheetView showGridLines="0" zoomScaleNormal="100" workbookViewId="0">
      <selection activeCell="F10" sqref="F10"/>
    </sheetView>
  </sheetViews>
  <sheetFormatPr defaultColWidth="0" defaultRowHeight="0" customHeight="1" zeroHeight="1" x14ac:dyDescent="0.35"/>
  <cols>
    <col min="1" max="1" width="3.6328125" style="110" customWidth="1"/>
    <col min="2" max="2" width="95.6328125" style="110" customWidth="1"/>
    <col min="3" max="3" width="1.6328125" style="110" customWidth="1"/>
    <col min="4" max="4" width="4" style="110" customWidth="1"/>
    <col min="5" max="5" width="54.54296875" style="110" customWidth="1"/>
    <col min="6" max="6" width="20.6328125" style="110" customWidth="1"/>
    <col min="7" max="7" width="11.36328125" style="110" customWidth="1"/>
    <col min="8" max="8" width="4.08984375" style="110" customWidth="1"/>
    <col min="9" max="9" width="3.6328125" style="110" customWidth="1"/>
    <col min="10" max="16384" width="9.08984375" style="110" hidden="1"/>
  </cols>
  <sheetData>
    <row r="1" spans="1:10" s="76" customFormat="1" ht="21" customHeight="1" x14ac:dyDescent="0.25">
      <c r="A1" s="75"/>
      <c r="B1" s="75"/>
      <c r="C1" s="75"/>
      <c r="D1" s="75"/>
      <c r="E1" s="75"/>
      <c r="F1" s="75"/>
      <c r="G1" s="75"/>
      <c r="H1" s="75"/>
    </row>
    <row r="2" spans="1:10" s="76" customFormat="1" ht="21" customHeight="1" x14ac:dyDescent="0.45">
      <c r="A2" s="75"/>
      <c r="B2" s="77" t="s">
        <v>0</v>
      </c>
      <c r="C2" s="78"/>
      <c r="D2" s="78"/>
      <c r="E2" s="78"/>
      <c r="F2" s="78"/>
      <c r="G2" s="79"/>
      <c r="H2" s="79"/>
    </row>
    <row r="3" spans="1:10" s="76" customFormat="1" ht="21" customHeight="1" x14ac:dyDescent="0.35">
      <c r="A3" s="75"/>
      <c r="B3" s="80" t="s">
        <v>100</v>
      </c>
      <c r="C3" s="78"/>
      <c r="D3" s="78"/>
      <c r="E3" s="78"/>
      <c r="F3" s="78"/>
      <c r="G3" s="79"/>
      <c r="H3" s="79"/>
    </row>
    <row r="4" spans="1:10" s="76" customFormat="1" ht="24.5" x14ac:dyDescent="0.45">
      <c r="A4" s="75"/>
      <c r="B4" s="81" t="s">
        <v>56</v>
      </c>
      <c r="C4" s="78"/>
      <c r="D4" s="78"/>
      <c r="E4" s="78"/>
      <c r="F4" s="78"/>
      <c r="G4" s="79"/>
      <c r="H4" s="79"/>
    </row>
    <row r="5" spans="1:10" s="76" customFormat="1" ht="21" customHeight="1" x14ac:dyDescent="0.3">
      <c r="A5" s="75"/>
      <c r="B5" s="82" t="s">
        <v>31</v>
      </c>
      <c r="C5" s="78"/>
      <c r="D5" s="78"/>
      <c r="E5" s="78"/>
      <c r="F5" s="78"/>
      <c r="G5" s="79"/>
      <c r="H5" s="79"/>
    </row>
    <row r="6" spans="1:10" s="76" customFormat="1" ht="21" customHeight="1" x14ac:dyDescent="0.3">
      <c r="A6" s="75"/>
      <c r="B6" s="83" t="s">
        <v>55</v>
      </c>
      <c r="C6" s="78"/>
      <c r="D6" s="78"/>
      <c r="E6" s="78"/>
      <c r="F6" s="78"/>
      <c r="G6" s="79"/>
      <c r="H6" s="79"/>
    </row>
    <row r="7" spans="1:10" s="75" customFormat="1" ht="15" customHeight="1" thickBot="1" x14ac:dyDescent="0.35">
      <c r="B7" s="84"/>
      <c r="C7" s="85"/>
      <c r="D7" s="85"/>
      <c r="E7" s="85"/>
      <c r="F7" s="86"/>
      <c r="G7" s="87"/>
      <c r="H7" s="87"/>
      <c r="J7" s="88"/>
    </row>
    <row r="8" spans="1:10" s="76" customFormat="1" ht="15" customHeight="1" x14ac:dyDescent="0.25">
      <c r="A8" s="75"/>
    </row>
    <row r="9" spans="1:10" s="76" customFormat="1" ht="27.9" customHeight="1" x14ac:dyDescent="0.25">
      <c r="A9" s="89"/>
      <c r="B9" s="89"/>
      <c r="D9" s="198" t="s">
        <v>54</v>
      </c>
      <c r="E9" s="198"/>
      <c r="F9" s="90">
        <f>Tarieven!N12</f>
        <v>0</v>
      </c>
    </row>
    <row r="10" spans="1:10" s="76" customFormat="1" ht="12.75" customHeight="1" x14ac:dyDescent="0.25">
      <c r="B10" s="89"/>
      <c r="C10" s="89"/>
    </row>
    <row r="11" spans="1:10" s="76" customFormat="1" ht="27.9" customHeight="1" x14ac:dyDescent="0.25">
      <c r="A11" s="91"/>
      <c r="B11" s="92"/>
      <c r="C11" s="92"/>
      <c r="D11" s="194" t="s">
        <v>53</v>
      </c>
      <c r="E11" s="195"/>
      <c r="F11" s="93" t="s">
        <v>52</v>
      </c>
      <c r="G11" s="196" t="s">
        <v>46</v>
      </c>
      <c r="H11" s="197"/>
    </row>
    <row r="12" spans="1:10" s="76" customFormat="1" ht="27.9" customHeight="1" x14ac:dyDescent="0.25">
      <c r="A12" s="91"/>
      <c r="B12" s="92"/>
      <c r="C12" s="92"/>
      <c r="D12" s="199" t="s">
        <v>51</v>
      </c>
      <c r="E12" s="200"/>
      <c r="F12" s="94">
        <f>+DATA!G41</f>
        <v>1500</v>
      </c>
      <c r="G12" s="95">
        <f>+F12/DATA!$G$40*100</f>
        <v>60</v>
      </c>
      <c r="H12" s="96" t="s">
        <v>41</v>
      </c>
    </row>
    <row r="13" spans="1:10" s="76" customFormat="1" ht="27.9" customHeight="1" x14ac:dyDescent="0.25">
      <c r="A13" s="91"/>
      <c r="B13" s="92"/>
      <c r="C13" s="92"/>
      <c r="D13" s="199" t="s">
        <v>97</v>
      </c>
      <c r="E13" s="200"/>
      <c r="F13" s="97"/>
      <c r="G13" s="95">
        <f>+F13/DATA!$G$40*100</f>
        <v>0</v>
      </c>
      <c r="H13" s="96" t="s">
        <v>41</v>
      </c>
    </row>
    <row r="14" spans="1:10" s="76" customFormat="1" ht="27.9" customHeight="1" x14ac:dyDescent="0.25">
      <c r="A14" s="91"/>
      <c r="B14" s="91"/>
      <c r="C14" s="92"/>
      <c r="D14" s="98"/>
      <c r="E14" s="99" t="s">
        <v>42</v>
      </c>
      <c r="F14" s="100">
        <f>SUM(F12:F13)</f>
        <v>1500</v>
      </c>
      <c r="G14" s="95">
        <f>SUM(G12:G13)</f>
        <v>60</v>
      </c>
      <c r="H14" s="96" t="s">
        <v>41</v>
      </c>
    </row>
    <row r="15" spans="1:10" s="76" customFormat="1" ht="27.9" customHeight="1" x14ac:dyDescent="0.25">
      <c r="A15" s="91"/>
      <c r="B15" s="91"/>
      <c r="C15" s="92"/>
      <c r="D15" s="201" t="s">
        <v>50</v>
      </c>
      <c r="E15" s="202"/>
      <c r="F15" s="101">
        <f>+DATA!E7</f>
        <v>0.99670430913856622</v>
      </c>
    </row>
    <row r="16" spans="1:10" s="76" customFormat="1" ht="27.9" customHeight="1" x14ac:dyDescent="0.25">
      <c r="A16" s="91"/>
      <c r="B16" s="92"/>
      <c r="C16" s="92"/>
      <c r="D16" s="102" t="s">
        <v>49</v>
      </c>
      <c r="E16" s="103" t="str">
        <f>"Eigen inschatting door Inschrijver. Waarde tussen 0 en "&amp;F20&amp;" punten."</f>
        <v>Eigen inschatting door Inschrijver. Waarde tussen 0 en 1000 punten.</v>
      </c>
      <c r="F16" s="104"/>
      <c r="G16" s="105"/>
      <c r="H16" s="106"/>
    </row>
    <row r="17" spans="1:12" s="76" customFormat="1" ht="27.9" customHeight="1" x14ac:dyDescent="0.25">
      <c r="A17" s="91"/>
      <c r="B17" s="91"/>
      <c r="C17" s="92"/>
      <c r="D17" s="107"/>
      <c r="E17" s="106"/>
      <c r="F17" s="106"/>
      <c r="G17" s="106"/>
    </row>
    <row r="18" spans="1:12" s="76" customFormat="1" ht="27.9" customHeight="1" x14ac:dyDescent="0.25">
      <c r="A18" s="91"/>
      <c r="B18" s="91"/>
      <c r="C18" s="92"/>
      <c r="D18" s="194" t="s">
        <v>48</v>
      </c>
      <c r="E18" s="195"/>
      <c r="F18" s="108" t="s">
        <v>47</v>
      </c>
      <c r="G18" s="196" t="s">
        <v>46</v>
      </c>
      <c r="H18" s="197"/>
    </row>
    <row r="19" spans="1:12" s="76" customFormat="1" ht="27.9" customHeight="1" x14ac:dyDescent="0.25">
      <c r="A19" s="91"/>
      <c r="B19" s="91"/>
      <c r="C19" s="92"/>
      <c r="D19" s="198" t="s">
        <v>45</v>
      </c>
      <c r="E19" s="198"/>
      <c r="F19" s="100">
        <f>DATA!G41</f>
        <v>1500</v>
      </c>
      <c r="G19" s="95">
        <f>+F19/DATA!$G$40*100</f>
        <v>60</v>
      </c>
      <c r="H19" s="96" t="s">
        <v>41</v>
      </c>
    </row>
    <row r="20" spans="1:12" s="76" customFormat="1" ht="27.9" customHeight="1" x14ac:dyDescent="0.25">
      <c r="A20" s="91"/>
      <c r="B20" s="91"/>
      <c r="C20" s="92"/>
      <c r="D20" s="198" t="s">
        <v>44</v>
      </c>
      <c r="E20" s="198"/>
      <c r="F20" s="100">
        <f>DATA!G42</f>
        <v>1000</v>
      </c>
      <c r="G20" s="95">
        <f>+F20/DATA!$G$40*100</f>
        <v>40</v>
      </c>
      <c r="H20" s="96" t="s">
        <v>41</v>
      </c>
      <c r="J20" s="109"/>
      <c r="K20" s="109"/>
      <c r="L20" s="109"/>
    </row>
    <row r="21" spans="1:12" s="76" customFormat="1" ht="27.9" customHeight="1" x14ac:dyDescent="0.25">
      <c r="A21" s="91"/>
      <c r="B21" s="92"/>
      <c r="C21" s="92"/>
      <c r="D21" s="198" t="s">
        <v>43</v>
      </c>
      <c r="E21" s="198"/>
      <c r="F21" s="100">
        <f>SUM(F19:F20)</f>
        <v>2500</v>
      </c>
      <c r="G21" s="95">
        <f>+F21/DATA!$G$40*100</f>
        <v>100</v>
      </c>
      <c r="H21" s="96" t="s">
        <v>41</v>
      </c>
    </row>
    <row r="22" spans="1:12" s="76" customFormat="1" ht="27.9" customHeight="1" x14ac:dyDescent="0.25">
      <c r="A22" s="91"/>
      <c r="B22" s="92"/>
      <c r="C22" s="92"/>
      <c r="D22" s="205"/>
      <c r="E22" s="205"/>
      <c r="F22" s="206"/>
      <c r="G22" s="207"/>
      <c r="H22" s="208"/>
    </row>
    <row r="23" spans="1:12" s="76" customFormat="1" ht="27.9" customHeight="1" x14ac:dyDescent="0.25">
      <c r="A23" s="91"/>
      <c r="B23" s="92"/>
      <c r="C23" s="92"/>
      <c r="D23" s="89"/>
      <c r="E23" s="89"/>
      <c r="F23" s="89"/>
      <c r="G23" s="89"/>
      <c r="H23" s="89"/>
    </row>
    <row r="24" spans="1:12" s="76" customFormat="1" ht="27.9" customHeight="1" x14ac:dyDescent="0.25">
      <c r="A24" s="91"/>
      <c r="B24" s="92"/>
      <c r="C24" s="92"/>
      <c r="D24" s="89"/>
      <c r="E24" s="89"/>
      <c r="F24" s="89"/>
      <c r="G24" s="89"/>
      <c r="H24" s="89"/>
    </row>
    <row r="25" spans="1:12" s="76" customFormat="1" ht="27.9" customHeight="1" x14ac:dyDescent="0.25">
      <c r="A25" s="91"/>
      <c r="B25" s="92"/>
      <c r="C25" s="92"/>
      <c r="D25" s="89"/>
      <c r="E25" s="89"/>
      <c r="F25" s="89"/>
      <c r="G25" s="89"/>
      <c r="H25" s="89"/>
    </row>
    <row r="26" spans="1:12" s="76" customFormat="1" ht="27.9" customHeight="1" x14ac:dyDescent="0.25">
      <c r="A26" s="91"/>
      <c r="B26" s="92"/>
      <c r="C26" s="92"/>
      <c r="D26" s="89"/>
      <c r="E26" s="89"/>
      <c r="F26" s="89"/>
      <c r="G26" s="89"/>
      <c r="H26" s="89"/>
    </row>
    <row r="27" spans="1:12" s="76" customFormat="1" ht="27.75" customHeight="1" x14ac:dyDescent="0.25">
      <c r="A27" s="75"/>
      <c r="B27" s="92"/>
      <c r="C27" s="92"/>
      <c r="D27" s="89"/>
      <c r="E27" s="89"/>
      <c r="F27" s="89"/>
      <c r="G27" s="89"/>
      <c r="H27" s="89"/>
    </row>
    <row r="28" spans="1:12" s="76" customFormat="1" ht="15" customHeight="1" thickBot="1" x14ac:dyDescent="0.35">
      <c r="A28" s="75"/>
      <c r="B28" s="84"/>
      <c r="C28" s="85"/>
      <c r="D28" s="85"/>
      <c r="E28" s="85"/>
      <c r="F28" s="86"/>
      <c r="G28" s="87"/>
      <c r="H28" s="87"/>
    </row>
    <row r="29" spans="1:12" s="76" customFormat="1" ht="15" customHeight="1" x14ac:dyDescent="0.25"/>
    <row r="30" spans="1:12" s="76" customFormat="1" ht="27.9" hidden="1" customHeight="1" x14ac:dyDescent="0.25">
      <c r="B30" s="89"/>
    </row>
    <row r="31" spans="1:12" s="76" customFormat="1" ht="27.9" hidden="1" customHeight="1" x14ac:dyDescent="0.25">
      <c r="B31" s="89"/>
    </row>
    <row r="32" spans="1:12" s="76" customFormat="1" ht="27.9" hidden="1" customHeight="1" x14ac:dyDescent="0.25">
      <c r="B32" s="89"/>
    </row>
    <row r="33" spans="2:16" s="76" customFormat="1" ht="27.9" hidden="1" customHeight="1" x14ac:dyDescent="0.25">
      <c r="B33" s="89"/>
    </row>
    <row r="34" spans="2:16" s="76" customFormat="1" ht="27.9" hidden="1" customHeight="1" x14ac:dyDescent="0.25">
      <c r="B34" s="89"/>
    </row>
    <row r="35" spans="2:16" s="76" customFormat="1" ht="27.9" hidden="1" customHeight="1" x14ac:dyDescent="0.25">
      <c r="B35" s="89"/>
      <c r="P35" s="76" t="s">
        <v>9</v>
      </c>
    </row>
    <row r="36" spans="2:16" s="76" customFormat="1" ht="27.9" hidden="1" customHeight="1" x14ac:dyDescent="0.25">
      <c r="B36" s="89"/>
    </row>
    <row r="37" spans="2:16" s="76" customFormat="1" ht="27.9" hidden="1" customHeight="1" x14ac:dyDescent="0.35">
      <c r="B37" s="89"/>
      <c r="G37" s="110"/>
    </row>
    <row r="38" spans="2:16" s="76" customFormat="1" ht="27.9" hidden="1" customHeight="1" x14ac:dyDescent="0.35">
      <c r="B38" s="89"/>
      <c r="G38" s="110"/>
    </row>
    <row r="39" spans="2:16" s="76" customFormat="1" ht="27.9" hidden="1" customHeight="1" x14ac:dyDescent="0.35">
      <c r="D39" s="110"/>
      <c r="E39" s="110"/>
      <c r="F39" s="110"/>
      <c r="G39" s="110"/>
    </row>
    <row r="40" spans="2:16" ht="15" hidden="1" customHeight="1" x14ac:dyDescent="0.35"/>
    <row r="41" spans="2:16" ht="15" hidden="1" customHeight="1" x14ac:dyDescent="0.35"/>
    <row r="42" spans="2:16" ht="15" hidden="1" customHeight="1" x14ac:dyDescent="0.35"/>
    <row r="43" spans="2:16" ht="15" hidden="1" customHeight="1" x14ac:dyDescent="0.35"/>
    <row r="44" spans="2:16" ht="15" hidden="1" customHeight="1" x14ac:dyDescent="0.35"/>
    <row r="45" spans="2:16" ht="15" hidden="1" customHeight="1" x14ac:dyDescent="0.35"/>
    <row r="46" spans="2:16" ht="15" hidden="1" customHeight="1" x14ac:dyDescent="0.35"/>
    <row r="47" spans="2:16" ht="15" hidden="1" customHeight="1" x14ac:dyDescent="0.35"/>
    <row r="48" spans="2:16" ht="15" hidden="1" customHeight="1" x14ac:dyDescent="0.35"/>
    <row r="49" ht="15" hidden="1" customHeight="1" x14ac:dyDescent="0.35"/>
    <row r="50" ht="15" hidden="1" customHeight="1" x14ac:dyDescent="0.35"/>
    <row r="51" ht="15" hidden="1" customHeight="1" x14ac:dyDescent="0.35"/>
    <row r="52" ht="15" hidden="1" customHeight="1" x14ac:dyDescent="0.35"/>
    <row r="53" ht="15" hidden="1" customHeight="1" x14ac:dyDescent="0.35"/>
    <row r="54" ht="15" hidden="1" customHeight="1" x14ac:dyDescent="0.35"/>
    <row r="55" ht="15" hidden="1" customHeight="1" x14ac:dyDescent="0.35"/>
    <row r="56" ht="15" hidden="1" customHeight="1" x14ac:dyDescent="0.35"/>
    <row r="57" ht="15" hidden="1" customHeight="1" x14ac:dyDescent="0.35"/>
    <row r="58" ht="15" hidden="1" customHeight="1" x14ac:dyDescent="0.35"/>
    <row r="59" ht="15" hidden="1" customHeight="1" x14ac:dyDescent="0.35"/>
    <row r="60" ht="15" hidden="1" customHeight="1" x14ac:dyDescent="0.35"/>
    <row r="61" ht="15" hidden="1" customHeight="1" x14ac:dyDescent="0.35"/>
    <row r="62" ht="15" hidden="1" customHeight="1" x14ac:dyDescent="0.35"/>
    <row r="63" ht="15" hidden="1" customHeight="1" x14ac:dyDescent="0.35"/>
    <row r="64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  <row r="81" spans="3:7" ht="15" hidden="1" customHeight="1" x14ac:dyDescent="0.35"/>
    <row r="82" spans="3:7" ht="15" hidden="1" customHeight="1" x14ac:dyDescent="0.35"/>
    <row r="83" spans="3:7" ht="15" hidden="1" customHeight="1" x14ac:dyDescent="0.35">
      <c r="C83" s="111" t="s">
        <v>42</v>
      </c>
      <c r="D83" s="112"/>
      <c r="E83" s="113">
        <v>1650</v>
      </c>
      <c r="F83" s="114" t="e">
        <f>+E83/Qmax*100</f>
        <v>#NAME?</v>
      </c>
      <c r="G83" s="96" t="s">
        <v>41</v>
      </c>
    </row>
    <row r="84" spans="3:7" ht="15" hidden="1" customHeight="1" x14ac:dyDescent="0.35"/>
    <row r="85" spans="3:7" ht="15" hidden="1" customHeight="1" x14ac:dyDescent="0.35"/>
    <row r="86" spans="3:7" ht="15" hidden="1" customHeight="1" x14ac:dyDescent="0.35"/>
    <row r="87" spans="3:7" ht="15" hidden="1" customHeight="1" x14ac:dyDescent="0.35"/>
    <row r="88" spans="3:7" ht="15" hidden="1" customHeight="1" x14ac:dyDescent="0.35"/>
    <row r="89" spans="3:7" ht="15" hidden="1" customHeight="1" x14ac:dyDescent="0.35"/>
    <row r="90" spans="3:7" ht="15" hidden="1" customHeight="1" x14ac:dyDescent="0.35"/>
    <row r="91" spans="3:7" ht="15" hidden="1" customHeight="1" x14ac:dyDescent="0.35"/>
    <row r="92" spans="3:7" ht="15" hidden="1" customHeight="1" x14ac:dyDescent="0.35"/>
    <row r="93" spans="3:7" ht="15" hidden="1" customHeight="1" x14ac:dyDescent="0.35"/>
    <row r="94" spans="3:7" ht="15" hidden="1" customHeight="1" x14ac:dyDescent="0.35"/>
    <row r="95" spans="3:7" ht="15" hidden="1" customHeight="1" x14ac:dyDescent="0.35"/>
  </sheetData>
  <sheetProtection algorithmName="SHA-512" hashValue="SJqO58PaMas6ni+Y6UoH2dzO0nwdXcExiOMa/uTAR3ClT2EQ9e2OYWN4JhNJu6tYzjvMm0lLcEFZlJj8WCZKSA==" saltValue="O+zVqlC/4wXxPgwVwbz/PQ==" spinCount="100000" sheet="1" objects="1" scenarios="1"/>
  <mergeCells count="12">
    <mergeCell ref="D18:E18"/>
    <mergeCell ref="G18:H18"/>
    <mergeCell ref="D19:E19"/>
    <mergeCell ref="D20:E20"/>
    <mergeCell ref="D21:E21"/>
    <mergeCell ref="D22:E22"/>
    <mergeCell ref="D9:E9"/>
    <mergeCell ref="D11:E11"/>
    <mergeCell ref="G11:H11"/>
    <mergeCell ref="D12:E12"/>
    <mergeCell ref="D13:E13"/>
    <mergeCell ref="D15:E15"/>
  </mergeCells>
  <pageMargins left="0.7" right="0.7" top="0.75" bottom="0.75" header="0.3" footer="0.3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E869-D56D-49C9-88EF-DA4628F2DD62}">
  <dimension ref="A1:AE80"/>
  <sheetViews>
    <sheetView showGridLines="0" topLeftCell="A31" zoomScaleNormal="100" workbookViewId="0">
      <selection activeCell="D45" sqref="A1:XFD1048576"/>
    </sheetView>
  </sheetViews>
  <sheetFormatPr defaultColWidth="0" defaultRowHeight="14.5" customHeight="1" zeroHeight="1" x14ac:dyDescent="0.35"/>
  <cols>
    <col min="1" max="1" width="3.6328125" style="115" customWidth="1"/>
    <col min="2" max="27" width="21.6328125" style="115" customWidth="1"/>
    <col min="28" max="28" width="3.6328125" style="115" customWidth="1"/>
    <col min="29" max="31" width="21.6328125" style="115" hidden="1" customWidth="1"/>
    <col min="32" max="16384" width="9.08984375" style="115" hidden="1"/>
  </cols>
  <sheetData>
    <row r="1" spans="2:28" ht="21" customHeight="1" x14ac:dyDescent="0.35">
      <c r="AB1" s="116"/>
    </row>
    <row r="2" spans="2:28" s="116" customFormat="1" ht="21" customHeight="1" x14ac:dyDescent="0.25">
      <c r="B2" s="203" t="s">
        <v>96</v>
      </c>
      <c r="C2" s="203"/>
      <c r="D2" s="203"/>
      <c r="E2" s="203"/>
    </row>
    <row r="3" spans="2:28" s="116" customFormat="1" ht="21" customHeight="1" x14ac:dyDescent="0.25">
      <c r="B3" s="203"/>
      <c r="C3" s="203"/>
      <c r="D3" s="203"/>
      <c r="E3" s="203"/>
    </row>
    <row r="4" spans="2:28" s="116" customFormat="1" ht="21" customHeight="1" x14ac:dyDescent="0.25">
      <c r="B4" s="203"/>
      <c r="C4" s="203"/>
      <c r="D4" s="203"/>
      <c r="E4" s="203"/>
    </row>
    <row r="5" spans="2:28" s="116" customFormat="1" ht="21" customHeight="1" x14ac:dyDescent="0.25">
      <c r="B5" s="117"/>
    </row>
    <row r="6" spans="2:28" s="116" customFormat="1" ht="27.9" customHeight="1" x14ac:dyDescent="0.25">
      <c r="B6" s="118" t="s">
        <v>95</v>
      </c>
    </row>
    <row r="7" spans="2:28" s="116" customFormat="1" ht="27.9" customHeight="1" x14ac:dyDescent="0.25">
      <c r="B7" s="119" t="s">
        <v>8</v>
      </c>
      <c r="C7" s="120">
        <f>+'BPK-Grafiek'!$F$9</f>
        <v>0</v>
      </c>
      <c r="D7" s="121">
        <f>+'BPK-Grafiek'!$F$14</f>
        <v>1500</v>
      </c>
      <c r="E7" s="122">
        <f>IFERROR((0.5*($C$7/$G$38)^$F$38+0.5*(2-$D$7/$H$38)^$F$38)^(1/$F$38),0)</f>
        <v>0.99670430913856622</v>
      </c>
      <c r="F7" s="123">
        <f>+D7/G40*100</f>
        <v>60</v>
      </c>
    </row>
    <row r="8" spans="2:28" s="116" customFormat="1" ht="27.9" customHeight="1" x14ac:dyDescent="0.25"/>
    <row r="9" spans="2:28" s="126" customFormat="1" ht="27.9" customHeight="1" x14ac:dyDescent="0.35">
      <c r="B9" s="124" t="s">
        <v>94</v>
      </c>
      <c r="C9" s="204" t="s">
        <v>98</v>
      </c>
      <c r="D9" s="204"/>
      <c r="E9" s="204"/>
      <c r="F9" s="204"/>
      <c r="G9" s="204"/>
      <c r="H9" s="204"/>
      <c r="I9" s="204"/>
      <c r="J9" s="204"/>
      <c r="K9" s="125"/>
      <c r="L9" s="125"/>
    </row>
    <row r="10" spans="2:28" s="126" customFormat="1" ht="27.9" customHeight="1" x14ac:dyDescent="0.35">
      <c r="C10" s="204"/>
      <c r="D10" s="204"/>
      <c r="E10" s="204"/>
      <c r="F10" s="204"/>
      <c r="G10" s="204"/>
      <c r="H10" s="204"/>
      <c r="I10" s="204"/>
      <c r="J10" s="204"/>
    </row>
    <row r="11" spans="2:28" s="116" customFormat="1" ht="27.9" customHeight="1" x14ac:dyDescent="0.25">
      <c r="B11" s="127" t="s">
        <v>93</v>
      </c>
      <c r="C11" s="128" t="s">
        <v>92</v>
      </c>
      <c r="D11" s="128" t="s">
        <v>91</v>
      </c>
      <c r="E11" s="128" t="s">
        <v>74</v>
      </c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</row>
    <row r="12" spans="2:28" s="116" customFormat="1" ht="27.9" customHeight="1" x14ac:dyDescent="0.25">
      <c r="B12" s="130" t="s">
        <v>90</v>
      </c>
      <c r="C12" s="131">
        <v>1875000</v>
      </c>
      <c r="D12" s="132">
        <v>2000</v>
      </c>
      <c r="E12" s="133">
        <v>1</v>
      </c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</row>
    <row r="13" spans="2:28" s="116" customFormat="1" ht="27.9" customHeight="1" x14ac:dyDescent="0.25">
      <c r="B13" s="130" t="s">
        <v>89</v>
      </c>
      <c r="C13" s="131">
        <v>2179687.5</v>
      </c>
      <c r="D13" s="132">
        <v>2500</v>
      </c>
      <c r="E13" s="133">
        <v>1.0000068827172282</v>
      </c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</row>
    <row r="14" spans="2:28" s="116" customFormat="1" ht="27.9" customHeight="1" x14ac:dyDescent="0.25">
      <c r="B14" s="130" t="s">
        <v>88</v>
      </c>
      <c r="C14" s="131">
        <v>0</v>
      </c>
      <c r="D14" s="132">
        <v>1491.7335291138597</v>
      </c>
      <c r="E14" s="133">
        <v>1</v>
      </c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</row>
    <row r="15" spans="2:28" s="116" customFormat="1" ht="27.9" customHeight="1" x14ac:dyDescent="0.25"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</row>
    <row r="16" spans="2:28" s="116" customFormat="1" ht="27.9" customHeight="1" x14ac:dyDescent="0.25">
      <c r="B16" s="134" t="s">
        <v>87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</row>
    <row r="17" spans="2:27" s="116" customFormat="1" ht="27.9" customHeight="1" x14ac:dyDescent="0.25">
      <c r="B17" s="129"/>
      <c r="C17" s="128" t="s">
        <v>86</v>
      </c>
      <c r="D17" s="135">
        <v>0</v>
      </c>
      <c r="E17" s="135">
        <v>1.2500000000000001E-2</v>
      </c>
      <c r="F17" s="135">
        <v>2.5000000000000001E-2</v>
      </c>
      <c r="G17" s="135">
        <v>0.05</v>
      </c>
      <c r="H17" s="135">
        <v>0.1</v>
      </c>
      <c r="I17" s="135">
        <v>0.15</v>
      </c>
      <c r="J17" s="135">
        <v>0.2</v>
      </c>
      <c r="K17" s="135">
        <v>0.25</v>
      </c>
      <c r="L17" s="135">
        <v>0.3</v>
      </c>
      <c r="M17" s="135">
        <v>0.35</v>
      </c>
      <c r="N17" s="135">
        <v>0.4</v>
      </c>
      <c r="O17" s="135">
        <v>0.45</v>
      </c>
      <c r="P17" s="135">
        <v>0.5</v>
      </c>
      <c r="Q17" s="135">
        <v>0.55000000000000004</v>
      </c>
      <c r="R17" s="135">
        <v>0.6</v>
      </c>
      <c r="S17" s="135">
        <v>0.65</v>
      </c>
      <c r="T17" s="135">
        <v>0.7</v>
      </c>
      <c r="U17" s="135">
        <v>0.75</v>
      </c>
      <c r="V17" s="135">
        <v>0.8</v>
      </c>
      <c r="W17" s="135">
        <v>0.85</v>
      </c>
      <c r="X17" s="135">
        <v>0.9</v>
      </c>
      <c r="Y17" s="135">
        <v>0.95</v>
      </c>
      <c r="Z17" s="135">
        <v>1</v>
      </c>
      <c r="AA17" s="136">
        <v>0</v>
      </c>
    </row>
    <row r="18" spans="2:27" s="116" customFormat="1" ht="27.9" customHeight="1" x14ac:dyDescent="0.25">
      <c r="B18" s="137" t="s">
        <v>85</v>
      </c>
      <c r="C18" s="135">
        <v>1491.7335291138597</v>
      </c>
      <c r="D18" s="135">
        <v>1491.7335291138597</v>
      </c>
      <c r="E18" s="135">
        <v>1504.3368599999365</v>
      </c>
      <c r="F18" s="135">
        <v>1516.9401908860132</v>
      </c>
      <c r="G18" s="135">
        <v>1542.1468526581668</v>
      </c>
      <c r="H18" s="135">
        <v>1592.5601762024737</v>
      </c>
      <c r="I18" s="135">
        <v>1642.9734997467808</v>
      </c>
      <c r="J18" s="135">
        <v>1693.3868232910877</v>
      </c>
      <c r="K18" s="135">
        <v>1743.8001468353948</v>
      </c>
      <c r="L18" s="135">
        <v>1794.2134703797019</v>
      </c>
      <c r="M18" s="135">
        <v>1844.6267939240088</v>
      </c>
      <c r="N18" s="135">
        <v>1895.0401174683159</v>
      </c>
      <c r="O18" s="135">
        <v>1945.453441012623</v>
      </c>
      <c r="P18" s="135">
        <v>1995.8667645569299</v>
      </c>
      <c r="Q18" s="135">
        <v>2046.280088101237</v>
      </c>
      <c r="R18" s="135">
        <v>2096.6934116455441</v>
      </c>
      <c r="S18" s="135">
        <v>2147.106735189851</v>
      </c>
      <c r="T18" s="135">
        <v>2197.5200587341578</v>
      </c>
      <c r="U18" s="135">
        <v>2247.9333822784647</v>
      </c>
      <c r="V18" s="135">
        <v>2298.346705822772</v>
      </c>
      <c r="W18" s="135">
        <v>2348.7600293670789</v>
      </c>
      <c r="X18" s="135">
        <v>2399.1733529113862</v>
      </c>
      <c r="Y18" s="135">
        <v>2449.5866764556931</v>
      </c>
      <c r="Z18" s="135">
        <v>2500</v>
      </c>
      <c r="AA18" s="135" t="s">
        <v>74</v>
      </c>
    </row>
    <row r="19" spans="2:27" s="116" customFormat="1" ht="27.9" customHeight="1" x14ac:dyDescent="0.25">
      <c r="B19" s="137" t="s">
        <v>84</v>
      </c>
      <c r="C19" s="135"/>
      <c r="D19" s="135">
        <v>0</v>
      </c>
      <c r="E19" s="135">
        <v>600221.34046039765</v>
      </c>
      <c r="F19" s="135">
        <v>751482.1522938062</v>
      </c>
      <c r="G19" s="135">
        <v>939260.14687311219</v>
      </c>
      <c r="H19" s="135">
        <v>1169936.7806517186</v>
      </c>
      <c r="I19" s="135">
        <v>1326488.8516131581</v>
      </c>
      <c r="J19" s="135">
        <v>1447154.4160196204</v>
      </c>
      <c r="K19" s="135">
        <v>1545790.5213721222</v>
      </c>
      <c r="L19" s="135">
        <v>1629205.7421058752</v>
      </c>
      <c r="M19" s="135">
        <v>1701319.3733918827</v>
      </c>
      <c r="N19" s="135">
        <v>1764623.2206222229</v>
      </c>
      <c r="O19" s="135">
        <v>1820814.32142086</v>
      </c>
      <c r="P19" s="135">
        <v>1871108.5167070956</v>
      </c>
      <c r="Q19" s="135">
        <v>1916411.5516544753</v>
      </c>
      <c r="R19" s="135">
        <v>1957419.4436273701</v>
      </c>
      <c r="S19" s="135">
        <v>1994680.78587021</v>
      </c>
      <c r="T19" s="135">
        <v>2028637.2258047122</v>
      </c>
      <c r="U19" s="135">
        <v>2059650.7694919687</v>
      </c>
      <c r="V19" s="135">
        <v>2088022.7891208886</v>
      </c>
      <c r="W19" s="135">
        <v>2114007.6146088848</v>
      </c>
      <c r="X19" s="135">
        <v>2137822.4802070865</v>
      </c>
      <c r="Y19" s="135">
        <v>2159654.9522432936</v>
      </c>
      <c r="Z19" s="135">
        <v>2179668.5755499732</v>
      </c>
      <c r="AA19" s="135">
        <v>1</v>
      </c>
    </row>
    <row r="20" spans="2:27" s="116" customFormat="1" ht="27.9" customHeight="1" x14ac:dyDescent="0.25">
      <c r="B20" s="138"/>
      <c r="C20" s="135"/>
      <c r="D20" s="135">
        <v>59.669341164554389</v>
      </c>
      <c r="E20" s="135">
        <v>60.17347439999746</v>
      </c>
      <c r="F20" s="135">
        <v>60.677607635440523</v>
      </c>
      <c r="G20" s="135">
        <v>61.685874106326679</v>
      </c>
      <c r="H20" s="135">
        <v>63.702407048098955</v>
      </c>
      <c r="I20" s="135">
        <v>65.718939989871231</v>
      </c>
      <c r="J20" s="135">
        <v>67.7354729316435</v>
      </c>
      <c r="K20" s="135">
        <v>69.752005873415783</v>
      </c>
      <c r="L20" s="135">
        <v>71.76853881518808</v>
      </c>
      <c r="M20" s="135">
        <v>73.785071756960349</v>
      </c>
      <c r="N20" s="135">
        <v>75.801604698732632</v>
      </c>
      <c r="O20" s="135">
        <v>77.818137640504915</v>
      </c>
      <c r="P20" s="135">
        <v>79.834670582277184</v>
      </c>
      <c r="Q20" s="135">
        <v>81.851203524049481</v>
      </c>
      <c r="R20" s="135">
        <v>83.867736465821764</v>
      </c>
      <c r="S20" s="135">
        <v>85.884269407594033</v>
      </c>
      <c r="T20" s="135">
        <v>87.900802349366316</v>
      </c>
      <c r="U20" s="135">
        <v>89.917335291138585</v>
      </c>
      <c r="V20" s="135">
        <v>91.933868232910882</v>
      </c>
      <c r="W20" s="135">
        <v>93.950401174683151</v>
      </c>
      <c r="X20" s="135">
        <v>95.966934116455448</v>
      </c>
      <c r="Y20" s="135">
        <v>97.983467058227731</v>
      </c>
      <c r="Z20" s="135">
        <v>100</v>
      </c>
      <c r="AA20" s="135">
        <v>0</v>
      </c>
    </row>
    <row r="21" spans="2:27" s="116" customFormat="1" ht="27.9" customHeight="1" x14ac:dyDescent="0.25">
      <c r="B21" s="137" t="s">
        <v>83</v>
      </c>
      <c r="C21" s="135">
        <v>1742.5601762024737</v>
      </c>
      <c r="D21" s="135">
        <v>1742.5601762024737</v>
      </c>
      <c r="E21" s="135">
        <v>1752.0281739999427</v>
      </c>
      <c r="F21" s="135">
        <v>1761.4961717974118</v>
      </c>
      <c r="G21" s="135">
        <v>1780.43216739235</v>
      </c>
      <c r="H21" s="135">
        <v>1818.3041585822264</v>
      </c>
      <c r="I21" s="135">
        <v>1856.1761497721027</v>
      </c>
      <c r="J21" s="135">
        <v>1894.048140961979</v>
      </c>
      <c r="K21" s="135">
        <v>1931.9201321518553</v>
      </c>
      <c r="L21" s="135">
        <v>1969.7921233417317</v>
      </c>
      <c r="M21" s="135">
        <v>2007.664114531608</v>
      </c>
      <c r="N21" s="135">
        <v>2045.5361057214843</v>
      </c>
      <c r="O21" s="135">
        <v>2083.4080969113606</v>
      </c>
      <c r="P21" s="135">
        <v>2121.2800881012367</v>
      </c>
      <c r="Q21" s="135">
        <v>2159.1520792911133</v>
      </c>
      <c r="R21" s="135">
        <v>2197.0240704809894</v>
      </c>
      <c r="S21" s="135">
        <v>2234.8960616708659</v>
      </c>
      <c r="T21" s="135">
        <v>2272.768052860742</v>
      </c>
      <c r="U21" s="135">
        <v>2310.6400440506186</v>
      </c>
      <c r="V21" s="135">
        <v>2348.5120352404947</v>
      </c>
      <c r="W21" s="135">
        <v>2386.3840264303708</v>
      </c>
      <c r="X21" s="135">
        <v>2424.2560176202473</v>
      </c>
      <c r="Y21" s="135">
        <v>2462.1280088101239</v>
      </c>
      <c r="Z21" s="135">
        <v>2500</v>
      </c>
      <c r="AA21" s="135" t="s">
        <v>74</v>
      </c>
    </row>
    <row r="22" spans="2:27" s="116" customFormat="1" ht="27.9" customHeight="1" x14ac:dyDescent="0.25">
      <c r="B22" s="137" t="s">
        <v>82</v>
      </c>
      <c r="C22" s="135"/>
      <c r="D22" s="135">
        <v>0</v>
      </c>
      <c r="E22" s="135">
        <v>509378.07220836508</v>
      </c>
      <c r="F22" s="135">
        <v>637924.76723217487</v>
      </c>
      <c r="G22" s="135">
        <v>797777.40636618505</v>
      </c>
      <c r="H22" s="135">
        <v>994838.63405855943</v>
      </c>
      <c r="I22" s="135">
        <v>1129260.1457195801</v>
      </c>
      <c r="J22" s="135">
        <v>1233420.3718049659</v>
      </c>
      <c r="K22" s="135">
        <v>1319041.2393593458</v>
      </c>
      <c r="L22" s="135">
        <v>1391876.6083449966</v>
      </c>
      <c r="M22" s="135">
        <v>1455235.3026243229</v>
      </c>
      <c r="N22" s="135">
        <v>1511218.7719751317</v>
      </c>
      <c r="O22" s="135">
        <v>1561256.5756568196</v>
      </c>
      <c r="P22" s="135">
        <v>1606371.6518942735</v>
      </c>
      <c r="Q22" s="135">
        <v>1647325.00218177</v>
      </c>
      <c r="R22" s="135">
        <v>1684700.5270145575</v>
      </c>
      <c r="S22" s="135">
        <v>1718957.6648109872</v>
      </c>
      <c r="T22" s="135">
        <v>1750465.5754018172</v>
      </c>
      <c r="U22" s="135">
        <v>1779526.1871467731</v>
      </c>
      <c r="V22" s="135">
        <v>1806390.2323453133</v>
      </c>
      <c r="W22" s="135">
        <v>1831268.7070317657</v>
      </c>
      <c r="X22" s="135">
        <v>1854341.2521469174</v>
      </c>
      <c r="Y22" s="135">
        <v>1875762.4078068044</v>
      </c>
      <c r="Z22" s="135">
        <v>1895666.3638369387</v>
      </c>
      <c r="AA22" s="135">
        <v>0.9</v>
      </c>
    </row>
    <row r="23" spans="2:27" s="116" customFormat="1" ht="27.9" customHeight="1" x14ac:dyDescent="0.25">
      <c r="B23" s="138"/>
      <c r="C23" s="135"/>
      <c r="D23" s="135">
        <v>69.702407048098948</v>
      </c>
      <c r="E23" s="135">
        <v>70.081126959997704</v>
      </c>
      <c r="F23" s="135">
        <v>70.459846871896474</v>
      </c>
      <c r="G23" s="135">
        <v>71.217286695694</v>
      </c>
      <c r="H23" s="135">
        <v>72.732166343289052</v>
      </c>
      <c r="I23" s="135">
        <v>74.247045990884104</v>
      </c>
      <c r="J23" s="135">
        <v>75.76192563847917</v>
      </c>
      <c r="K23" s="135">
        <v>77.276805286074207</v>
      </c>
      <c r="L23" s="135">
        <v>78.791684933669274</v>
      </c>
      <c r="M23" s="135">
        <v>80.306564581264311</v>
      </c>
      <c r="N23" s="135">
        <v>81.821444228859377</v>
      </c>
      <c r="O23" s="135">
        <v>83.336323876454415</v>
      </c>
      <c r="P23" s="135">
        <v>84.851203524049467</v>
      </c>
      <c r="Q23" s="135">
        <v>86.366083171644533</v>
      </c>
      <c r="R23" s="135">
        <v>87.880962819239571</v>
      </c>
      <c r="S23" s="135">
        <v>89.395842466834637</v>
      </c>
      <c r="T23" s="135">
        <v>90.910722114429689</v>
      </c>
      <c r="U23" s="135">
        <v>92.425601762024741</v>
      </c>
      <c r="V23" s="135">
        <v>93.940481409619792</v>
      </c>
      <c r="W23" s="135">
        <v>95.45536105721483</v>
      </c>
      <c r="X23" s="135">
        <v>96.970240704809896</v>
      </c>
      <c r="Y23" s="135">
        <v>98.485120352404948</v>
      </c>
      <c r="Z23" s="135">
        <v>100</v>
      </c>
      <c r="AA23" s="135">
        <v>0</v>
      </c>
    </row>
    <row r="24" spans="2:27" s="116" customFormat="1" ht="27.9" customHeight="1" x14ac:dyDescent="0.25">
      <c r="B24" s="137" t="s">
        <v>81</v>
      </c>
      <c r="C24" s="135">
        <v>1993.3868232910879</v>
      </c>
      <c r="D24" s="135">
        <v>1993.3868232910879</v>
      </c>
      <c r="E24" s="135">
        <v>1999.7194879999493</v>
      </c>
      <c r="F24" s="135">
        <v>2006.0521527088108</v>
      </c>
      <c r="G24" s="135">
        <v>2018.7174821265335</v>
      </c>
      <c r="H24" s="135">
        <v>2044.0481409619792</v>
      </c>
      <c r="I24" s="135">
        <v>2069.3787997974246</v>
      </c>
      <c r="J24" s="135">
        <v>2094.7094586328703</v>
      </c>
      <c r="K24" s="135">
        <v>2120.0401174683161</v>
      </c>
      <c r="L24" s="135">
        <v>2145.3707763037614</v>
      </c>
      <c r="M24" s="135">
        <v>2170.7014351392072</v>
      </c>
      <c r="N24" s="135">
        <v>2196.0320939746525</v>
      </c>
      <c r="O24" s="135">
        <v>2221.3627528100983</v>
      </c>
      <c r="P24" s="135">
        <v>2246.6934116455441</v>
      </c>
      <c r="Q24" s="135">
        <v>2272.0240704809894</v>
      </c>
      <c r="R24" s="135">
        <v>2297.3547293164352</v>
      </c>
      <c r="S24" s="135">
        <v>2322.6853881518809</v>
      </c>
      <c r="T24" s="135">
        <v>2348.0160469873263</v>
      </c>
      <c r="U24" s="135">
        <v>2373.346705822772</v>
      </c>
      <c r="V24" s="135">
        <v>2398.6773646582178</v>
      </c>
      <c r="W24" s="135">
        <v>2424.0080234936631</v>
      </c>
      <c r="X24" s="135">
        <v>2449.3386823291089</v>
      </c>
      <c r="Y24" s="135">
        <v>2474.6693411645542</v>
      </c>
      <c r="Z24" s="135">
        <v>2500</v>
      </c>
      <c r="AA24" s="135" t="s">
        <v>74</v>
      </c>
    </row>
    <row r="25" spans="2:27" s="116" customFormat="1" ht="27.9" customHeight="1" x14ac:dyDescent="0.25">
      <c r="B25" s="137" t="s">
        <v>80</v>
      </c>
      <c r="C25" s="135"/>
      <c r="D25" s="135">
        <v>0</v>
      </c>
      <c r="E25" s="135">
        <v>412750.07271219644</v>
      </c>
      <c r="F25" s="135">
        <v>517093.06675569934</v>
      </c>
      <c r="G25" s="135">
        <v>647122.85660598613</v>
      </c>
      <c r="H25" s="135">
        <v>808115.56979777594</v>
      </c>
      <c r="I25" s="135">
        <v>918621.04321375152</v>
      </c>
      <c r="J25" s="135">
        <v>1004802.6378204027</v>
      </c>
      <c r="K25" s="135">
        <v>1076120.6179818346</v>
      </c>
      <c r="L25" s="135">
        <v>1137213.1406950511</v>
      </c>
      <c r="M25" s="135">
        <v>1190744.22439704</v>
      </c>
      <c r="N25" s="135">
        <v>1238403.7096225107</v>
      </c>
      <c r="O25" s="135">
        <v>1281339.6706045689</v>
      </c>
      <c r="P25" s="135">
        <v>1320372.5133845075</v>
      </c>
      <c r="Q25" s="135">
        <v>1356111.6898338292</v>
      </c>
      <c r="R25" s="135">
        <v>1389024.0977219772</v>
      </c>
      <c r="S25" s="135">
        <v>1419476.4996036126</v>
      </c>
      <c r="T25" s="135">
        <v>1447763.0549616837</v>
      </c>
      <c r="U25" s="135">
        <v>1474123.8728785331</v>
      </c>
      <c r="V25" s="135">
        <v>1498757.9131978878</v>
      </c>
      <c r="W25" s="135">
        <v>1521832.2010842559</v>
      </c>
      <c r="X25" s="135">
        <v>1543488.5620372342</v>
      </c>
      <c r="Y25" s="135">
        <v>1563848.6445082107</v>
      </c>
      <c r="Z25" s="135">
        <v>1583017.7322731169</v>
      </c>
      <c r="AA25" s="135">
        <v>0.8</v>
      </c>
    </row>
    <row r="26" spans="2:27" s="116" customFormat="1" ht="27.9" customHeight="1" x14ac:dyDescent="0.25">
      <c r="B26" s="138"/>
      <c r="C26" s="135"/>
      <c r="D26" s="135">
        <v>79.735472931643514</v>
      </c>
      <c r="E26" s="135">
        <v>79.988779519997962</v>
      </c>
      <c r="F26" s="135">
        <v>80.242086108352424</v>
      </c>
      <c r="G26" s="135">
        <v>80.748699285061349</v>
      </c>
      <c r="H26" s="135">
        <v>81.76192563847917</v>
      </c>
      <c r="I26" s="135">
        <v>82.775151991896976</v>
      </c>
      <c r="J26" s="135">
        <v>83.788378345314811</v>
      </c>
      <c r="K26" s="135">
        <v>84.801604698732646</v>
      </c>
      <c r="L26" s="135">
        <v>85.814831052150453</v>
      </c>
      <c r="M26" s="135">
        <v>86.828057405568288</v>
      </c>
      <c r="N26" s="135">
        <v>87.841283758986094</v>
      </c>
      <c r="O26" s="135">
        <v>88.854510112403929</v>
      </c>
      <c r="P26" s="135">
        <v>89.867736465821764</v>
      </c>
      <c r="Q26" s="135">
        <v>90.880962819239571</v>
      </c>
      <c r="R26" s="135">
        <v>91.894189172657406</v>
      </c>
      <c r="S26" s="135">
        <v>92.907415526075241</v>
      </c>
      <c r="T26" s="135">
        <v>93.920641879493047</v>
      </c>
      <c r="U26" s="135">
        <v>94.933868232910882</v>
      </c>
      <c r="V26" s="135">
        <v>95.947094586328703</v>
      </c>
      <c r="W26" s="135">
        <v>96.960320939746524</v>
      </c>
      <c r="X26" s="135">
        <v>97.973547293164359</v>
      </c>
      <c r="Y26" s="135">
        <v>98.986773646582165</v>
      </c>
      <c r="Z26" s="135">
        <v>100</v>
      </c>
      <c r="AA26" s="135" t="s">
        <v>9</v>
      </c>
    </row>
    <row r="27" spans="2:27" s="116" customFormat="1" ht="27.9" customHeight="1" x14ac:dyDescent="0.25">
      <c r="B27" s="137" t="s">
        <v>79</v>
      </c>
      <c r="C27" s="135">
        <v>2244.2134703797019</v>
      </c>
      <c r="D27" s="135">
        <v>2244.2134703797019</v>
      </c>
      <c r="E27" s="135">
        <v>2247.4108019999558</v>
      </c>
      <c r="F27" s="135">
        <v>2250.6081336202092</v>
      </c>
      <c r="G27" s="135">
        <v>2257.0027968607169</v>
      </c>
      <c r="H27" s="135">
        <v>2269.7921233417319</v>
      </c>
      <c r="I27" s="135">
        <v>2282.5814498227464</v>
      </c>
      <c r="J27" s="135">
        <v>2295.3707763037614</v>
      </c>
      <c r="K27" s="135">
        <v>2308.1601027847764</v>
      </c>
      <c r="L27" s="135">
        <v>2320.9494292657914</v>
      </c>
      <c r="M27" s="135">
        <v>2333.7387557468064</v>
      </c>
      <c r="N27" s="135">
        <v>2346.528082227821</v>
      </c>
      <c r="O27" s="135">
        <v>2359.317408708836</v>
      </c>
      <c r="P27" s="135">
        <v>2372.106735189851</v>
      </c>
      <c r="Q27" s="135">
        <v>2384.8960616708659</v>
      </c>
      <c r="R27" s="135">
        <v>2397.6853881518809</v>
      </c>
      <c r="S27" s="135">
        <v>2410.4747146328955</v>
      </c>
      <c r="T27" s="135">
        <v>2423.2640411139105</v>
      </c>
      <c r="U27" s="135">
        <v>2436.0533675949255</v>
      </c>
      <c r="V27" s="135">
        <v>2448.8426940759405</v>
      </c>
      <c r="W27" s="135">
        <v>2461.6320205569555</v>
      </c>
      <c r="X27" s="135">
        <v>2474.42134703797</v>
      </c>
      <c r="Y27" s="135">
        <v>2487.210673518985</v>
      </c>
      <c r="Z27" s="135">
        <v>2500</v>
      </c>
      <c r="AA27" s="135" t="s">
        <v>74</v>
      </c>
    </row>
    <row r="28" spans="2:27" s="116" customFormat="1" ht="27.9" customHeight="1" x14ac:dyDescent="0.25">
      <c r="B28" s="137" t="s">
        <v>78</v>
      </c>
      <c r="C28" s="135"/>
      <c r="D28" s="135">
        <v>0</v>
      </c>
      <c r="E28" s="135">
        <v>301907.96632748569</v>
      </c>
      <c r="F28" s="135">
        <v>378400.55762254173</v>
      </c>
      <c r="G28" s="135">
        <v>473982.17631517717</v>
      </c>
      <c r="H28" s="135">
        <v>592975.76090001059</v>
      </c>
      <c r="I28" s="135">
        <v>675294.25450126105</v>
      </c>
      <c r="J28" s="135">
        <v>740006.64322949701</v>
      </c>
      <c r="K28" s="135">
        <v>793997.18672319001</v>
      </c>
      <c r="L28" s="135">
        <v>840636.01531826099</v>
      </c>
      <c r="M28" s="135">
        <v>881855.9478270564</v>
      </c>
      <c r="N28" s="135">
        <v>918881.17511101882</v>
      </c>
      <c r="O28" s="135">
        <v>952542.14884300227</v>
      </c>
      <c r="P28" s="135">
        <v>983431.38681743061</v>
      </c>
      <c r="Q28" s="135">
        <v>1011988.3529871239</v>
      </c>
      <c r="R28" s="135">
        <v>1038549.1686706089</v>
      </c>
      <c r="S28" s="135">
        <v>1063377.4212622186</v>
      </c>
      <c r="T28" s="135">
        <v>1086684.1477139194</v>
      </c>
      <c r="U28" s="135">
        <v>1108641.2917194464</v>
      </c>
      <c r="V28" s="135">
        <v>1129391.0554484583</v>
      </c>
      <c r="W28" s="135">
        <v>1149052.5745521747</v>
      </c>
      <c r="X28" s="135">
        <v>1167726.7937469189</v>
      </c>
      <c r="Y28" s="135">
        <v>1185500.1003161336</v>
      </c>
      <c r="Z28" s="135">
        <v>1202447.0801988409</v>
      </c>
      <c r="AA28" s="135">
        <v>0.7</v>
      </c>
    </row>
    <row r="29" spans="2:27" s="116" customFormat="1" ht="27.9" customHeight="1" x14ac:dyDescent="0.25">
      <c r="B29" s="139"/>
      <c r="C29" s="129"/>
      <c r="D29" s="135">
        <v>89.76853881518808</v>
      </c>
      <c r="E29" s="135">
        <v>89.896432079998235</v>
      </c>
      <c r="F29" s="135">
        <v>90.024325344808361</v>
      </c>
      <c r="G29" s="135">
        <v>90.280111874428684</v>
      </c>
      <c r="H29" s="135">
        <v>90.791684933669288</v>
      </c>
      <c r="I29" s="135">
        <v>91.303257992909863</v>
      </c>
      <c r="J29" s="135">
        <v>91.814831052150453</v>
      </c>
      <c r="K29" s="135">
        <v>92.326404111391057</v>
      </c>
      <c r="L29" s="135">
        <v>92.83797717063166</v>
      </c>
      <c r="M29" s="135">
        <v>93.349550229872264</v>
      </c>
      <c r="N29" s="135">
        <v>93.86112328911284</v>
      </c>
      <c r="O29" s="135">
        <v>94.372696348353429</v>
      </c>
      <c r="P29" s="135">
        <v>94.884269407594033</v>
      </c>
      <c r="Q29" s="135">
        <v>95.395842466834637</v>
      </c>
      <c r="R29" s="135">
        <v>95.907415526075241</v>
      </c>
      <c r="S29" s="135">
        <v>96.41898858531583</v>
      </c>
      <c r="T29" s="135">
        <v>96.93056164455642</v>
      </c>
      <c r="U29" s="135">
        <v>97.442134703797024</v>
      </c>
      <c r="V29" s="135">
        <v>97.953707763037627</v>
      </c>
      <c r="W29" s="135">
        <v>98.465280822278217</v>
      </c>
      <c r="X29" s="135">
        <v>98.976853881518807</v>
      </c>
      <c r="Y29" s="135">
        <v>99.488426940759396</v>
      </c>
      <c r="Z29" s="135">
        <v>100</v>
      </c>
      <c r="AA29" s="135">
        <v>0</v>
      </c>
    </row>
    <row r="30" spans="2:27" s="116" customFormat="1" ht="27.9" customHeight="1" x14ac:dyDescent="0.25">
      <c r="B30" s="137" t="s">
        <v>77</v>
      </c>
      <c r="C30" s="135">
        <v>2495.0401174683161</v>
      </c>
      <c r="D30" s="135">
        <v>2495.0401174683161</v>
      </c>
      <c r="E30" s="135">
        <v>2495.1021159999623</v>
      </c>
      <c r="F30" s="135">
        <v>2495.164114531608</v>
      </c>
      <c r="G30" s="135">
        <v>2495.2881115949003</v>
      </c>
      <c r="H30" s="135">
        <v>2495.5361057214845</v>
      </c>
      <c r="I30" s="135">
        <v>2495.7840998480688</v>
      </c>
      <c r="J30" s="135">
        <v>2496.032093974653</v>
      </c>
      <c r="K30" s="135">
        <v>2496.2800881012372</v>
      </c>
      <c r="L30" s="135">
        <v>2496.5280822278214</v>
      </c>
      <c r="M30" s="135">
        <v>2496.7760763544056</v>
      </c>
      <c r="N30" s="135">
        <v>2497.0240704809898</v>
      </c>
      <c r="O30" s="135">
        <v>2497.2720646075741</v>
      </c>
      <c r="P30" s="135">
        <v>2497.5200587341578</v>
      </c>
      <c r="Q30" s="135">
        <v>2497.768052860742</v>
      </c>
      <c r="R30" s="135">
        <v>2498.0160469873263</v>
      </c>
      <c r="S30" s="135">
        <v>2498.2640411139105</v>
      </c>
      <c r="T30" s="135">
        <v>2498.5120352404947</v>
      </c>
      <c r="U30" s="135">
        <v>2498.7600293670789</v>
      </c>
      <c r="V30" s="135">
        <v>2499.0080234936631</v>
      </c>
      <c r="W30" s="135">
        <v>2499.2560176202473</v>
      </c>
      <c r="X30" s="135">
        <v>2499.5040117468316</v>
      </c>
      <c r="Y30" s="135">
        <v>2499.7520058734158</v>
      </c>
      <c r="Z30" s="135">
        <v>2500</v>
      </c>
      <c r="AA30" s="135" t="s">
        <v>74</v>
      </c>
    </row>
    <row r="31" spans="2:27" s="116" customFormat="1" ht="27.75" customHeight="1" x14ac:dyDescent="0.25">
      <c r="B31" s="137" t="s">
        <v>76</v>
      </c>
      <c r="C31" s="135"/>
      <c r="D31" s="135">
        <v>0</v>
      </c>
      <c r="E31" s="135">
        <v>75098.609897173286</v>
      </c>
      <c r="F31" s="135">
        <v>94182.356369297486</v>
      </c>
      <c r="G31" s="135">
        <v>118113.94692433813</v>
      </c>
      <c r="H31" s="135">
        <v>148122.40835978228</v>
      </c>
      <c r="I31" s="135">
        <v>169092.37812825461</v>
      </c>
      <c r="J31" s="135">
        <v>185744.62225441443</v>
      </c>
      <c r="K31" s="135">
        <v>199779.87769151543</v>
      </c>
      <c r="L31" s="135">
        <v>212029.07262752642</v>
      </c>
      <c r="M31" s="135">
        <v>222967.82697444261</v>
      </c>
      <c r="N31" s="135">
        <v>232896.80156833894</v>
      </c>
      <c r="O31" s="135">
        <v>242019.56174381598</v>
      </c>
      <c r="P31" s="135">
        <v>250481.06919488061</v>
      </c>
      <c r="Q31" s="135">
        <v>258388.63305069658</v>
      </c>
      <c r="R31" s="135">
        <v>265824.16936312866</v>
      </c>
      <c r="S31" s="135">
        <v>272851.79231686733</v>
      </c>
      <c r="T31" s="135">
        <v>279522.73382949788</v>
      </c>
      <c r="U31" s="135">
        <v>285878.65360706579</v>
      </c>
      <c r="V31" s="135">
        <v>291953.93739116821</v>
      </c>
      <c r="W31" s="135">
        <v>297777.33596462087</v>
      </c>
      <c r="X31" s="135">
        <v>303373.16128676565</v>
      </c>
      <c r="Y31" s="135">
        <v>308762.17713829072</v>
      </c>
      <c r="Z31" s="135">
        <v>313962.27411213215</v>
      </c>
      <c r="AA31" s="135">
        <v>0.6</v>
      </c>
    </row>
    <row r="32" spans="2:27" s="116" customFormat="1" ht="27.9" customHeight="1" x14ac:dyDescent="0.25">
      <c r="B32" s="138"/>
      <c r="C32" s="135"/>
      <c r="D32" s="135">
        <v>99.801604698732646</v>
      </c>
      <c r="E32" s="135">
        <v>99.804084639998493</v>
      </c>
      <c r="F32" s="135">
        <v>99.806564581264325</v>
      </c>
      <c r="G32" s="135">
        <v>99.811524463796005</v>
      </c>
      <c r="H32" s="135">
        <v>99.821444228859377</v>
      </c>
      <c r="I32" s="135">
        <v>99.83136399392275</v>
      </c>
      <c r="J32" s="135">
        <v>99.841283758986123</v>
      </c>
      <c r="K32" s="135">
        <v>99.851203524049495</v>
      </c>
      <c r="L32" s="135">
        <v>99.861123289112854</v>
      </c>
      <c r="M32" s="135">
        <v>99.871043054176226</v>
      </c>
      <c r="N32" s="135">
        <v>99.880962819239599</v>
      </c>
      <c r="O32" s="135">
        <v>99.890882584302972</v>
      </c>
      <c r="P32" s="135">
        <v>99.900802349366316</v>
      </c>
      <c r="Q32" s="135">
        <v>99.910722114429689</v>
      </c>
      <c r="R32" s="135">
        <v>99.920641879493061</v>
      </c>
      <c r="S32" s="135">
        <v>99.93056164455642</v>
      </c>
      <c r="T32" s="135">
        <v>99.940481409619792</v>
      </c>
      <c r="U32" s="135">
        <v>99.950401174683151</v>
      </c>
      <c r="V32" s="135">
        <v>99.960320939746524</v>
      </c>
      <c r="W32" s="135">
        <v>99.970240704809896</v>
      </c>
      <c r="X32" s="135">
        <v>99.980160469873255</v>
      </c>
      <c r="Y32" s="135">
        <v>99.990080234936627</v>
      </c>
      <c r="Z32" s="135">
        <v>100</v>
      </c>
      <c r="AA32" s="135" t="s">
        <v>9</v>
      </c>
    </row>
    <row r="33" spans="2:27" s="116" customFormat="1" ht="27.9" customHeight="1" x14ac:dyDescent="0.25">
      <c r="B33" s="137" t="s">
        <v>75</v>
      </c>
      <c r="C33" s="135">
        <v>1240.9068820252455</v>
      </c>
      <c r="D33" s="135">
        <v>1240.9068820252455</v>
      </c>
      <c r="E33" s="135">
        <v>1256.6455459999299</v>
      </c>
      <c r="F33" s="135">
        <v>1272.3842099746144</v>
      </c>
      <c r="G33" s="135">
        <v>1303.8615379239832</v>
      </c>
      <c r="H33" s="135">
        <v>1366.8161938227211</v>
      </c>
      <c r="I33" s="135">
        <v>1429.7708497214587</v>
      </c>
      <c r="J33" s="135">
        <v>1492.7255056201964</v>
      </c>
      <c r="K33" s="135">
        <v>1555.6801615189343</v>
      </c>
      <c r="L33" s="135">
        <v>1618.6348174176719</v>
      </c>
      <c r="M33" s="135">
        <v>1681.5894733164096</v>
      </c>
      <c r="N33" s="135">
        <v>1744.5441292151472</v>
      </c>
      <c r="O33" s="135">
        <v>1807.4987851138851</v>
      </c>
      <c r="P33" s="135">
        <v>1870.4534410126228</v>
      </c>
      <c r="Q33" s="135">
        <v>1933.4080969113606</v>
      </c>
      <c r="R33" s="135">
        <v>1996.3627528100983</v>
      </c>
      <c r="S33" s="135">
        <v>2059.317408708836</v>
      </c>
      <c r="T33" s="135">
        <v>2122.2720646075736</v>
      </c>
      <c r="U33" s="135">
        <v>2185.2267205063113</v>
      </c>
      <c r="V33" s="135">
        <v>2248.1813764050494</v>
      </c>
      <c r="W33" s="135">
        <v>2311.136032303787</v>
      </c>
      <c r="X33" s="135">
        <v>2374.0906882025247</v>
      </c>
      <c r="Y33" s="135">
        <v>2437.0453441012623</v>
      </c>
      <c r="Z33" s="135">
        <v>2500</v>
      </c>
      <c r="AA33" s="135" t="s">
        <v>74</v>
      </c>
    </row>
    <row r="34" spans="2:27" s="116" customFormat="1" ht="27.9" customHeight="1" x14ac:dyDescent="0.25">
      <c r="B34" s="137" t="s">
        <v>73</v>
      </c>
      <c r="C34" s="135"/>
      <c r="D34" s="135">
        <v>0</v>
      </c>
      <c r="E34" s="135">
        <v>688021.35978785227</v>
      </c>
      <c r="F34" s="135">
        <v>861210.43761833385</v>
      </c>
      <c r="G34" s="135">
        <v>1075909.4673298441</v>
      </c>
      <c r="H34" s="135">
        <v>1338895.1069635961</v>
      </c>
      <c r="I34" s="135">
        <v>1516619.5089456846</v>
      </c>
      <c r="J34" s="135">
        <v>1652994.3922350747</v>
      </c>
      <c r="K34" s="135">
        <v>1763945.9854660803</v>
      </c>
      <c r="L34" s="135">
        <v>1857305.9860004121</v>
      </c>
      <c r="M34" s="135">
        <v>1937586.5365963427</v>
      </c>
      <c r="N34" s="135">
        <v>2007659.0394051103</v>
      </c>
      <c r="O34" s="135">
        <v>2069481.0684644952</v>
      </c>
      <c r="P34" s="135">
        <v>2124456.7460157387</v>
      </c>
      <c r="Q34" s="135">
        <v>2173633.4524982292</v>
      </c>
      <c r="R34" s="135">
        <v>2217817.2591615277</v>
      </c>
      <c r="S34" s="135">
        <v>2257644.6111030262</v>
      </c>
      <c r="T34" s="135">
        <v>2293628.9189158571</v>
      </c>
      <c r="U34" s="135">
        <v>2326192.0015588636</v>
      </c>
      <c r="V34" s="135">
        <v>2355685.9862452024</v>
      </c>
      <c r="W34" s="135">
        <v>2382408.9777412303</v>
      </c>
      <c r="X34" s="135">
        <v>2406616.5334741464</v>
      </c>
      <c r="Y34" s="135">
        <v>2428530.2396573736</v>
      </c>
      <c r="Z34" s="135">
        <v>2448344.2368512331</v>
      </c>
      <c r="AA34" s="135">
        <v>1.1000000000000001</v>
      </c>
    </row>
    <row r="35" spans="2:27" s="116" customFormat="1" ht="27.9" customHeight="1" x14ac:dyDescent="0.25">
      <c r="B35" s="139"/>
      <c r="C35" s="129"/>
      <c r="D35" s="135">
        <v>49.636275281009823</v>
      </c>
      <c r="E35" s="135">
        <v>50.265821839997194</v>
      </c>
      <c r="F35" s="135">
        <v>50.895368398984573</v>
      </c>
      <c r="G35" s="135">
        <v>52.15446151695933</v>
      </c>
      <c r="H35" s="135">
        <v>54.672647752908844</v>
      </c>
      <c r="I35" s="135">
        <v>57.190833988858344</v>
      </c>
      <c r="J35" s="135">
        <v>59.709020224807851</v>
      </c>
      <c r="K35" s="135">
        <v>62.227206460757365</v>
      </c>
      <c r="L35" s="135">
        <v>64.745392696706872</v>
      </c>
      <c r="M35" s="135">
        <v>67.263578932656387</v>
      </c>
      <c r="N35" s="135">
        <v>69.781765168605887</v>
      </c>
      <c r="O35" s="135">
        <v>72.299951404555401</v>
      </c>
      <c r="P35" s="135">
        <v>74.818137640504915</v>
      </c>
      <c r="Q35" s="135">
        <v>77.336323876454429</v>
      </c>
      <c r="R35" s="135">
        <v>79.854510112403929</v>
      </c>
      <c r="S35" s="135">
        <v>82.372696348353429</v>
      </c>
      <c r="T35" s="135">
        <v>84.890882584302943</v>
      </c>
      <c r="U35" s="135">
        <v>87.409068820252457</v>
      </c>
      <c r="V35" s="135">
        <v>89.927255056201972</v>
      </c>
      <c r="W35" s="135">
        <v>92.445441292151486</v>
      </c>
      <c r="X35" s="135">
        <v>94.963627528100986</v>
      </c>
      <c r="Y35" s="135">
        <v>97.4818137640505</v>
      </c>
      <c r="Z35" s="135">
        <v>100</v>
      </c>
      <c r="AA35" s="135">
        <v>0</v>
      </c>
    </row>
    <row r="36" spans="2:27" s="116" customFormat="1" ht="27.9" customHeight="1" x14ac:dyDescent="0.25">
      <c r="B36" s="139"/>
      <c r="C36" s="129"/>
      <c r="D36" s="139"/>
      <c r="E36" s="140"/>
      <c r="F36" s="129"/>
      <c r="G36" s="141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</row>
    <row r="37" spans="2:27" ht="27.9" customHeight="1" x14ac:dyDescent="0.35">
      <c r="B37" s="127" t="s">
        <v>72</v>
      </c>
      <c r="C37" s="129"/>
      <c r="D37" s="129"/>
      <c r="E37" s="142"/>
      <c r="F37" s="127" t="s">
        <v>71</v>
      </c>
      <c r="G37" s="127" t="s">
        <v>24</v>
      </c>
      <c r="H37" s="127" t="s">
        <v>66</v>
      </c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</row>
    <row r="38" spans="2:27" ht="27.9" customHeight="1" x14ac:dyDescent="0.35">
      <c r="B38" s="143" t="s">
        <v>70</v>
      </c>
      <c r="C38" s="144">
        <v>1875000</v>
      </c>
      <c r="D38" s="145">
        <v>80</v>
      </c>
      <c r="E38" s="142"/>
      <c r="F38" s="143">
        <v>3.0609999999999999</v>
      </c>
      <c r="G38" s="146">
        <v>1875000</v>
      </c>
      <c r="H38" s="143">
        <v>2000</v>
      </c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</row>
    <row r="39" spans="2:27" ht="27.9" customHeight="1" x14ac:dyDescent="0.35">
      <c r="B39" s="143" t="s">
        <v>69</v>
      </c>
      <c r="C39" s="144">
        <v>2179687.5</v>
      </c>
      <c r="D39" s="145">
        <v>100</v>
      </c>
      <c r="E39" s="142"/>
      <c r="F39" s="127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</row>
    <row r="40" spans="2:27" ht="27.9" customHeight="1" x14ac:dyDescent="0.35">
      <c r="B40" s="143" t="s">
        <v>68</v>
      </c>
      <c r="C40" s="147">
        <v>100</v>
      </c>
      <c r="D40" s="147">
        <v>100</v>
      </c>
      <c r="E40" s="142"/>
      <c r="F40" s="143" t="s">
        <v>68</v>
      </c>
      <c r="G40" s="148">
        <v>2500</v>
      </c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</row>
    <row r="41" spans="2:27" ht="27.9" customHeight="1" x14ac:dyDescent="0.35">
      <c r="B41" s="143" t="s">
        <v>67</v>
      </c>
      <c r="C41" s="147">
        <v>60</v>
      </c>
      <c r="D41" s="147">
        <v>60</v>
      </c>
      <c r="E41" s="142"/>
      <c r="F41" s="143" t="s">
        <v>67</v>
      </c>
      <c r="G41" s="143">
        <v>1500</v>
      </c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</row>
    <row r="42" spans="2:27" ht="27.9" customHeight="1" x14ac:dyDescent="0.35">
      <c r="B42" s="143" t="s">
        <v>66</v>
      </c>
      <c r="C42" s="147">
        <v>80</v>
      </c>
      <c r="D42" s="147">
        <v>80</v>
      </c>
      <c r="E42" s="142"/>
      <c r="F42" s="143" t="s">
        <v>58</v>
      </c>
      <c r="G42" s="149">
        <v>1000</v>
      </c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</row>
    <row r="43" spans="2:27" ht="27.9" customHeight="1" x14ac:dyDescent="0.35">
      <c r="B43" s="143" t="s">
        <v>65</v>
      </c>
      <c r="C43" s="150">
        <v>0</v>
      </c>
      <c r="D43" s="144">
        <v>3750000.0000000009</v>
      </c>
      <c r="E43" s="142"/>
      <c r="F43" s="143" t="s">
        <v>64</v>
      </c>
      <c r="G43" s="149">
        <v>1750</v>
      </c>
      <c r="H43" s="149">
        <v>1750</v>
      </c>
      <c r="I43" s="151" t="s">
        <v>63</v>
      </c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</row>
    <row r="44" spans="2:27" ht="27.9" customHeight="1" x14ac:dyDescent="0.35">
      <c r="B44" s="143" t="s">
        <v>62</v>
      </c>
      <c r="C44" s="147">
        <v>106</v>
      </c>
      <c r="D44" s="145">
        <v>106</v>
      </c>
      <c r="E44" s="142"/>
      <c r="F44" s="143" t="s">
        <v>61</v>
      </c>
      <c r="G44" s="149">
        <v>70</v>
      </c>
      <c r="H44" s="149">
        <v>70</v>
      </c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</row>
    <row r="45" spans="2:27" ht="27.9" customHeight="1" x14ac:dyDescent="0.35">
      <c r="B45" s="143" t="s">
        <v>60</v>
      </c>
      <c r="C45" s="147">
        <v>30</v>
      </c>
      <c r="D45" s="150">
        <v>187500</v>
      </c>
      <c r="E45" s="142"/>
      <c r="F45" s="143" t="s">
        <v>59</v>
      </c>
      <c r="G45" s="149">
        <v>60</v>
      </c>
      <c r="H45" s="146">
        <v>0</v>
      </c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</row>
    <row r="46" spans="2:27" ht="27.9" customHeight="1" x14ac:dyDescent="0.35">
      <c r="B46" s="143" t="s">
        <v>58</v>
      </c>
      <c r="C46" s="147">
        <v>80</v>
      </c>
      <c r="D46" s="150">
        <v>187500</v>
      </c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</row>
    <row r="47" spans="2:27" ht="27.9" customHeight="1" x14ac:dyDescent="0.35">
      <c r="B47" s="143" t="s">
        <v>57</v>
      </c>
      <c r="C47" s="147">
        <v>103</v>
      </c>
      <c r="D47" s="150">
        <v>187500</v>
      </c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</row>
    <row r="48" spans="2:27" ht="27.9" customHeight="1" x14ac:dyDescent="0.35"/>
    <row r="49" s="115" customFormat="1" ht="15" hidden="1" customHeight="1" x14ac:dyDescent="0.35"/>
    <row r="50" s="115" customFormat="1" ht="15" hidden="1" customHeight="1" x14ac:dyDescent="0.35"/>
    <row r="51" s="115" customFormat="1" ht="15" hidden="1" customHeight="1" x14ac:dyDescent="0.35"/>
    <row r="52" s="115" customFormat="1" ht="15" hidden="1" customHeight="1" x14ac:dyDescent="0.35"/>
    <row r="53" s="115" customFormat="1" ht="15" hidden="1" customHeight="1" x14ac:dyDescent="0.35"/>
    <row r="54" s="115" customFormat="1" ht="15" hidden="1" customHeight="1" x14ac:dyDescent="0.35"/>
    <row r="55" s="115" customFormat="1" ht="15" hidden="1" customHeight="1" x14ac:dyDescent="0.35"/>
    <row r="56" s="115" customFormat="1" ht="15" hidden="1" customHeight="1" x14ac:dyDescent="0.35"/>
    <row r="57" s="115" customFormat="1" ht="15" hidden="1" customHeight="1" x14ac:dyDescent="0.35"/>
    <row r="58" s="115" customFormat="1" ht="15" hidden="1" customHeight="1" x14ac:dyDescent="0.35"/>
    <row r="59" s="115" customFormat="1" ht="15" hidden="1" customHeight="1" x14ac:dyDescent="0.35"/>
    <row r="60" s="115" customFormat="1" ht="15" hidden="1" customHeight="1" x14ac:dyDescent="0.35"/>
    <row r="61" s="115" customFormat="1" ht="15" hidden="1" customHeight="1" x14ac:dyDescent="0.35"/>
    <row r="62" s="115" customFormat="1" ht="15" hidden="1" customHeight="1" x14ac:dyDescent="0.35"/>
    <row r="63" s="115" customFormat="1" ht="15" hidden="1" customHeight="1" x14ac:dyDescent="0.35"/>
    <row r="64" s="115" customFormat="1" ht="15" hidden="1" customHeight="1" x14ac:dyDescent="0.35"/>
    <row r="65" s="115" customFormat="1" ht="15" hidden="1" customHeight="1" x14ac:dyDescent="0.35"/>
    <row r="66" s="115" customFormat="1" ht="15" hidden="1" customHeight="1" x14ac:dyDescent="0.35"/>
    <row r="67" s="115" customFormat="1" ht="15" hidden="1" customHeight="1" x14ac:dyDescent="0.35"/>
    <row r="68" s="115" customFormat="1" ht="15" hidden="1" customHeight="1" x14ac:dyDescent="0.35"/>
    <row r="69" s="115" customFormat="1" ht="15" hidden="1" customHeight="1" x14ac:dyDescent="0.35"/>
    <row r="70" s="115" customFormat="1" ht="15" hidden="1" customHeight="1" x14ac:dyDescent="0.35"/>
    <row r="71" s="115" customFormat="1" ht="15" hidden="1" customHeight="1" x14ac:dyDescent="0.35"/>
    <row r="72" s="115" customFormat="1" ht="15" hidden="1" customHeight="1" x14ac:dyDescent="0.35"/>
    <row r="73" s="115" customFormat="1" ht="15" hidden="1" customHeight="1" x14ac:dyDescent="0.35"/>
    <row r="74" s="115" customFormat="1" ht="15" hidden="1" customHeight="1" x14ac:dyDescent="0.35"/>
    <row r="75" s="115" customFormat="1" ht="15" hidden="1" customHeight="1" x14ac:dyDescent="0.35"/>
    <row r="76" s="115" customFormat="1" ht="15" hidden="1" customHeight="1" x14ac:dyDescent="0.35"/>
    <row r="77" s="115" customFormat="1" ht="15" hidden="1" customHeight="1" x14ac:dyDescent="0.35"/>
    <row r="78" s="115" customFormat="1" ht="15" hidden="1" customHeight="1" x14ac:dyDescent="0.35"/>
    <row r="79" s="115" customFormat="1" ht="15" hidden="1" customHeight="1" x14ac:dyDescent="0.35"/>
    <row r="80" s="115" customFormat="1" ht="15" hidden="1" customHeight="1" x14ac:dyDescent="0.35"/>
  </sheetData>
  <sheetProtection algorithmName="SHA-512" hashValue="RNj+KRH734PZuHT/DrLNPf0A+J+MtB7cqc37hdg1gSjFUrU7OsrtJO7juMMxvp4yZoXxbxpitSET9CzazkqQLg==" saltValue="uh1lvpy6sBuLUUg84rV1oQ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Tarieven</vt:lpstr>
      <vt:lpstr>Bonus-Malus</vt:lpstr>
      <vt:lpstr>BPK-Grafiek</vt:lpstr>
      <vt:lpstr>DATA</vt:lpstr>
      <vt:lpstr>Spreiding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Gertjan G.J. Schut</cp:lastModifiedBy>
  <dcterms:created xsi:type="dcterms:W3CDTF">2019-03-04T14:58:42Z</dcterms:created>
  <dcterms:modified xsi:type="dcterms:W3CDTF">2023-09-01T12:51:59Z</dcterms:modified>
</cp:coreProperties>
</file>