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3\202306104 Various Sites 6&amp;7 MetOcean Campaigns\2 Aanbestedingsdocument\bijlagen\"/>
    </mc:Choice>
  </mc:AlternateContent>
  <xr:revisionPtr revIDLastSave="0" documentId="13_ncr:1_{7CF5AC42-374F-4590-AA66-86E55E976347}" xr6:coauthVersionLast="47" xr6:coauthVersionMax="47" xr10:uidLastSave="{00000000-0000-0000-0000-000000000000}"/>
  <bookViews>
    <workbookView xWindow="-120" yWindow="-120" windowWidth="29040" windowHeight="15840" activeTab="1" xr2:uid="{6D7795A8-1AFB-452E-96A6-4AB049631158}"/>
  </bookViews>
  <sheets>
    <sheet name="Rates_example" sheetId="18" r:id="rId1"/>
    <sheet name="Rates" sheetId="20" r:id="rId2"/>
    <sheet name="data_availability_eg" sheetId="15" r:id="rId3"/>
  </sheets>
  <definedNames>
    <definedName name="_xlnm.Print_Area" localSheetId="1">Rates!$B$2:$G$62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18" l="1"/>
  <c r="C62" i="20"/>
  <c r="G47" i="20" l="1"/>
  <c r="G46" i="20"/>
  <c r="G45" i="20"/>
  <c r="G43" i="20"/>
  <c r="G42" i="20"/>
  <c r="A42" i="20"/>
  <c r="A43" i="20" s="1"/>
  <c r="A45" i="20" s="1"/>
  <c r="A46" i="20" s="1"/>
  <c r="A47" i="20" s="1"/>
  <c r="G41" i="20"/>
  <c r="A41" i="20"/>
  <c r="G40" i="20"/>
  <c r="A40" i="20"/>
  <c r="G39" i="20"/>
  <c r="G38" i="20"/>
  <c r="G37" i="20"/>
  <c r="G36" i="20"/>
  <c r="G34" i="20"/>
  <c r="G33" i="20"/>
  <c r="G32" i="20"/>
  <c r="G31" i="20"/>
  <c r="G25" i="20"/>
  <c r="G24" i="20"/>
  <c r="G23" i="20"/>
  <c r="G22" i="20"/>
  <c r="G21" i="20"/>
  <c r="G20" i="20"/>
  <c r="E19" i="20"/>
  <c r="D19" i="20"/>
  <c r="G19" i="20" s="1"/>
  <c r="G18" i="20"/>
  <c r="G17" i="20"/>
  <c r="D16" i="20"/>
  <c r="G16" i="20" s="1"/>
  <c r="G15" i="20"/>
  <c r="G14" i="20"/>
  <c r="D13" i="20"/>
  <c r="G13" i="20" s="1"/>
  <c r="G12" i="20"/>
  <c r="G11" i="20"/>
  <c r="E10" i="20"/>
  <c r="G9" i="20"/>
  <c r="G8" i="20"/>
  <c r="G7" i="20"/>
  <c r="E7" i="20"/>
  <c r="D7" i="20"/>
  <c r="D9" i="20" s="1"/>
  <c r="D10" i="20" s="1"/>
  <c r="G25" i="18"/>
  <c r="G22" i="18"/>
  <c r="G16" i="18"/>
  <c r="G13" i="18"/>
  <c r="E10" i="18"/>
  <c r="E7" i="18"/>
  <c r="G39" i="18"/>
  <c r="G38" i="18"/>
  <c r="G37" i="18"/>
  <c r="A46" i="18"/>
  <c r="A47" i="18" s="1"/>
  <c r="A45" i="18"/>
  <c r="A41" i="18"/>
  <c r="A42" i="18" s="1"/>
  <c r="A43" i="18" s="1"/>
  <c r="A40" i="18"/>
  <c r="G49" i="20" l="1"/>
  <c r="G10" i="20"/>
  <c r="G27" i="20" s="1"/>
  <c r="C55" i="20" s="1"/>
  <c r="C56" i="20" l="1"/>
  <c r="C61" i="20" s="1"/>
  <c r="G31" i="18" l="1"/>
  <c r="G4" i="15"/>
  <c r="F4" i="15" s="1"/>
  <c r="E4" i="15" s="1"/>
  <c r="G47" i="18"/>
  <c r="G46" i="18"/>
  <c r="G45" i="18"/>
  <c r="G43" i="18"/>
  <c r="G42" i="18"/>
  <c r="G41" i="18"/>
  <c r="G40" i="18"/>
  <c r="G36" i="18"/>
  <c r="G34" i="18"/>
  <c r="G33" i="18"/>
  <c r="G32" i="18"/>
  <c r="G24" i="18"/>
  <c r="G23" i="18"/>
  <c r="G21" i="18"/>
  <c r="G20" i="18"/>
  <c r="D19" i="18"/>
  <c r="G18" i="18"/>
  <c r="D13" i="18"/>
  <c r="G12" i="18"/>
  <c r="G17" i="18"/>
  <c r="D16" i="18"/>
  <c r="G15" i="18"/>
  <c r="G14" i="18"/>
  <c r="G11" i="18"/>
  <c r="G9" i="18"/>
  <c r="G8" i="18"/>
  <c r="E19" i="18"/>
  <c r="G19" i="18" s="1"/>
  <c r="G7" i="18"/>
  <c r="D7" i="18"/>
  <c r="D9" i="18" s="1"/>
  <c r="D10" i="18" s="1"/>
  <c r="G10" i="18" s="1"/>
  <c r="G49" i="18" l="1"/>
  <c r="G27" i="18"/>
  <c r="C55" i="18" s="1"/>
  <c r="H6" i="15"/>
  <c r="I6" i="15"/>
  <c r="C56" i="18" l="1"/>
  <c r="C61" i="18" s="1"/>
  <c r="G6" i="15"/>
  <c r="I20" i="15" l="1"/>
  <c r="H20" i="15"/>
  <c r="I18" i="15"/>
  <c r="H18" i="15"/>
  <c r="I16" i="15"/>
  <c r="H16" i="15"/>
  <c r="I14" i="15"/>
  <c r="H14" i="15"/>
  <c r="I12" i="15"/>
  <c r="H12" i="15"/>
  <c r="I10" i="15"/>
  <c r="H10" i="15"/>
  <c r="I8" i="15"/>
  <c r="H8" i="15"/>
  <c r="G8" i="15" s="1"/>
  <c r="E8" i="15" s="1"/>
  <c r="I4" i="15"/>
  <c r="H4" i="15"/>
  <c r="F20" i="15" l="1"/>
  <c r="F18" i="15"/>
  <c r="F16" i="15"/>
  <c r="G10" i="15"/>
  <c r="E10" i="15" s="1"/>
  <c r="G16" i="15"/>
  <c r="E16" i="15"/>
  <c r="F6" i="15"/>
  <c r="E6" i="15" s="1"/>
  <c r="F14" i="15"/>
  <c r="F12" i="15"/>
  <c r="G12" i="15"/>
  <c r="G20" i="15"/>
  <c r="G14" i="15"/>
  <c r="E20" i="15" l="1"/>
  <c r="E12" i="15"/>
  <c r="E14" i="15"/>
  <c r="G18" i="15"/>
  <c r="E18" i="15" s="1"/>
</calcChain>
</file>

<file path=xl/sharedStrings.xml><?xml version="1.0" encoding="utf-8"?>
<sst xmlns="http://schemas.openxmlformats.org/spreadsheetml/2006/main" count="276" uniqueCount="102">
  <si>
    <t xml:space="preserve">Lot </t>
  </si>
  <si>
    <t>Lot 1</t>
  </si>
  <si>
    <t>Data availability overview and blank cells are  automatically calculated based on input in orange fields</t>
  </si>
  <si>
    <t>Fill in the Lot this price sheet applies to. For every Lot the Tenderer would like to provide an offer a price sheet should be provided</t>
  </si>
  <si>
    <t>ALL PRICES IN EUROS excluding of VAT</t>
  </si>
  <si>
    <t>Description</t>
  </si>
  <si>
    <t>Unit</t>
  </si>
  <si>
    <t>Metocean data</t>
  </si>
  <si>
    <t>Required
Environmental &amp; Ecological Data</t>
  </si>
  <si>
    <t>Number included in Virtual price</t>
  </si>
  <si>
    <t>Contribution to virtual price</t>
  </si>
  <si>
    <t>ALL PRICES IN EUROS</t>
  </si>
  <si>
    <t>1) SYSTEM MONTHLY BASE FEE (§ 2.2)
Fee for the provision of validated meteorological and oceanographic data, including waiting on weather and reporting (at 100% Weighted Post-processed Data Availability) for one system (including floating lidar and oceanographic buoys and bottom mounted systems)</t>
  </si>
  <si>
    <t>Per calendar month</t>
  </si>
  <si>
    <t>N/A</t>
  </si>
  <si>
    <t>Orange fields to be filled-out by Tenderer</t>
  </si>
  <si>
    <t xml:space="preserve">2) TOTAL MONTHLY BASE FEE (§ 2.2)
Fee for the provision of two systems as described in 1) above and one reserve system with 100% availability EXCLUDING BONUS
</t>
  </si>
  <si>
    <t>PARAGRAPH NUMBERS REFER TO ANNEX 5 SECTION II</t>
  </si>
  <si>
    <t>3) Associated maximum bonus, with both deployed systems with 100% data availability  Computed per month and per system (§3.3.3)</t>
  </si>
  <si>
    <t xml:space="preserve">4) TOTAL MONTHLY FEE INCLUDING MAXIMUM BONUS
computed as 2) plus 3)
</t>
  </si>
  <si>
    <t>Blue fields - intermediate results used in virtual price</t>
  </si>
  <si>
    <t xml:space="preserve">Project Documentation (PEP and PQP and HSE, §3.1.2) </t>
  </si>
  <si>
    <t>one times the all-inclusive monthly fee for the provision of the final and approved Project documentation including PEP, PQP and HSE (excluding workpackages)</t>
  </si>
  <si>
    <t>one-off</t>
  </si>
  <si>
    <t>n/a</t>
  </si>
  <si>
    <t>Validation Fee (§3.1.3)</t>
  </si>
  <si>
    <t xml:space="preserve">half times the Total Monthly Base Fee for the provision of the validation report per Floating Lidar System including an uncertainty analysis. </t>
  </si>
  <si>
    <t>Mobilisation Fee (§3.1.4)</t>
  </si>
  <si>
    <t xml:space="preserve">two times the monthly fee for the mobilisation as described in paragraph </t>
  </si>
  <si>
    <t>Relocation (§3.1.7)</t>
  </si>
  <si>
    <t>Relocation of one set of systems within a SA or WFZ to a different SA or WFZ within the Investigation Area up to a maximum of 80.000 EUR for both Metocean Systems and Required Environmental &amp; Ecological Systems</t>
  </si>
  <si>
    <t>Per relocation</t>
  </si>
  <si>
    <t>Contribution RVO Redployment after Force Majeur Incidents (§3.1.8)</t>
  </si>
  <si>
    <t xml:space="preserve">max monetary contribution RVO for every re-deployment after first three re-deployments in campaign`(max 50.000 EUR) </t>
  </si>
  <si>
    <t>Per re-deployment</t>
  </si>
  <si>
    <t>Virtual Price Basic Proposal</t>
  </si>
  <si>
    <t>Pricing for optional items</t>
  </si>
  <si>
    <t>Position</t>
  </si>
  <si>
    <t>Optional
Environmental &amp; Ecological Data</t>
  </si>
  <si>
    <t>Times included in virtual optional price</t>
  </si>
  <si>
    <t>Price of option for 24 month campaign</t>
  </si>
  <si>
    <t>It is assumed that any costs for mobilsation, redeployment and relocation for Optional Environmental &amp; Ecological Data are included in the monthly price</t>
  </si>
  <si>
    <t>Bat and bird monitoring according to the Motus Wildlife Tracking System</t>
  </si>
  <si>
    <t>Per month for TWO systems</t>
  </si>
  <si>
    <t>At the sea surface (~1m below the water surface)</t>
  </si>
  <si>
    <t>Spectral Light</t>
  </si>
  <si>
    <t>Photosynthetically active radiation (PAR)</t>
  </si>
  <si>
    <t>Green fields may be filled in or left blank. If a price greater than 0 is filled in it will be taken as a firm price and the item will be included in the points assessment</t>
  </si>
  <si>
    <r>
      <t>CO</t>
    </r>
    <r>
      <rPr>
        <vertAlign val="subscript"/>
        <sz val="9"/>
        <color theme="1"/>
        <rFont val="Verdana"/>
        <family val="2"/>
      </rPr>
      <t>2</t>
    </r>
  </si>
  <si>
    <t xml:space="preserve">Water Temperature, </t>
  </si>
  <si>
    <t>At mid depth in the water column</t>
  </si>
  <si>
    <t xml:space="preserve"> Conductivity / Salinity, </t>
  </si>
  <si>
    <t xml:space="preserve">Dissolved Oxygen, </t>
  </si>
  <si>
    <t>Turbidity via OBS sensor</t>
  </si>
  <si>
    <t>Chlorophyl</t>
  </si>
  <si>
    <t>CO2</t>
  </si>
  <si>
    <t>Near to the seabed (@ ~1m above the seabed)</t>
  </si>
  <si>
    <t>TOTALS</t>
  </si>
  <si>
    <t>Note that 3 points can be gained by proposing all options - see tender document.</t>
  </si>
  <si>
    <t>POINTS CALCULATION</t>
  </si>
  <si>
    <t>Total Virtual Price</t>
  </si>
  <si>
    <t>Virtual price basic proposal</t>
  </si>
  <si>
    <t>Virtual price including options</t>
  </si>
  <si>
    <t>max price including options</t>
  </si>
  <si>
    <t>minimum price</t>
  </si>
  <si>
    <t>Points awarded</t>
  </si>
  <si>
    <t xml:space="preserve">See 5.4 of Tender document for formula (max 20 points) </t>
  </si>
  <si>
    <t>Lot Number</t>
  </si>
  <si>
    <t>NOTE: Bonus and Malus are determined per system/ measurement buoy. For the purposes of illustration, this sheet assumes that both systems have the same data availability.</t>
  </si>
  <si>
    <t>Unit Rate</t>
  </si>
  <si>
    <t>at 100% Weighted Post-processed Data Availability including bonus</t>
  </si>
  <si>
    <t>associated bonus maximum bonus for two measuring systems at 100% data availabilty</t>
  </si>
  <si>
    <t>associated monthly fee for 100% data availability excluding bonus</t>
  </si>
  <si>
    <t xml:space="preserve">two measuring buoys </t>
  </si>
  <si>
    <t>Spare buoy</t>
  </si>
  <si>
    <t>Fee for the provision of validated meteorological and oceanographic data, including waiting on weather and reporting by means of two measuring systems and one spare system. </t>
  </si>
  <si>
    <t xml:space="preserve">€ </t>
  </si>
  <si>
    <t>at 96% Weighted Post-processed Data Availability including bonus</t>
  </si>
  <si>
    <t>associatedbonus for two measuring systems at 96% data availabilty</t>
  </si>
  <si>
    <t>associated monthly fee for 96% data availability excluding bonus</t>
  </si>
  <si>
    <t>at 95% Weighted Post-processed Data Availability including bonus</t>
  </si>
  <si>
    <t>associatedbonus for two measuring systems at 95% data availabilty</t>
  </si>
  <si>
    <t>associated monthly fee for 95% data availability excluding bonus</t>
  </si>
  <si>
    <t>at 85% Weighted Post-processed Data Availability including bonus</t>
  </si>
  <si>
    <t>associated bonus for two measuring systems at 85% data availabilty</t>
  </si>
  <si>
    <t>associated monthly fee for 85% data availability excluding bonus</t>
  </si>
  <si>
    <t>at 80% Weighted Post-processed Data Availability including bonus</t>
  </si>
  <si>
    <t>associated malus for two measuring systems at 80% data availabilty</t>
  </si>
  <si>
    <t>associated monthly fee for 80% data availability excluding bonus</t>
  </si>
  <si>
    <t>at 70% Weighted Post-processed Data Availability including bonus</t>
  </si>
  <si>
    <t>associated malus for two measuring systems at 70% data availabilty</t>
  </si>
  <si>
    <t>associated monthly fee for 70% data availability excluding bonus</t>
  </si>
  <si>
    <t>at 50% Weighted Post-processed Data Availability including bonus</t>
  </si>
  <si>
    <t>associated malus for two measuring systems at 50% data availabilty</t>
  </si>
  <si>
    <t>associated monthly fee for 50% data availability excluding bonus</t>
  </si>
  <si>
    <t>at 25% Weighted Post-processed Data Availability including bonus</t>
  </si>
  <si>
    <t>associated malus for two measuring systems at 25% data availabilty</t>
  </si>
  <si>
    <t>associated monthly fee for 25% data availability excluding bonus</t>
  </si>
  <si>
    <t>at 0% Weighted Post-processed Data Availability including bonus</t>
  </si>
  <si>
    <t>associated malus for two measuring systems at 0% data availabilty</t>
  </si>
  <si>
    <t>associated monthly fee for 0% data availability excluding bonus</t>
  </si>
  <si>
    <t>Undefined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</si>
</sst>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-1809]* #,##0.00_-;\-[$€-1809]* #,##0.00_-;_-[$€-1809]* &quot;-&quot;??_-;_-@_-"/>
    <numFmt numFmtId="165" formatCode="_-[$€-2]\ * #,##0_-;\-[$€-2]\ * #,##0_-;_-[$€-2]\ * &quot;-&quot;_-;_-@_-"/>
  </numFmts>
  <fonts count="19" x14ac:knownFonts="1">
    <font>
      <sz val="11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FFFFF"/>
      <name val="Verdana"/>
      <family val="2"/>
    </font>
    <font>
      <sz val="14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8"/>
      <color rgb="FF3F3F76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vertAlign val="subscript"/>
      <sz val="9"/>
      <color theme="1"/>
      <name val="Verdana"/>
      <family val="2"/>
    </font>
    <font>
      <b/>
      <sz val="11"/>
      <color theme="1"/>
      <name val="Calibri"/>
      <family val="2"/>
    </font>
    <font>
      <sz val="18"/>
      <color theme="4"/>
      <name val="Calibri"/>
      <family val="2"/>
    </font>
    <font>
      <sz val="18"/>
      <color theme="4"/>
      <name val="Calibri"/>
      <family val="2"/>
      <scheme val="minor"/>
    </font>
    <font>
      <sz val="14"/>
      <color rgb="FF3F3F76"/>
      <name val="Calibri"/>
      <family val="2"/>
      <scheme val="minor"/>
    </font>
    <font>
      <b/>
      <i/>
      <sz val="9"/>
      <color theme="1"/>
      <name val="Verdana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3" borderId="6" applyNumberFormat="0" applyAlignment="0" applyProtection="0"/>
  </cellStyleXfs>
  <cellXfs count="140">
    <xf numFmtId="0" fontId="0" fillId="0" borderId="0" xfId="0"/>
    <xf numFmtId="0" fontId="1" fillId="2" borderId="1" xfId="0" applyFont="1" applyFill="1" applyBorder="1" applyAlignment="1">
      <alignment vertical="center" wrapText="1"/>
    </xf>
    <xf numFmtId="2" fontId="0" fillId="0" borderId="0" xfId="0" applyNumberFormat="1"/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0" applyNumberFormat="1" applyFont="1" applyAlignment="1" applyProtection="1">
      <alignment vertical="center" wrapText="1"/>
      <protection locked="0"/>
    </xf>
    <xf numFmtId="44" fontId="2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44" fontId="0" fillId="0" borderId="0" xfId="0" applyNumberFormat="1"/>
    <xf numFmtId="0" fontId="1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4" fontId="5" fillId="0" borderId="0" xfId="1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0" fillId="0" borderId="0" xfId="0" applyNumberForma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quotePrefix="1"/>
    <xf numFmtId="44" fontId="10" fillId="4" borderId="1" xfId="0" applyNumberFormat="1" applyFont="1" applyFill="1" applyBorder="1" applyAlignment="1" applyProtection="1">
      <alignment vertical="center" wrapText="1"/>
      <protection locked="0"/>
    </xf>
    <xf numFmtId="44" fontId="5" fillId="4" borderId="1" xfId="1" applyNumberFormat="1" applyFill="1" applyBorder="1" applyAlignment="1" applyProtection="1">
      <alignment vertical="center" wrapText="1"/>
      <protection locked="0"/>
    </xf>
    <xf numFmtId="44" fontId="9" fillId="0" borderId="0" xfId="1" applyNumberFormat="1" applyFont="1" applyFill="1" applyBorder="1" applyAlignment="1" applyProtection="1">
      <alignment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4" fontId="5" fillId="0" borderId="1" xfId="1" applyNumberFormat="1" applyFill="1" applyBorder="1" applyAlignment="1" applyProtection="1">
      <alignment vertical="center" wrapText="1"/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44" fontId="5" fillId="3" borderId="8" xfId="1" applyNumberFormat="1" applyBorder="1" applyAlignment="1" applyProtection="1">
      <alignment vertical="center" wrapText="1"/>
      <protection locked="0"/>
    </xf>
    <xf numFmtId="44" fontId="2" fillId="0" borderId="1" xfId="0" applyNumberFormat="1" applyFont="1" applyBorder="1" applyAlignment="1" applyProtection="1">
      <alignment vertical="center" wrapText="1"/>
      <protection locked="0"/>
    </xf>
    <xf numFmtId="0" fontId="6" fillId="2" borderId="5" xfId="0" applyFont="1" applyFill="1" applyBorder="1" applyAlignment="1">
      <alignment vertical="center" wrapText="1"/>
    </xf>
    <xf numFmtId="0" fontId="2" fillId="0" borderId="0" xfId="0" applyFont="1"/>
    <xf numFmtId="0" fontId="2" fillId="0" borderId="11" xfId="0" applyFont="1" applyBorder="1" applyAlignment="1">
      <alignment wrapText="1"/>
    </xf>
    <xf numFmtId="0" fontId="2" fillId="0" borderId="11" xfId="0" applyFont="1" applyBorder="1"/>
    <xf numFmtId="4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44" fontId="13" fillId="0" borderId="1" xfId="0" applyNumberFormat="1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65" fontId="0" fillId="0" borderId="11" xfId="0" applyNumberForma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4" fontId="5" fillId="5" borderId="1" xfId="1" applyNumberFormat="1" applyFill="1" applyBorder="1" applyAlignment="1" applyProtection="1">
      <alignment vertical="center" wrapText="1"/>
      <protection locked="0"/>
    </xf>
    <xf numFmtId="44" fontId="5" fillId="5" borderId="11" xfId="1" applyNumberFormat="1" applyFill="1" applyBorder="1" applyAlignment="1" applyProtection="1">
      <alignment vertical="center" wrapText="1"/>
      <protection locked="0"/>
    </xf>
    <xf numFmtId="44" fontId="2" fillId="0" borderId="1" xfId="0" quotePrefix="1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Protection="1"/>
    <xf numFmtId="0" fontId="1" fillId="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2" fontId="0" fillId="0" borderId="0" xfId="0" applyNumberForma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44" fontId="5" fillId="0" borderId="1" xfId="1" applyNumberFormat="1" applyFill="1" applyBorder="1" applyAlignment="1" applyProtection="1">
      <alignment vertical="center" wrapText="1"/>
    </xf>
    <xf numFmtId="44" fontId="2" fillId="0" borderId="1" xfId="0" applyNumberFormat="1" applyFont="1" applyBorder="1" applyAlignment="1" applyProtection="1">
      <alignment vertical="center" wrapText="1"/>
    </xf>
    <xf numFmtId="44" fontId="2" fillId="0" borderId="1" xfId="0" applyNumberFormat="1" applyFont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vertical="center" wrapText="1"/>
    </xf>
    <xf numFmtId="44" fontId="9" fillId="0" borderId="0" xfId="1" applyNumberFormat="1" applyFont="1" applyFill="1" applyBorder="1" applyAlignment="1" applyProtection="1">
      <alignment vertical="center" wrapText="1"/>
    </xf>
    <xf numFmtId="44" fontId="5" fillId="4" borderId="1" xfId="1" applyNumberForma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44" fontId="5" fillId="0" borderId="0" xfId="1" applyNumberFormat="1" applyFill="1" applyBorder="1" applyAlignment="1" applyProtection="1">
      <alignment vertical="center" wrapText="1"/>
    </xf>
    <xf numFmtId="2" fontId="0" fillId="0" borderId="0" xfId="0" applyNumberFormat="1" applyProtection="1"/>
    <xf numFmtId="0" fontId="6" fillId="2" borderId="5" xfId="0" applyFont="1" applyFill="1" applyBorder="1" applyAlignment="1" applyProtection="1">
      <alignment vertical="center" wrapText="1"/>
    </xf>
    <xf numFmtId="0" fontId="1" fillId="2" borderId="8" xfId="0" applyFont="1" applyFill="1" applyBorder="1" applyAlignment="1" applyProtection="1">
      <alignment vertical="center" wrapText="1"/>
    </xf>
    <xf numFmtId="0" fontId="1" fillId="2" borderId="0" xfId="0" applyFont="1" applyFill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44" fontId="10" fillId="4" borderId="1" xfId="0" applyNumberFormat="1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0" xfId="0" applyFont="1" applyFill="1" applyAlignment="1" applyProtection="1">
      <alignment vertical="center" wrapText="1"/>
    </xf>
    <xf numFmtId="44" fontId="2" fillId="0" borderId="0" xfId="0" applyNumberFormat="1" applyFont="1" applyAlignment="1" applyProtection="1">
      <alignment horizontal="center" vertical="center" wrapText="1"/>
    </xf>
    <xf numFmtId="0" fontId="4" fillId="0" borderId="0" xfId="0" applyFont="1" applyProtection="1"/>
    <xf numFmtId="0" fontId="3" fillId="0" borderId="4" xfId="0" applyFont="1" applyBorder="1" applyAlignment="1" applyProtection="1">
      <alignment vertical="center" wrapText="1"/>
    </xf>
    <xf numFmtId="44" fontId="1" fillId="2" borderId="1" xfId="0" applyNumberFormat="1" applyFont="1" applyFill="1" applyBorder="1" applyAlignment="1" applyProtection="1">
      <alignment vertical="center" wrapText="1"/>
    </xf>
    <xf numFmtId="0" fontId="15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wrapText="1"/>
    </xf>
    <xf numFmtId="0" fontId="2" fillId="0" borderId="11" xfId="0" applyFont="1" applyBorder="1" applyAlignment="1" applyProtection="1">
      <alignment vertical="center" wrapText="1"/>
    </xf>
    <xf numFmtId="165" fontId="0" fillId="0" borderId="11" xfId="0" applyNumberFormat="1" applyBorder="1" applyAlignment="1" applyProtection="1">
      <alignment vertical="center"/>
    </xf>
    <xf numFmtId="0" fontId="2" fillId="0" borderId="11" xfId="0" applyFont="1" applyBorder="1" applyProtection="1"/>
    <xf numFmtId="0" fontId="0" fillId="0" borderId="0" xfId="0" applyAlignment="1" applyProtection="1">
      <alignment vertical="center"/>
    </xf>
    <xf numFmtId="0" fontId="15" fillId="0" borderId="0" xfId="0" applyFont="1" applyAlignment="1" applyProtection="1">
      <alignment horizontal="center" wrapText="1"/>
    </xf>
    <xf numFmtId="0" fontId="2" fillId="0" borderId="0" xfId="0" applyFont="1" applyProtection="1"/>
    <xf numFmtId="164" fontId="1" fillId="2" borderId="1" xfId="0" applyNumberFormat="1" applyFont="1" applyFill="1" applyBorder="1" applyAlignment="1" applyProtection="1">
      <alignment vertical="center" wrapText="1"/>
    </xf>
    <xf numFmtId="0" fontId="0" fillId="0" borderId="0" xfId="0" quotePrefix="1" applyProtection="1"/>
    <xf numFmtId="44" fontId="0" fillId="0" borderId="0" xfId="0" applyNumberFormat="1" applyProtection="1"/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top" wrapText="1"/>
    </xf>
    <xf numFmtId="44" fontId="2" fillId="0" borderId="1" xfId="0" quotePrefix="1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4" fontId="13" fillId="0" borderId="1" xfId="0" applyNumberFormat="1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8" fillId="0" borderId="1" xfId="0" applyNumberFormat="1" applyFont="1" applyBorder="1" applyAlignment="1" applyProtection="1">
      <alignment horizontal="center" vertical="center" wrapText="1"/>
    </xf>
    <xf numFmtId="0" fontId="18" fillId="0" borderId="0" xfId="0" applyFont="1" applyProtection="1"/>
    <xf numFmtId="0" fontId="2" fillId="0" borderId="7" xfId="0" applyFont="1" applyBorder="1" applyAlignment="1" applyProtection="1">
      <alignment horizontal="center" vertical="center" wrapText="1"/>
    </xf>
    <xf numFmtId="0" fontId="15" fillId="6" borderId="0" xfId="0" applyFont="1" applyFill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44" fontId="16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44" fontId="5" fillId="3" borderId="12" xfId="1" applyNumberFormat="1" applyBorder="1" applyAlignment="1" applyProtection="1">
      <alignment horizontal="center" vertical="center" wrapText="1"/>
      <protection locked="0"/>
    </xf>
    <xf numFmtId="44" fontId="5" fillId="3" borderId="7" xfId="1" applyNumberFormat="1" applyBorder="1" applyAlignment="1" applyProtection="1">
      <alignment horizontal="center" vertical="center" wrapText="1"/>
      <protection locked="0"/>
    </xf>
    <xf numFmtId="2" fontId="0" fillId="0" borderId="5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44" fontId="9" fillId="3" borderId="10" xfId="1" applyNumberFormat="1" applyFont="1" applyBorder="1" applyAlignment="1" applyProtection="1">
      <alignment horizontal="center" vertical="center" wrapText="1"/>
      <protection locked="0"/>
    </xf>
    <xf numFmtId="44" fontId="9" fillId="3" borderId="0" xfId="1" applyNumberFormat="1" applyFont="1" applyBorder="1" applyAlignment="1" applyProtection="1">
      <alignment horizontal="center" vertical="center" wrapText="1"/>
      <protection locked="0"/>
    </xf>
    <xf numFmtId="44" fontId="14" fillId="4" borderId="10" xfId="0" applyNumberFormat="1" applyFont="1" applyFill="1" applyBorder="1" applyAlignment="1" applyProtection="1">
      <alignment horizontal="center" vertical="center" wrapText="1"/>
      <protection locked="0"/>
    </xf>
    <xf numFmtId="44" fontId="14" fillId="4" borderId="0" xfId="0" applyNumberFormat="1" applyFont="1" applyFill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top" wrapText="1"/>
    </xf>
    <xf numFmtId="0" fontId="15" fillId="5" borderId="0" xfId="0" applyFont="1" applyFill="1" applyAlignment="1" applyProtection="1">
      <alignment horizontal="center" vertical="center" wrapText="1"/>
    </xf>
    <xf numFmtId="0" fontId="15" fillId="6" borderId="0" xfId="0" applyFont="1" applyFill="1" applyAlignment="1" applyProtection="1">
      <alignment horizontal="center" vertical="top" wrapText="1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 wrapText="1"/>
    </xf>
    <xf numFmtId="44" fontId="9" fillId="3" borderId="10" xfId="1" applyNumberFormat="1" applyFont="1" applyBorder="1" applyAlignment="1" applyProtection="1">
      <alignment horizontal="center" vertical="center" wrapText="1"/>
    </xf>
    <xf numFmtId="44" fontId="9" fillId="3" borderId="0" xfId="1" applyNumberFormat="1" applyFont="1" applyBorder="1" applyAlignment="1" applyProtection="1">
      <alignment horizontal="center" vertical="center" wrapText="1"/>
    </xf>
    <xf numFmtId="44" fontId="16" fillId="0" borderId="0" xfId="1" applyNumberFormat="1" applyFont="1" applyFill="1" applyBorder="1" applyAlignment="1" applyProtection="1">
      <alignment horizontal="center" vertical="center" wrapText="1"/>
    </xf>
    <xf numFmtId="44" fontId="14" fillId="4" borderId="10" xfId="0" applyNumberFormat="1" applyFont="1" applyFill="1" applyBorder="1" applyAlignment="1" applyProtection="1">
      <alignment horizontal="center" vertical="center" wrapText="1"/>
    </xf>
    <xf numFmtId="44" fontId="14" fillId="4" borderId="0" xfId="0" applyNumberFormat="1" applyFont="1" applyFill="1" applyAlignment="1" applyProtection="1">
      <alignment horizontal="center" vertical="center" wrapText="1"/>
    </xf>
  </cellXfs>
  <cellStyles count="2">
    <cellStyle name="Invoer" xfId="1" builtinId="20"/>
    <cellStyle name="Standaard" xfId="0" builtinId="0"/>
  </cellStyles>
  <dxfs count="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E1A3-B66C-477C-8E36-0E85D19AF812}">
  <dimension ref="A1:L62"/>
  <sheetViews>
    <sheetView zoomScaleNormal="100" workbookViewId="0">
      <selection activeCell="E8" sqref="E8"/>
    </sheetView>
  </sheetViews>
  <sheetFormatPr defaultColWidth="8.85546875" defaultRowHeight="15" x14ac:dyDescent="0.25"/>
  <cols>
    <col min="2" max="2" width="49.140625" customWidth="1"/>
    <col min="3" max="3" width="22.140625" customWidth="1"/>
    <col min="4" max="5" width="19.42578125" customWidth="1"/>
    <col min="6" max="6" width="13.28515625" customWidth="1"/>
    <col min="7" max="9" width="20.7109375" customWidth="1"/>
    <col min="10" max="10" width="8" customWidth="1"/>
    <col min="11" max="11" width="12.42578125" customWidth="1"/>
    <col min="12" max="12" width="11" customWidth="1"/>
    <col min="13" max="13" width="12.28515625" customWidth="1"/>
    <col min="14" max="14" width="11.28515625" customWidth="1"/>
  </cols>
  <sheetData>
    <row r="1" spans="2:11" ht="12" customHeight="1" thickBot="1" x14ac:dyDescent="0.3"/>
    <row r="2" spans="2:11" ht="15.75" customHeight="1" thickBot="1" x14ac:dyDescent="0.3">
      <c r="B2" s="1" t="s">
        <v>0</v>
      </c>
      <c r="C2" s="123" t="s">
        <v>1</v>
      </c>
      <c r="I2" s="119" t="s">
        <v>2</v>
      </c>
      <c r="J2" s="119"/>
      <c r="K2" s="119"/>
    </row>
    <row r="3" spans="2:11" ht="34.5" thickBot="1" x14ac:dyDescent="0.3">
      <c r="B3" s="19" t="s">
        <v>3</v>
      </c>
      <c r="C3" s="124"/>
      <c r="I3" s="119"/>
      <c r="J3" s="119"/>
      <c r="K3" s="119"/>
    </row>
    <row r="4" spans="2:11" x14ac:dyDescent="0.25">
      <c r="B4" s="5"/>
      <c r="C4" s="18"/>
      <c r="I4" s="119"/>
      <c r="J4" s="119"/>
      <c r="K4" s="119"/>
    </row>
    <row r="5" spans="2:11" ht="15.75" thickBot="1" x14ac:dyDescent="0.3">
      <c r="B5" s="45" t="s">
        <v>4</v>
      </c>
      <c r="C5" s="18"/>
    </row>
    <row r="6" spans="2:11" ht="105.75" customHeight="1" thickBot="1" x14ac:dyDescent="0.3">
      <c r="B6" s="16" t="s">
        <v>5</v>
      </c>
      <c r="C6" s="16" t="s">
        <v>6</v>
      </c>
      <c r="D6" s="21" t="s">
        <v>7</v>
      </c>
      <c r="E6" s="21" t="s">
        <v>8</v>
      </c>
      <c r="F6" s="26" t="s">
        <v>9</v>
      </c>
      <c r="G6" s="40" t="s">
        <v>10</v>
      </c>
      <c r="H6" s="41" t="s">
        <v>11</v>
      </c>
    </row>
    <row r="7" spans="2:11" ht="72" customHeight="1" thickBot="1" x14ac:dyDescent="0.3">
      <c r="B7" s="17" t="s">
        <v>12</v>
      </c>
      <c r="C7" s="10" t="s">
        <v>13</v>
      </c>
      <c r="D7" s="29">
        <f>D8/2.5</f>
        <v>40000</v>
      </c>
      <c r="E7" s="32">
        <f>E8/2</f>
        <v>8000</v>
      </c>
      <c r="F7" s="30" t="s">
        <v>14</v>
      </c>
      <c r="G7" s="7" t="str">
        <f t="shared" ref="G7:G9" si="0">IF(ISNUMBER(F7),IF(ISNUMBER(E7),F7*E7+F7*D7,F7*D7),"")</f>
        <v/>
      </c>
      <c r="I7" s="125" t="s">
        <v>15</v>
      </c>
      <c r="J7" s="126"/>
      <c r="K7" s="126"/>
    </row>
    <row r="8" spans="2:11" ht="71.25" customHeight="1" thickBot="1" x14ac:dyDescent="0.3">
      <c r="B8" s="17" t="s">
        <v>16</v>
      </c>
      <c r="C8" s="10" t="s">
        <v>13</v>
      </c>
      <c r="D8" s="31">
        <v>100000</v>
      </c>
      <c r="E8" s="31">
        <v>16000</v>
      </c>
      <c r="F8" s="30" t="s">
        <v>14</v>
      </c>
      <c r="G8" s="7" t="str">
        <f t="shared" si="0"/>
        <v/>
      </c>
      <c r="H8" s="25"/>
      <c r="I8" s="116" t="s">
        <v>17</v>
      </c>
      <c r="J8" s="116"/>
      <c r="K8" s="116"/>
    </row>
    <row r="9" spans="2:11" ht="36" customHeight="1" thickBot="1" x14ac:dyDescent="0.3">
      <c r="B9" s="17" t="s">
        <v>18</v>
      </c>
      <c r="C9" s="10" t="s">
        <v>13</v>
      </c>
      <c r="D9" s="29">
        <f>2*5*0.04*D7</f>
        <v>16000</v>
      </c>
      <c r="E9" s="30" t="s">
        <v>14</v>
      </c>
      <c r="F9" s="30" t="s">
        <v>14</v>
      </c>
      <c r="G9" s="7" t="str">
        <f t="shared" si="0"/>
        <v/>
      </c>
    </row>
    <row r="10" spans="2:11" ht="42.75" customHeight="1" thickBot="1" x14ac:dyDescent="0.3">
      <c r="B10" s="17" t="s">
        <v>19</v>
      </c>
      <c r="C10" s="10" t="s">
        <v>13</v>
      </c>
      <c r="D10" s="24">
        <f>D8+D9</f>
        <v>116000</v>
      </c>
      <c r="E10" s="24">
        <f>E8</f>
        <v>16000</v>
      </c>
      <c r="F10" s="10">
        <v>24</v>
      </c>
      <c r="G10" s="24">
        <f>IF(ISNUMBER(F10),IF(ISNUMBER(E10),F10*E10+F10*D10,F10*D10),"")</f>
        <v>3168000</v>
      </c>
      <c r="I10" s="127" t="s">
        <v>20</v>
      </c>
      <c r="J10" s="128"/>
      <c r="K10" s="128"/>
    </row>
    <row r="11" spans="2:11" ht="15.75" customHeight="1" thickBot="1" x14ac:dyDescent="0.3">
      <c r="B11" s="14"/>
      <c r="C11" s="6"/>
      <c r="D11" s="6"/>
      <c r="E11" s="15"/>
      <c r="F11" s="15"/>
      <c r="G11" s="7" t="str">
        <f t="shared" ref="G11:G24" si="1">IF(ISNUMBER(F11),IF(ISNUMBER(E11),F11*E11+F11*D11,F11*D11),"")</f>
        <v/>
      </c>
      <c r="H11" s="7"/>
      <c r="I11" s="7"/>
      <c r="J11" s="7"/>
      <c r="K11" s="2"/>
    </row>
    <row r="12" spans="2:11" ht="23.25" customHeight="1" thickBot="1" x14ac:dyDescent="0.3">
      <c r="B12" s="117" t="s">
        <v>21</v>
      </c>
      <c r="C12" s="118"/>
      <c r="D12" s="33"/>
      <c r="E12" s="11"/>
      <c r="F12" s="27"/>
      <c r="G12" s="7" t="str">
        <f>IF(ISNUMBER(F12),IF(ISNUMBER(E12),F12*E12+F12*D12,F12*D12),"")</f>
        <v/>
      </c>
    </row>
    <row r="13" spans="2:11" ht="45.75" thickBot="1" x14ac:dyDescent="0.3">
      <c r="B13" s="3" t="s">
        <v>22</v>
      </c>
      <c r="C13" s="10" t="s">
        <v>23</v>
      </c>
      <c r="D13" s="23">
        <f>IF(D8="","",1*D8)</f>
        <v>100000</v>
      </c>
      <c r="E13" s="10" t="s">
        <v>24</v>
      </c>
      <c r="F13" s="10">
        <v>1</v>
      </c>
      <c r="G13" s="24">
        <f>IF(ISNUMBER(D13),IF(ISNUMBER(F13),IF(ISNUMBER(E13),F13*E13+F13*D13,F13*D13),""),"Please fill in orange fields")</f>
        <v>100000</v>
      </c>
    </row>
    <row r="14" spans="2:11" ht="15.75" customHeight="1" thickBot="1" x14ac:dyDescent="0.3">
      <c r="B14" s="14"/>
      <c r="C14" s="6"/>
      <c r="D14" s="6"/>
      <c r="E14" s="15"/>
      <c r="F14" s="15"/>
      <c r="G14" s="7" t="str">
        <f t="shared" si="1"/>
        <v/>
      </c>
      <c r="H14" s="7"/>
      <c r="I14" s="7"/>
      <c r="J14" s="7"/>
      <c r="K14" s="2"/>
    </row>
    <row r="15" spans="2:11" ht="15.75" customHeight="1" thickBot="1" x14ac:dyDescent="0.3">
      <c r="B15" s="1" t="s">
        <v>25</v>
      </c>
      <c r="C15" s="13"/>
      <c r="D15" s="1"/>
      <c r="E15" s="13"/>
      <c r="F15" s="27"/>
      <c r="G15" s="7" t="str">
        <f t="shared" si="1"/>
        <v/>
      </c>
      <c r="H15" s="7"/>
      <c r="I15" s="7"/>
      <c r="J15" s="7"/>
      <c r="K15" s="2"/>
    </row>
    <row r="16" spans="2:11" ht="48.75" customHeight="1" thickBot="1" x14ac:dyDescent="0.3">
      <c r="B16" s="3" t="s">
        <v>26</v>
      </c>
      <c r="C16" s="10" t="s">
        <v>23</v>
      </c>
      <c r="D16" s="23">
        <f>IF(D8="","",0.5*D8)</f>
        <v>50000</v>
      </c>
      <c r="E16" s="10" t="s">
        <v>24</v>
      </c>
      <c r="F16" s="10">
        <v>3</v>
      </c>
      <c r="G16" s="24">
        <f>IF(ISNUMBER(D16),IF(ISNUMBER(F16),IF(ISNUMBER(E16),F16*E16+F16*D16,F16*D16),""),"Please fill in orange fields")</f>
        <v>150000</v>
      </c>
      <c r="H16" s="7"/>
      <c r="I16" s="7"/>
      <c r="J16" s="7"/>
      <c r="K16" s="2"/>
    </row>
    <row r="17" spans="1:12" ht="15.75" customHeight="1" thickBot="1" x14ac:dyDescent="0.3">
      <c r="B17" s="14"/>
      <c r="C17" s="6"/>
      <c r="D17" s="6"/>
      <c r="E17" s="15"/>
      <c r="F17" s="15"/>
      <c r="G17" s="7" t="str">
        <f t="shared" si="1"/>
        <v/>
      </c>
      <c r="H17" s="7"/>
      <c r="I17" s="7"/>
      <c r="J17" s="7"/>
      <c r="K17" s="2"/>
    </row>
    <row r="18" spans="1:12" ht="15.75" thickBot="1" x14ac:dyDescent="0.3">
      <c r="B18" s="1" t="s">
        <v>27</v>
      </c>
      <c r="C18" s="13"/>
      <c r="D18" s="20"/>
      <c r="E18" s="20"/>
      <c r="F18" s="28"/>
      <c r="G18" s="7" t="str">
        <f t="shared" si="1"/>
        <v/>
      </c>
    </row>
    <row r="19" spans="1:12" ht="34.5" customHeight="1" thickBot="1" x14ac:dyDescent="0.3">
      <c r="B19" s="3" t="s">
        <v>28</v>
      </c>
      <c r="C19" s="10" t="s">
        <v>23</v>
      </c>
      <c r="D19" s="23">
        <f>IF(D8="","",2*D8)</f>
        <v>200000</v>
      </c>
      <c r="E19" s="23">
        <f>IF(E8="","",2*E8)</f>
        <v>32000</v>
      </c>
      <c r="F19" s="10">
        <v>1</v>
      </c>
      <c r="G19" s="24">
        <f>IF(ISNUMBER(D19),IF(ISNUMBER(F19),IF(ISNUMBER(E19),F19*E19+F19*D19,F19*D19),""),"Please fill in orange fields")</f>
        <v>232000</v>
      </c>
    </row>
    <row r="20" spans="1:12" x14ac:dyDescent="0.25">
      <c r="B20" s="5"/>
      <c r="C20" s="8"/>
      <c r="E20" s="4"/>
      <c r="F20" s="4"/>
      <c r="G20" s="7" t="str">
        <f t="shared" si="1"/>
        <v/>
      </c>
    </row>
    <row r="21" spans="1:12" ht="15.75" thickBot="1" x14ac:dyDescent="0.3">
      <c r="B21" s="13" t="s">
        <v>29</v>
      </c>
      <c r="C21" s="13" t="s">
        <v>6</v>
      </c>
      <c r="D21" s="13"/>
      <c r="E21" s="13"/>
      <c r="F21" s="27"/>
      <c r="G21" s="7" t="str">
        <f t="shared" si="1"/>
        <v/>
      </c>
    </row>
    <row r="22" spans="1:12" ht="57" thickBot="1" x14ac:dyDescent="0.3">
      <c r="B22" s="9" t="s">
        <v>30</v>
      </c>
      <c r="C22" s="10" t="s">
        <v>31</v>
      </c>
      <c r="D22" s="121">
        <v>80000</v>
      </c>
      <c r="E22" s="122"/>
      <c r="F22" s="10">
        <v>2</v>
      </c>
      <c r="G22" s="24">
        <f>IF(ISNUMBER(D22),IF(ISNUMBER(F22),IF(ISNUMBER(E22),F22*E22+F22*D22,F22*D22),""),"Please fill in orange fields")</f>
        <v>160000</v>
      </c>
    </row>
    <row r="23" spans="1:12" ht="15.75" thickBot="1" x14ac:dyDescent="0.3">
      <c r="B23" s="5"/>
      <c r="C23" s="8"/>
      <c r="E23" s="4"/>
      <c r="F23" s="4"/>
      <c r="G23" s="7" t="str">
        <f t="shared" si="1"/>
        <v/>
      </c>
    </row>
    <row r="24" spans="1:12" ht="23.25" thickBot="1" x14ac:dyDescent="0.3">
      <c r="B24" s="1" t="s">
        <v>32</v>
      </c>
      <c r="C24" s="1" t="s">
        <v>6</v>
      </c>
      <c r="D24" s="1"/>
      <c r="E24" s="13"/>
      <c r="F24" s="27"/>
      <c r="G24" s="7" t="str">
        <f t="shared" si="1"/>
        <v/>
      </c>
    </row>
    <row r="25" spans="1:12" ht="34.5" thickBot="1" x14ac:dyDescent="0.3">
      <c r="B25" s="3" t="s">
        <v>33</v>
      </c>
      <c r="C25" s="10" t="s">
        <v>34</v>
      </c>
      <c r="D25" s="121">
        <v>50000</v>
      </c>
      <c r="E25" s="122"/>
      <c r="F25" s="10">
        <v>6</v>
      </c>
      <c r="G25" s="24">
        <f>IF(ISNUMBER(D25),IF(ISNUMBER(F25),IF(ISNUMBER(E25),F25*E25+F25*D25,F25*D25),""),"Please fill in orange fields")</f>
        <v>300000</v>
      </c>
    </row>
    <row r="26" spans="1:12" ht="9" customHeight="1" thickBot="1" x14ac:dyDescent="0.3">
      <c r="C26" s="7"/>
    </row>
    <row r="27" spans="1:12" ht="21.75" customHeight="1" thickBot="1" x14ac:dyDescent="0.3">
      <c r="B27" s="1" t="s">
        <v>35</v>
      </c>
      <c r="C27" s="7"/>
      <c r="G27" s="37">
        <f>SUM(G7:G25)</f>
        <v>4110000</v>
      </c>
    </row>
    <row r="28" spans="1:12" ht="21.75" customHeight="1" x14ac:dyDescent="0.25">
      <c r="C28" s="7"/>
    </row>
    <row r="29" spans="1:12" ht="39" customHeight="1" thickBot="1" x14ac:dyDescent="0.3">
      <c r="B29" s="43" t="s">
        <v>36</v>
      </c>
      <c r="C29" s="7"/>
    </row>
    <row r="30" spans="1:12" ht="61.5" customHeight="1" thickBot="1" x14ac:dyDescent="0.3">
      <c r="B30" s="16" t="s">
        <v>5</v>
      </c>
      <c r="C30" s="16" t="s">
        <v>6</v>
      </c>
      <c r="D30" s="21" t="s">
        <v>37</v>
      </c>
      <c r="E30" s="21" t="s">
        <v>38</v>
      </c>
      <c r="F30" s="21" t="s">
        <v>39</v>
      </c>
      <c r="G30" s="40" t="s">
        <v>40</v>
      </c>
      <c r="I30" s="115" t="s">
        <v>41</v>
      </c>
      <c r="J30" s="115"/>
      <c r="K30" s="115"/>
      <c r="L30" s="115"/>
    </row>
    <row r="31" spans="1:12" ht="36" customHeight="1" thickBot="1" x14ac:dyDescent="0.3">
      <c r="A31">
        <v>1</v>
      </c>
      <c r="B31" s="35" t="s">
        <v>42</v>
      </c>
      <c r="C31" s="51" t="s">
        <v>43</v>
      </c>
      <c r="D31" s="52" t="s">
        <v>44</v>
      </c>
      <c r="E31" s="47">
        <v>900</v>
      </c>
      <c r="F31" s="10">
        <v>24</v>
      </c>
      <c r="G31" s="42">
        <f>F31*E31</f>
        <v>21600</v>
      </c>
      <c r="I31" s="115"/>
      <c r="J31" s="115"/>
      <c r="K31" s="115"/>
      <c r="L31" s="115"/>
    </row>
    <row r="32" spans="1:12" ht="34.5" thickBot="1" x14ac:dyDescent="0.3">
      <c r="A32">
        <v>2</v>
      </c>
      <c r="B32" s="36" t="s">
        <v>45</v>
      </c>
      <c r="C32" s="51" t="s">
        <v>43</v>
      </c>
      <c r="D32" s="52" t="s">
        <v>44</v>
      </c>
      <c r="E32" s="47">
        <v>100</v>
      </c>
      <c r="F32" s="10">
        <v>24</v>
      </c>
      <c r="G32" s="42">
        <f t="shared" ref="G32:G34" si="2">F32*E32</f>
        <v>2400</v>
      </c>
      <c r="I32" s="115"/>
      <c r="J32" s="115"/>
      <c r="K32" s="115"/>
      <c r="L32" s="115"/>
    </row>
    <row r="33" spans="1:12" ht="34.5" customHeight="1" thickBot="1" x14ac:dyDescent="0.3">
      <c r="A33">
        <v>3</v>
      </c>
      <c r="B33" s="36" t="s">
        <v>46</v>
      </c>
      <c r="C33" s="51" t="s">
        <v>43</v>
      </c>
      <c r="D33" s="52" t="s">
        <v>44</v>
      </c>
      <c r="E33" s="47">
        <v>100</v>
      </c>
      <c r="F33" s="10">
        <v>24</v>
      </c>
      <c r="G33" s="42">
        <f t="shared" si="2"/>
        <v>2400</v>
      </c>
      <c r="I33" s="120" t="s">
        <v>47</v>
      </c>
      <c r="J33" s="120"/>
      <c r="K33" s="120"/>
      <c r="L33" s="120"/>
    </row>
    <row r="34" spans="1:12" ht="34.5" thickBot="1" x14ac:dyDescent="0.3">
      <c r="A34">
        <v>4</v>
      </c>
      <c r="B34" s="36" t="s">
        <v>48</v>
      </c>
      <c r="C34" s="51" t="s">
        <v>43</v>
      </c>
      <c r="D34" s="52" t="s">
        <v>44</v>
      </c>
      <c r="E34" s="47">
        <v>200</v>
      </c>
      <c r="F34" s="10">
        <v>24</v>
      </c>
      <c r="G34" s="42">
        <f t="shared" si="2"/>
        <v>4800</v>
      </c>
      <c r="I34" s="120"/>
      <c r="J34" s="120"/>
      <c r="K34" s="120"/>
      <c r="L34" s="120"/>
    </row>
    <row r="35" spans="1:12" ht="14.25" customHeight="1" thickBot="1" x14ac:dyDescent="0.3">
      <c r="C35" s="7"/>
      <c r="D35" s="53"/>
      <c r="I35" s="120"/>
      <c r="J35" s="120"/>
      <c r="K35" s="120"/>
      <c r="L35" s="120"/>
    </row>
    <row r="36" spans="1:12" ht="23.25" customHeight="1" thickBot="1" x14ac:dyDescent="0.3">
      <c r="A36">
        <v>5</v>
      </c>
      <c r="B36" s="35" t="s">
        <v>49</v>
      </c>
      <c r="C36" s="51" t="s">
        <v>43</v>
      </c>
      <c r="D36" s="52" t="s">
        <v>50</v>
      </c>
      <c r="E36" s="47">
        <v>100</v>
      </c>
      <c r="F36" s="10">
        <v>24</v>
      </c>
      <c r="G36" s="42">
        <f t="shared" ref="G36:G43" si="3">F36*E36</f>
        <v>2400</v>
      </c>
      <c r="I36" s="120"/>
      <c r="J36" s="120"/>
      <c r="K36" s="120"/>
      <c r="L36" s="120"/>
    </row>
    <row r="37" spans="1:12" ht="24" customHeight="1" thickBot="1" x14ac:dyDescent="0.3">
      <c r="A37">
        <v>6</v>
      </c>
      <c r="B37" s="35" t="s">
        <v>51</v>
      </c>
      <c r="C37" s="51" t="s">
        <v>43</v>
      </c>
      <c r="D37" s="52" t="s">
        <v>50</v>
      </c>
      <c r="E37" s="47">
        <v>100</v>
      </c>
      <c r="F37" s="10">
        <v>24</v>
      </c>
      <c r="G37" s="42">
        <f t="shared" si="3"/>
        <v>2400</v>
      </c>
      <c r="I37" s="120"/>
      <c r="J37" s="120"/>
      <c r="K37" s="120"/>
      <c r="L37" s="120"/>
    </row>
    <row r="38" spans="1:12" ht="24" thickBot="1" x14ac:dyDescent="0.4">
      <c r="A38">
        <v>7</v>
      </c>
      <c r="B38" s="35" t="s">
        <v>52</v>
      </c>
      <c r="C38" s="51" t="s">
        <v>43</v>
      </c>
      <c r="D38" s="52" t="s">
        <v>50</v>
      </c>
      <c r="E38" s="47">
        <v>200</v>
      </c>
      <c r="F38" s="10">
        <v>24</v>
      </c>
      <c r="G38" s="42">
        <f t="shared" si="3"/>
        <v>4800</v>
      </c>
      <c r="I38" s="54"/>
      <c r="J38" s="54"/>
      <c r="K38" s="54"/>
      <c r="L38" s="54"/>
    </row>
    <row r="39" spans="1:12" ht="24" thickBot="1" x14ac:dyDescent="0.4">
      <c r="A39">
        <v>8</v>
      </c>
      <c r="B39" s="35" t="s">
        <v>53</v>
      </c>
      <c r="C39" s="51" t="s">
        <v>43</v>
      </c>
      <c r="D39" s="52" t="s">
        <v>50</v>
      </c>
      <c r="E39" s="47">
        <v>200</v>
      </c>
      <c r="F39" s="10">
        <v>24</v>
      </c>
      <c r="G39" s="42">
        <f t="shared" si="3"/>
        <v>4800</v>
      </c>
      <c r="I39" s="54"/>
      <c r="J39" s="54"/>
      <c r="K39" s="54"/>
      <c r="L39" s="54"/>
    </row>
    <row r="40" spans="1:12" ht="23.25" thickBot="1" x14ac:dyDescent="0.3">
      <c r="A40">
        <f>A39+1</f>
        <v>9</v>
      </c>
      <c r="B40" s="36" t="s">
        <v>54</v>
      </c>
      <c r="C40" s="51" t="s">
        <v>43</v>
      </c>
      <c r="D40" s="52" t="s">
        <v>50</v>
      </c>
      <c r="E40" s="47">
        <v>200</v>
      </c>
      <c r="F40" s="10">
        <v>24</v>
      </c>
      <c r="G40" s="42">
        <f t="shared" si="3"/>
        <v>4800</v>
      </c>
    </row>
    <row r="41" spans="1:12" ht="23.25" thickBot="1" x14ac:dyDescent="0.3">
      <c r="A41">
        <f t="shared" ref="A41:A43" si="4">A40+1</f>
        <v>10</v>
      </c>
      <c r="B41" s="36" t="s">
        <v>45</v>
      </c>
      <c r="C41" s="51" t="s">
        <v>43</v>
      </c>
      <c r="D41" s="52" t="s">
        <v>50</v>
      </c>
      <c r="E41" s="47">
        <v>100</v>
      </c>
      <c r="F41" s="10">
        <v>24</v>
      </c>
      <c r="G41" s="42">
        <f t="shared" si="3"/>
        <v>2400</v>
      </c>
    </row>
    <row r="42" spans="1:12" ht="23.25" thickBot="1" x14ac:dyDescent="0.3">
      <c r="A42">
        <f t="shared" si="4"/>
        <v>11</v>
      </c>
      <c r="B42" s="36" t="s">
        <v>46</v>
      </c>
      <c r="C42" s="51" t="s">
        <v>43</v>
      </c>
      <c r="D42" s="52" t="s">
        <v>50</v>
      </c>
      <c r="E42" s="47">
        <v>100</v>
      </c>
      <c r="F42" s="10">
        <v>24</v>
      </c>
      <c r="G42" s="42">
        <f t="shared" si="3"/>
        <v>2400</v>
      </c>
    </row>
    <row r="43" spans="1:12" ht="23.25" thickBot="1" x14ac:dyDescent="0.3">
      <c r="A43">
        <f t="shared" si="4"/>
        <v>12</v>
      </c>
      <c r="B43" s="36" t="s">
        <v>55</v>
      </c>
      <c r="C43" s="51" t="s">
        <v>43</v>
      </c>
      <c r="D43" s="52" t="s">
        <v>50</v>
      </c>
      <c r="E43" s="47">
        <v>200</v>
      </c>
      <c r="F43" s="10">
        <v>24</v>
      </c>
      <c r="G43" s="42">
        <f t="shared" si="3"/>
        <v>4800</v>
      </c>
    </row>
    <row r="44" spans="1:12" ht="15.75" thickBot="1" x14ac:dyDescent="0.3">
      <c r="C44" s="7"/>
      <c r="D44" s="53"/>
    </row>
    <row r="45" spans="1:12" ht="34.5" thickBot="1" x14ac:dyDescent="0.3">
      <c r="A45">
        <f>A43+1</f>
        <v>13</v>
      </c>
      <c r="B45" s="36" t="s">
        <v>45</v>
      </c>
      <c r="C45" s="51" t="s">
        <v>43</v>
      </c>
      <c r="D45" s="52" t="s">
        <v>56</v>
      </c>
      <c r="E45" s="48">
        <v>100</v>
      </c>
      <c r="F45" s="10">
        <v>24</v>
      </c>
      <c r="G45" s="42">
        <f t="shared" ref="G45:G47" si="5">F45*E45</f>
        <v>2400</v>
      </c>
    </row>
    <row r="46" spans="1:12" ht="34.5" thickBot="1" x14ac:dyDescent="0.3">
      <c r="A46">
        <f t="shared" ref="A46:A47" si="6">A45+1</f>
        <v>14</v>
      </c>
      <c r="B46" s="36" t="s">
        <v>46</v>
      </c>
      <c r="C46" s="51" t="s">
        <v>43</v>
      </c>
      <c r="D46" s="52" t="s">
        <v>56</v>
      </c>
      <c r="E46" s="48">
        <v>100</v>
      </c>
      <c r="F46" s="10">
        <v>24</v>
      </c>
      <c r="G46" s="42">
        <f t="shared" si="5"/>
        <v>2400</v>
      </c>
    </row>
    <row r="47" spans="1:12" ht="34.5" thickBot="1" x14ac:dyDescent="0.3">
      <c r="A47">
        <f t="shared" si="6"/>
        <v>15</v>
      </c>
      <c r="B47" s="36" t="s">
        <v>55</v>
      </c>
      <c r="C47" s="51" t="s">
        <v>43</v>
      </c>
      <c r="D47" s="52" t="s">
        <v>56</v>
      </c>
      <c r="E47" s="48">
        <v>200</v>
      </c>
      <c r="F47" s="10">
        <v>24</v>
      </c>
      <c r="G47" s="42">
        <f t="shared" si="5"/>
        <v>4800</v>
      </c>
    </row>
    <row r="48" spans="1:12" ht="12" customHeight="1" thickBot="1" x14ac:dyDescent="0.3">
      <c r="B48" s="34"/>
      <c r="C48" s="7"/>
    </row>
    <row r="49" spans="2:12" ht="27.75" customHeight="1" thickBot="1" x14ac:dyDescent="0.3">
      <c r="B49" s="1" t="s">
        <v>57</v>
      </c>
      <c r="G49" s="38">
        <f>SUM(G31:G47)</f>
        <v>69600</v>
      </c>
      <c r="I49" s="114" t="s">
        <v>58</v>
      </c>
      <c r="J49" s="114"/>
      <c r="K49" s="114"/>
      <c r="L49" s="114"/>
    </row>
    <row r="50" spans="2:12" ht="33" customHeight="1" x14ac:dyDescent="0.25">
      <c r="B50" s="34"/>
      <c r="F50" s="22"/>
      <c r="G50" s="12"/>
      <c r="I50" s="114"/>
      <c r="J50" s="114"/>
      <c r="K50" s="114"/>
      <c r="L50" s="114"/>
    </row>
    <row r="51" spans="2:12" ht="15" customHeight="1" x14ac:dyDescent="0.25">
      <c r="I51" s="114"/>
      <c r="J51" s="114"/>
      <c r="K51" s="114"/>
      <c r="L51" s="114"/>
    </row>
    <row r="52" spans="2:12" ht="31.5" customHeight="1" x14ac:dyDescent="0.25">
      <c r="B52" s="44" t="s">
        <v>59</v>
      </c>
      <c r="I52" s="55"/>
      <c r="J52" s="55"/>
      <c r="K52" s="55"/>
      <c r="L52" s="55"/>
    </row>
    <row r="53" spans="2:12" ht="15" customHeight="1" thickBot="1" x14ac:dyDescent="0.3">
      <c r="B53" s="5"/>
      <c r="C53" s="6"/>
      <c r="I53" s="55"/>
      <c r="J53" s="55"/>
      <c r="K53" s="55"/>
      <c r="L53" s="55"/>
    </row>
    <row r="54" spans="2:12" ht="15.75" thickBot="1" x14ac:dyDescent="0.3">
      <c r="B54" s="1" t="s">
        <v>60</v>
      </c>
      <c r="C54" s="1"/>
    </row>
    <row r="55" spans="2:12" ht="33" customHeight="1" thickBot="1" x14ac:dyDescent="0.3">
      <c r="B55" s="3" t="s">
        <v>61</v>
      </c>
      <c r="C55" s="49">
        <f>IF(AND(ISNUMBER(D8), ISNUMBER(E8), ISNUMBER(D22), ISNUMBER(D25)), G27, "please fill in all orange cells")</f>
        <v>4110000</v>
      </c>
    </row>
    <row r="56" spans="2:12" ht="15.75" thickBot="1" x14ac:dyDescent="0.3">
      <c r="B56" s="3" t="s">
        <v>62</v>
      </c>
      <c r="C56" s="46">
        <f>IF(ISNUMBER(C55),C55+G49, "N/A")</f>
        <v>4179600</v>
      </c>
    </row>
    <row r="57" spans="2:12" ht="15.75" thickBot="1" x14ac:dyDescent="0.3">
      <c r="B57" s="3" t="s">
        <v>63</v>
      </c>
      <c r="C57" s="39">
        <v>5500000</v>
      </c>
    </row>
    <row r="58" spans="2:12" ht="15.75" thickBot="1" x14ac:dyDescent="0.3">
      <c r="B58" s="3" t="s">
        <v>64</v>
      </c>
      <c r="C58" s="39">
        <v>2800000</v>
      </c>
    </row>
    <row r="59" spans="2:12" ht="15.75" thickBot="1" x14ac:dyDescent="0.3"/>
    <row r="60" spans="2:12" ht="15.75" thickBot="1" x14ac:dyDescent="0.3">
      <c r="B60" s="1" t="s">
        <v>65</v>
      </c>
      <c r="C60" s="1"/>
    </row>
    <row r="61" spans="2:12" ht="23.25" thickBot="1" x14ac:dyDescent="0.3">
      <c r="B61" s="3" t="s">
        <v>66</v>
      </c>
      <c r="C61" s="50">
        <f>IF(ISNUMBER(C55),MAX(MIN(20-(20*((C56-C58)/(C57-C58))),20),0), "N/A")</f>
        <v>9.7807407407407414</v>
      </c>
    </row>
    <row r="62" spans="2:12" ht="15.75" thickBot="1" x14ac:dyDescent="0.3">
      <c r="B62" s="56" t="s">
        <v>67</v>
      </c>
      <c r="C62" s="50" t="str">
        <f>IF(C2="Undefined", "PLEASE FILL IN LOT NUMBER", C2)</f>
        <v>Lot 1</v>
      </c>
    </row>
  </sheetData>
  <sheetProtection selectLockedCells="1"/>
  <mergeCells count="11">
    <mergeCell ref="I49:L51"/>
    <mergeCell ref="I30:L32"/>
    <mergeCell ref="I8:K8"/>
    <mergeCell ref="B12:C12"/>
    <mergeCell ref="I2:K4"/>
    <mergeCell ref="I33:L37"/>
    <mergeCell ref="D22:E22"/>
    <mergeCell ref="D25:E25"/>
    <mergeCell ref="C2:C3"/>
    <mergeCell ref="I7:K7"/>
    <mergeCell ref="I10:K10"/>
  </mergeCells>
  <conditionalFormatting sqref="C2:C5">
    <cfRule type="cellIs" dxfId="4" priority="25" operator="equal">
      <formula>"Undefined"</formula>
    </cfRule>
  </conditionalFormatting>
  <conditionalFormatting sqref="C53 C61">
    <cfRule type="cellIs" dxfId="3" priority="24" operator="equal">
      <formula>0</formula>
    </cfRule>
  </conditionalFormatting>
  <conditionalFormatting sqref="C62">
    <cfRule type="cellIs" dxfId="2" priority="1" operator="equal">
      <formula>0</formula>
    </cfRule>
  </conditionalFormatting>
  <dataValidations count="1">
    <dataValidation type="list" allowBlank="1" showInputMessage="1" showErrorMessage="1" sqref="C2:C5" xr:uid="{130F972F-A645-4C02-8D87-1614D5BF261E}">
      <formula1>"Undefined,Lot 1,Lot 2,Lot 3,Lot 4"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4" id="{0116E9B5-3E18-432B-81A3-7017D1D8C9E7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C57:C58</xm:sqref>
        </x14:conditionalFormatting>
        <x14:conditionalFormatting xmlns:xm="http://schemas.microsoft.com/office/excel/2006/main">
          <x14:cfRule type="iconSet" priority="26" id="{1048B8BC-FB4B-40EA-AA6E-6EEFB952E7FA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20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C61</xm:sqref>
        </x14:conditionalFormatting>
        <x14:conditionalFormatting xmlns:xm="http://schemas.microsoft.com/office/excel/2006/main">
          <x14:cfRule type="iconSet" priority="29" id="{B8875639-9460-451C-BF55-0696DCB036D3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D7:D10 E11:F11 E14:F14 E17:F17 E10</xm:sqref>
        </x14:conditionalFormatting>
        <x14:conditionalFormatting xmlns:xm="http://schemas.microsoft.com/office/excel/2006/main">
          <x14:cfRule type="iconSet" priority="17" id="{5A291F6A-8270-4835-BB20-5B7972BEB94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D13</xm:sqref>
        </x14:conditionalFormatting>
        <x14:conditionalFormatting xmlns:xm="http://schemas.microsoft.com/office/excel/2006/main">
          <x14:cfRule type="iconSet" priority="22" id="{36D028BD-48AF-4D2A-ADB6-0AB736ECB651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D16</xm:sqref>
        </x14:conditionalFormatting>
        <x14:conditionalFormatting xmlns:xm="http://schemas.microsoft.com/office/excel/2006/main">
          <x14:cfRule type="iconSet" priority="27" id="{7BCCE02C-7DBC-41F8-8AED-8F0E5D8C4B9C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D22</xm:sqref>
        </x14:conditionalFormatting>
        <x14:conditionalFormatting xmlns:xm="http://schemas.microsoft.com/office/excel/2006/main">
          <x14:cfRule type="iconSet" priority="23" id="{F524850E-1014-4F92-96E2-5ED64EE852F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D25</xm:sqref>
        </x14:conditionalFormatting>
        <x14:conditionalFormatting xmlns:xm="http://schemas.microsoft.com/office/excel/2006/main">
          <x14:cfRule type="iconSet" priority="20" id="{CD7ED85E-B356-449E-A421-81293BFB174F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D19:E19</xm:sqref>
        </x14:conditionalFormatting>
        <x14:conditionalFormatting xmlns:xm="http://schemas.microsoft.com/office/excel/2006/main">
          <x14:cfRule type="iconSet" priority="21" id="{5F709D90-1BE4-46A6-AD3B-9304410A11AE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E8</xm:sqref>
        </x14:conditionalFormatting>
        <x14:conditionalFormatting xmlns:xm="http://schemas.microsoft.com/office/excel/2006/main">
          <x14:cfRule type="iconSet" priority="16" id="{7A3F7490-83D9-4184-8A1A-103F7973BF1E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E31:E34</xm:sqref>
        </x14:conditionalFormatting>
        <x14:conditionalFormatting xmlns:xm="http://schemas.microsoft.com/office/excel/2006/main">
          <x14:cfRule type="iconSet" priority="15" id="{81C25685-DCEB-4526-8DD7-F12DF2830BA8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E36:E43</xm:sqref>
        </x14:conditionalFormatting>
        <x14:conditionalFormatting xmlns:xm="http://schemas.microsoft.com/office/excel/2006/main">
          <x14:cfRule type="iconSet" priority="14" id="{2AE9B78D-FEA3-44ED-B740-0BF9453A34EA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E45:E47</xm:sqref>
        </x14:conditionalFormatting>
        <x14:conditionalFormatting xmlns:xm="http://schemas.microsoft.com/office/excel/2006/main">
          <x14:cfRule type="iconSet" priority="28" id="{5E73A8E2-2233-4D01-A266-EA5DBDFBA96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E7:F7</xm:sqref>
        </x14:conditionalFormatting>
        <x14:conditionalFormatting xmlns:xm="http://schemas.microsoft.com/office/excel/2006/main">
          <x14:cfRule type="iconSet" priority="7" id="{408D6840-C459-4149-804B-78CB8E96F64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F8</xm:sqref>
        </x14:conditionalFormatting>
        <x14:conditionalFormatting xmlns:xm="http://schemas.microsoft.com/office/excel/2006/main">
          <x14:cfRule type="iconSet" priority="13" id="{89C5C0FC-350D-44AC-8C08-8EDC55A50CD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G10</xm:sqref>
        </x14:conditionalFormatting>
        <x14:conditionalFormatting xmlns:xm="http://schemas.microsoft.com/office/excel/2006/main">
          <x14:cfRule type="iconSet" priority="11" id="{6939008A-E58B-48AD-A7EC-AA1873E33512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G13</xm:sqref>
        </x14:conditionalFormatting>
        <x14:conditionalFormatting xmlns:xm="http://schemas.microsoft.com/office/excel/2006/main">
          <x14:cfRule type="iconSet" priority="6" id="{2C134768-4D4A-4BEF-BBEC-6095A30BA23F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G16</xm:sqref>
        </x14:conditionalFormatting>
        <x14:conditionalFormatting xmlns:xm="http://schemas.microsoft.com/office/excel/2006/main">
          <x14:cfRule type="iconSet" priority="5" id="{20524AF8-0BF4-4F85-813B-8658A0DAEC17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30" id="{6335D7C1-B8C1-4D30-9A1A-C0EE6DC07B09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G20:G21 E9:F9 I10 G7:G9 G11:J11 G14:J15 G17:J17 H16:J16 G12 G18 G23:G24</xm:sqref>
        </x14:conditionalFormatting>
        <x14:conditionalFormatting xmlns:xm="http://schemas.microsoft.com/office/excel/2006/main">
          <x14:cfRule type="iconSet" priority="4" id="{CBEC937E-8985-4D4A-B340-DD2E2DB76E16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G22</xm:sqref>
        </x14:conditionalFormatting>
        <x14:conditionalFormatting xmlns:xm="http://schemas.microsoft.com/office/excel/2006/main">
          <x14:cfRule type="iconSet" priority="3" id="{21BF450C-EB17-41FD-85AD-37609A54FCE3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8" id="{A0799E38-3252-4721-BDF0-6103D41C91D6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I7</xm:sqref>
        </x14:conditionalFormatting>
        <x14:conditionalFormatting xmlns:xm="http://schemas.microsoft.com/office/excel/2006/main">
          <x14:cfRule type="iconSet" priority="2" id="{0D0BEC8F-E01A-4574-BD0F-7634BA41F633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20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C62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4995-732A-4AE8-B6D8-8EBC3811CED9}">
  <dimension ref="A1:L72"/>
  <sheetViews>
    <sheetView tabSelected="1" zoomScale="115" zoomScaleNormal="115" zoomScalePageLayoutView="70" workbookViewId="0">
      <selection activeCell="D22" sqref="D22:E22"/>
    </sheetView>
  </sheetViews>
  <sheetFormatPr defaultColWidth="8.85546875" defaultRowHeight="15" x14ac:dyDescent="0.25"/>
  <cols>
    <col min="1" max="1" width="8.85546875" style="57"/>
    <col min="2" max="2" width="49.140625" style="57" customWidth="1"/>
    <col min="3" max="3" width="22.140625" style="57" customWidth="1"/>
    <col min="4" max="5" width="19.42578125" style="57" customWidth="1"/>
    <col min="6" max="6" width="13.28515625" style="57" customWidth="1"/>
    <col min="7" max="9" width="20.7109375" style="57" customWidth="1"/>
    <col min="10" max="10" width="8" style="57" customWidth="1"/>
    <col min="11" max="11" width="12.42578125" style="57" customWidth="1"/>
    <col min="12" max="12" width="11" style="57" customWidth="1"/>
    <col min="13" max="13" width="12.28515625" style="57" customWidth="1"/>
    <col min="14" max="14" width="11.28515625" style="57" customWidth="1"/>
    <col min="15" max="16384" width="8.85546875" style="57"/>
  </cols>
  <sheetData>
    <row r="1" spans="2:11" ht="12" customHeight="1" thickBot="1" x14ac:dyDescent="0.3"/>
    <row r="2" spans="2:11" ht="15.75" customHeight="1" thickBot="1" x14ac:dyDescent="0.3">
      <c r="B2" s="58" t="s">
        <v>0</v>
      </c>
      <c r="C2" s="123" t="s">
        <v>101</v>
      </c>
      <c r="I2" s="134" t="s">
        <v>2</v>
      </c>
      <c r="J2" s="134"/>
      <c r="K2" s="134"/>
    </row>
    <row r="3" spans="2:11" ht="34.5" thickBot="1" x14ac:dyDescent="0.3">
      <c r="B3" s="59" t="s">
        <v>3</v>
      </c>
      <c r="C3" s="124"/>
      <c r="I3" s="134"/>
      <c r="J3" s="134"/>
      <c r="K3" s="134"/>
    </row>
    <row r="4" spans="2:11" x14ac:dyDescent="0.25">
      <c r="B4" s="60"/>
      <c r="C4" s="61"/>
      <c r="I4" s="134"/>
      <c r="J4" s="134"/>
      <c r="K4" s="134"/>
    </row>
    <row r="5" spans="2:11" ht="15.75" thickBot="1" x14ac:dyDescent="0.3">
      <c r="B5" s="62" t="s">
        <v>4</v>
      </c>
      <c r="C5" s="61"/>
    </row>
    <row r="6" spans="2:11" ht="105.75" customHeight="1" thickBot="1" x14ac:dyDescent="0.3">
      <c r="B6" s="63" t="s">
        <v>5</v>
      </c>
      <c r="C6" s="63" t="s">
        <v>6</v>
      </c>
      <c r="D6" s="64" t="s">
        <v>7</v>
      </c>
      <c r="E6" s="64" t="s">
        <v>8</v>
      </c>
      <c r="F6" s="65" t="s">
        <v>9</v>
      </c>
      <c r="G6" s="66" t="s">
        <v>10</v>
      </c>
      <c r="H6" s="67" t="s">
        <v>11</v>
      </c>
    </row>
    <row r="7" spans="2:11" ht="72" customHeight="1" thickBot="1" x14ac:dyDescent="0.3">
      <c r="B7" s="68" t="s">
        <v>12</v>
      </c>
      <c r="C7" s="69" t="s">
        <v>13</v>
      </c>
      <c r="D7" s="70">
        <f>D8/2.5</f>
        <v>0</v>
      </c>
      <c r="E7" s="71">
        <f>E8/2</f>
        <v>0</v>
      </c>
      <c r="F7" s="72" t="s">
        <v>14</v>
      </c>
      <c r="G7" s="73" t="str">
        <f t="shared" ref="G7:G9" si="0">IF(ISNUMBER(F7),IF(ISNUMBER(E7),F7*E7+F7*D7,F7*D7),"")</f>
        <v/>
      </c>
      <c r="I7" s="135" t="s">
        <v>15</v>
      </c>
      <c r="J7" s="136"/>
      <c r="K7" s="136"/>
    </row>
    <row r="8" spans="2:11" ht="71.25" customHeight="1" thickBot="1" x14ac:dyDescent="0.3">
      <c r="B8" s="68" t="s">
        <v>16</v>
      </c>
      <c r="C8" s="69" t="s">
        <v>13</v>
      </c>
      <c r="D8" s="31">
        <v>0</v>
      </c>
      <c r="E8" s="31">
        <v>0</v>
      </c>
      <c r="F8" s="72" t="s">
        <v>14</v>
      </c>
      <c r="G8" s="73" t="str">
        <f t="shared" si="0"/>
        <v/>
      </c>
      <c r="H8" s="74"/>
      <c r="I8" s="137" t="s">
        <v>17</v>
      </c>
      <c r="J8" s="137"/>
      <c r="K8" s="137"/>
    </row>
    <row r="9" spans="2:11" ht="36" customHeight="1" thickBot="1" x14ac:dyDescent="0.3">
      <c r="B9" s="68" t="s">
        <v>18</v>
      </c>
      <c r="C9" s="69" t="s">
        <v>13</v>
      </c>
      <c r="D9" s="70">
        <f>2*5*0.04*D7</f>
        <v>0</v>
      </c>
      <c r="E9" s="72" t="s">
        <v>14</v>
      </c>
      <c r="F9" s="72" t="s">
        <v>14</v>
      </c>
      <c r="G9" s="73" t="str">
        <f t="shared" si="0"/>
        <v/>
      </c>
    </row>
    <row r="10" spans="2:11" ht="42.75" customHeight="1" thickBot="1" x14ac:dyDescent="0.3">
      <c r="B10" s="68" t="s">
        <v>19</v>
      </c>
      <c r="C10" s="69" t="s">
        <v>13</v>
      </c>
      <c r="D10" s="75">
        <f>D8+D9</f>
        <v>0</v>
      </c>
      <c r="E10" s="75">
        <f>E8</f>
        <v>0</v>
      </c>
      <c r="F10" s="69">
        <v>24</v>
      </c>
      <c r="G10" s="75">
        <f>IF(ISNUMBER(F10),IF(ISNUMBER(E10),F10*E10+F10*D10,F10*D10),"")</f>
        <v>0</v>
      </c>
      <c r="I10" s="138" t="s">
        <v>20</v>
      </c>
      <c r="J10" s="139"/>
      <c r="K10" s="139"/>
    </row>
    <row r="11" spans="2:11" ht="15.75" customHeight="1" thickBot="1" x14ac:dyDescent="0.3">
      <c r="B11" s="76"/>
      <c r="C11" s="77"/>
      <c r="D11" s="77"/>
      <c r="E11" s="78"/>
      <c r="F11" s="78"/>
      <c r="G11" s="73" t="str">
        <f t="shared" ref="G11:G24" si="1">IF(ISNUMBER(F11),IF(ISNUMBER(E11),F11*E11+F11*D11,F11*D11),"")</f>
        <v/>
      </c>
      <c r="H11" s="73"/>
      <c r="I11" s="73"/>
      <c r="J11" s="73"/>
      <c r="K11" s="79"/>
    </row>
    <row r="12" spans="2:11" ht="23.25" customHeight="1" thickBot="1" x14ac:dyDescent="0.3">
      <c r="B12" s="132" t="s">
        <v>21</v>
      </c>
      <c r="C12" s="133"/>
      <c r="D12" s="80"/>
      <c r="E12" s="81"/>
      <c r="F12" s="82"/>
      <c r="G12" s="73" t="str">
        <f>IF(ISNUMBER(F12),IF(ISNUMBER(E12),F12*E12+F12*D12,F12*D12),"")</f>
        <v/>
      </c>
    </row>
    <row r="13" spans="2:11" ht="45.75" thickBot="1" x14ac:dyDescent="0.3">
      <c r="B13" s="83" t="s">
        <v>22</v>
      </c>
      <c r="C13" s="69" t="s">
        <v>23</v>
      </c>
      <c r="D13" s="84">
        <f>IF(D8="","",1*D8)</f>
        <v>0</v>
      </c>
      <c r="E13" s="69" t="s">
        <v>24</v>
      </c>
      <c r="F13" s="69">
        <v>1</v>
      </c>
      <c r="G13" s="75">
        <f>IF(ISNUMBER(D13),IF(ISNUMBER(F13),IF(ISNUMBER(E13),F13*E13+F13*D13,F13*D13),""),"Please fill in orange fields")</f>
        <v>0</v>
      </c>
    </row>
    <row r="14" spans="2:11" ht="15.75" customHeight="1" thickBot="1" x14ac:dyDescent="0.3">
      <c r="B14" s="76"/>
      <c r="C14" s="77"/>
      <c r="D14" s="77"/>
      <c r="E14" s="78"/>
      <c r="F14" s="78"/>
      <c r="G14" s="73" t="str">
        <f t="shared" si="1"/>
        <v/>
      </c>
      <c r="H14" s="73"/>
      <c r="I14" s="73"/>
      <c r="J14" s="73"/>
      <c r="K14" s="79"/>
    </row>
    <row r="15" spans="2:11" ht="15.75" customHeight="1" thickBot="1" x14ac:dyDescent="0.3">
      <c r="B15" s="58" t="s">
        <v>25</v>
      </c>
      <c r="C15" s="85"/>
      <c r="D15" s="58"/>
      <c r="E15" s="85"/>
      <c r="F15" s="82"/>
      <c r="G15" s="73" t="str">
        <f t="shared" si="1"/>
        <v/>
      </c>
      <c r="H15" s="73"/>
      <c r="I15" s="73"/>
      <c r="J15" s="73"/>
      <c r="K15" s="79"/>
    </row>
    <row r="16" spans="2:11" ht="48.75" customHeight="1" thickBot="1" x14ac:dyDescent="0.3">
      <c r="B16" s="83" t="s">
        <v>26</v>
      </c>
      <c r="C16" s="69" t="s">
        <v>23</v>
      </c>
      <c r="D16" s="84">
        <f>IF(D8="","",0.5*D8)</f>
        <v>0</v>
      </c>
      <c r="E16" s="69" t="s">
        <v>24</v>
      </c>
      <c r="F16" s="69">
        <v>3</v>
      </c>
      <c r="G16" s="75">
        <f>IF(ISNUMBER(D16),IF(ISNUMBER(F16),IF(ISNUMBER(E16),F16*E16+F16*D16,F16*D16),""),"Please fill in orange fields")</f>
        <v>0</v>
      </c>
      <c r="H16" s="73"/>
      <c r="I16" s="73"/>
      <c r="J16" s="73"/>
      <c r="K16" s="79"/>
    </row>
    <row r="17" spans="1:12" ht="15.75" customHeight="1" thickBot="1" x14ac:dyDescent="0.3">
      <c r="B17" s="76"/>
      <c r="C17" s="77"/>
      <c r="D17" s="77"/>
      <c r="E17" s="78"/>
      <c r="F17" s="78"/>
      <c r="G17" s="73" t="str">
        <f t="shared" si="1"/>
        <v/>
      </c>
      <c r="H17" s="73"/>
      <c r="I17" s="73"/>
      <c r="J17" s="73"/>
      <c r="K17" s="79"/>
    </row>
    <row r="18" spans="1:12" ht="15.75" thickBot="1" x14ac:dyDescent="0.3">
      <c r="B18" s="58" t="s">
        <v>27</v>
      </c>
      <c r="C18" s="85"/>
      <c r="D18" s="86"/>
      <c r="E18" s="86"/>
      <c r="F18" s="87"/>
      <c r="G18" s="73" t="str">
        <f t="shared" si="1"/>
        <v/>
      </c>
    </row>
    <row r="19" spans="1:12" ht="34.5" customHeight="1" thickBot="1" x14ac:dyDescent="0.3">
      <c r="B19" s="83" t="s">
        <v>28</v>
      </c>
      <c r="C19" s="69" t="s">
        <v>23</v>
      </c>
      <c r="D19" s="84">
        <f>IF(D8="","",2*D8)</f>
        <v>0</v>
      </c>
      <c r="E19" s="84">
        <f>IF(E8="","",2*E8)</f>
        <v>0</v>
      </c>
      <c r="F19" s="69">
        <v>1</v>
      </c>
      <c r="G19" s="75">
        <f>IF(ISNUMBER(D19),IF(ISNUMBER(F19),IF(ISNUMBER(E19),F19*E19+F19*D19,F19*D19),""),"Please fill in orange fields")</f>
        <v>0</v>
      </c>
    </row>
    <row r="20" spans="1:12" x14ac:dyDescent="0.25">
      <c r="B20" s="60"/>
      <c r="C20" s="88"/>
      <c r="E20" s="89"/>
      <c r="F20" s="89"/>
      <c r="G20" s="73" t="str">
        <f t="shared" si="1"/>
        <v/>
      </c>
    </row>
    <row r="21" spans="1:12" ht="15.75" thickBot="1" x14ac:dyDescent="0.3">
      <c r="B21" s="85" t="s">
        <v>29</v>
      </c>
      <c r="C21" s="85" t="s">
        <v>6</v>
      </c>
      <c r="D21" s="85"/>
      <c r="E21" s="85"/>
      <c r="F21" s="82"/>
      <c r="G21" s="73" t="str">
        <f t="shared" si="1"/>
        <v/>
      </c>
    </row>
    <row r="22" spans="1:12" ht="56.25" x14ac:dyDescent="0.25">
      <c r="B22" s="90" t="s">
        <v>30</v>
      </c>
      <c r="C22" s="69" t="s">
        <v>31</v>
      </c>
      <c r="D22" s="121">
        <v>0</v>
      </c>
      <c r="E22" s="122"/>
      <c r="F22" s="69">
        <v>2</v>
      </c>
      <c r="G22" s="75">
        <f>IF(ISNUMBER(D22),IF(ISNUMBER(F22),IF(ISNUMBER(E22),F22*E22+F22*D22,F22*D22),""),"Please fill in orange fields")</f>
        <v>0</v>
      </c>
    </row>
    <row r="23" spans="1:12" ht="15.75" thickBot="1" x14ac:dyDescent="0.3">
      <c r="B23" s="60"/>
      <c r="C23" s="88"/>
      <c r="E23" s="89"/>
      <c r="F23" s="89"/>
      <c r="G23" s="73" t="str">
        <f t="shared" si="1"/>
        <v/>
      </c>
    </row>
    <row r="24" spans="1:12" ht="23.25" thickBot="1" x14ac:dyDescent="0.3">
      <c r="B24" s="58" t="s">
        <v>32</v>
      </c>
      <c r="C24" s="58" t="s">
        <v>6</v>
      </c>
      <c r="D24" s="58"/>
      <c r="E24" s="85"/>
      <c r="F24" s="82"/>
      <c r="G24" s="73" t="str">
        <f t="shared" si="1"/>
        <v/>
      </c>
    </row>
    <row r="25" spans="1:12" ht="33.75" x14ac:dyDescent="0.25">
      <c r="B25" s="83" t="s">
        <v>33</v>
      </c>
      <c r="C25" s="69" t="s">
        <v>34</v>
      </c>
      <c r="D25" s="121">
        <v>0</v>
      </c>
      <c r="E25" s="122"/>
      <c r="F25" s="69">
        <v>6</v>
      </c>
      <c r="G25" s="75">
        <f>IF(ISNUMBER(D25),IF(ISNUMBER(F25),IF(ISNUMBER(E25),F25*E25+F25*D25,F25*D25),""),"Please fill in orange fields")</f>
        <v>0</v>
      </c>
    </row>
    <row r="26" spans="1:12" ht="9" customHeight="1" thickBot="1" x14ac:dyDescent="0.3">
      <c r="C26" s="73"/>
    </row>
    <row r="27" spans="1:12" ht="21.75" customHeight="1" thickBot="1" x14ac:dyDescent="0.3">
      <c r="B27" s="58" t="s">
        <v>35</v>
      </c>
      <c r="C27" s="73"/>
      <c r="G27" s="91">
        <f>SUM(G7:G25)</f>
        <v>0</v>
      </c>
    </row>
    <row r="28" spans="1:12" ht="21.75" customHeight="1" x14ac:dyDescent="0.25">
      <c r="C28" s="73"/>
    </row>
    <row r="29" spans="1:12" ht="39" customHeight="1" thickBot="1" x14ac:dyDescent="0.3">
      <c r="B29" s="92" t="s">
        <v>36</v>
      </c>
      <c r="C29" s="73"/>
    </row>
    <row r="30" spans="1:12" ht="61.5" customHeight="1" thickBot="1" x14ac:dyDescent="0.3">
      <c r="B30" s="63" t="s">
        <v>5</v>
      </c>
      <c r="C30" s="63" t="s">
        <v>6</v>
      </c>
      <c r="D30" s="64" t="s">
        <v>37</v>
      </c>
      <c r="E30" s="64" t="s">
        <v>38</v>
      </c>
      <c r="F30" s="64" t="s">
        <v>39</v>
      </c>
      <c r="G30" s="66" t="s">
        <v>40</v>
      </c>
      <c r="I30" s="129" t="s">
        <v>41</v>
      </c>
      <c r="J30" s="129"/>
      <c r="K30" s="129"/>
      <c r="L30" s="129"/>
    </row>
    <row r="31" spans="1:12" ht="36" customHeight="1" thickBot="1" x14ac:dyDescent="0.3">
      <c r="A31" s="57">
        <v>1</v>
      </c>
      <c r="B31" s="93" t="s">
        <v>42</v>
      </c>
      <c r="C31" s="94" t="s">
        <v>43</v>
      </c>
      <c r="D31" s="94" t="s">
        <v>44</v>
      </c>
      <c r="E31" s="47"/>
      <c r="F31" s="69">
        <v>24</v>
      </c>
      <c r="G31" s="95">
        <f>F31*E31</f>
        <v>0</v>
      </c>
      <c r="I31" s="129"/>
      <c r="J31" s="129"/>
      <c r="K31" s="129"/>
      <c r="L31" s="129"/>
    </row>
    <row r="32" spans="1:12" ht="34.5" thickBot="1" x14ac:dyDescent="0.3">
      <c r="A32" s="57">
        <v>2</v>
      </c>
      <c r="B32" s="96" t="s">
        <v>45</v>
      </c>
      <c r="C32" s="94" t="s">
        <v>43</v>
      </c>
      <c r="D32" s="94" t="s">
        <v>44</v>
      </c>
      <c r="E32" s="47"/>
      <c r="F32" s="69">
        <v>24</v>
      </c>
      <c r="G32" s="95">
        <f t="shared" ref="G32:G34" si="2">F32*E32</f>
        <v>0</v>
      </c>
      <c r="I32" s="129"/>
      <c r="J32" s="129"/>
      <c r="K32" s="129"/>
      <c r="L32" s="129"/>
    </row>
    <row r="33" spans="1:12" ht="34.5" customHeight="1" thickBot="1" x14ac:dyDescent="0.3">
      <c r="A33" s="57">
        <v>3</v>
      </c>
      <c r="B33" s="96" t="s">
        <v>46</v>
      </c>
      <c r="C33" s="94" t="s">
        <v>43</v>
      </c>
      <c r="D33" s="94" t="s">
        <v>44</v>
      </c>
      <c r="E33" s="47"/>
      <c r="F33" s="69">
        <v>24</v>
      </c>
      <c r="G33" s="95">
        <f t="shared" si="2"/>
        <v>0</v>
      </c>
      <c r="I33" s="130" t="s">
        <v>47</v>
      </c>
      <c r="J33" s="130"/>
      <c r="K33" s="130"/>
      <c r="L33" s="130"/>
    </row>
    <row r="34" spans="1:12" ht="34.5" thickBot="1" x14ac:dyDescent="0.3">
      <c r="A34" s="57">
        <v>4</v>
      </c>
      <c r="B34" s="96" t="s">
        <v>48</v>
      </c>
      <c r="C34" s="94" t="s">
        <v>43</v>
      </c>
      <c r="D34" s="94" t="s">
        <v>44</v>
      </c>
      <c r="E34" s="47"/>
      <c r="F34" s="69">
        <v>24</v>
      </c>
      <c r="G34" s="95">
        <f t="shared" si="2"/>
        <v>0</v>
      </c>
      <c r="I34" s="130"/>
      <c r="J34" s="130"/>
      <c r="K34" s="130"/>
      <c r="L34" s="130"/>
    </row>
    <row r="35" spans="1:12" ht="14.25" customHeight="1" thickBot="1" x14ac:dyDescent="0.3">
      <c r="C35" s="73"/>
      <c r="D35" s="97"/>
      <c r="I35" s="130"/>
      <c r="J35" s="130"/>
      <c r="K35" s="130"/>
      <c r="L35" s="130"/>
    </row>
    <row r="36" spans="1:12" ht="23.25" customHeight="1" thickBot="1" x14ac:dyDescent="0.3">
      <c r="A36" s="57">
        <v>5</v>
      </c>
      <c r="B36" s="93" t="s">
        <v>49</v>
      </c>
      <c r="C36" s="94" t="s">
        <v>43</v>
      </c>
      <c r="D36" s="94" t="s">
        <v>50</v>
      </c>
      <c r="E36" s="47"/>
      <c r="F36" s="69">
        <v>24</v>
      </c>
      <c r="G36" s="95">
        <f t="shared" ref="G36:G43" si="3">F36*E36</f>
        <v>0</v>
      </c>
      <c r="I36" s="130"/>
      <c r="J36" s="130"/>
      <c r="K36" s="130"/>
      <c r="L36" s="130"/>
    </row>
    <row r="37" spans="1:12" ht="24" customHeight="1" thickBot="1" x14ac:dyDescent="0.3">
      <c r="A37" s="57">
        <v>6</v>
      </c>
      <c r="B37" s="93" t="s">
        <v>51</v>
      </c>
      <c r="C37" s="94" t="s">
        <v>43</v>
      </c>
      <c r="D37" s="94" t="s">
        <v>50</v>
      </c>
      <c r="E37" s="47"/>
      <c r="F37" s="69">
        <v>24</v>
      </c>
      <c r="G37" s="95">
        <f t="shared" si="3"/>
        <v>0</v>
      </c>
      <c r="I37" s="130"/>
      <c r="J37" s="130"/>
      <c r="K37" s="130"/>
      <c r="L37" s="130"/>
    </row>
    <row r="38" spans="1:12" ht="24" thickBot="1" x14ac:dyDescent="0.4">
      <c r="A38" s="57">
        <v>7</v>
      </c>
      <c r="B38" s="93" t="s">
        <v>52</v>
      </c>
      <c r="C38" s="94" t="s">
        <v>43</v>
      </c>
      <c r="D38" s="94" t="s">
        <v>50</v>
      </c>
      <c r="E38" s="47"/>
      <c r="F38" s="69">
        <v>24</v>
      </c>
      <c r="G38" s="95">
        <f t="shared" si="3"/>
        <v>0</v>
      </c>
      <c r="I38" s="98"/>
      <c r="J38" s="98"/>
      <c r="K38" s="98"/>
      <c r="L38" s="98"/>
    </row>
    <row r="39" spans="1:12" ht="24" thickBot="1" x14ac:dyDescent="0.4">
      <c r="A39" s="57">
        <v>8</v>
      </c>
      <c r="B39" s="93" t="s">
        <v>53</v>
      </c>
      <c r="C39" s="94" t="s">
        <v>43</v>
      </c>
      <c r="D39" s="94" t="s">
        <v>50</v>
      </c>
      <c r="E39" s="47"/>
      <c r="F39" s="69">
        <v>24</v>
      </c>
      <c r="G39" s="95">
        <f t="shared" si="3"/>
        <v>0</v>
      </c>
      <c r="I39" s="98"/>
      <c r="J39" s="98"/>
      <c r="K39" s="98"/>
      <c r="L39" s="98"/>
    </row>
    <row r="40" spans="1:12" ht="23.25" thickBot="1" x14ac:dyDescent="0.3">
      <c r="A40" s="57">
        <f>A39+1</f>
        <v>9</v>
      </c>
      <c r="B40" s="96" t="s">
        <v>54</v>
      </c>
      <c r="C40" s="94" t="s">
        <v>43</v>
      </c>
      <c r="D40" s="94" t="s">
        <v>50</v>
      </c>
      <c r="E40" s="47"/>
      <c r="F40" s="69">
        <v>24</v>
      </c>
      <c r="G40" s="95">
        <f t="shared" si="3"/>
        <v>0</v>
      </c>
    </row>
    <row r="41" spans="1:12" ht="23.25" thickBot="1" x14ac:dyDescent="0.3">
      <c r="A41" s="57">
        <f t="shared" ref="A41:A43" si="4">A40+1</f>
        <v>10</v>
      </c>
      <c r="B41" s="96" t="s">
        <v>45</v>
      </c>
      <c r="C41" s="94" t="s">
        <v>43</v>
      </c>
      <c r="D41" s="94" t="s">
        <v>50</v>
      </c>
      <c r="E41" s="47"/>
      <c r="F41" s="69">
        <v>24</v>
      </c>
      <c r="G41" s="95">
        <f t="shared" si="3"/>
        <v>0</v>
      </c>
    </row>
    <row r="42" spans="1:12" ht="23.25" thickBot="1" x14ac:dyDescent="0.3">
      <c r="A42" s="57">
        <f t="shared" si="4"/>
        <v>11</v>
      </c>
      <c r="B42" s="96" t="s">
        <v>46</v>
      </c>
      <c r="C42" s="94" t="s">
        <v>43</v>
      </c>
      <c r="D42" s="94" t="s">
        <v>50</v>
      </c>
      <c r="E42" s="47"/>
      <c r="F42" s="69">
        <v>24</v>
      </c>
      <c r="G42" s="95">
        <f t="shared" si="3"/>
        <v>0</v>
      </c>
    </row>
    <row r="43" spans="1:12" ht="23.25" thickBot="1" x14ac:dyDescent="0.3">
      <c r="A43" s="57">
        <f t="shared" si="4"/>
        <v>12</v>
      </c>
      <c r="B43" s="96" t="s">
        <v>55</v>
      </c>
      <c r="C43" s="94" t="s">
        <v>43</v>
      </c>
      <c r="D43" s="94" t="s">
        <v>50</v>
      </c>
      <c r="E43" s="47"/>
      <c r="F43" s="69">
        <v>24</v>
      </c>
      <c r="G43" s="95">
        <f t="shared" si="3"/>
        <v>0</v>
      </c>
    </row>
    <row r="44" spans="1:12" ht="15.75" thickBot="1" x14ac:dyDescent="0.3">
      <c r="C44" s="73"/>
      <c r="D44" s="97"/>
    </row>
    <row r="45" spans="1:12" ht="34.5" thickBot="1" x14ac:dyDescent="0.3">
      <c r="A45" s="57">
        <f>A43+1</f>
        <v>13</v>
      </c>
      <c r="B45" s="96" t="s">
        <v>45</v>
      </c>
      <c r="C45" s="94" t="s">
        <v>43</v>
      </c>
      <c r="D45" s="94" t="s">
        <v>56</v>
      </c>
      <c r="E45" s="48"/>
      <c r="F45" s="69">
        <v>24</v>
      </c>
      <c r="G45" s="95">
        <f t="shared" ref="G45:G47" si="5">F45*E45</f>
        <v>0</v>
      </c>
    </row>
    <row r="46" spans="1:12" ht="34.5" thickBot="1" x14ac:dyDescent="0.3">
      <c r="A46" s="57">
        <f t="shared" ref="A46:A47" si="6">A45+1</f>
        <v>14</v>
      </c>
      <c r="B46" s="96" t="s">
        <v>46</v>
      </c>
      <c r="C46" s="94" t="s">
        <v>43</v>
      </c>
      <c r="D46" s="94" t="s">
        <v>56</v>
      </c>
      <c r="E46" s="48"/>
      <c r="F46" s="69">
        <v>24</v>
      </c>
      <c r="G46" s="95">
        <f t="shared" si="5"/>
        <v>0</v>
      </c>
    </row>
    <row r="47" spans="1:12" ht="34.5" thickBot="1" x14ac:dyDescent="0.3">
      <c r="A47" s="57">
        <f t="shared" si="6"/>
        <v>15</v>
      </c>
      <c r="B47" s="96" t="s">
        <v>55</v>
      </c>
      <c r="C47" s="94" t="s">
        <v>43</v>
      </c>
      <c r="D47" s="94" t="s">
        <v>56</v>
      </c>
      <c r="E47" s="48"/>
      <c r="F47" s="69">
        <v>24</v>
      </c>
      <c r="G47" s="95">
        <f t="shared" si="5"/>
        <v>0</v>
      </c>
    </row>
    <row r="48" spans="1:12" ht="12" customHeight="1" thickBot="1" x14ac:dyDescent="0.3">
      <c r="B48" s="99"/>
      <c r="C48" s="73"/>
    </row>
    <row r="49" spans="2:12" ht="27.75" customHeight="1" thickBot="1" x14ac:dyDescent="0.3">
      <c r="B49" s="58" t="s">
        <v>57</v>
      </c>
      <c r="G49" s="100">
        <f>SUM(G31:G47)</f>
        <v>0</v>
      </c>
      <c r="I49" s="131" t="s">
        <v>58</v>
      </c>
      <c r="J49" s="131"/>
      <c r="K49" s="131"/>
      <c r="L49" s="131"/>
    </row>
    <row r="50" spans="2:12" ht="33" customHeight="1" x14ac:dyDescent="0.25">
      <c r="B50" s="99"/>
      <c r="F50" s="101"/>
      <c r="G50" s="102"/>
      <c r="I50" s="131"/>
      <c r="J50" s="131"/>
      <c r="K50" s="131"/>
      <c r="L50" s="131"/>
    </row>
    <row r="51" spans="2:12" ht="15" customHeight="1" x14ac:dyDescent="0.25">
      <c r="I51" s="131"/>
      <c r="J51" s="131"/>
      <c r="K51" s="131"/>
      <c r="L51" s="131"/>
    </row>
    <row r="52" spans="2:12" ht="31.5" customHeight="1" x14ac:dyDescent="0.25">
      <c r="B52" s="103" t="s">
        <v>59</v>
      </c>
      <c r="I52" s="104"/>
      <c r="J52" s="104"/>
      <c r="K52" s="104"/>
      <c r="L52" s="104"/>
    </row>
    <row r="53" spans="2:12" ht="15" customHeight="1" thickBot="1" x14ac:dyDescent="0.3">
      <c r="B53" s="60"/>
      <c r="C53" s="77"/>
      <c r="I53" s="104"/>
      <c r="J53" s="104"/>
      <c r="K53" s="104"/>
      <c r="L53" s="104"/>
    </row>
    <row r="54" spans="2:12" ht="15.75" thickBot="1" x14ac:dyDescent="0.3">
      <c r="B54" s="58" t="s">
        <v>60</v>
      </c>
      <c r="C54" s="58"/>
    </row>
    <row r="55" spans="2:12" ht="33" customHeight="1" thickBot="1" x14ac:dyDescent="0.3">
      <c r="B55" s="83" t="s">
        <v>61</v>
      </c>
      <c r="C55" s="105">
        <f>IF(AND(ISNUMBER(D8), ISNUMBER(E8), ISNUMBER(D22), ISNUMBER(D25)), G27, "please fill in all orange fields")</f>
        <v>0</v>
      </c>
    </row>
    <row r="56" spans="2:12" ht="15.75" thickBot="1" x14ac:dyDescent="0.3">
      <c r="B56" s="83" t="s">
        <v>62</v>
      </c>
      <c r="C56" s="106">
        <f>IF(ISNUMBER(C55),C55+G49, "N/A")</f>
        <v>0</v>
      </c>
    </row>
    <row r="57" spans="2:12" ht="15.75" thickBot="1" x14ac:dyDescent="0.3">
      <c r="B57" s="83" t="s">
        <v>63</v>
      </c>
      <c r="C57" s="107">
        <v>5500000</v>
      </c>
    </row>
    <row r="58" spans="2:12" ht="15.75" thickBot="1" x14ac:dyDescent="0.3">
      <c r="B58" s="83" t="s">
        <v>64</v>
      </c>
      <c r="C58" s="107">
        <v>2800000</v>
      </c>
    </row>
    <row r="59" spans="2:12" ht="15.75" thickBot="1" x14ac:dyDescent="0.3"/>
    <row r="60" spans="2:12" ht="15.75" thickBot="1" x14ac:dyDescent="0.3">
      <c r="B60" s="58" t="s">
        <v>65</v>
      </c>
      <c r="C60" s="58"/>
    </row>
    <row r="61" spans="2:12" ht="23.25" thickBot="1" x14ac:dyDescent="0.3">
      <c r="B61" s="108" t="s">
        <v>66</v>
      </c>
      <c r="C61" s="109">
        <f>IF(ISNUMBER(C55),MAX(MIN(20-(20*((C56-C58)/(C57-C58))),20),0), "N/A")</f>
        <v>20</v>
      </c>
    </row>
    <row r="62" spans="2:12" ht="30" customHeight="1" thickBot="1" x14ac:dyDescent="0.3">
      <c r="B62" s="110" t="s">
        <v>67</v>
      </c>
      <c r="C62" s="111" t="str">
        <f>IF(C2="Undefined", "PLEASE FILL IN LOT NUMBER", C2)</f>
        <v>PLEASE FILL IN LOT NUMBER</v>
      </c>
    </row>
    <row r="72" spans="3:3" ht="15.75" x14ac:dyDescent="0.25">
      <c r="C72" s="112"/>
    </row>
  </sheetData>
  <sheetProtection algorithmName="SHA-512" hashValue="lc8GSarkU1RhxJtrR/38RaPcIIpWfTrZtAiqAa4Gj6yQiahMEoDmoVaxbAqqQu+TPu6+o7C5jHNSbeYbG7bR4w==" saltValue="549UQNwTNFmSv7UJvMx4cw==" spinCount="100000" sheet="1" selectLockedCells="1"/>
  <mergeCells count="11">
    <mergeCell ref="B12:C12"/>
    <mergeCell ref="C2:C3"/>
    <mergeCell ref="I2:K4"/>
    <mergeCell ref="I7:K7"/>
    <mergeCell ref="I8:K8"/>
    <mergeCell ref="I10:K10"/>
    <mergeCell ref="D22:E22"/>
    <mergeCell ref="D25:E25"/>
    <mergeCell ref="I30:L32"/>
    <mergeCell ref="I33:L37"/>
    <mergeCell ref="I49:L51"/>
  </mergeCells>
  <conditionalFormatting sqref="C2:C5">
    <cfRule type="cellIs" dxfId="1" priority="18" operator="equal">
      <formula>"Undefined"</formula>
    </cfRule>
  </conditionalFormatting>
  <conditionalFormatting sqref="C53 C61:C62">
    <cfRule type="cellIs" dxfId="0" priority="17" operator="equal">
      <formula>0</formula>
    </cfRule>
  </conditionalFormatting>
  <dataValidations count="1">
    <dataValidation type="list" allowBlank="1" showInputMessage="1" showErrorMessage="1" sqref="C2:C5" xr:uid="{81A23220-D464-4385-B5A8-9A69B19EFA34}">
      <formula1>"Undefined,Lot 1,Lot 2,Lot 3,Lot 4"</formula1>
    </dataValidation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" id="{83DF19EB-D5F5-45D2-9BA2-3081C876787F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C57:C58</xm:sqref>
        </x14:conditionalFormatting>
        <x14:conditionalFormatting xmlns:xm="http://schemas.microsoft.com/office/excel/2006/main">
          <x14:cfRule type="iconSet" priority="19" id="{9CCBDD2A-AA6C-43E1-BCBF-AC7C24CFE417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20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C61:C62</xm:sqref>
        </x14:conditionalFormatting>
        <x14:conditionalFormatting xmlns:xm="http://schemas.microsoft.com/office/excel/2006/main">
          <x14:cfRule type="iconSet" priority="10" id="{4916D041-B54E-484E-B807-82A02FC2B81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E31:E34</xm:sqref>
        </x14:conditionalFormatting>
        <x14:conditionalFormatting xmlns:xm="http://schemas.microsoft.com/office/excel/2006/main">
          <x14:cfRule type="iconSet" priority="9" id="{178B076D-B3E7-4348-9AF3-7A5C9710E81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E36:E43</xm:sqref>
        </x14:conditionalFormatting>
        <x14:conditionalFormatting xmlns:xm="http://schemas.microsoft.com/office/excel/2006/main">
          <x14:cfRule type="iconSet" priority="8" id="{D7055DD5-1ABA-4BF1-AEB1-E43F1C068F02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E45:E47</xm:sqref>
        </x14:conditionalFormatting>
        <x14:conditionalFormatting xmlns:xm="http://schemas.microsoft.com/office/excel/2006/main">
          <x14:cfRule type="iconSet" priority="23" id="{B4B7C08E-1928-4A61-BEE1-2E344EEB9628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I10 H11:J11 H14:J17</xm:sqref>
        </x14:conditionalFormatting>
        <x14:conditionalFormatting xmlns:xm="http://schemas.microsoft.com/office/excel/2006/main">
          <x14:cfRule type="iconSet" priority="12" id="{88BD4B41-27A8-4838-A60A-0F6FDB92498D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D516-97A2-4332-A02D-9238DC2E5619}">
  <dimension ref="B1:I20"/>
  <sheetViews>
    <sheetView topLeftCell="B1" workbookViewId="0">
      <selection activeCell="B13" sqref="B13"/>
    </sheetView>
  </sheetViews>
  <sheetFormatPr defaultRowHeight="15" x14ac:dyDescent="0.25"/>
  <cols>
    <col min="1" max="1" width="9.140625" style="57"/>
    <col min="2" max="2" width="38.140625" style="57" customWidth="1"/>
    <col min="3" max="3" width="19.7109375" style="57" customWidth="1"/>
    <col min="4" max="4" width="9.140625" style="57"/>
    <col min="5" max="5" width="37.5703125" style="57" customWidth="1"/>
    <col min="6" max="6" width="34.7109375" style="57" customWidth="1"/>
    <col min="7" max="7" width="32" style="57" customWidth="1"/>
    <col min="8" max="8" width="15.85546875" style="57" customWidth="1"/>
    <col min="9" max="9" width="17.5703125" style="57" customWidth="1"/>
    <col min="10" max="16384" width="9.140625" style="57"/>
  </cols>
  <sheetData>
    <row r="1" spans="2:9" x14ac:dyDescent="0.25">
      <c r="B1" s="57" t="s">
        <v>68</v>
      </c>
    </row>
    <row r="2" spans="2:9" ht="15.75" thickBot="1" x14ac:dyDescent="0.3"/>
    <row r="3" spans="2:9" ht="34.5" thickBot="1" x14ac:dyDescent="0.3">
      <c r="B3" s="58" t="s">
        <v>5</v>
      </c>
      <c r="C3" s="58" t="s">
        <v>6</v>
      </c>
      <c r="D3" s="58" t="s">
        <v>69</v>
      </c>
      <c r="E3" s="63" t="s">
        <v>70</v>
      </c>
      <c r="F3" s="63" t="s">
        <v>71</v>
      </c>
      <c r="G3" s="63" t="s">
        <v>72</v>
      </c>
      <c r="H3" s="81" t="s">
        <v>73</v>
      </c>
      <c r="I3" s="81" t="s">
        <v>74</v>
      </c>
    </row>
    <row r="4" spans="2:9" ht="126" customHeight="1" thickBot="1" x14ac:dyDescent="0.3">
      <c r="B4" s="68" t="s">
        <v>75</v>
      </c>
      <c r="C4" s="69" t="s">
        <v>13</v>
      </c>
      <c r="D4" s="113" t="s">
        <v>76</v>
      </c>
      <c r="E4" s="71">
        <f>G4+F4</f>
        <v>116000</v>
      </c>
      <c r="F4" s="71">
        <f>(5*4*(0.01*0.4*G4))*2</f>
        <v>16000</v>
      </c>
      <c r="G4" s="71">
        <f>Rates_example!D8</f>
        <v>100000</v>
      </c>
      <c r="H4" s="71">
        <f>G4*0.8</f>
        <v>80000</v>
      </c>
      <c r="I4" s="71">
        <f>0.2*$G$4</f>
        <v>20000</v>
      </c>
    </row>
    <row r="5" spans="2:9" ht="34.5" thickBot="1" x14ac:dyDescent="0.3">
      <c r="E5" s="85" t="s">
        <v>77</v>
      </c>
      <c r="F5" s="85" t="s">
        <v>78</v>
      </c>
      <c r="G5" s="85" t="s">
        <v>79</v>
      </c>
      <c r="H5" s="81" t="s">
        <v>73</v>
      </c>
      <c r="I5" s="81" t="s">
        <v>74</v>
      </c>
    </row>
    <row r="6" spans="2:9" ht="15.75" thickBot="1" x14ac:dyDescent="0.3">
      <c r="E6" s="73">
        <f>G6+F6</f>
        <v>100000</v>
      </c>
      <c r="F6" s="73">
        <f>1*0.04*H4</f>
        <v>3200</v>
      </c>
      <c r="G6" s="73">
        <f>H6+I6</f>
        <v>96800</v>
      </c>
      <c r="H6" s="102">
        <f>($G$4*0.96)*0.8</f>
        <v>76800</v>
      </c>
      <c r="I6" s="73">
        <f>0.2*$G$4</f>
        <v>20000</v>
      </c>
    </row>
    <row r="7" spans="2:9" ht="34.5" thickBot="1" x14ac:dyDescent="0.3">
      <c r="E7" s="58" t="s">
        <v>80</v>
      </c>
      <c r="F7" s="58" t="s">
        <v>81</v>
      </c>
      <c r="G7" s="58" t="s">
        <v>82</v>
      </c>
      <c r="H7" s="81" t="s">
        <v>73</v>
      </c>
      <c r="I7" s="81" t="s">
        <v>74</v>
      </c>
    </row>
    <row r="8" spans="2:9" ht="15.75" thickBot="1" x14ac:dyDescent="0.3">
      <c r="E8" s="73">
        <f>G8+F8</f>
        <v>96000</v>
      </c>
      <c r="F8" s="73">
        <v>0</v>
      </c>
      <c r="G8" s="73">
        <f>H8+I8</f>
        <v>96000</v>
      </c>
      <c r="H8" s="102">
        <f>($G$4*0.95)*0.8</f>
        <v>76000</v>
      </c>
      <c r="I8" s="73">
        <f>0.2*$G$4</f>
        <v>20000</v>
      </c>
    </row>
    <row r="9" spans="2:9" ht="34.5" thickBot="1" x14ac:dyDescent="0.3">
      <c r="E9" s="58" t="s">
        <v>83</v>
      </c>
      <c r="F9" s="58" t="s">
        <v>84</v>
      </c>
      <c r="G9" s="58" t="s">
        <v>85</v>
      </c>
      <c r="H9" s="81" t="s">
        <v>73</v>
      </c>
      <c r="I9" s="81" t="s">
        <v>74</v>
      </c>
    </row>
    <row r="10" spans="2:9" ht="15.75" thickBot="1" x14ac:dyDescent="0.3">
      <c r="E10" s="73">
        <f>G10+F10</f>
        <v>88000</v>
      </c>
      <c r="F10" s="73">
        <v>0</v>
      </c>
      <c r="G10" s="73">
        <f>H10+I10</f>
        <v>88000</v>
      </c>
      <c r="H10" s="102">
        <f>($G$4*0.85)*0.8</f>
        <v>68000</v>
      </c>
      <c r="I10" s="73">
        <f>0.2*$G$4</f>
        <v>20000</v>
      </c>
    </row>
    <row r="11" spans="2:9" ht="34.5" thickBot="1" x14ac:dyDescent="0.3">
      <c r="E11" s="58" t="s">
        <v>86</v>
      </c>
      <c r="F11" s="58" t="s">
        <v>87</v>
      </c>
      <c r="G11" s="58" t="s">
        <v>88</v>
      </c>
      <c r="H11" s="81" t="s">
        <v>73</v>
      </c>
      <c r="I11" s="81" t="s">
        <v>74</v>
      </c>
    </row>
    <row r="12" spans="2:9" ht="15.75" thickBot="1" x14ac:dyDescent="0.3">
      <c r="E12" s="73">
        <f>G12+F12</f>
        <v>80000</v>
      </c>
      <c r="F12" s="73">
        <f>-(5*1*(0.01*$H$4))</f>
        <v>-4000</v>
      </c>
      <c r="G12" s="73">
        <f>H12+I12</f>
        <v>84000</v>
      </c>
      <c r="H12" s="102">
        <f>($G$4*0.8)*0.8</f>
        <v>64000</v>
      </c>
      <c r="I12" s="73">
        <f>0.2*$G$4</f>
        <v>20000</v>
      </c>
    </row>
    <row r="13" spans="2:9" ht="34.5" thickBot="1" x14ac:dyDescent="0.3">
      <c r="E13" s="58" t="s">
        <v>89</v>
      </c>
      <c r="F13" s="58" t="s">
        <v>90</v>
      </c>
      <c r="G13" s="58" t="s">
        <v>91</v>
      </c>
      <c r="H13" s="81" t="s">
        <v>73</v>
      </c>
      <c r="I13" s="81" t="s">
        <v>74</v>
      </c>
    </row>
    <row r="14" spans="2:9" ht="15.75" thickBot="1" x14ac:dyDescent="0.3">
      <c r="E14" s="73">
        <f>G14+F14</f>
        <v>64000</v>
      </c>
      <c r="F14" s="73">
        <f>-(15*1*(0.01*$H$4))</f>
        <v>-12000</v>
      </c>
      <c r="G14" s="73">
        <f>H14+I14</f>
        <v>76000</v>
      </c>
      <c r="H14" s="102">
        <f>($G$4*0.7)*0.8</f>
        <v>56000</v>
      </c>
      <c r="I14" s="73">
        <f>0.2*$G$4</f>
        <v>20000</v>
      </c>
    </row>
    <row r="15" spans="2:9" ht="34.5" thickBot="1" x14ac:dyDescent="0.3">
      <c r="E15" s="58" t="s">
        <v>92</v>
      </c>
      <c r="F15" s="58" t="s">
        <v>93</v>
      </c>
      <c r="G15" s="58" t="s">
        <v>94</v>
      </c>
      <c r="H15" s="81" t="s">
        <v>73</v>
      </c>
      <c r="I15" s="81" t="s">
        <v>74</v>
      </c>
    </row>
    <row r="16" spans="2:9" ht="15.75" thickBot="1" x14ac:dyDescent="0.3">
      <c r="E16" s="73">
        <f>G16+F16</f>
        <v>40000</v>
      </c>
      <c r="F16" s="73">
        <f>-((15*1+20*0.5)*(0.01*$H$4))</f>
        <v>-20000</v>
      </c>
      <c r="G16" s="73">
        <f>H16+I16</f>
        <v>60000</v>
      </c>
      <c r="H16" s="102">
        <f>($G$4*0.5)*0.8</f>
        <v>40000</v>
      </c>
      <c r="I16" s="73">
        <f>0.2*$G$4</f>
        <v>20000</v>
      </c>
    </row>
    <row r="17" spans="5:9" ht="34.5" thickBot="1" x14ac:dyDescent="0.3">
      <c r="E17" s="58" t="s">
        <v>95</v>
      </c>
      <c r="F17" s="58" t="s">
        <v>96</v>
      </c>
      <c r="G17" s="58" t="s">
        <v>97</v>
      </c>
      <c r="H17" s="81" t="s">
        <v>73</v>
      </c>
      <c r="I17" s="81" t="s">
        <v>74</v>
      </c>
    </row>
    <row r="18" spans="5:9" ht="15.75" thickBot="1" x14ac:dyDescent="0.3">
      <c r="E18" s="73">
        <f>G18+F18</f>
        <v>12000</v>
      </c>
      <c r="F18" s="73">
        <f>-((15*1+45*0.5)*(0.01*$H$4))</f>
        <v>-30000</v>
      </c>
      <c r="G18" s="73">
        <f>G12*0.5</f>
        <v>42000</v>
      </c>
      <c r="H18" s="102">
        <f>($G$4*0.25)*0.8</f>
        <v>20000</v>
      </c>
      <c r="I18" s="73">
        <f>0.2*$G$4</f>
        <v>20000</v>
      </c>
    </row>
    <row r="19" spans="5:9" ht="34.5" thickBot="1" x14ac:dyDescent="0.3">
      <c r="E19" s="58" t="s">
        <v>98</v>
      </c>
      <c r="F19" s="58" t="s">
        <v>99</v>
      </c>
      <c r="G19" s="58" t="s">
        <v>100</v>
      </c>
      <c r="H19" s="81" t="s">
        <v>73</v>
      </c>
      <c r="I19" s="81" t="s">
        <v>74</v>
      </c>
    </row>
    <row r="20" spans="5:9" x14ac:dyDescent="0.25">
      <c r="E20" s="73">
        <f>G20+F20</f>
        <v>-20000</v>
      </c>
      <c r="F20" s="73">
        <f>-((15*1+70*0.5)*(0.01*$H$4))</f>
        <v>-40000</v>
      </c>
      <c r="G20" s="73">
        <f>H20+I20</f>
        <v>20000</v>
      </c>
      <c r="H20" s="102">
        <f>($G$4*0)*0.8</f>
        <v>0</v>
      </c>
      <c r="I20" s="73">
        <f>0.2*$G$4</f>
        <v>20000</v>
      </c>
    </row>
  </sheetData>
  <sheetProtection algorithmName="SHA-512" hashValue="D2E8vmAwRV35len+qyUCAIFa7lnQ2/Dgzg98uF295DMX3DozKV4aWR9CmEhkopSTfddo3anC+tGBR6SdDikkRQ==" saltValue="LeyVMuFQpAz3hvYT7u6kzg==" spinCount="100000" sheet="1" objects="1" scenarios="1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292A1C84-0517-4923-AE57-D64E58E472C2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E10</xm:sqref>
        </x14:conditionalFormatting>
        <x14:conditionalFormatting xmlns:xm="http://schemas.microsoft.com/office/excel/2006/main">
          <x14:cfRule type="iconSet" priority="11" id="{1FA0D66F-7EF8-40A6-8F30-9E998C564647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E12</xm:sqref>
        </x14:conditionalFormatting>
        <x14:conditionalFormatting xmlns:xm="http://schemas.microsoft.com/office/excel/2006/main">
          <x14:cfRule type="iconSet" priority="10" id="{1241E200-61CE-43B9-968A-ECB44C7FD19A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E14</xm:sqref>
        </x14:conditionalFormatting>
        <x14:conditionalFormatting xmlns:xm="http://schemas.microsoft.com/office/excel/2006/main">
          <x14:cfRule type="iconSet" priority="9" id="{CD71D135-BD52-4843-82ED-27E982C3CA5C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E16</xm:sqref>
        </x14:conditionalFormatting>
        <x14:conditionalFormatting xmlns:xm="http://schemas.microsoft.com/office/excel/2006/main">
          <x14:cfRule type="iconSet" priority="8" id="{DD7DCBE8-0019-4A0F-A984-1CA86926FCEC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E18</xm:sqref>
        </x14:conditionalFormatting>
        <x14:conditionalFormatting xmlns:xm="http://schemas.microsoft.com/office/excel/2006/main">
          <x14:cfRule type="iconSet" priority="7" id="{4C92DE76-EE1B-407F-827A-38621E43DFAC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E20</xm:sqref>
        </x14:conditionalFormatting>
        <x14:conditionalFormatting xmlns:xm="http://schemas.microsoft.com/office/excel/2006/main">
          <x14:cfRule type="iconSet" priority="6" id="{F746B26C-505F-41CC-A0F2-F9AC688BD3F3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E6:G6</xm:sqref>
        </x14:conditionalFormatting>
        <x14:conditionalFormatting xmlns:xm="http://schemas.microsoft.com/office/excel/2006/main">
          <x14:cfRule type="iconSet" priority="26" id="{E2F1638F-305E-4203-80C0-68951B60148F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E8:G8</xm:sqref>
        </x14:conditionalFormatting>
        <x14:conditionalFormatting xmlns:xm="http://schemas.microsoft.com/office/excel/2006/main">
          <x14:cfRule type="iconSet" priority="27" id="{E94A5559-7329-4EEE-9739-BF4D9FAF0C97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E4:I4</xm:sqref>
        </x14:conditionalFormatting>
        <x14:conditionalFormatting xmlns:xm="http://schemas.microsoft.com/office/excel/2006/main">
          <x14:cfRule type="iconSet" priority="4" id="{FA3EA006-6346-4D40-B068-ACD03F0FBD79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F14</xm:sqref>
        </x14:conditionalFormatting>
        <x14:conditionalFormatting xmlns:xm="http://schemas.microsoft.com/office/excel/2006/main">
          <x14:cfRule type="iconSet" priority="3" id="{37CA4D4A-A5E0-4D79-AF2B-3B31AFA416B3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F16</xm:sqref>
        </x14:conditionalFormatting>
        <x14:conditionalFormatting xmlns:xm="http://schemas.microsoft.com/office/excel/2006/main">
          <x14:cfRule type="iconSet" priority="2" id="{C74EDF66-2DF9-4058-94AE-E9D29F6265D9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F18</xm:sqref>
        </x14:conditionalFormatting>
        <x14:conditionalFormatting xmlns:xm="http://schemas.microsoft.com/office/excel/2006/main">
          <x14:cfRule type="iconSet" priority="1" id="{57E23788-7E53-4B41-80DE-A14E536E19E5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F20</xm:sqref>
        </x14:conditionalFormatting>
        <x14:conditionalFormatting xmlns:xm="http://schemas.microsoft.com/office/excel/2006/main">
          <x14:cfRule type="iconSet" priority="25" id="{6C266ADC-3AED-4489-92CF-41C8AB0DEF71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F10:G10</xm:sqref>
        </x14:conditionalFormatting>
        <x14:conditionalFormatting xmlns:xm="http://schemas.microsoft.com/office/excel/2006/main">
          <x14:cfRule type="iconSet" priority="24" id="{5FC547BC-EAA3-45A3-88B7-A725B0897FE5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F12:G12</xm:sqref>
        </x14:conditionalFormatting>
        <x14:conditionalFormatting xmlns:xm="http://schemas.microsoft.com/office/excel/2006/main">
          <x14:cfRule type="iconSet" priority="23" id="{62E81B7E-DC66-46BA-BA0F-BE208FFAA7ED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G14</xm:sqref>
        </x14:conditionalFormatting>
        <x14:conditionalFormatting xmlns:xm="http://schemas.microsoft.com/office/excel/2006/main">
          <x14:cfRule type="iconSet" priority="22" id="{A90841FC-D7F2-4EC7-A7A9-73F8EFE0EEB0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G16</xm:sqref>
        </x14:conditionalFormatting>
        <x14:conditionalFormatting xmlns:xm="http://schemas.microsoft.com/office/excel/2006/main">
          <x14:cfRule type="iconSet" priority="21" id="{49355372-A810-4324-911E-11FBC21FB5EA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G18</xm:sqref>
        </x14:conditionalFormatting>
        <x14:conditionalFormatting xmlns:xm="http://schemas.microsoft.com/office/excel/2006/main">
          <x14:cfRule type="iconSet" priority="14" id="{A6752703-49BE-4C24-B696-19EBC1D05794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2"/>
              <x14:cfIcon iconSet="3Symbols" iconId="2"/>
            </x14:iconSet>
          </x14:cfRule>
          <xm:sqref>G20</xm:sqref>
        </x14:conditionalFormatting>
        <x14:conditionalFormatting xmlns:xm="http://schemas.microsoft.com/office/excel/2006/main">
          <x14:cfRule type="iconSet" priority="5" id="{9563238F-CEBE-4F67-A8B9-F441D363EBFF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I6</xm:sqref>
        </x14:conditionalFormatting>
        <x14:conditionalFormatting xmlns:xm="http://schemas.microsoft.com/office/excel/2006/main">
          <x14:cfRule type="iconSet" priority="20" id="{207A1871-4FC7-44BF-9ADC-737E81375F37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I8</xm:sqref>
        </x14:conditionalFormatting>
        <x14:conditionalFormatting xmlns:xm="http://schemas.microsoft.com/office/excel/2006/main">
          <x14:cfRule type="iconSet" priority="19" id="{F8328305-9875-4F5A-A68B-D9AE95822543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I10</xm:sqref>
        </x14:conditionalFormatting>
        <x14:conditionalFormatting xmlns:xm="http://schemas.microsoft.com/office/excel/2006/main">
          <x14:cfRule type="iconSet" priority="18" id="{5BEBDB1F-69FB-4D5A-B69E-EA4DA79BA08B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I12</xm:sqref>
        </x14:conditionalFormatting>
        <x14:conditionalFormatting xmlns:xm="http://schemas.microsoft.com/office/excel/2006/main">
          <x14:cfRule type="iconSet" priority="17" id="{8C00681D-0DF0-44CE-9F8D-6406A29C1AF4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I14</xm:sqref>
        </x14:conditionalFormatting>
        <x14:conditionalFormatting xmlns:xm="http://schemas.microsoft.com/office/excel/2006/main">
          <x14:cfRule type="iconSet" priority="16" id="{67BC398D-4672-4089-9A95-80AB4769BCC4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I16</xm:sqref>
        </x14:conditionalFormatting>
        <x14:conditionalFormatting xmlns:xm="http://schemas.microsoft.com/office/excel/2006/main">
          <x14:cfRule type="iconSet" priority="15" id="{62681CDC-26D8-4D52-8A41-1669C3EBFB76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I18</xm:sqref>
        </x14:conditionalFormatting>
        <x14:conditionalFormatting xmlns:xm="http://schemas.microsoft.com/office/excel/2006/main">
          <x14:cfRule type="iconSet" priority="13" id="{A14D5DD5-B279-4924-9397-A4C85C048E0A}">
            <x14:iconSet iconSet="3Symbols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I20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2 g d V w Y b K P K l A A A A 9 w A A A B I A H A B D b 2 5 m a W c v U G F j a 2 F n Z S 5 4 b W w g o h g A K K A U A A A A A A A A A A A A A A A A A A A A A A A A A A A A h Y + 9 D o I w H M R f h X S n X z g Y U s r g C s b E x L g 2 p W I j / D G 0 W N 7 N w U f y F c Q o 6 u Z 4 d 7 9 L 7 u 7 X m 8 j H t o k u p n e 2 g w w x T F F k Q H e V h T p D g z / E S 5 R L s V H 6 p G o T T T C 4 d H Q 2 Q 0 f v z y k h I Q Q c E t z 1 N e G U M r I v i 6 0 + m l b F F p x X o A 3 6 t K r / L S T F 7 j V G c s z Y A n P O E 0 w F m V 1 R W v g S f B r 8 T H 9 M s R o a P / R G Q h O v C 0 F m K c j 7 h H w A U E s D B B Q A A g A I A A N o H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a B 1 X K I p H u A 4 A A A A R A A A A E w A c A E Z v c m 1 1 b G F z L 1 N l Y 3 R p b 2 4 x L m 0 g o h g A K K A U A A A A A A A A A A A A A A A A A A A A A A A A A A A A K 0 5 N L s n M z 1 M I h t C G 1 g B Q S w E C L Q A U A A I A C A A D a B 1 X B h s o 8 q U A A A D 3 A A A A E g A A A A A A A A A A A A A A A A A A A A A A Q 2 9 u Z m l n L 1 B h Y 2 t h Z 2 U u e G 1 s U E s B A i 0 A F A A C A A g A A 2 g d V w / K 6 a u k A A A A 6 Q A A A B M A A A A A A A A A A A A A A A A A 8 Q A A A F t D b 2 5 0 Z W 5 0 X 1 R 5 c G V z X S 5 4 b W x Q S w E C L Q A U A A I A C A A D a B 1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u B + h o Y v w U W Q B v i x L p m N x A A A A A A C A A A A A A A D Z g A A w A A A A B A A A A A e n G K U I s w m a n C I O t S n d e C u A A A A A A S A A A C g A A A A E A A A A M S k B K 5 W 6 9 L n e G y 5 Y o 4 2 L m l Q A A A A n G + j 4 j S c 4 W H + f V K i T K p y 4 z i 0 u 1 L c t O F w v H 3 f f p 7 6 T o R 5 y C l j 8 j r s H Y b t 7 b x V Q F H H w A L f S / 0 h i t x g K Z e 2 B A D Y E 6 b z 6 5 s R 4 + R + D 2 m o 5 S g J M x o U A A A A B Q 5 Q 4 2 B + T 5 7 3 P C a 8 B c l + C l E 0 Y S Y = < / D a t a M a s h u p > 
</file>

<file path=customXml/itemProps1.xml><?xml version="1.0" encoding="utf-8"?>
<ds:datastoreItem xmlns:ds="http://schemas.openxmlformats.org/officeDocument/2006/customXml" ds:itemID="{699DC5AE-B253-4E54-A2C6-7ED0B6AADC0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Rates_example</vt:lpstr>
      <vt:lpstr>Rates</vt:lpstr>
      <vt:lpstr>data_availability_eg</vt:lpstr>
      <vt:lpstr>Rates!Afdrukbereik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Hofstra, M. (Menno)</dc:creator>
  <cp:keywords/>
  <dc:description/>
  <cp:lastModifiedBy>Kamminga, M.G. (Mark)</cp:lastModifiedBy>
  <cp:revision/>
  <dcterms:created xsi:type="dcterms:W3CDTF">2022-03-07T11:15:08Z</dcterms:created>
  <dcterms:modified xsi:type="dcterms:W3CDTF">2023-10-13T11:40:19Z</dcterms:modified>
  <cp:category/>
  <cp:contentStatus/>
</cp:coreProperties>
</file>