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I:\EBMAINK Vertrouwelijk\Vakantiemap Reinier\Sociaal Domein\Documenten 3 aanbestedingen\Nota van inlichtingen\Behandeling met verblijf\"/>
    </mc:Choice>
  </mc:AlternateContent>
  <bookViews>
    <workbookView xWindow="-120" yWindow="-120" windowWidth="19440" windowHeight="11040" tabRatio="930" activeTab="2"/>
  </bookViews>
  <sheets>
    <sheet name="Basisgegevens" sheetId="33" r:id="rId1"/>
    <sheet name="BEHANDELVORM 1" sheetId="19" r:id="rId2"/>
    <sheet name="BEHANDELVORM 2" sheetId="34" r:id="rId3"/>
    <sheet name="BEHANDELVORM 3" sheetId="35" r:id="rId4"/>
    <sheet name="BEHANDELVORM 4" sheetId="36" r:id="rId5"/>
    <sheet name="Toelichting" sheetId="12" r:id="rId6"/>
    <sheet name="hulpsheet2" sheetId="8" state="hidden" r:id="rId7"/>
    <sheet name="Invulblad CAO" sheetId="1" state="hidden" r:id="rId8"/>
    <sheet name="Pensioenpremie CAO" sheetId="2" state="hidden" r:id="rId9"/>
  </sheets>
  <calcPr calcId="152511"/>
  <extLst>
    <ext xmlns:xcalcf="http://schemas.microsoft.com/office/spreadsheetml/2018/calcfeatures" uri="{B58B0392-4F1F-4190-BB64-5DF3571DCE5F}">
      <xcalcf:calcFeatures>
        <xcalcf:feature name="microsoft.com:RD"/>
        <xcalcf:feature name="microsoft.com:FV"/>
      </xcalcf:calcFeatures>
    </ext>
    <ext xmlns:mx="http://schemas.microsoft.com/office/mac/excel/2008/main" uri="{7523E5D3-25F3-A5E0-1632-64F254C22452}">
      <mx:ArchID Flags="2"/>
    </ext>
  </extLst>
</workbook>
</file>

<file path=xl/calcChain.xml><?xml version="1.0" encoding="utf-8"?>
<calcChain xmlns="http://schemas.openxmlformats.org/spreadsheetml/2006/main">
  <c r="S41" i="36" l="1"/>
  <c r="W41" i="36" s="1"/>
  <c r="S36" i="36"/>
  <c r="L35" i="36" s="1"/>
  <c r="R35" i="36"/>
  <c r="P35" i="36"/>
  <c r="N35" i="36"/>
  <c r="H35" i="36"/>
  <c r="F35" i="36"/>
  <c r="R20" i="36"/>
  <c r="R24" i="36" s="1"/>
  <c r="P20" i="36"/>
  <c r="P24" i="36" s="1"/>
  <c r="N20" i="36"/>
  <c r="N24" i="36" s="1"/>
  <c r="L20" i="36"/>
  <c r="L24" i="36" s="1"/>
  <c r="J20" i="36"/>
  <c r="J24" i="36" s="1"/>
  <c r="H20" i="36"/>
  <c r="H24" i="36" s="1"/>
  <c r="F20" i="36"/>
  <c r="F24" i="36" s="1"/>
  <c r="E13" i="36"/>
  <c r="R11" i="36"/>
  <c r="P11" i="36"/>
  <c r="Q11" i="36" s="1"/>
  <c r="N11" i="36"/>
  <c r="L11" i="36"/>
  <c r="M11" i="36" s="1"/>
  <c r="J11" i="36"/>
  <c r="H11" i="36"/>
  <c r="I11" i="36" s="1"/>
  <c r="F11" i="36"/>
  <c r="R9" i="36"/>
  <c r="Q9" i="36"/>
  <c r="Q10" i="36" s="1"/>
  <c r="P9" i="36"/>
  <c r="N9" i="36"/>
  <c r="L9" i="36"/>
  <c r="M9" i="36" s="1"/>
  <c r="M10" i="36" s="1"/>
  <c r="M12" i="36" s="1"/>
  <c r="J9" i="36"/>
  <c r="K9" i="36" s="1"/>
  <c r="H9" i="36"/>
  <c r="I9" i="36" s="1"/>
  <c r="I10" i="36" s="1"/>
  <c r="F9" i="36"/>
  <c r="S8" i="36"/>
  <c r="Q8" i="36"/>
  <c r="O8" i="36"/>
  <c r="M8" i="36"/>
  <c r="K8" i="36"/>
  <c r="I8" i="36"/>
  <c r="G8" i="36"/>
  <c r="S41" i="35"/>
  <c r="W41" i="35" s="1"/>
  <c r="S36" i="35"/>
  <c r="J35" i="35" s="1"/>
  <c r="R35" i="35"/>
  <c r="P35" i="35"/>
  <c r="N35" i="35"/>
  <c r="L35" i="35"/>
  <c r="H35" i="35"/>
  <c r="F35" i="35"/>
  <c r="R20" i="35"/>
  <c r="R24" i="35" s="1"/>
  <c r="P20" i="35"/>
  <c r="P24" i="35" s="1"/>
  <c r="N20" i="35"/>
  <c r="N24" i="35" s="1"/>
  <c r="L20" i="35"/>
  <c r="L24" i="35" s="1"/>
  <c r="J20" i="35"/>
  <c r="J24" i="35" s="1"/>
  <c r="H20" i="35"/>
  <c r="H24" i="35" s="1"/>
  <c r="F20" i="35"/>
  <c r="F24" i="35" s="1"/>
  <c r="E13" i="35"/>
  <c r="S11" i="35"/>
  <c r="R11" i="35"/>
  <c r="P11" i="35"/>
  <c r="N11" i="35"/>
  <c r="L11" i="35"/>
  <c r="J11" i="35"/>
  <c r="K11" i="35" s="1"/>
  <c r="H11" i="35"/>
  <c r="F11" i="35"/>
  <c r="G11" i="35" s="1"/>
  <c r="R9" i="35"/>
  <c r="P9" i="35"/>
  <c r="N9" i="35"/>
  <c r="L9" i="35"/>
  <c r="M9" i="35" s="1"/>
  <c r="J9" i="35"/>
  <c r="H9" i="35"/>
  <c r="F9" i="35"/>
  <c r="S8" i="35"/>
  <c r="Q8" i="35"/>
  <c r="O8" i="35"/>
  <c r="M8" i="35"/>
  <c r="M10" i="35" s="1"/>
  <c r="M12" i="35" s="1"/>
  <c r="K8" i="35"/>
  <c r="I8" i="35"/>
  <c r="I9" i="35" s="1"/>
  <c r="I10" i="35" s="1"/>
  <c r="G8" i="35"/>
  <c r="W41" i="34"/>
  <c r="S41" i="34"/>
  <c r="S36" i="34"/>
  <c r="L35" i="34" s="1"/>
  <c r="H35" i="34"/>
  <c r="R20" i="34"/>
  <c r="R24" i="34" s="1"/>
  <c r="P20" i="34"/>
  <c r="P24" i="34" s="1"/>
  <c r="N20" i="34"/>
  <c r="N24" i="34" s="1"/>
  <c r="L20" i="34"/>
  <c r="L24" i="34" s="1"/>
  <c r="J20" i="34"/>
  <c r="J24" i="34" s="1"/>
  <c r="H20" i="34"/>
  <c r="H24" i="34" s="1"/>
  <c r="F20" i="34"/>
  <c r="F24" i="34" s="1"/>
  <c r="E13" i="34"/>
  <c r="R11" i="34"/>
  <c r="P11" i="34"/>
  <c r="Q11" i="34" s="1"/>
  <c r="N11" i="34"/>
  <c r="L11" i="34"/>
  <c r="M11" i="34" s="1"/>
  <c r="J11" i="34"/>
  <c r="H11" i="34"/>
  <c r="I11" i="34" s="1"/>
  <c r="F11" i="34"/>
  <c r="R9" i="34"/>
  <c r="Q9" i="34"/>
  <c r="Q10" i="34" s="1"/>
  <c r="P9" i="34"/>
  <c r="N9" i="34"/>
  <c r="L9" i="34"/>
  <c r="M9" i="34" s="1"/>
  <c r="M10" i="34" s="1"/>
  <c r="M12" i="34" s="1"/>
  <c r="J9" i="34"/>
  <c r="K9" i="34" s="1"/>
  <c r="H9" i="34"/>
  <c r="I9" i="34" s="1"/>
  <c r="I10" i="34" s="1"/>
  <c r="F9" i="34"/>
  <c r="S8" i="34"/>
  <c r="Q8" i="34"/>
  <c r="O8" i="34"/>
  <c r="M8" i="34"/>
  <c r="K8" i="34"/>
  <c r="I8" i="34"/>
  <c r="G8" i="34"/>
  <c r="K10" i="34" l="1"/>
  <c r="M11" i="35"/>
  <c r="Q11" i="35"/>
  <c r="K10" i="36"/>
  <c r="K13" i="36" s="1"/>
  <c r="G11" i="34"/>
  <c r="K11" i="34"/>
  <c r="K13" i="34" s="1"/>
  <c r="O11" i="34"/>
  <c r="S11" i="34"/>
  <c r="N35" i="34"/>
  <c r="O9" i="35"/>
  <c r="O10" i="35" s="1"/>
  <c r="K9" i="35"/>
  <c r="K10" i="35" s="1"/>
  <c r="Q9" i="35"/>
  <c r="I11" i="35"/>
  <c r="O11" i="35"/>
  <c r="W28" i="35"/>
  <c r="G11" i="36"/>
  <c r="K11" i="36"/>
  <c r="O11" i="36"/>
  <c r="S11" i="36"/>
  <c r="K12" i="36"/>
  <c r="I12" i="36"/>
  <c r="I13" i="36" s="1"/>
  <c r="Q12" i="36"/>
  <c r="Q13" i="36" s="1"/>
  <c r="W28" i="36"/>
  <c r="O9" i="36"/>
  <c r="O10" i="36" s="1"/>
  <c r="M13" i="36"/>
  <c r="G9" i="36"/>
  <c r="G10" i="36" s="1"/>
  <c r="S9" i="36"/>
  <c r="S10" i="36" s="1"/>
  <c r="J35" i="36"/>
  <c r="I12" i="35"/>
  <c r="I13" i="35" s="1"/>
  <c r="W24" i="35"/>
  <c r="W12" i="35"/>
  <c r="W31" i="35"/>
  <c r="Q10" i="35"/>
  <c r="K12" i="35"/>
  <c r="K13" i="35" s="1"/>
  <c r="M13" i="35"/>
  <c r="G9" i="35"/>
  <c r="G10" i="35" s="1"/>
  <c r="S9" i="35"/>
  <c r="S10" i="35" s="1"/>
  <c r="I12" i="34"/>
  <c r="I13" i="34" s="1"/>
  <c r="Q13" i="34"/>
  <c r="Q12" i="34"/>
  <c r="K12" i="34"/>
  <c r="P35" i="34"/>
  <c r="O9" i="34"/>
  <c r="O10" i="34" s="1"/>
  <c r="M13" i="34"/>
  <c r="F35" i="34"/>
  <c r="R35" i="34"/>
  <c r="G9" i="34"/>
  <c r="G10" i="34" s="1"/>
  <c r="S9" i="34"/>
  <c r="S10" i="34" s="1"/>
  <c r="J35" i="34"/>
  <c r="W46" i="35" l="1"/>
  <c r="O12" i="36"/>
  <c r="O13" i="36" s="1"/>
  <c r="P16" i="36"/>
  <c r="P15" i="36"/>
  <c r="S13" i="36"/>
  <c r="S12" i="36"/>
  <c r="H16" i="36"/>
  <c r="H15" i="36"/>
  <c r="G13" i="36"/>
  <c r="G12" i="36"/>
  <c r="W12" i="36"/>
  <c r="W31" i="36"/>
  <c r="J16" i="36"/>
  <c r="J15" i="36"/>
  <c r="L16" i="36"/>
  <c r="L15" i="36"/>
  <c r="W24" i="36"/>
  <c r="J16" i="35"/>
  <c r="J15" i="35"/>
  <c r="J17" i="35" s="1"/>
  <c r="K17" i="35" s="1"/>
  <c r="K18" i="35" s="1"/>
  <c r="K24" i="35" s="1"/>
  <c r="K25" i="35" s="1"/>
  <c r="H15" i="35"/>
  <c r="H16" i="35"/>
  <c r="Q12" i="35"/>
  <c r="Q13" i="35" s="1"/>
  <c r="L16" i="35"/>
  <c r="L15" i="35"/>
  <c r="O12" i="35"/>
  <c r="O13" i="35" s="1"/>
  <c r="S12" i="35"/>
  <c r="S13" i="35" s="1"/>
  <c r="F48" i="35"/>
  <c r="X46" i="35"/>
  <c r="G12" i="35"/>
  <c r="G13" i="35" s="1"/>
  <c r="G13" i="34"/>
  <c r="G12" i="34"/>
  <c r="O12" i="34"/>
  <c r="O13" i="34" s="1"/>
  <c r="S12" i="34"/>
  <c r="S13" i="34" s="1"/>
  <c r="P15" i="34"/>
  <c r="P16" i="34"/>
  <c r="L16" i="34"/>
  <c r="L15" i="34"/>
  <c r="L17" i="34" s="1"/>
  <c r="M17" i="34" s="1"/>
  <c r="M18" i="34" s="1"/>
  <c r="M24" i="34" s="1"/>
  <c r="M25" i="34" s="1"/>
  <c r="H16" i="34"/>
  <c r="H15" i="34"/>
  <c r="H17" i="34" s="1"/>
  <c r="I17" i="34" s="1"/>
  <c r="I18" i="34" s="1"/>
  <c r="I24" i="34" s="1"/>
  <c r="I25" i="34" s="1"/>
  <c r="J16" i="34"/>
  <c r="J15" i="34"/>
  <c r="J17" i="34" s="1"/>
  <c r="K17" i="34" s="1"/>
  <c r="K18" i="34" s="1"/>
  <c r="K24" i="34" s="1"/>
  <c r="K25" i="34" s="1"/>
  <c r="W28" i="34"/>
  <c r="W12" i="34"/>
  <c r="W24" i="34"/>
  <c r="W31" i="34"/>
  <c r="L17" i="35" l="1"/>
  <c r="M17" i="35" s="1"/>
  <c r="M18" i="35" s="1"/>
  <c r="M24" i="35" s="1"/>
  <c r="M25" i="35" s="1"/>
  <c r="H17" i="35"/>
  <c r="I17" i="35" s="1"/>
  <c r="I18" i="35" s="1"/>
  <c r="I24" i="35" s="1"/>
  <c r="I25" i="35" s="1"/>
  <c r="I28" i="35" s="1"/>
  <c r="J17" i="36"/>
  <c r="K17" i="36" s="1"/>
  <c r="K18" i="36" s="1"/>
  <c r="K24" i="36" s="1"/>
  <c r="K25" i="36" s="1"/>
  <c r="P17" i="36"/>
  <c r="Q17" i="36" s="1"/>
  <c r="Q18" i="36" s="1"/>
  <c r="Q24" i="36" s="1"/>
  <c r="Q25" i="36" s="1"/>
  <c r="Q31" i="36" s="1"/>
  <c r="Q28" i="36"/>
  <c r="K28" i="36"/>
  <c r="K31" i="36"/>
  <c r="R15" i="36"/>
  <c r="R16" i="36"/>
  <c r="N16" i="36"/>
  <c r="N15" i="36"/>
  <c r="F15" i="36"/>
  <c r="F16" i="36"/>
  <c r="H17" i="36"/>
  <c r="I17" i="36" s="1"/>
  <c r="I18" i="36" s="1"/>
  <c r="I24" i="36" s="1"/>
  <c r="I25" i="36" s="1"/>
  <c r="L17" i="36"/>
  <c r="M17" i="36" s="1"/>
  <c r="M18" i="36" s="1"/>
  <c r="M24" i="36" s="1"/>
  <c r="M25" i="36" s="1"/>
  <c r="W46" i="36"/>
  <c r="R15" i="35"/>
  <c r="R16" i="35"/>
  <c r="P16" i="35"/>
  <c r="P15" i="35"/>
  <c r="P17" i="35" s="1"/>
  <c r="Q17" i="35" s="1"/>
  <c r="Q18" i="35" s="1"/>
  <c r="Q24" i="35" s="1"/>
  <c r="Q25" i="35" s="1"/>
  <c r="I31" i="35"/>
  <c r="F15" i="35"/>
  <c r="F16" i="35"/>
  <c r="M31" i="35"/>
  <c r="M28" i="35"/>
  <c r="K28" i="35"/>
  <c r="K31" i="35"/>
  <c r="K32" i="35" s="1"/>
  <c r="N16" i="35"/>
  <c r="N15" i="35"/>
  <c r="N17" i="35" s="1"/>
  <c r="O17" i="35" s="1"/>
  <c r="O18" i="35" s="1"/>
  <c r="O24" i="35" s="1"/>
  <c r="O25" i="35" s="1"/>
  <c r="M31" i="34"/>
  <c r="M28" i="34"/>
  <c r="M32" i="34" s="1"/>
  <c r="I28" i="34"/>
  <c r="I31" i="34"/>
  <c r="N16" i="34"/>
  <c r="N15" i="34"/>
  <c r="N17" i="34" s="1"/>
  <c r="O17" i="34" s="1"/>
  <c r="O18" i="34" s="1"/>
  <c r="O24" i="34" s="1"/>
  <c r="O25" i="34" s="1"/>
  <c r="K28" i="34"/>
  <c r="K31" i="34"/>
  <c r="R16" i="34"/>
  <c r="R15" i="34"/>
  <c r="R17" i="34" s="1"/>
  <c r="S17" i="34" s="1"/>
  <c r="S18" i="34" s="1"/>
  <c r="S24" i="34" s="1"/>
  <c r="S25" i="34" s="1"/>
  <c r="W46" i="34"/>
  <c r="P17" i="34"/>
  <c r="Q17" i="34" s="1"/>
  <c r="Q18" i="34" s="1"/>
  <c r="Q24" i="34" s="1"/>
  <c r="Q25" i="34" s="1"/>
  <c r="F16" i="34"/>
  <c r="F15" i="34"/>
  <c r="I32" i="35" l="1"/>
  <c r="F17" i="34"/>
  <c r="G17" i="34" s="1"/>
  <c r="G18" i="34" s="1"/>
  <c r="G24" i="34" s="1"/>
  <c r="G25" i="34" s="1"/>
  <c r="G31" i="34" s="1"/>
  <c r="K32" i="34"/>
  <c r="M32" i="35"/>
  <c r="N17" i="36"/>
  <c r="O17" i="36" s="1"/>
  <c r="O18" i="36" s="1"/>
  <c r="O24" i="36" s="1"/>
  <c r="O25" i="36" s="1"/>
  <c r="K32" i="36"/>
  <c r="Q32" i="36"/>
  <c r="I32" i="34"/>
  <c r="O31" i="36"/>
  <c r="O28" i="36"/>
  <c r="O32" i="36" s="1"/>
  <c r="F48" i="36"/>
  <c r="X46" i="36"/>
  <c r="M31" i="36"/>
  <c r="M28" i="36"/>
  <c r="I28" i="36"/>
  <c r="I31" i="36"/>
  <c r="I32" i="36" s="1"/>
  <c r="F17" i="36"/>
  <c r="G17" i="36" s="1"/>
  <c r="G18" i="36" s="1"/>
  <c r="G24" i="36" s="1"/>
  <c r="G25" i="36" s="1"/>
  <c r="R17" i="36"/>
  <c r="S17" i="36" s="1"/>
  <c r="S18" i="36" s="1"/>
  <c r="S24" i="36" s="1"/>
  <c r="S25" i="36" s="1"/>
  <c r="O31" i="35"/>
  <c r="O28" i="35"/>
  <c r="O32" i="35" s="1"/>
  <c r="Q31" i="35"/>
  <c r="Q28" i="35"/>
  <c r="Q32" i="35" s="1"/>
  <c r="F17" i="35"/>
  <c r="G17" i="35" s="1"/>
  <c r="G18" i="35" s="1"/>
  <c r="G24" i="35" s="1"/>
  <c r="G25" i="35" s="1"/>
  <c r="R17" i="35"/>
  <c r="S17" i="35" s="1"/>
  <c r="S18" i="35" s="1"/>
  <c r="S24" i="35" s="1"/>
  <c r="S25" i="35" s="1"/>
  <c r="S31" i="34"/>
  <c r="S28" i="34"/>
  <c r="S32" i="34"/>
  <c r="Q31" i="34"/>
  <c r="Q28" i="34"/>
  <c r="Q32" i="34" s="1"/>
  <c r="F48" i="34"/>
  <c r="X46" i="34"/>
  <c r="G28" i="34"/>
  <c r="O31" i="34"/>
  <c r="O28" i="34"/>
  <c r="O32" i="34" s="1"/>
  <c r="G32" i="34" l="1"/>
  <c r="M32" i="36"/>
  <c r="G31" i="36"/>
  <c r="G28" i="36"/>
  <c r="G32" i="36" s="1"/>
  <c r="S31" i="36"/>
  <c r="S32" i="36" s="1"/>
  <c r="S28" i="36"/>
  <c r="S31" i="35"/>
  <c r="S32" i="35" s="1"/>
  <c r="S28" i="35"/>
  <c r="G31" i="35"/>
  <c r="G28" i="35"/>
  <c r="G32" i="35"/>
  <c r="S37" i="34"/>
  <c r="S43" i="34" s="1"/>
  <c r="S45" i="34" s="1"/>
  <c r="S37" i="35" l="1"/>
  <c r="S43" i="35" s="1"/>
  <c r="S45" i="35" s="1"/>
  <c r="S37" i="36"/>
  <c r="S43" i="36" s="1"/>
  <c r="S45" i="36" s="1"/>
  <c r="I8" i="19"/>
  <c r="N11" i="19" l="1"/>
  <c r="S41" i="19" l="1"/>
  <c r="W41" i="19" l="1"/>
  <c r="S36" i="19"/>
  <c r="F35" i="19" s="1"/>
  <c r="L35" i="19" l="1"/>
  <c r="J35" i="19"/>
  <c r="H35" i="19"/>
  <c r="R35" i="19"/>
  <c r="N35" i="19"/>
  <c r="P35" i="19"/>
  <c r="F11" i="19"/>
  <c r="F20" i="19"/>
  <c r="F24" i="19" s="1"/>
  <c r="H11" i="19"/>
  <c r="H20" i="19"/>
  <c r="H24" i="19" s="1"/>
  <c r="J11" i="19"/>
  <c r="J20" i="19"/>
  <c r="J24" i="19" s="1"/>
  <c r="L11" i="19"/>
  <c r="L20" i="19"/>
  <c r="L24" i="19" s="1"/>
  <c r="P20" i="19"/>
  <c r="N20" i="19"/>
  <c r="N9" i="19"/>
  <c r="R11" i="19"/>
  <c r="P11" i="19"/>
  <c r="Q8" i="19"/>
  <c r="P9" i="19"/>
  <c r="S8" i="19"/>
  <c r="R9" i="19"/>
  <c r="R20" i="19"/>
  <c r="N15" i="8"/>
  <c r="G8" i="19"/>
  <c r="E13" i="19"/>
  <c r="L9" i="19"/>
  <c r="J9" i="19"/>
  <c r="H9" i="19"/>
  <c r="F9" i="19"/>
  <c r="O8" i="19"/>
  <c r="M8" i="19"/>
  <c r="K8" i="19"/>
  <c r="N16" i="8"/>
  <c r="N9" i="8"/>
  <c r="N17" i="8"/>
  <c r="N18" i="8"/>
  <c r="N19" i="8" s="1"/>
  <c r="H9" i="8"/>
  <c r="I7" i="8" s="1"/>
  <c r="J9" i="8"/>
  <c r="K8" i="8"/>
  <c r="K5" i="8"/>
  <c r="K6" i="8"/>
  <c r="K7" i="8"/>
  <c r="F5" i="8"/>
  <c r="F9" i="8" s="1"/>
  <c r="D5" i="8"/>
  <c r="D9" i="8"/>
  <c r="E8" i="8" s="1"/>
  <c r="B5" i="8"/>
  <c r="B9" i="8"/>
  <c r="C5" i="8" s="1"/>
  <c r="I8" i="8"/>
  <c r="E7" i="8"/>
  <c r="I5" i="8"/>
  <c r="E5" i="8"/>
  <c r="C8" i="8"/>
  <c r="G45" i="1"/>
  <c r="H45" i="1"/>
  <c r="J45" i="1"/>
  <c r="K45" i="1"/>
  <c r="E35" i="1"/>
  <c r="C4" i="2"/>
  <c r="D4" i="2"/>
  <c r="E4" i="2"/>
  <c r="B4" i="2"/>
  <c r="D3" i="2"/>
  <c r="E3" i="2"/>
  <c r="C3" i="2"/>
  <c r="B3" i="2"/>
  <c r="C5" i="2"/>
  <c r="D5" i="2"/>
  <c r="E5" i="2"/>
  <c r="B5" i="2"/>
  <c r="E14" i="1"/>
  <c r="E26" i="1"/>
  <c r="K11" i="1"/>
  <c r="K13" i="1"/>
  <c r="G11" i="1"/>
  <c r="G12" i="1"/>
  <c r="H11" i="1"/>
  <c r="J11" i="1"/>
  <c r="J13" i="1" s="1"/>
  <c r="K14" i="1"/>
  <c r="E7" i="2"/>
  <c r="E8" i="2" s="1"/>
  <c r="E21" i="2" s="1"/>
  <c r="K12" i="1"/>
  <c r="G13" i="1"/>
  <c r="G14" i="1"/>
  <c r="G23" i="1" s="1"/>
  <c r="H12" i="1"/>
  <c r="H13" i="1"/>
  <c r="J12" i="1"/>
  <c r="K24" i="1"/>
  <c r="K21" i="1"/>
  <c r="K25" i="1"/>
  <c r="K23" i="1"/>
  <c r="K20" i="1"/>
  <c r="K26" i="1" s="1"/>
  <c r="K22" i="1"/>
  <c r="G24" i="1"/>
  <c r="G21" i="1"/>
  <c r="G20" i="1"/>
  <c r="G26" i="1" s="1"/>
  <c r="H14" i="1"/>
  <c r="E13" i="2"/>
  <c r="E14" i="2" s="1"/>
  <c r="E16" i="2" s="1"/>
  <c r="E22" i="2"/>
  <c r="E24" i="2" s="1"/>
  <c r="K17" i="1" s="1"/>
  <c r="H25" i="1"/>
  <c r="H21" i="1"/>
  <c r="C7" i="2"/>
  <c r="C8" i="2" s="1"/>
  <c r="H20" i="1"/>
  <c r="H22" i="1"/>
  <c r="H23" i="1"/>
  <c r="H24" i="1"/>
  <c r="H26" i="1"/>
  <c r="K16" i="1" l="1"/>
  <c r="K18" i="1" s="1"/>
  <c r="K28" i="1" s="1"/>
  <c r="E26" i="2"/>
  <c r="C21" i="2"/>
  <c r="C22" i="2" s="1"/>
  <c r="C24" i="2" s="1"/>
  <c r="H17" i="1" s="1"/>
  <c r="C13" i="2"/>
  <c r="C14" i="2" s="1"/>
  <c r="C16" i="2" s="1"/>
  <c r="N24" i="8"/>
  <c r="N25" i="8" s="1"/>
  <c r="N27" i="8" s="1"/>
  <c r="N32" i="8"/>
  <c r="N33" i="8" s="1"/>
  <c r="N35" i="8" s="1"/>
  <c r="G6" i="8"/>
  <c r="G8" i="8"/>
  <c r="G7" i="8"/>
  <c r="G5" i="8"/>
  <c r="G25" i="1"/>
  <c r="B7" i="2"/>
  <c r="B8" i="2" s="1"/>
  <c r="J14" i="1"/>
  <c r="G22" i="1"/>
  <c r="C6" i="8"/>
  <c r="C7" i="8"/>
  <c r="E6" i="8"/>
  <c r="I6" i="8"/>
  <c r="W12" i="19"/>
  <c r="W28" i="19"/>
  <c r="W31" i="19"/>
  <c r="R24" i="19"/>
  <c r="N24" i="19"/>
  <c r="W24" i="19" s="1"/>
  <c r="P24" i="19"/>
  <c r="Q9" i="19"/>
  <c r="Q10" i="19" s="1"/>
  <c r="K11" i="19"/>
  <c r="S9" i="19"/>
  <c r="S10" i="19" s="1"/>
  <c r="K9" i="19"/>
  <c r="K10" i="19" s="1"/>
  <c r="K12" i="19" s="1"/>
  <c r="S11" i="19"/>
  <c r="I9" i="19"/>
  <c r="I10" i="19" s="1"/>
  <c r="O11" i="19"/>
  <c r="M11" i="19"/>
  <c r="M9" i="19"/>
  <c r="M10" i="19" s="1"/>
  <c r="M12" i="19" s="1"/>
  <c r="Q11" i="19"/>
  <c r="I11" i="19"/>
  <c r="O9" i="19"/>
  <c r="O10" i="19" s="1"/>
  <c r="G9" i="19"/>
  <c r="G10" i="19" s="1"/>
  <c r="G11" i="19"/>
  <c r="J20" i="1" l="1"/>
  <c r="J26" i="1" s="1"/>
  <c r="D7" i="2"/>
  <c r="D8" i="2" s="1"/>
  <c r="J21" i="1"/>
  <c r="J24" i="1"/>
  <c r="J23" i="1"/>
  <c r="J22" i="1"/>
  <c r="J25" i="1"/>
  <c r="C26" i="2"/>
  <c r="H16" i="1"/>
  <c r="H18" i="1" s="1"/>
  <c r="H28" i="1" s="1"/>
  <c r="B13" i="2"/>
  <c r="B14" i="2" s="1"/>
  <c r="B16" i="2" s="1"/>
  <c r="B21" i="2"/>
  <c r="B22" i="2" s="1"/>
  <c r="B24" i="2" s="1"/>
  <c r="G17" i="1" s="1"/>
  <c r="N37" i="8"/>
  <c r="N39" i="8" s="1"/>
  <c r="K32" i="1"/>
  <c r="K35" i="1" s="1"/>
  <c r="K34" i="1"/>
  <c r="K39" i="1"/>
  <c r="K33" i="1"/>
  <c r="K40" i="1"/>
  <c r="K41" i="1"/>
  <c r="W46" i="19"/>
  <c r="F48" i="19" s="1"/>
  <c r="K13" i="19"/>
  <c r="J15" i="19" s="1"/>
  <c r="Q12" i="19"/>
  <c r="Q13" i="19" s="1"/>
  <c r="P15" i="19" s="1"/>
  <c r="M13" i="19"/>
  <c r="L16" i="19" s="1"/>
  <c r="O12" i="19"/>
  <c r="O13" i="19" s="1"/>
  <c r="G12" i="19"/>
  <c r="G13" i="19" s="1"/>
  <c r="S12" i="19"/>
  <c r="S13" i="19" s="1"/>
  <c r="I12" i="19"/>
  <c r="I13" i="19" s="1"/>
  <c r="H41" i="1" l="1"/>
  <c r="H33" i="1"/>
  <c r="H32" i="1"/>
  <c r="H35" i="1" s="1"/>
  <c r="H47" i="1" s="1"/>
  <c r="H48" i="1" s="1"/>
  <c r="H34" i="1"/>
  <c r="H39" i="1"/>
  <c r="H40" i="1"/>
  <c r="D21" i="2"/>
  <c r="D22" i="2" s="1"/>
  <c r="D24" i="2" s="1"/>
  <c r="J17" i="1" s="1"/>
  <c r="D13" i="2"/>
  <c r="D14" i="2" s="1"/>
  <c r="D16" i="2" s="1"/>
  <c r="K47" i="1"/>
  <c r="K48" i="1" s="1"/>
  <c r="B26" i="2"/>
  <c r="G16" i="1"/>
  <c r="G18" i="1" s="1"/>
  <c r="G28" i="1" s="1"/>
  <c r="X46" i="19"/>
  <c r="J16" i="19"/>
  <c r="P16" i="19"/>
  <c r="P17" i="19" s="1"/>
  <c r="Q17" i="19" s="1"/>
  <c r="Q18" i="19" s="1"/>
  <c r="Q24" i="19" s="1"/>
  <c r="Q25" i="19" s="1"/>
  <c r="L15" i="19"/>
  <c r="H15" i="19"/>
  <c r="H16" i="19"/>
  <c r="F15" i="19"/>
  <c r="F16" i="19"/>
  <c r="R15" i="19"/>
  <c r="R16" i="19"/>
  <c r="N15" i="19"/>
  <c r="N16" i="19"/>
  <c r="K51" i="1" l="1"/>
  <c r="K53" i="1" s="1"/>
  <c r="K50" i="1"/>
  <c r="H50" i="1"/>
  <c r="H53" i="1"/>
  <c r="H51" i="1"/>
  <c r="G34" i="1"/>
  <c r="G40" i="1"/>
  <c r="G39" i="1"/>
  <c r="G41" i="1"/>
  <c r="G33" i="1"/>
  <c r="G32" i="1"/>
  <c r="G35" i="1" s="1"/>
  <c r="D26" i="2"/>
  <c r="J16" i="1"/>
  <c r="J18" i="1" s="1"/>
  <c r="J28" i="1" s="1"/>
  <c r="R17" i="19"/>
  <c r="H17" i="19"/>
  <c r="I17" i="19" s="1"/>
  <c r="I18" i="19" s="1"/>
  <c r="I24" i="19" s="1"/>
  <c r="I25" i="19" s="1"/>
  <c r="J17" i="19"/>
  <c r="K17" i="19" s="1"/>
  <c r="K18" i="19" s="1"/>
  <c r="K24" i="19" s="1"/>
  <c r="K25" i="19" s="1"/>
  <c r="L17" i="19"/>
  <c r="M17" i="19" s="1"/>
  <c r="M18" i="19" s="1"/>
  <c r="M24" i="19" s="1"/>
  <c r="M25" i="19" s="1"/>
  <c r="F17" i="19"/>
  <c r="G17" i="19" s="1"/>
  <c r="G18" i="19" s="1"/>
  <c r="N17" i="19"/>
  <c r="O17" i="19" s="1"/>
  <c r="O18" i="19" s="1"/>
  <c r="O24" i="19" s="1"/>
  <c r="O25" i="19" s="1"/>
  <c r="Q28" i="19"/>
  <c r="Q31" i="19"/>
  <c r="J41" i="1" l="1"/>
  <c r="J34" i="1"/>
  <c r="J33" i="1"/>
  <c r="J40" i="1"/>
  <c r="J32" i="1"/>
  <c r="J35" i="1" s="1"/>
  <c r="J47" i="1" s="1"/>
  <c r="J48" i="1" s="1"/>
  <c r="J39" i="1"/>
  <c r="G47" i="1"/>
  <c r="G48" i="1" s="1"/>
  <c r="K28" i="19"/>
  <c r="K31" i="19"/>
  <c r="M28" i="19"/>
  <c r="M31" i="19"/>
  <c r="Q32" i="19"/>
  <c r="S17" i="19"/>
  <c r="S18" i="19" s="1"/>
  <c r="S24" i="19" s="1"/>
  <c r="S25" i="19" s="1"/>
  <c r="G24" i="19"/>
  <c r="G25" i="19" s="1"/>
  <c r="O31" i="19"/>
  <c r="O28" i="19"/>
  <c r="M32" i="19"/>
  <c r="I28" i="19"/>
  <c r="I31" i="19"/>
  <c r="J50" i="1" l="1"/>
  <c r="J51" i="1"/>
  <c r="J53" i="1" s="1"/>
  <c r="J55" i="1" s="1"/>
  <c r="G50" i="1"/>
  <c r="G53" i="1"/>
  <c r="G55" i="1" s="1"/>
  <c r="G51" i="1"/>
  <c r="K32" i="19"/>
  <c r="S31" i="19"/>
  <c r="S28" i="19"/>
  <c r="G28" i="19"/>
  <c r="G31" i="19"/>
  <c r="O32" i="19"/>
  <c r="I32" i="19"/>
  <c r="S32" i="19" l="1"/>
  <c r="G32" i="19"/>
  <c r="S37" i="19" l="1"/>
  <c r="S43" i="19" s="1"/>
  <c r="S45" i="19" s="1"/>
</calcChain>
</file>

<file path=xl/sharedStrings.xml><?xml version="1.0" encoding="utf-8"?>
<sst xmlns="http://schemas.openxmlformats.org/spreadsheetml/2006/main" count="492" uniqueCount="208">
  <si>
    <t>De groene vensters dienen gevuld te worden met de gegevens van de organisatie.</t>
  </si>
  <si>
    <t>FWG10</t>
  </si>
  <si>
    <t>FWG15</t>
  </si>
  <si>
    <t>Ondersteuningsvorm: benaming van gemeente</t>
  </si>
  <si>
    <t>Toelichting</t>
  </si>
  <si>
    <t>[Datum CAO]</t>
  </si>
  <si>
    <t>Periodiek</t>
  </si>
  <si>
    <t>Vast component of cao afgeleid</t>
  </si>
  <si>
    <t>%</t>
  </si>
  <si>
    <t>LOONKOSTEN PER UUR</t>
  </si>
  <si>
    <t>Bruto uurloon cao</t>
  </si>
  <si>
    <t>Ja</t>
  </si>
  <si>
    <t>Totaal bruto uurloon</t>
  </si>
  <si>
    <t>OP werkgeversdeel (zie werkblad "Pensioenpremie)</t>
  </si>
  <si>
    <t>AP werkgeversdeel (zie werkblad "Pensioenpremie)</t>
  </si>
  <si>
    <t>Totaal pensioenpremies</t>
  </si>
  <si>
    <t>WGA / WIA (+ WKO)</t>
  </si>
  <si>
    <t>WW</t>
  </si>
  <si>
    <t>Sectorfonds</t>
  </si>
  <si>
    <t>ZVW</t>
  </si>
  <si>
    <t>WHK</t>
  </si>
  <si>
    <t>Nee</t>
  </si>
  <si>
    <t>WGA eigen risico; herverzekerd</t>
  </si>
  <si>
    <t>Totaal Sociale lasten</t>
  </si>
  <si>
    <t>Totaal te verlonen kosten per uur</t>
  </si>
  <si>
    <t>Verlof</t>
  </si>
  <si>
    <t>Scholing</t>
  </si>
  <si>
    <t>Ziekteverzuim</t>
  </si>
  <si>
    <t>Reiskosten client naar client, toe te berekenen per uur</t>
  </si>
  <si>
    <t>HH-1</t>
  </si>
  <si>
    <t>HH-2</t>
  </si>
  <si>
    <t>CAO keuze</t>
  </si>
  <si>
    <t>VVT</t>
  </si>
  <si>
    <t>FWG schaal</t>
  </si>
  <si>
    <t>FWG20</t>
  </si>
  <si>
    <t>Inzetmix per FWG schaal</t>
  </si>
  <si>
    <t>Vaste componenten of cao afgeleid</t>
  </si>
  <si>
    <t>Pas toe en leg uit</t>
  </si>
  <si>
    <t>Vakantietoeslag (minimum cao bepaald 0,98)</t>
  </si>
  <si>
    <t>Eindejaarsuitkering (minimum cao bepaald (0,94)</t>
  </si>
  <si>
    <t>Beschikking belastingdienst</t>
  </si>
  <si>
    <t>Eigen risicodrager: keuze onderneming</t>
  </si>
  <si>
    <t>KOSTPRIJS PER UUR</t>
  </si>
  <si>
    <t>Bron: Brancheviewer Vernet</t>
  </si>
  <si>
    <t>Kosten niet-werkbare uren claimrecht (verlof, ziekteverzuim, scholing)</t>
  </si>
  <si>
    <t>SECUNDAIR TOE TE BEREKENEN KOSTEN PER UUR</t>
  </si>
  <si>
    <t>Niet planbaar, wel te verlonen tijd</t>
  </si>
  <si>
    <t>Indirect Clientgebonden tijd (%)</t>
  </si>
  <si>
    <t>Rapportage clientdossier, casus overleg</t>
  </si>
  <si>
    <t>Organisatiegebonden tijd (%)</t>
  </si>
  <si>
    <t>Overige administratie, team overleg</t>
  </si>
  <si>
    <t>Eerste reis naar werk</t>
  </si>
  <si>
    <t>Ter vergelijking: onderzoek PWC april 2017 invloed op tarief eerste reis naar werk 3,4% tov de hier gehanteerde 1,9% (€0,28)</t>
  </si>
  <si>
    <t>Totaal reiskosten per uur</t>
  </si>
  <si>
    <t>Overhead over alle bovenstaande posten</t>
  </si>
  <si>
    <t>Totale kosten per uur in te zetten medewerker</t>
  </si>
  <si>
    <t>Opslag voor additionele administratieve lasten</t>
  </si>
  <si>
    <t>Gemeentelijke eisen, inkoopkenmerken, extra accountantscontroles</t>
  </si>
  <si>
    <t>RISICO &amp; MARGE</t>
  </si>
  <si>
    <t>Ongewogen tarief totaal</t>
  </si>
  <si>
    <t>Gewogen tarief</t>
  </si>
  <si>
    <t>Tarief per ondersteuningsvorm met de gekozen FWG inzetmix</t>
  </si>
  <si>
    <t xml:space="preserve">Ondersteuningsvorm; benaming gemeente </t>
  </si>
  <si>
    <t>Bruto uurloon</t>
  </si>
  <si>
    <t>Fulltime salaris</t>
  </si>
  <si>
    <t>OP Premie vaststellen</t>
  </si>
  <si>
    <t>% (werkgevers +werknemersdeel)</t>
  </si>
  <si>
    <t xml:space="preserve">Franchise </t>
  </si>
  <si>
    <t>Grondslag</t>
  </si>
  <si>
    <t>Premie (per jaar)</t>
  </si>
  <si>
    <r>
      <t xml:space="preserve">Werkgeversdeel OP </t>
    </r>
    <r>
      <rPr>
        <sz val="11"/>
        <color theme="1"/>
        <rFont val="Calibri"/>
        <family val="2"/>
        <scheme val="minor"/>
      </rPr>
      <t>(toe te passen %, na aftrek franchise)</t>
    </r>
  </si>
  <si>
    <t>AP Premie vaststellen</t>
  </si>
  <si>
    <t>Franchise (= frachisebedrag pensioenfonds)</t>
  </si>
  <si>
    <r>
      <t xml:space="preserve">Werkgeversdeel AP </t>
    </r>
    <r>
      <rPr>
        <sz val="11"/>
        <color theme="1"/>
        <rFont val="Calibri"/>
        <family val="2"/>
        <scheme val="minor"/>
      </rPr>
      <t>(toe te passen %, na aftrek franchise)</t>
    </r>
  </si>
  <si>
    <t>Totaal Werkgeversdeel</t>
  </si>
  <si>
    <t>Berekening pensioenpremie (VVT / VGN beide Pensioenfonds PZW)</t>
  </si>
  <si>
    <t>Cao</t>
  </si>
  <si>
    <t>FWG</t>
  </si>
  <si>
    <r>
      <t>Totaal Bruto uurloon</t>
    </r>
    <r>
      <rPr>
        <i/>
        <sz val="9"/>
        <color theme="1"/>
        <rFont val="Verdana"/>
        <family val="2"/>
      </rPr>
      <t/>
    </r>
  </si>
  <si>
    <t>Bruto-netto berekening</t>
  </si>
  <si>
    <t>Bruto uren</t>
  </si>
  <si>
    <t>Netto uren</t>
  </si>
  <si>
    <t>Dit is derhalve in de rekenpercentages meegenomen.</t>
  </si>
  <si>
    <t>CAO</t>
  </si>
  <si>
    <t>Bouwsteen:</t>
  </si>
  <si>
    <t>Het bedraagt hier de premie voor 2019, bestaande uit een basispremie (6,27%) en een verplichte bijdrage van de werkgever in kinderopvang (0,5%)</t>
  </si>
  <si>
    <t>Het bedraagt hier de premie voor 2019</t>
  </si>
  <si>
    <t>Het bedraagt hier de premie voor 2019, sector gezondheid</t>
  </si>
  <si>
    <t xml:space="preserve">Totale pensioenpremies en sociale lasten </t>
  </si>
  <si>
    <t>Elementen sociale lasten</t>
  </si>
  <si>
    <t xml:space="preserve">Eindejaarsuitkering </t>
  </si>
  <si>
    <t>Totaal pensioenpremies en sociale lasten</t>
  </si>
  <si>
    <t>Overig personeelskosten zorgverleners</t>
  </si>
  <si>
    <t>Onregelmatigheidstoeslag</t>
  </si>
  <si>
    <t>Totaal indirecte te verekenen kosten</t>
  </si>
  <si>
    <t>Premies PZW</t>
  </si>
  <si>
    <t>Het landelijke percentage voor 2019 is door UWV/SZW vastgesteld op: 1,13% (WGA: 0,80% + Ziektewet Flex 0,33% = 1,13%).</t>
  </si>
  <si>
    <t>CAO VVT</t>
  </si>
  <si>
    <t>CAO GGZ</t>
  </si>
  <si>
    <t>CAO GHZ</t>
  </si>
  <si>
    <t>CAO Jeugdzorg</t>
  </si>
  <si>
    <t>Brutoloon inclusief pensioenpremies en sociale lasten</t>
  </si>
  <si>
    <t>Ongewogen tarief per uur</t>
  </si>
  <si>
    <t xml:space="preserve">Deze sheet verschaft achterliggende informatie bij de factoren die samen de kostprijs per bouwsteen bepalen. </t>
  </si>
  <si>
    <t>Ingezette functiewerkgroep</t>
  </si>
  <si>
    <t xml:space="preserve">Bruto uurloon </t>
  </si>
  <si>
    <t xml:space="preserve">In deze rij kunnen zorgaanbieders aangeven welke functiewerkgroep zij per CAO in zullen zetten. </t>
  </si>
  <si>
    <t>Vakantietoeslag</t>
  </si>
  <si>
    <t xml:space="preserve">Vanuit de CAOs vloeit voort dat de vakantietoeslag 8% van het feitelijk verdiende loont betreft. </t>
  </si>
  <si>
    <t>Eindejaarsuitkering</t>
  </si>
  <si>
    <t>Ingezette functiewerkgroep en bijbehorend maandsalaris</t>
  </si>
  <si>
    <t>Totale pensioenpremies en sociale lasten</t>
  </si>
  <si>
    <t xml:space="preserve">Kostprijsfactor </t>
  </si>
  <si>
    <t>Percentages per CAO</t>
  </si>
  <si>
    <t>Totaal Werkgeversdeel pensioen</t>
  </si>
  <si>
    <t xml:space="preserve">Materiële cliëntgebonden kosten </t>
  </si>
  <si>
    <t>Overhead - niet cliëntgebonden</t>
  </si>
  <si>
    <t>Overhead - niet cliëntgebonden kosten</t>
  </si>
  <si>
    <t>Het totale bedrag voor het werkgeversdeel van pensioenpremies en sociale lasten wordt berekend op een aparte sheet. Aldaar is tevens een uitleg per factor opgenomen.</t>
  </si>
  <si>
    <t>De netto berekening is gebaseerd op de aangegeven verplichte factoren (o.g.v. de cao-VVT en wetgeving)</t>
  </si>
  <si>
    <t>van improductiviteit. Deze verplichte factoren gelden evenzeer voor de (kosten van) vervanging gedurende verlof, scholing en ziekteverzuim.</t>
  </si>
  <si>
    <t xml:space="preserve">Het eigen risico is vastgesteld op 0%, waarbij ervan uit wordt gegaan dat het WGA volledig geregeld is via het UWV. </t>
  </si>
  <si>
    <t>Risico-opslag</t>
  </si>
  <si>
    <t xml:space="preserve">Risico-opslag </t>
  </si>
  <si>
    <t xml:space="preserve">De sheet 'Toelichting' bevat noodzakelijke informatie voor het invullen van de groene vensters. Lees deze dus rustig door alvorens de groene vensters in te vullen. </t>
  </si>
  <si>
    <t>Totale directe kostprijs per uur</t>
  </si>
  <si>
    <t>Totale opslag voor risico / marge</t>
  </si>
  <si>
    <t xml:space="preserve">Hier kunnen zorgaanbieders een percentage opnemen voor het risico, waarin ook de beschikbaarheidscomponent moet worden opgenomen. </t>
  </si>
  <si>
    <t>Totale materiële cliëntgebonden kosten</t>
  </si>
  <si>
    <t>Huisvestingskosten</t>
  </si>
  <si>
    <t xml:space="preserve">Cliëntgebonden tijd </t>
  </si>
  <si>
    <r>
      <t xml:space="preserve">Onder cliëntgebonden tijd wordt verstaan: 
</t>
    </r>
    <r>
      <rPr>
        <u/>
        <sz val="12"/>
        <color theme="1"/>
        <rFont val="Calibri"/>
        <family val="2"/>
        <scheme val="minor"/>
      </rPr>
      <t>Direct cliëntgebonden tijd</t>
    </r>
    <r>
      <rPr>
        <sz val="12"/>
        <color theme="1"/>
        <rFont val="Calibri"/>
        <family val="2"/>
        <scheme val="minor"/>
      </rPr>
      <t xml:space="preserve">. Dit betreft de contacttijd die een professional aan een cliënt besteedt bij een activititeit: face to face contacttijd, telefonische contacttijd (ear to ear), elektronische contacttijd (bit-to-bit)                                                                                                                                       </t>
    </r>
    <r>
      <rPr>
        <u/>
        <sz val="12"/>
        <color theme="1"/>
        <rFont val="Calibri"/>
        <family val="2"/>
        <scheme val="minor"/>
      </rPr>
      <t>Indirect cliëntgebonden tijd</t>
    </r>
    <r>
      <rPr>
        <sz val="12"/>
        <color theme="1"/>
        <rFont val="Calibri"/>
        <family val="2"/>
        <scheme val="minor"/>
      </rPr>
      <t xml:space="preserve">: indirecte tijd die samenhangt met het uitvoeren van een direct cliëntgebonden activiteit, zoals een behandel-, begeleidings- of verplegingsactiviteit. Denk hierbij aan: het voorbereiden van een activiteit, verslaglegging en administratie in het kader van de activiteit, het opruimen van de speelkamer bij een behandelcontact met kleine kinderen, hersteltijd na een intensieve behandelsessie. De reistijd van cliënt naar cliënt valt hier tevens onder. </t>
    </r>
  </si>
  <si>
    <t>Wel gewerkte, niet-declarabele (cliëntgebonden) activiteit</t>
  </si>
  <si>
    <t>Hulp-tabellen:</t>
  </si>
  <si>
    <t>totale sociale lasten</t>
  </si>
  <si>
    <t>werkgeversdeel OP</t>
  </si>
  <si>
    <t>werkgeversdeel AP</t>
  </si>
  <si>
    <t>Nb. Een realistisch percentage voor niet-clientgebonden activiteiten moet in de rekensheet worden ingevuld.</t>
  </si>
  <si>
    <t>CAO Sociaal Werk</t>
  </si>
  <si>
    <t xml:space="preserve">Vijf CAOs (Jeugdzorg, Gehandicaptenzorg, GGZ, Sociaal Werk en VVT) kunnen van toepassing zijn op de verschillende bouwstenen. Deze rij geeft de mogelijkheid om per bouwsteen aan te geven welke CAOs - en daarmee kostprijsfactoren - van toepassing zijn. </t>
  </si>
  <si>
    <t>Het bruto uurloon hangt af van de functiewerkgroep binnen de van toepassing zijnde CAO. Vanuit het bruto fulltime maandsalaris zoals opgenomen in de CAOs wordt het uurtarief berekend. Hierbij wordt uitgegaan van een 36e urige werkwerkweek (1878 uren) op jaarbasis bij een fulltime positie, hetgeen neerkomt op 156 uren per maand.</t>
  </si>
  <si>
    <t>Elementen pensioen - voorbeeld</t>
  </si>
  <si>
    <t>OP-franchise</t>
  </si>
  <si>
    <t>OP % (werkgevers +werknemersdeel)</t>
  </si>
  <si>
    <t>AP franchise</t>
  </si>
  <si>
    <t xml:space="preserve">Ziekteverzuim wisselt per organisatie.
Het gemiddelde in de sector Jeugdhulp bedroeg over 2018 6,7% volgens het CBS. </t>
  </si>
  <si>
    <t>Bruto uurloon incl. vakantietoeslag</t>
  </si>
  <si>
    <t xml:space="preserve">Deze rij laat toe om een extra uitkering volgend uit onregelmatige diensten op te nemen middels een opslag over het bruto-uurloon inclusief vakantiegeld. </t>
  </si>
  <si>
    <t>Onregelmatigheidstoeslag over bruto uurloon incl. vakantietoeslag</t>
  </si>
  <si>
    <t>Hotelmatige kosten (niet-gebouw gebonden)</t>
  </si>
  <si>
    <t>Opslag Bruto/Netto calculatie (totaal overige personeelskosten)</t>
  </si>
  <si>
    <t>Materiële cliëntgebonden kosten per dagdeel</t>
  </si>
  <si>
    <t>Wel gewerkte, niet-declarabele  activiteiten</t>
  </si>
  <si>
    <t>Wel gewerkte, niet declarabele activiteiten</t>
  </si>
  <si>
    <t xml:space="preserve">Vervoer </t>
  </si>
  <si>
    <t>Calculatie jeugdhulp met verblijf - prijs per etmaal</t>
  </si>
  <si>
    <t>Totale kosten voor inzet hulpverleners per etmaal</t>
  </si>
  <si>
    <t>Prijs per etmaal</t>
  </si>
  <si>
    <t>Te verwachten inzet (uren) per etmaal</t>
  </si>
  <si>
    <t xml:space="preserve">Het aantal uren dat per zorgverlener ingezet wordt in een etmaal binnen de bouwsteen. Dit betreft zowel de directe als indirect cliëntgebonden tijd. </t>
  </si>
  <si>
    <t>Specifiek voor verblijf</t>
  </si>
  <si>
    <t>Specifiek voor logeren</t>
  </si>
  <si>
    <t>Algemene instructie:</t>
  </si>
  <si>
    <t>Te verwachten inzet (uren) per etmaal (weekdagen)</t>
  </si>
  <si>
    <t>Te verwachten inzet (uren) per etmaal (weekenddagen)</t>
  </si>
  <si>
    <t>Het aantal uren per type zorgverlener dat gemiddeld ingezet wordt in een etmaal 'logeren', op de doordeweekse dagen</t>
  </si>
  <si>
    <t>Het aantal uren per type zorgverlener dat gemiddeld ingezet wordt in een etmaal 'logeren', op de dagen in het weekend.</t>
  </si>
  <si>
    <t>De kosten voor logeren gedurende de week en het weekend verschillen in verband met de (verschillende) inzet van medewerkers én de onregelmatigheidstoeslag. Daarom worden de kostenfactoren voor beide delen van de week uitgevraagd: één keer voor doordeweekse dagen, en één keer voor weekend-dagen. De rekentool berekent automatisch het gewogen gemiddelde tarief. Vul links alle kostenfactoren (groene velden in) voor weekdagen. Rechts worden in het deel voor 'weekend-dagen' de waardes van alle factoren overgenomen, behalve de ORT én de inzet van medewerkers. U kunt uiteraard wel meer of minder functieprofielen invullen in beide onderdelen</t>
  </si>
  <si>
    <t>De gemiddelde bezettingsgraad</t>
  </si>
  <si>
    <t xml:space="preserve">Deze rij corrigeert voor de bezettingsraad door een opslag op te nemen voor de huisvestingskosten toerekenbaar aan de gemiddelde wel beschikbare maar niet ingezette capaciteit. </t>
  </si>
  <si>
    <t>Een vervoerscomponent is niet opgenomen in deze kostprijsberekening. Enkel wanneer ouders/verzorgers niet zelf in staat zijn cliënten naar de begeleiding/behandeling te brengen en op te halen, is de zorgaanbieder hiervoor verantwoordelijk. De kosten voor vervoer zullen buiten de kostprijs van het verblijf om worden vergoed, en er moet dus geen opslag voor vervoer worden meegerekend.</t>
  </si>
  <si>
    <t xml:space="preserve">Hieronder vallen onder andere het lezen van vakliteratuur, algemene vergaderingen en intervisiebijeenkomsten.
 </t>
  </si>
  <si>
    <t>Gemiddelde groepsgrootte</t>
  </si>
  <si>
    <t>Indexatie</t>
  </si>
  <si>
    <t>Geindexeerd tarief</t>
  </si>
  <si>
    <t>Hieronder vallen de kosten niet direct toe te rekenen aan cliënten zoals ondersteunende diensten, ICT-kosten, management kosten en andere algemene kosten en zakelijke lasten. Er wordt gerekend met een percentage overhead over de totale directe kostprijs per uur. Gebouwgebonden kosten zijn verbijzonderd en staan onder materiele clientgebonden kosten.</t>
  </si>
  <si>
    <t>Percentage eindejaarsuitkering</t>
  </si>
  <si>
    <t>Naam organisatie:</t>
  </si>
  <si>
    <t>Naam:</t>
  </si>
  <si>
    <t>Eigen verklaring:</t>
  </si>
  <si>
    <t>Datum:</t>
  </si>
  <si>
    <t>De eindejaarsuitkering is afhankelijk van de betreffende CAO. De percentages per 01-01-2019 bedragen:
VVT: 8,33%
GGZ: 8,33% 
Jeugdzorg: 8,30%
GHZ: 7,05%
Sociaal Werk: 8,30%</t>
  </si>
  <si>
    <r>
      <t xml:space="preserve">Het aantal verlofuren is afhankelijk van de CAO. Het aantal verlofuren bedraagt respectievelijk: 
VVT: 237,5
GGZ: 201
Jeugdzorg: 200
GHZ: 114 + een afhankelijk component. Een fictief totaal is daarom gebaseerd op de andere CAO's.
Sociaal Werk: 170 + een afhankelijk component. Een fictief totaal is daarom gebaseerd op de andere CAO's.
</t>
    </r>
    <r>
      <rPr>
        <u/>
        <sz val="12"/>
        <color theme="1"/>
        <rFont val="Calibri"/>
        <family val="2"/>
        <scheme val="minor"/>
      </rPr>
      <t>Het veld verlof is standaard vooraf ingevuld, maar kan worden overschreven als er sprake is van extra bovenwettelijk verlof.</t>
    </r>
  </si>
  <si>
    <r>
      <t xml:space="preserve">Het percentage van de uren dat beschikbaar is voor scholing is afhankelijk van de CAO. De percentages bedragen: 
VVT: 2,0%
GGZ: 2,0% (deze informatie mist uit de CAO en is gebaseerd op de andere CAO's)
Jeugdzorg: 1,5%
GHZ: 2,0%
Sociaal Werk: 2,0% (deze informatie mist uit de CAO en is gebaseerd op de andere CAO's)
</t>
    </r>
    <r>
      <rPr>
        <u/>
        <sz val="12"/>
        <color theme="1"/>
        <rFont val="Calibri"/>
        <family val="2"/>
        <scheme val="minor"/>
      </rPr>
      <t>Het veld scholing is standaard vooraf ingevuld, maar kan worden overschreven als er sprake is van extra extra scholingstijd.</t>
    </r>
  </si>
  <si>
    <r>
      <t xml:space="preserve">Hieronder vallen:
</t>
    </r>
    <r>
      <rPr>
        <u/>
        <sz val="12"/>
        <rFont val="Calibri"/>
        <family val="2"/>
        <scheme val="minor"/>
      </rPr>
      <t xml:space="preserve">Hotelmatige kosten: </t>
    </r>
    <r>
      <rPr>
        <sz val="12"/>
        <rFont val="Calibri"/>
        <family val="2"/>
        <scheme val="minor"/>
      </rPr>
      <t xml:space="preserve">voeding, en activiteiten tijdens verblijf, eventuele andere materiele clientgebonden kosten.
</t>
    </r>
    <r>
      <rPr>
        <u/>
        <sz val="12"/>
        <rFont val="Calibri"/>
        <family val="2"/>
        <scheme val="minor"/>
      </rPr>
      <t>Huisvestingskosten</t>
    </r>
    <r>
      <rPr>
        <sz val="12"/>
        <rFont val="Calibri"/>
        <family val="2"/>
        <scheme val="minor"/>
      </rPr>
      <t xml:space="preserve"> voor de locatie waar hulp met verblijf plaats vindt: de kapitaallasten, instandhoudingskosten, gas, water, licht, en inrichting. Er wordt gerekend met een vast bedrag binnen de bouwsteen, enkel wannneer deze kosten van toepassing zijn op de te leveren zorg waar de kostprijs voor wordt berekend. Zak- en leefgeld vallen hier niet onder de materiele clientgebonden kosten. Voor deze laatste post is een aparte beschikking benodigd. Houd in de gebouwgebonden kosten rekening met de gemiddelde bezettingsgraad.</t>
    </r>
  </si>
  <si>
    <t>Een passend indexatie-percentage wordt later bepaald.</t>
  </si>
  <si>
    <r>
      <t xml:space="preserve">Het aantal cliënten dat gemiddeld gezien in één verblijfsgroep zit. In dit component dient zowel rekening te worden gehouden met overcapaciteit binnen één groep als wel no-show van cliënten die de gemiddelde groepsgrootte doen verlagen en afwijken van de maximale groepsgrootte. </t>
    </r>
    <r>
      <rPr>
        <u/>
        <sz val="12"/>
        <color theme="1"/>
        <rFont val="Calibri"/>
        <family val="2"/>
        <scheme val="minor"/>
      </rPr>
      <t xml:space="preserve">Let wel: met de gemiddelde groepsgrootte wordt bij 'verblijf' en 'logeren' niet gerekend. </t>
    </r>
  </si>
  <si>
    <r>
      <t xml:space="preserve">Werkgeversdeel OP </t>
    </r>
    <r>
      <rPr>
        <sz val="11"/>
        <color theme="0"/>
        <rFont val="Calibri"/>
        <family val="2"/>
        <scheme val="minor"/>
      </rPr>
      <t>(toe te passen %, na aftrek franchise)</t>
    </r>
  </si>
  <si>
    <r>
      <t xml:space="preserve">Werkgeversdeel AP </t>
    </r>
    <r>
      <rPr>
        <sz val="11"/>
        <color theme="0"/>
        <rFont val="Calibri"/>
        <family val="2"/>
        <scheme val="minor"/>
      </rPr>
      <t>(toe te passen %, na aftrek franchise)</t>
    </r>
  </si>
  <si>
    <t>ORT</t>
  </si>
  <si>
    <t>Overhead</t>
  </si>
  <si>
    <t>Totale uren inzet hulpverleners per etmaal verblijf</t>
  </si>
  <si>
    <t>Totaal % niet-declarabel</t>
  </si>
  <si>
    <t>Marge</t>
  </si>
  <si>
    <t>Totaal mat. clientgebonden kn.</t>
  </si>
  <si>
    <t>Te verwachten gemiddelde in te zetten uren per etmaal per client</t>
  </si>
  <si>
    <t>CONTROLE: DE SHEET IS GELDIG INGEVULD:</t>
  </si>
  <si>
    <t>Toelichting:</t>
  </si>
  <si>
    <t>DREMPELWAARDES:</t>
  </si>
  <si>
    <t>Met het invullen en opsturen van de kostprijs-gegevens voor bouwstenen jeugdhulp met verblijf verklaar ik dat deze informatie te goeder trouw realistisch is ingevuld.</t>
  </si>
  <si>
    <t>Gewogen gemiddelde</t>
  </si>
  <si>
    <t>OPGEGEVEN WAARDES:</t>
  </si>
  <si>
    <t>40-9</t>
  </si>
  <si>
    <t>45-10</t>
  </si>
  <si>
    <t>65-8</t>
  </si>
  <si>
    <t>cao GHZ</t>
  </si>
  <si>
    <t>Als u bij het invullen van het tariefblad de aangegeven drempelwaardes voor onregelmatigheidstoeslag (ORT), totale opslag Bruto/Netto, opslag overhead, opslag voor risico / marge of totale materiële cliëntgebonden kosten overschreidt, dan wordt uw inschrijving terzijde gelegd! Ongeldige waardes worden automatisch rood aangegeven, en in rij 48 is een finale controle geplaatst.</t>
  </si>
  <si>
    <t>VUL HIER DE NAAM VAN DE OMSCHRIJVING IN HOOFDSTUK 4 (BV VERBLIJF MET BEHANDELING, VERSLAVINGSPROBLEMATIEK, JEUGDKLINIEK).</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</si>
</sst>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4" formatCode="_ &quot;€&quot;\ * #,##0.00_ ;_ &quot;€&quot;\ * \-#,##0.00_ ;_ &quot;€&quot;\ * &quot;-&quot;??_ ;_ @_ "/>
    <numFmt numFmtId="43" formatCode="_ * #,##0.00_ ;_ * \-#,##0.00_ ;_ * &quot;-&quot;??_ ;_ @_ "/>
    <numFmt numFmtId="164" formatCode="&quot;€&quot;\ #,##0.00_);[Red]\(&quot;€&quot;\ #,##0.00\)"/>
    <numFmt numFmtId="165" formatCode="_(&quot;€&quot;\ * #,##0.00_);_(&quot;€&quot;\ * \(#,##0.00\);_(&quot;€&quot;\ * &quot;-&quot;??_);_(@_)"/>
    <numFmt numFmtId="166" formatCode="_(* #,##0.00_);_(* \(#,##0.00\);_(* &quot;-&quot;??_);_(@_)"/>
    <numFmt numFmtId="167" formatCode="&quot;€&quot;\ #,##0.00"/>
    <numFmt numFmtId="168" formatCode="0.000%"/>
    <numFmt numFmtId="169" formatCode="0.0"/>
    <numFmt numFmtId="170" formatCode="0.0%"/>
  </numFmts>
  <fonts count="35" x14ac:knownFonts="1">
    <font>
      <sz val="12"/>
      <color theme="1"/>
      <name val="Calibri"/>
      <family val="2"/>
      <scheme val="minor"/>
    </font>
    <font>
      <sz val="11"/>
      <color theme="1"/>
      <name val="Calibri"/>
      <family val="2"/>
      <scheme val="minor"/>
    </font>
    <font>
      <sz val="11"/>
      <color theme="1"/>
      <name val="Calibri"/>
      <family val="2"/>
      <scheme val="minor"/>
    </font>
    <font>
      <sz val="12"/>
      <color theme="1"/>
      <name val="Calibri"/>
      <family val="2"/>
      <scheme val="minor"/>
    </font>
    <font>
      <b/>
      <sz val="12"/>
      <color theme="1"/>
      <name val="Calibri"/>
      <family val="2"/>
      <scheme val="minor"/>
    </font>
    <font>
      <sz val="9"/>
      <color theme="1"/>
      <name val="Verdana"/>
      <family val="2"/>
    </font>
    <font>
      <i/>
      <sz val="9"/>
      <color theme="1"/>
      <name val="Verdana"/>
      <family val="2"/>
    </font>
    <font>
      <sz val="11"/>
      <color theme="1"/>
      <name val="Calibri"/>
      <family val="2"/>
      <scheme val="minor"/>
    </font>
    <font>
      <b/>
      <sz val="11"/>
      <color theme="1"/>
      <name val="Calibri"/>
      <family val="2"/>
      <scheme val="minor"/>
    </font>
    <font>
      <b/>
      <i/>
      <sz val="11"/>
      <color theme="1"/>
      <name val="Calibri"/>
      <family val="2"/>
      <scheme val="minor"/>
    </font>
    <font>
      <sz val="14"/>
      <color theme="1"/>
      <name val="Calibri"/>
      <family val="2"/>
      <scheme val="minor"/>
    </font>
    <font>
      <b/>
      <sz val="14"/>
      <color theme="1"/>
      <name val="Calibri"/>
      <family val="2"/>
      <scheme val="minor"/>
    </font>
    <font>
      <u/>
      <sz val="12"/>
      <color theme="10"/>
      <name val="Calibri"/>
      <family val="2"/>
      <scheme val="minor"/>
    </font>
    <font>
      <sz val="10"/>
      <color rgb="FF000000"/>
      <name val="Times New Roman"/>
      <family val="1"/>
    </font>
    <font>
      <sz val="11"/>
      <color rgb="FF000000"/>
      <name val="Calibri"/>
      <family val="2"/>
    </font>
    <font>
      <sz val="10"/>
      <color theme="1"/>
      <name val="Verdana"/>
      <family val="2"/>
    </font>
    <font>
      <sz val="8"/>
      <name val="Calibri"/>
      <family val="2"/>
      <scheme val="minor"/>
    </font>
    <font>
      <b/>
      <i/>
      <sz val="12"/>
      <color theme="1"/>
      <name val="Calibri"/>
      <family val="2"/>
      <scheme val="minor"/>
    </font>
    <font>
      <sz val="10"/>
      <color theme="1"/>
      <name val="Arial"/>
      <family val="2"/>
    </font>
    <font>
      <sz val="12"/>
      <color rgb="FFFF0000"/>
      <name val="Calibri"/>
      <family val="2"/>
      <scheme val="minor"/>
    </font>
    <font>
      <u/>
      <sz val="12"/>
      <color theme="1"/>
      <name val="Calibri"/>
      <family val="2"/>
      <scheme val="minor"/>
    </font>
    <font>
      <b/>
      <sz val="12"/>
      <color theme="0"/>
      <name val="Calibri"/>
      <family val="2"/>
      <scheme val="minor"/>
    </font>
    <font>
      <i/>
      <sz val="12"/>
      <color theme="1"/>
      <name val="Calibri"/>
      <family val="2"/>
      <scheme val="minor"/>
    </font>
    <font>
      <sz val="12"/>
      <name val="Calibri"/>
      <family val="2"/>
      <scheme val="minor"/>
    </font>
    <font>
      <u/>
      <sz val="12"/>
      <name val="Calibri"/>
      <family val="2"/>
      <scheme val="minor"/>
    </font>
    <font>
      <b/>
      <sz val="11"/>
      <color theme="0"/>
      <name val="Calibri"/>
      <family val="2"/>
      <scheme val="minor"/>
    </font>
    <font>
      <sz val="11"/>
      <color theme="0"/>
      <name val="Calibri"/>
      <family val="2"/>
      <scheme val="minor"/>
    </font>
    <font>
      <sz val="12"/>
      <color theme="0"/>
      <name val="Calibri"/>
      <family val="2"/>
      <scheme val="minor"/>
    </font>
    <font>
      <sz val="10"/>
      <color theme="0"/>
      <name val="Arial"/>
      <family val="2"/>
    </font>
    <font>
      <b/>
      <i/>
      <sz val="11"/>
      <color theme="0"/>
      <name val="Calibri"/>
      <family val="2"/>
      <scheme val="minor"/>
    </font>
    <font>
      <b/>
      <sz val="16"/>
      <color theme="1"/>
      <name val="Calibri"/>
      <family val="2"/>
      <scheme val="minor"/>
    </font>
    <font>
      <sz val="16"/>
      <color rgb="FFFF0000"/>
      <name val="Calibri"/>
      <family val="2"/>
      <scheme val="minor"/>
    </font>
    <font>
      <sz val="16"/>
      <color theme="1"/>
      <name val="Calibri"/>
      <family val="2"/>
      <scheme val="minor"/>
    </font>
    <font>
      <b/>
      <u/>
      <sz val="12"/>
      <color theme="1"/>
      <name val="Calibri"/>
      <family val="2"/>
      <scheme val="minor"/>
    </font>
    <font>
      <b/>
      <u/>
      <sz val="12"/>
      <name val="Calibri"/>
      <family val="2"/>
      <scheme val="minor"/>
    </font>
  </fonts>
  <fills count="8">
    <fill>
      <patternFill patternType="none"/>
    </fill>
    <fill>
      <patternFill patternType="gray125"/>
    </fill>
    <fill>
      <patternFill patternType="solid">
        <fgColor theme="8" tint="0.39997558519241921"/>
        <bgColor indexed="64"/>
      </patternFill>
    </fill>
    <fill>
      <patternFill patternType="solid">
        <fgColor theme="8" tint="0.59999389629810485"/>
        <bgColor indexed="64"/>
      </patternFill>
    </fill>
    <fill>
      <patternFill patternType="solid">
        <fgColor theme="0"/>
        <bgColor indexed="64"/>
      </patternFill>
    </fill>
    <fill>
      <patternFill patternType="solid">
        <fgColor theme="9" tint="0.59999389629810485"/>
        <bgColor indexed="64"/>
      </patternFill>
    </fill>
    <fill>
      <patternFill patternType="solid">
        <fgColor theme="8" tint="0.79998168889431442"/>
        <bgColor indexed="64"/>
      </patternFill>
    </fill>
    <fill>
      <patternFill patternType="solid">
        <fgColor theme="7"/>
        <bgColor indexed="64"/>
      </patternFill>
    </fill>
  </fills>
  <borders count="86">
    <border>
      <left/>
      <right/>
      <top/>
      <bottom/>
      <diagonal/>
    </border>
    <border>
      <left/>
      <right/>
      <top/>
      <bottom style="hair">
        <color auto="1"/>
      </bottom>
      <diagonal/>
    </border>
    <border>
      <left/>
      <right/>
      <top style="hair">
        <color auto="1"/>
      </top>
      <bottom style="hair">
        <color auto="1"/>
      </bottom>
      <diagonal/>
    </border>
    <border>
      <left/>
      <right/>
      <top style="hair">
        <color auto="1"/>
      </top>
      <bottom/>
      <diagonal/>
    </border>
    <border>
      <left/>
      <right/>
      <top/>
      <bottom style="thin">
        <color auto="1"/>
      </bottom>
      <diagonal/>
    </border>
    <border>
      <left/>
      <right style="thin">
        <color theme="2" tint="-9.9948118533890809E-2"/>
      </right>
      <top/>
      <bottom style="hair">
        <color auto="1"/>
      </bottom>
      <diagonal/>
    </border>
    <border>
      <left style="thin">
        <color theme="2" tint="-9.9948118533890809E-2"/>
      </left>
      <right/>
      <top/>
      <bottom style="hair">
        <color auto="1"/>
      </bottom>
      <diagonal/>
    </border>
    <border>
      <left style="thin">
        <color theme="2" tint="-9.9948118533890809E-2"/>
      </left>
      <right/>
      <top style="hair">
        <color auto="1"/>
      </top>
      <bottom style="hair">
        <color auto="1"/>
      </bottom>
      <diagonal/>
    </border>
    <border>
      <left style="thin">
        <color theme="2" tint="-9.9917600024414813E-2"/>
      </left>
      <right/>
      <top/>
      <bottom style="hair">
        <color auto="1"/>
      </bottom>
      <diagonal/>
    </border>
    <border>
      <left style="thin">
        <color theme="2" tint="-9.9887081514938816E-2"/>
      </left>
      <right/>
      <top style="hair">
        <color theme="1"/>
      </top>
      <bottom style="hair">
        <color theme="1"/>
      </bottom>
      <diagonal/>
    </border>
    <border>
      <left style="thin">
        <color theme="2" tint="-9.9887081514938816E-2"/>
      </left>
      <right/>
      <top style="hair">
        <color theme="1"/>
      </top>
      <bottom style="hair">
        <color auto="1"/>
      </bottom>
      <diagonal/>
    </border>
    <border>
      <left/>
      <right/>
      <top style="hair">
        <color auto="1"/>
      </top>
      <bottom style="hair">
        <color theme="1"/>
      </bottom>
      <diagonal/>
    </border>
    <border>
      <left/>
      <right/>
      <top style="hair">
        <color theme="1"/>
      </top>
      <bottom style="hair">
        <color theme="1"/>
      </bottom>
      <diagonal/>
    </border>
    <border>
      <left/>
      <right/>
      <top style="hair">
        <color theme="1"/>
      </top>
      <bottom/>
      <diagonal/>
    </border>
    <border>
      <left/>
      <right style="thin">
        <color theme="2" tint="-9.9948118533890809E-2"/>
      </right>
      <top style="hair">
        <color auto="1"/>
      </top>
      <bottom style="hair">
        <color theme="1"/>
      </bottom>
      <diagonal/>
    </border>
    <border>
      <left style="thin">
        <color theme="2" tint="-9.9948118533890809E-2"/>
      </left>
      <right/>
      <top style="hair">
        <color auto="1"/>
      </top>
      <bottom style="hair">
        <color theme="1"/>
      </bottom>
      <diagonal/>
    </border>
    <border>
      <left style="thin">
        <color theme="2" tint="-9.9948118533890809E-2"/>
      </left>
      <right/>
      <top style="hair">
        <color theme="1"/>
      </top>
      <bottom style="hair">
        <color theme="1"/>
      </bottom>
      <diagonal/>
    </border>
    <border>
      <left/>
      <right style="thin">
        <color theme="2" tint="-9.9948118533890809E-2"/>
      </right>
      <top style="hair">
        <color theme="1"/>
      </top>
      <bottom/>
      <diagonal/>
    </border>
    <border>
      <left style="thin">
        <color theme="2" tint="-9.9948118533890809E-2"/>
      </left>
      <right/>
      <top style="hair">
        <color theme="1"/>
      </top>
      <bottom/>
      <diagonal/>
    </border>
    <border>
      <left style="thin">
        <color theme="2" tint="-9.9948118533890809E-2"/>
      </left>
      <right/>
      <top style="hair">
        <color auto="1"/>
      </top>
      <bottom/>
      <diagonal/>
    </border>
    <border>
      <left/>
      <right style="hair">
        <color theme="2" tint="-9.9948118533890809E-2"/>
      </right>
      <top style="hair">
        <color auto="1"/>
      </top>
      <bottom/>
      <diagonal/>
    </border>
    <border>
      <left style="hair">
        <color theme="2" tint="-9.9948118533890809E-2"/>
      </left>
      <right/>
      <top style="hair">
        <color auto="1"/>
      </top>
      <bottom/>
      <diagonal/>
    </border>
    <border>
      <left/>
      <right style="medium">
        <color auto="1"/>
      </right>
      <top style="hair">
        <color auto="1"/>
      </top>
      <bottom/>
      <diagonal/>
    </border>
    <border>
      <left/>
      <right style="medium">
        <color auto="1"/>
      </right>
      <top/>
      <bottom/>
      <diagonal/>
    </border>
    <border>
      <left style="thin">
        <color theme="2" tint="-9.9948118533890809E-2"/>
      </left>
      <right style="medium">
        <color auto="1"/>
      </right>
      <top/>
      <bottom style="hair">
        <color auto="1"/>
      </bottom>
      <diagonal/>
    </border>
    <border>
      <left style="thin">
        <color theme="2" tint="-9.9948118533890809E-2"/>
      </left>
      <right style="medium">
        <color auto="1"/>
      </right>
      <top style="hair">
        <color auto="1"/>
      </top>
      <bottom style="hair">
        <color auto="1"/>
      </bottom>
      <diagonal/>
    </border>
    <border>
      <left style="thin">
        <color theme="2" tint="-9.9948118533890809E-2"/>
      </left>
      <right style="medium">
        <color auto="1"/>
      </right>
      <top style="hair">
        <color auto="1"/>
      </top>
      <bottom style="hair">
        <color theme="1"/>
      </bottom>
      <diagonal/>
    </border>
    <border>
      <left style="thin">
        <color theme="2" tint="-9.9948118533890809E-2"/>
      </left>
      <right style="medium">
        <color auto="1"/>
      </right>
      <top style="hair">
        <color theme="1"/>
      </top>
      <bottom style="hair">
        <color theme="1"/>
      </bottom>
      <diagonal/>
    </border>
    <border>
      <left style="thin">
        <color theme="2" tint="-9.9948118533890809E-2"/>
      </left>
      <right style="medium">
        <color auto="1"/>
      </right>
      <top style="hair">
        <color theme="1"/>
      </top>
      <bottom/>
      <diagonal/>
    </border>
    <border>
      <left style="thin">
        <color theme="2" tint="-9.9917600024414813E-2"/>
      </left>
      <right style="medium">
        <color auto="1"/>
      </right>
      <top/>
      <bottom style="hair">
        <color auto="1"/>
      </bottom>
      <diagonal/>
    </border>
    <border>
      <left style="thin">
        <color theme="2" tint="-9.9917600024414813E-2"/>
      </left>
      <right style="medium">
        <color auto="1"/>
      </right>
      <top style="hair">
        <color auto="1"/>
      </top>
      <bottom style="hair">
        <color theme="1"/>
      </bottom>
      <diagonal/>
    </border>
    <border>
      <left style="thin">
        <color theme="2" tint="-9.9917600024414813E-2"/>
      </left>
      <right style="medium">
        <color auto="1"/>
      </right>
      <top style="hair">
        <color theme="1"/>
      </top>
      <bottom/>
      <diagonal/>
    </border>
    <border>
      <left style="thin">
        <color theme="2" tint="-9.9917600024414813E-2"/>
      </left>
      <right style="medium">
        <color auto="1"/>
      </right>
      <top style="hair">
        <color auto="1"/>
      </top>
      <bottom/>
      <diagonal/>
    </border>
    <border>
      <left style="medium">
        <color auto="1"/>
      </left>
      <right/>
      <top style="hair">
        <color auto="1"/>
      </top>
      <bottom/>
      <diagonal/>
    </border>
    <border>
      <left style="medium">
        <color auto="1"/>
      </left>
      <right/>
      <top/>
      <bottom/>
      <diagonal/>
    </border>
    <border>
      <left style="medium">
        <color auto="1"/>
      </left>
      <right/>
      <top/>
      <bottom style="hair">
        <color auto="1"/>
      </bottom>
      <diagonal/>
    </border>
    <border>
      <left/>
      <right style="medium">
        <color auto="1"/>
      </right>
      <top/>
      <bottom style="hair">
        <color auto="1"/>
      </bottom>
      <diagonal/>
    </border>
    <border>
      <left style="medium">
        <color auto="1"/>
      </left>
      <right/>
      <top style="hair">
        <color auto="1"/>
      </top>
      <bottom style="hair">
        <color auto="1"/>
      </bottom>
      <diagonal/>
    </border>
    <border>
      <left style="medium">
        <color auto="1"/>
      </left>
      <right style="thin">
        <color theme="2" tint="-9.9948118533890809E-2"/>
      </right>
      <top style="hair">
        <color auto="1"/>
      </top>
      <bottom style="hair">
        <color theme="1"/>
      </bottom>
      <diagonal/>
    </border>
    <border>
      <left style="medium">
        <color auto="1"/>
      </left>
      <right style="thin">
        <color theme="2" tint="-9.9948118533890809E-2"/>
      </right>
      <top style="hair">
        <color theme="1"/>
      </top>
      <bottom/>
      <diagonal/>
    </border>
    <border>
      <left style="medium">
        <color auto="1"/>
      </left>
      <right style="thin">
        <color theme="2" tint="-9.9948118533890809E-2"/>
      </right>
      <top/>
      <bottom style="hair">
        <color auto="1"/>
      </bottom>
      <diagonal/>
    </border>
    <border>
      <left style="medium">
        <color auto="1"/>
      </left>
      <right style="thin">
        <color theme="2" tint="-9.9948118533890809E-2"/>
      </right>
      <top style="hair">
        <color auto="1"/>
      </top>
      <bottom style="hair">
        <color auto="1"/>
      </bottom>
      <diagonal/>
    </border>
    <border>
      <left style="medium">
        <color auto="1"/>
      </left>
      <right style="hair">
        <color theme="2" tint="-9.9948118533890809E-2"/>
      </right>
      <top style="hair">
        <color auto="1"/>
      </top>
      <bottom/>
      <diagonal/>
    </border>
    <border>
      <left style="hair">
        <color theme="2" tint="-9.9948118533890809E-2"/>
      </left>
      <right style="medium">
        <color auto="1"/>
      </right>
      <top style="hair">
        <color auto="1"/>
      </top>
      <bottom/>
      <diagonal/>
    </border>
    <border>
      <left style="medium">
        <color auto="1"/>
      </left>
      <right style="thin">
        <color theme="2" tint="-9.9948118533890809E-2"/>
      </right>
      <top style="hair">
        <color auto="1"/>
      </top>
      <bottom/>
      <diagonal/>
    </border>
    <border>
      <left style="thin">
        <color theme="2" tint="-9.9948118533890809E-2"/>
      </left>
      <right style="medium">
        <color auto="1"/>
      </right>
      <top style="hair">
        <color auto="1"/>
      </top>
      <bottom/>
      <diagonal/>
    </border>
    <border>
      <left style="medium">
        <color auto="1"/>
      </left>
      <right style="thin">
        <color theme="2" tint="-9.9917600024414813E-2"/>
      </right>
      <top/>
      <bottom style="hair">
        <color auto="1"/>
      </bottom>
      <diagonal/>
    </border>
    <border>
      <left style="thin">
        <color theme="2" tint="-9.9917600024414813E-2"/>
      </left>
      <right style="medium">
        <color auto="1"/>
      </right>
      <top style="hair">
        <color theme="1"/>
      </top>
      <bottom style="hair">
        <color theme="1"/>
      </bottom>
      <diagonal/>
    </border>
    <border>
      <left style="thin">
        <color theme="2" tint="-9.9917600024414813E-2"/>
      </left>
      <right style="medium">
        <color auto="1"/>
      </right>
      <top style="hair">
        <color theme="1"/>
      </top>
      <bottom style="hair">
        <color auto="1"/>
      </bottom>
      <diagonal/>
    </border>
    <border>
      <left style="thin">
        <color theme="2" tint="-9.9917600024414813E-2"/>
      </left>
      <right/>
      <top style="hair">
        <color auto="1"/>
      </top>
      <bottom/>
      <diagonal/>
    </border>
    <border>
      <left/>
      <right style="medium">
        <color auto="1"/>
      </right>
      <top style="hair">
        <color auto="1"/>
      </top>
      <bottom style="hair">
        <color auto="1"/>
      </bottom>
      <diagonal/>
    </border>
    <border>
      <left style="thin">
        <color theme="2" tint="-0.24994659260841701"/>
      </left>
      <right style="thin">
        <color theme="2" tint="-0.24994659260841701"/>
      </right>
      <top style="hair">
        <color auto="1"/>
      </top>
      <bottom style="hair">
        <color auto="1"/>
      </bottom>
      <diagonal/>
    </border>
    <border>
      <left style="thin">
        <color theme="2" tint="-9.9917600024414813E-2"/>
      </left>
      <right/>
      <top/>
      <bottom/>
      <diagonal/>
    </border>
    <border>
      <left style="medium">
        <color auto="1"/>
      </left>
      <right style="thin">
        <color theme="2" tint="-9.9948118533890809E-2"/>
      </right>
      <top/>
      <bottom/>
      <diagonal/>
    </border>
    <border>
      <left style="thin">
        <color theme="2" tint="-9.9948118533890809E-2"/>
      </left>
      <right style="medium">
        <color auto="1"/>
      </right>
      <top/>
      <bottom/>
      <diagonal/>
    </border>
    <border>
      <left style="thin">
        <color theme="2" tint="-9.9948118533890809E-2"/>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auto="1"/>
      </left>
      <right style="medium">
        <color auto="1"/>
      </right>
      <top style="medium">
        <color auto="1"/>
      </top>
      <bottom style="medium">
        <color auto="1"/>
      </bottom>
      <diagonal/>
    </border>
    <border>
      <left style="thin">
        <color theme="2" tint="-9.9917600024414813E-2"/>
      </left>
      <right style="medium">
        <color theme="1"/>
      </right>
      <top/>
      <bottom/>
      <diagonal/>
    </border>
    <border>
      <left/>
      <right style="thin">
        <color theme="2" tint="-9.9887081514938816E-2"/>
      </right>
      <top style="hair">
        <color theme="1"/>
      </top>
      <bottom style="hair">
        <color theme="1"/>
      </bottom>
      <diagonal/>
    </border>
    <border>
      <left style="thin">
        <color theme="2" tint="-9.9948118533890809E-2"/>
      </left>
      <right style="hair">
        <color theme="2" tint="-9.9948118533890809E-2"/>
      </right>
      <top/>
      <bottom style="hair">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hair">
        <color theme="1"/>
      </bottom>
      <diagonal/>
    </border>
    <border>
      <left style="thin">
        <color theme="2" tint="-9.9948118533890809E-2"/>
      </left>
      <right style="medium">
        <color auto="1"/>
      </right>
      <top/>
      <bottom style="hair">
        <color theme="1"/>
      </bottom>
      <diagonal/>
    </border>
    <border>
      <left style="thin">
        <color theme="2" tint="-9.9948118533890809E-2"/>
      </left>
      <right/>
      <top/>
      <bottom style="hair">
        <color theme="1"/>
      </bottom>
      <diagonal/>
    </border>
    <border>
      <left style="thin">
        <color theme="2" tint="-9.9917600024414813E-2"/>
      </left>
      <right style="thin">
        <color theme="2" tint="-9.9887081514938816E-2"/>
      </right>
      <top style="hair">
        <color auto="1"/>
      </top>
      <bottom style="hair">
        <color auto="1"/>
      </bottom>
      <diagonal/>
    </border>
    <border>
      <left/>
      <right style="thin">
        <color indexed="64"/>
      </right>
      <top style="hair">
        <color auto="1"/>
      </top>
      <bottom style="hair">
        <color auto="1"/>
      </bottom>
      <diagonal/>
    </border>
    <border>
      <left/>
      <right/>
      <top style="medium">
        <color auto="1"/>
      </top>
      <bottom style="hair">
        <color auto="1"/>
      </bottom>
      <diagonal/>
    </border>
    <border>
      <left style="thin">
        <color theme="2" tint="-9.9948118533890809E-2"/>
      </left>
      <right style="thin">
        <color theme="2" tint="-9.9917600024414813E-2"/>
      </right>
      <top style="hair">
        <color auto="1"/>
      </top>
      <bottom style="hair">
        <color auto="1"/>
      </bottom>
      <diagonal/>
    </border>
    <border>
      <left/>
      <right style="medium">
        <color theme="1"/>
      </right>
      <top style="hair">
        <color auto="1"/>
      </top>
      <bottom style="hair">
        <color auto="1"/>
      </bottom>
      <diagonal/>
    </border>
    <border>
      <left style="thin">
        <color theme="2" tint="-9.9917600024414813E-2"/>
      </left>
      <right/>
      <top style="hair">
        <color auto="1"/>
      </top>
      <bottom style="hair">
        <color auto="1"/>
      </bottom>
      <diagonal/>
    </border>
    <border>
      <left style="medium">
        <color auto="1"/>
      </left>
      <right/>
      <top style="hair">
        <color auto="1"/>
      </top>
      <bottom style="hair">
        <color theme="1"/>
      </bottom>
      <diagonal/>
    </border>
    <border>
      <left style="medium">
        <color auto="1"/>
      </left>
      <right/>
      <top/>
      <bottom style="hair">
        <color theme="1"/>
      </bottom>
      <diagonal/>
    </border>
    <border>
      <left style="thin">
        <color auto="1"/>
      </left>
      <right style="thin">
        <color auto="1"/>
      </right>
      <top style="thin">
        <color auto="1"/>
      </top>
      <bottom style="thin">
        <color auto="1"/>
      </bottom>
      <diagonal/>
    </border>
    <border>
      <left style="thin">
        <color theme="2" tint="-9.9948118533890809E-2"/>
      </left>
      <right style="hair">
        <color theme="2" tint="-9.9948118533890809E-2"/>
      </right>
      <top style="hair">
        <color auto="1"/>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34">
    <xf numFmtId="0" fontId="0" fillId="0" borderId="0"/>
    <xf numFmtId="165" fontId="3" fillId="0" borderId="0" applyFont="0" applyFill="0" applyBorder="0" applyAlignment="0" applyProtection="0"/>
    <xf numFmtId="9" fontId="3" fillId="0" borderId="0" applyFont="0" applyFill="0" applyBorder="0" applyAlignment="0" applyProtection="0"/>
    <xf numFmtId="0" fontId="5" fillId="0" borderId="0"/>
    <xf numFmtId="0" fontId="12" fillId="0" borderId="0" applyNumberFormat="0" applyFill="0" applyBorder="0" applyAlignment="0" applyProtection="0"/>
    <xf numFmtId="0" fontId="13" fillId="0" borderId="0"/>
    <xf numFmtId="44" fontId="13" fillId="0" borderId="0" applyFont="0" applyFill="0" applyBorder="0" applyAlignment="0" applyProtection="0"/>
    <xf numFmtId="9" fontId="7" fillId="0" borderId="0" applyFont="0" applyFill="0" applyBorder="0" applyAlignment="0" applyProtection="0"/>
    <xf numFmtId="0" fontId="7" fillId="0" borderId="0"/>
    <xf numFmtId="0" fontId="14" fillId="0" borderId="0"/>
    <xf numFmtId="44" fontId="14"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3" fillId="0" borderId="0" applyFont="0" applyFill="0" applyBorder="0" applyAlignment="0" applyProtection="0"/>
    <xf numFmtId="9" fontId="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44" fontId="5" fillId="0" borderId="0" applyFont="0" applyFill="0" applyBorder="0" applyAlignment="0" applyProtection="0"/>
    <xf numFmtId="44" fontId="5" fillId="0" borderId="0" applyFont="0" applyFill="0" applyBorder="0" applyAlignment="0" applyProtection="0"/>
    <xf numFmtId="44" fontId="7" fillId="0" borderId="0" applyFont="0" applyFill="0" applyBorder="0" applyAlignment="0" applyProtection="0"/>
    <xf numFmtId="44" fontId="15" fillId="0" borderId="0" applyFont="0" applyFill="0" applyBorder="0" applyAlignment="0" applyProtection="0"/>
    <xf numFmtId="0" fontId="18" fillId="0" borderId="0"/>
    <xf numFmtId="44" fontId="18" fillId="0" borderId="0" applyFont="0" applyFill="0" applyBorder="0" applyAlignment="0" applyProtection="0"/>
    <xf numFmtId="43" fontId="18" fillId="0" borderId="0" applyFont="0" applyFill="0" applyBorder="0" applyAlignment="0" applyProtection="0"/>
    <xf numFmtId="166" fontId="3" fillId="0" borderId="0" applyFont="0" applyFill="0" applyBorder="0" applyAlignment="0" applyProtection="0"/>
  </cellStyleXfs>
  <cellXfs count="438">
    <xf numFmtId="0" fontId="0" fillId="0" borderId="0" xfId="0"/>
    <xf numFmtId="0" fontId="0" fillId="3" borderId="0" xfId="0" applyFill="1"/>
    <xf numFmtId="0" fontId="4" fillId="3" borderId="0" xfId="0" applyFont="1" applyFill="1"/>
    <xf numFmtId="0" fontId="0" fillId="3" borderId="0" xfId="0" applyFill="1" applyAlignment="1">
      <alignment horizontal="center"/>
    </xf>
    <xf numFmtId="0" fontId="4" fillId="3" borderId="0" xfId="0" applyFont="1" applyFill="1" applyAlignment="1">
      <alignment horizontal="center"/>
    </xf>
    <xf numFmtId="0" fontId="0" fillId="4" borderId="0" xfId="0" applyFill="1"/>
    <xf numFmtId="0" fontId="0" fillId="4" borderId="0" xfId="0" applyFill="1" applyAlignment="1">
      <alignment horizontal="center"/>
    </xf>
    <xf numFmtId="10" fontId="0" fillId="4" borderId="0" xfId="2" applyNumberFormat="1" applyFont="1" applyFill="1"/>
    <xf numFmtId="165" fontId="0" fillId="4" borderId="0" xfId="0" applyNumberFormat="1" applyFill="1" applyAlignment="1">
      <alignment horizontal="center"/>
    </xf>
    <xf numFmtId="0" fontId="4" fillId="4" borderId="0" xfId="0" applyFont="1" applyFill="1"/>
    <xf numFmtId="165" fontId="4" fillId="4" borderId="0" xfId="0" applyNumberFormat="1" applyFont="1" applyFill="1" applyAlignment="1">
      <alignment horizontal="center"/>
    </xf>
    <xf numFmtId="165" fontId="4" fillId="4" borderId="0" xfId="1" applyFont="1" applyFill="1" applyAlignment="1">
      <alignment horizontal="center"/>
    </xf>
    <xf numFmtId="10" fontId="0" fillId="4" borderId="0" xfId="0" applyNumberFormat="1" applyFill="1"/>
    <xf numFmtId="0" fontId="4" fillId="4" borderId="0" xfId="0" applyFont="1" applyFill="1" applyAlignment="1">
      <alignment horizontal="center"/>
    </xf>
    <xf numFmtId="10" fontId="4" fillId="4" borderId="0" xfId="0" applyNumberFormat="1" applyFont="1" applyFill="1"/>
    <xf numFmtId="165" fontId="4" fillId="4" borderId="0" xfId="1" applyFont="1" applyFill="1"/>
    <xf numFmtId="0" fontId="0" fillId="5" borderId="0" xfId="0" applyFill="1" applyAlignment="1">
      <alignment horizontal="center"/>
    </xf>
    <xf numFmtId="0" fontId="0" fillId="5" borderId="0" xfId="0" applyFill="1"/>
    <xf numFmtId="0" fontId="10" fillId="4" borderId="0" xfId="0" applyFont="1" applyFill="1"/>
    <xf numFmtId="0" fontId="0" fillId="4" borderId="1" xfId="0" applyFill="1" applyBorder="1"/>
    <xf numFmtId="0" fontId="0" fillId="4" borderId="1" xfId="0" applyFill="1" applyBorder="1" applyAlignment="1">
      <alignment horizontal="center"/>
    </xf>
    <xf numFmtId="165" fontId="0" fillId="4" borderId="1" xfId="1" applyFont="1" applyFill="1" applyBorder="1" applyAlignment="1">
      <alignment horizontal="center"/>
    </xf>
    <xf numFmtId="0" fontId="0" fillId="4" borderId="2" xfId="0" applyFill="1" applyBorder="1"/>
    <xf numFmtId="0" fontId="0" fillId="4" borderId="2" xfId="0" applyFill="1" applyBorder="1" applyAlignment="1">
      <alignment horizontal="center"/>
    </xf>
    <xf numFmtId="10" fontId="0" fillId="4" borderId="2" xfId="0" applyNumberFormat="1" applyFill="1" applyBorder="1"/>
    <xf numFmtId="165" fontId="0" fillId="4" borderId="2" xfId="1" applyFont="1" applyFill="1" applyBorder="1" applyAlignment="1">
      <alignment horizontal="center"/>
    </xf>
    <xf numFmtId="10" fontId="0" fillId="4" borderId="2" xfId="2" applyNumberFormat="1" applyFont="1" applyFill="1" applyBorder="1"/>
    <xf numFmtId="0" fontId="4" fillId="4" borderId="2" xfId="0" applyFont="1" applyFill="1" applyBorder="1" applyAlignment="1">
      <alignment horizontal="center"/>
    </xf>
    <xf numFmtId="10" fontId="0" fillId="4" borderId="1" xfId="0" applyNumberFormat="1" applyFill="1" applyBorder="1"/>
    <xf numFmtId="10" fontId="0" fillId="4" borderId="1" xfId="2" applyNumberFormat="1" applyFont="1" applyFill="1" applyBorder="1"/>
    <xf numFmtId="0" fontId="4" fillId="4" borderId="3" xfId="0" applyFont="1" applyFill="1" applyBorder="1"/>
    <xf numFmtId="0" fontId="4" fillId="4" borderId="3" xfId="0" applyFont="1" applyFill="1" applyBorder="1" applyAlignment="1">
      <alignment horizontal="center"/>
    </xf>
    <xf numFmtId="10" fontId="4" fillId="4" borderId="3" xfId="2" applyNumberFormat="1" applyFont="1" applyFill="1" applyBorder="1"/>
    <xf numFmtId="165" fontId="4" fillId="4" borderId="3" xfId="0" applyNumberFormat="1" applyFont="1" applyFill="1" applyBorder="1" applyAlignment="1">
      <alignment horizontal="center"/>
    </xf>
    <xf numFmtId="0" fontId="0" fillId="4" borderId="3" xfId="0" applyFill="1" applyBorder="1"/>
    <xf numFmtId="10" fontId="0" fillId="4" borderId="3" xfId="0" applyNumberFormat="1" applyFill="1" applyBorder="1"/>
    <xf numFmtId="10" fontId="4" fillId="4" borderId="3" xfId="0" applyNumberFormat="1" applyFont="1" applyFill="1" applyBorder="1"/>
    <xf numFmtId="0" fontId="11" fillId="2" borderId="0" xfId="0" applyFont="1" applyFill="1"/>
    <xf numFmtId="0" fontId="11" fillId="2" borderId="0" xfId="0" applyFont="1" applyFill="1" applyAlignment="1">
      <alignment horizontal="center"/>
    </xf>
    <xf numFmtId="0" fontId="10" fillId="2" borderId="0" xfId="0" applyFont="1" applyFill="1"/>
    <xf numFmtId="0" fontId="0" fillId="2" borderId="0" xfId="0" applyFill="1"/>
    <xf numFmtId="0" fontId="10" fillId="2" borderId="0" xfId="0" applyFont="1" applyFill="1" applyAlignment="1">
      <alignment horizontal="center"/>
    </xf>
    <xf numFmtId="165" fontId="0" fillId="4" borderId="1" xfId="0" applyNumberFormat="1" applyFill="1" applyBorder="1" applyAlignment="1">
      <alignment horizontal="center"/>
    </xf>
    <xf numFmtId="165" fontId="0" fillId="4" borderId="2" xfId="0" applyNumberFormat="1" applyFill="1" applyBorder="1" applyAlignment="1">
      <alignment horizontal="center"/>
    </xf>
    <xf numFmtId="0" fontId="0" fillId="4" borderId="1" xfId="0" applyFill="1" applyBorder="1" applyAlignment="1">
      <alignment wrapText="1"/>
    </xf>
    <xf numFmtId="0" fontId="8" fillId="4" borderId="0" xfId="0" applyFont="1" applyFill="1"/>
    <xf numFmtId="0" fontId="9" fillId="4" borderId="0" xfId="0" applyFont="1" applyFill="1"/>
    <xf numFmtId="0" fontId="8" fillId="2" borderId="0" xfId="0" applyFont="1" applyFill="1"/>
    <xf numFmtId="10" fontId="4" fillId="2" borderId="0" xfId="0" applyNumberFormat="1" applyFont="1" applyFill="1"/>
    <xf numFmtId="165" fontId="0" fillId="4" borderId="2" xfId="1" applyFont="1" applyFill="1" applyBorder="1"/>
    <xf numFmtId="165" fontId="0" fillId="4" borderId="2" xfId="0" applyNumberFormat="1" applyFill="1" applyBorder="1"/>
    <xf numFmtId="165" fontId="0" fillId="4" borderId="1" xfId="0" applyNumberFormat="1" applyFill="1" applyBorder="1"/>
    <xf numFmtId="0" fontId="8" fillId="4" borderId="2" xfId="0" applyFont="1" applyFill="1" applyBorder="1"/>
    <xf numFmtId="0" fontId="8" fillId="3" borderId="0" xfId="0" applyFont="1" applyFill="1"/>
    <xf numFmtId="10" fontId="4" fillId="3" borderId="0" xfId="2" applyNumberFormat="1" applyFont="1" applyFill="1"/>
    <xf numFmtId="0" fontId="0" fillId="5" borderId="2" xfId="0" applyFill="1" applyBorder="1" applyAlignment="1" applyProtection="1">
      <alignment horizontal="center"/>
      <protection locked="0"/>
    </xf>
    <xf numFmtId="9" fontId="0" fillId="5" borderId="2" xfId="0" applyNumberFormat="1" applyFill="1" applyBorder="1" applyAlignment="1" applyProtection="1">
      <alignment horizontal="center"/>
      <protection locked="0"/>
    </xf>
    <xf numFmtId="14" fontId="0" fillId="5" borderId="1" xfId="0" applyNumberFormat="1" applyFill="1" applyBorder="1" applyProtection="1">
      <protection locked="0"/>
    </xf>
    <xf numFmtId="0" fontId="0" fillId="5" borderId="2" xfId="0" applyFill="1" applyBorder="1" applyProtection="1">
      <protection locked="0"/>
    </xf>
    <xf numFmtId="10" fontId="0" fillId="5" borderId="2" xfId="2" applyNumberFormat="1" applyFont="1" applyFill="1" applyBorder="1" applyProtection="1">
      <protection locked="0"/>
    </xf>
    <xf numFmtId="10" fontId="0" fillId="5" borderId="2" xfId="0" applyNumberFormat="1" applyFill="1" applyBorder="1" applyProtection="1">
      <protection locked="0"/>
    </xf>
    <xf numFmtId="10" fontId="0" fillId="5" borderId="1" xfId="2" applyNumberFormat="1" applyFont="1" applyFill="1" applyBorder="1" applyProtection="1">
      <protection locked="0"/>
    </xf>
    <xf numFmtId="0" fontId="0" fillId="5" borderId="1" xfId="0" applyFill="1" applyBorder="1" applyProtection="1">
      <protection locked="0"/>
    </xf>
    <xf numFmtId="165" fontId="0" fillId="5" borderId="1" xfId="1" applyFont="1" applyFill="1" applyBorder="1" applyAlignment="1" applyProtection="1">
      <alignment horizontal="center"/>
      <protection locked="0"/>
    </xf>
    <xf numFmtId="0" fontId="0" fillId="5" borderId="1" xfId="0" applyFill="1" applyBorder="1" applyAlignment="1" applyProtection="1">
      <alignment wrapText="1"/>
      <protection locked="0"/>
    </xf>
    <xf numFmtId="165" fontId="0" fillId="5" borderId="2" xfId="1" applyFont="1" applyFill="1" applyBorder="1" applyAlignment="1" applyProtection="1">
      <alignment horizontal="center"/>
      <protection locked="0"/>
    </xf>
    <xf numFmtId="0" fontId="12" fillId="5" borderId="1" xfId="4" applyFill="1" applyBorder="1" applyProtection="1">
      <protection locked="0"/>
    </xf>
    <xf numFmtId="0" fontId="17" fillId="5" borderId="0" xfId="0" applyFont="1" applyFill="1"/>
    <xf numFmtId="0" fontId="0" fillId="3" borderId="2" xfId="0" applyFill="1" applyBorder="1" applyAlignment="1" applyProtection="1">
      <alignment horizontal="center"/>
      <protection locked="0"/>
    </xf>
    <xf numFmtId="9" fontId="0" fillId="3" borderId="2" xfId="0" applyNumberFormat="1" applyFill="1" applyBorder="1" applyAlignment="1" applyProtection="1">
      <alignment horizontal="center"/>
      <protection locked="0"/>
    </xf>
    <xf numFmtId="165" fontId="0" fillId="3" borderId="1" xfId="1" applyFont="1" applyFill="1" applyBorder="1" applyAlignment="1">
      <alignment horizontal="center"/>
    </xf>
    <xf numFmtId="165" fontId="0" fillId="3" borderId="2" xfId="1" applyFont="1" applyFill="1" applyBorder="1" applyAlignment="1">
      <alignment horizontal="center"/>
    </xf>
    <xf numFmtId="165" fontId="4" fillId="3" borderId="3" xfId="0" applyNumberFormat="1" applyFont="1" applyFill="1" applyBorder="1" applyAlignment="1">
      <alignment horizontal="center"/>
    </xf>
    <xf numFmtId="165" fontId="4" fillId="3" borderId="0" xfId="0" applyNumberFormat="1" applyFont="1" applyFill="1" applyAlignment="1">
      <alignment horizontal="center"/>
    </xf>
    <xf numFmtId="165" fontId="4" fillId="3" borderId="0" xfId="1" applyFont="1" applyFill="1"/>
    <xf numFmtId="165" fontId="0" fillId="3" borderId="1" xfId="0" applyNumberFormat="1" applyFill="1" applyBorder="1" applyAlignment="1">
      <alignment horizontal="center"/>
    </xf>
    <xf numFmtId="165" fontId="0" fillId="3" borderId="2" xfId="0" applyNumberFormat="1" applyFill="1" applyBorder="1" applyAlignment="1">
      <alignment horizontal="center"/>
    </xf>
    <xf numFmtId="165" fontId="0" fillId="3" borderId="0" xfId="0" applyNumberFormat="1" applyFill="1" applyAlignment="1">
      <alignment horizontal="center"/>
    </xf>
    <xf numFmtId="165" fontId="0" fillId="3" borderId="1" xfId="1" applyFont="1" applyFill="1" applyBorder="1" applyAlignment="1" applyProtection="1">
      <alignment horizontal="center"/>
      <protection locked="0"/>
    </xf>
    <xf numFmtId="165" fontId="0" fillId="3" borderId="2" xfId="1" applyFont="1" applyFill="1" applyBorder="1" applyAlignment="1" applyProtection="1">
      <alignment horizontal="center"/>
      <protection locked="0"/>
    </xf>
    <xf numFmtId="165" fontId="4" fillId="3" borderId="0" xfId="1" applyFont="1" applyFill="1" applyAlignment="1">
      <alignment horizontal="center"/>
    </xf>
    <xf numFmtId="0" fontId="4" fillId="3" borderId="1" xfId="0" applyFont="1" applyFill="1" applyBorder="1" applyAlignment="1" applyProtection="1">
      <alignment horizontal="center"/>
      <protection locked="0"/>
    </xf>
    <xf numFmtId="0" fontId="0" fillId="3" borderId="1" xfId="0" applyFill="1" applyBorder="1"/>
    <xf numFmtId="0" fontId="0" fillId="3" borderId="2" xfId="0" applyFill="1" applyBorder="1"/>
    <xf numFmtId="0" fontId="0" fillId="3" borderId="3" xfId="0" applyFill="1" applyBorder="1"/>
    <xf numFmtId="0" fontId="4" fillId="2" borderId="0" xfId="0" applyFont="1" applyFill="1" applyAlignment="1">
      <alignment horizontal="center" vertical="center"/>
    </xf>
    <xf numFmtId="0" fontId="4" fillId="2" borderId="0" xfId="0" applyFont="1" applyFill="1" applyAlignment="1">
      <alignment horizontal="center" vertical="center" wrapText="1"/>
    </xf>
    <xf numFmtId="0" fontId="0" fillId="3" borderId="0" xfId="0" applyFill="1" applyAlignment="1">
      <alignment horizontal="center" vertical="center"/>
    </xf>
    <xf numFmtId="0" fontId="0" fillId="2" borderId="0" xfId="0" applyFill="1" applyAlignment="1">
      <alignment horizontal="center" vertical="center"/>
    </xf>
    <xf numFmtId="0" fontId="0" fillId="3" borderId="0" xfId="0" applyFill="1" applyAlignment="1">
      <alignment vertical="center"/>
    </xf>
    <xf numFmtId="0" fontId="4" fillId="2" borderId="0" xfId="0" applyFont="1" applyFill="1" applyAlignment="1">
      <alignment vertical="center"/>
    </xf>
    <xf numFmtId="0" fontId="4" fillId="4" borderId="0" xfId="0" applyFont="1" applyFill="1" applyAlignment="1">
      <alignment wrapText="1"/>
    </xf>
    <xf numFmtId="0" fontId="11" fillId="2" borderId="0" xfId="0" applyFont="1" applyFill="1" applyAlignment="1">
      <alignment vertical="center"/>
    </xf>
    <xf numFmtId="0" fontId="11" fillId="2" borderId="0" xfId="0" applyFont="1" applyFill="1" applyAlignment="1">
      <alignment horizontal="center" vertical="center"/>
    </xf>
    <xf numFmtId="0" fontId="0" fillId="4" borderId="2" xfId="0" applyFill="1" applyBorder="1" applyAlignment="1">
      <alignment vertical="center"/>
    </xf>
    <xf numFmtId="0" fontId="0" fillId="2" borderId="0" xfId="0" applyFill="1" applyAlignment="1">
      <alignment vertical="center"/>
    </xf>
    <xf numFmtId="0" fontId="4" fillId="3" borderId="0" xfId="0" applyFont="1" applyFill="1" applyAlignment="1">
      <alignment vertical="center"/>
    </xf>
    <xf numFmtId="0" fontId="0" fillId="4" borderId="1" xfId="0" applyFill="1" applyBorder="1" applyAlignment="1">
      <alignment vertical="center"/>
    </xf>
    <xf numFmtId="0" fontId="4" fillId="4" borderId="0" xfId="0" applyFont="1" applyFill="1" applyAlignment="1">
      <alignment horizontal="center" vertical="center"/>
    </xf>
    <xf numFmtId="165" fontId="4" fillId="3" borderId="0" xfId="1" applyFont="1" applyFill="1" applyAlignment="1">
      <alignment horizontal="center" vertical="center"/>
    </xf>
    <xf numFmtId="0" fontId="0" fillId="4" borderId="0" xfId="0" applyFill="1" applyAlignment="1">
      <alignment horizontal="center" vertical="center"/>
    </xf>
    <xf numFmtId="165" fontId="0" fillId="3" borderId="0" xfId="0" applyNumberFormat="1" applyFill="1" applyAlignment="1">
      <alignment horizontal="center" vertical="center"/>
    </xf>
    <xf numFmtId="0" fontId="11" fillId="2" borderId="0" xfId="0" applyFont="1" applyFill="1" applyAlignment="1" applyProtection="1">
      <alignment horizontal="center"/>
      <protection locked="0"/>
    </xf>
    <xf numFmtId="165" fontId="11" fillId="2" borderId="0" xfId="0" applyNumberFormat="1" applyFont="1" applyFill="1" applyAlignment="1">
      <alignment horizontal="center"/>
    </xf>
    <xf numFmtId="0" fontId="2" fillId="4" borderId="1" xfId="0" applyFont="1" applyFill="1" applyBorder="1" applyAlignment="1">
      <alignment wrapText="1"/>
    </xf>
    <xf numFmtId="0" fontId="2" fillId="4" borderId="1" xfId="0" applyFont="1" applyFill="1" applyBorder="1"/>
    <xf numFmtId="0" fontId="2" fillId="4" borderId="2" xfId="0" applyFont="1" applyFill="1" applyBorder="1"/>
    <xf numFmtId="0" fontId="4" fillId="0" borderId="0" xfId="0" applyFont="1"/>
    <xf numFmtId="165" fontId="11" fillId="2" borderId="0" xfId="0" applyNumberFormat="1" applyFont="1" applyFill="1" applyAlignment="1">
      <alignment horizontal="center" vertical="center"/>
    </xf>
    <xf numFmtId="0" fontId="0" fillId="4" borderId="3" xfId="0" applyFill="1" applyBorder="1" applyAlignment="1">
      <alignment vertical="center"/>
    </xf>
    <xf numFmtId="0" fontId="4" fillId="4" borderId="2" xfId="0" applyFont="1" applyFill="1" applyBorder="1" applyAlignment="1">
      <alignment vertical="center"/>
    </xf>
    <xf numFmtId="0" fontId="0" fillId="0" borderId="2" xfId="0" applyBorder="1" applyAlignment="1">
      <alignment vertical="center"/>
    </xf>
    <xf numFmtId="0" fontId="0" fillId="0" borderId="2" xfId="0" applyBorder="1" applyAlignment="1">
      <alignment horizontal="center" vertical="center"/>
    </xf>
    <xf numFmtId="167" fontId="11" fillId="2" borderId="0" xfId="0" applyNumberFormat="1" applyFont="1" applyFill="1" applyAlignment="1">
      <alignment vertical="center"/>
    </xf>
    <xf numFmtId="165" fontId="0" fillId="4" borderId="6" xfId="1" applyFont="1" applyFill="1" applyBorder="1" applyAlignment="1">
      <alignment horizontal="center" vertical="center"/>
    </xf>
    <xf numFmtId="165" fontId="0" fillId="4" borderId="7" xfId="1" applyFont="1" applyFill="1" applyBorder="1" applyAlignment="1">
      <alignment horizontal="center" vertical="center"/>
    </xf>
    <xf numFmtId="0" fontId="4" fillId="4" borderId="11" xfId="0" applyFont="1" applyFill="1" applyBorder="1" applyAlignment="1">
      <alignment vertical="center"/>
    </xf>
    <xf numFmtId="0" fontId="4" fillId="4" borderId="12" xfId="0" applyFont="1" applyFill="1" applyBorder="1" applyAlignment="1">
      <alignment vertical="center"/>
    </xf>
    <xf numFmtId="0" fontId="4" fillId="4" borderId="13" xfId="0" applyFont="1" applyFill="1" applyBorder="1" applyAlignment="1">
      <alignment vertical="center"/>
    </xf>
    <xf numFmtId="0" fontId="2" fillId="3" borderId="13" xfId="0" applyFont="1" applyFill="1" applyBorder="1"/>
    <xf numFmtId="165" fontId="4" fillId="4" borderId="16" xfId="0" applyNumberFormat="1" applyFont="1" applyFill="1" applyBorder="1" applyAlignment="1">
      <alignment horizontal="center" vertical="center"/>
    </xf>
    <xf numFmtId="0" fontId="4" fillId="4" borderId="1" xfId="0" applyFont="1" applyFill="1" applyBorder="1" applyAlignment="1">
      <alignment vertical="center"/>
    </xf>
    <xf numFmtId="0" fontId="0" fillId="4" borderId="20" xfId="0" applyFill="1" applyBorder="1" applyAlignment="1">
      <alignment horizontal="center" vertical="center"/>
    </xf>
    <xf numFmtId="0" fontId="0" fillId="4" borderId="21" xfId="0" applyFill="1" applyBorder="1" applyAlignment="1">
      <alignment horizontal="center" vertical="center"/>
    </xf>
    <xf numFmtId="167" fontId="4" fillId="4" borderId="17" xfId="0" applyNumberFormat="1" applyFont="1" applyFill="1" applyBorder="1" applyAlignment="1">
      <alignment horizontal="right" vertical="center"/>
    </xf>
    <xf numFmtId="165" fontId="4" fillId="4" borderId="27" xfId="0" applyNumberFormat="1" applyFont="1" applyFill="1" applyBorder="1" applyAlignment="1">
      <alignment horizontal="right" vertical="center"/>
    </xf>
    <xf numFmtId="0" fontId="0" fillId="3" borderId="23" xfId="0" applyFill="1" applyBorder="1" applyAlignment="1">
      <alignment horizontal="center" vertical="center"/>
    </xf>
    <xf numFmtId="165" fontId="0" fillId="4" borderId="29" xfId="1" applyFont="1" applyFill="1" applyBorder="1" applyAlignment="1">
      <alignment horizontal="center" vertical="center"/>
    </xf>
    <xf numFmtId="0" fontId="0" fillId="4" borderId="32" xfId="0" applyFill="1" applyBorder="1" applyAlignment="1">
      <alignment horizontal="center" vertical="center"/>
    </xf>
    <xf numFmtId="165" fontId="0" fillId="4" borderId="35" xfId="1" applyFont="1" applyFill="1" applyBorder="1" applyAlignment="1">
      <alignment horizontal="right" vertical="center"/>
    </xf>
    <xf numFmtId="167" fontId="4" fillId="4" borderId="39" xfId="0" applyNumberFormat="1" applyFont="1" applyFill="1" applyBorder="1" applyAlignment="1">
      <alignment horizontal="right" vertical="center"/>
    </xf>
    <xf numFmtId="0" fontId="0" fillId="3" borderId="34" xfId="0" applyFill="1" applyBorder="1" applyAlignment="1">
      <alignment horizontal="center" vertical="center"/>
    </xf>
    <xf numFmtId="165" fontId="0" fillId="4" borderId="24" xfId="1" applyFont="1" applyFill="1" applyBorder="1" applyAlignment="1">
      <alignment horizontal="center" vertical="center"/>
    </xf>
    <xf numFmtId="165" fontId="0" fillId="4" borderId="25" xfId="1" applyFont="1" applyFill="1" applyBorder="1" applyAlignment="1">
      <alignment horizontal="center" vertical="center"/>
    </xf>
    <xf numFmtId="0" fontId="0" fillId="4" borderId="42" xfId="0" applyFill="1" applyBorder="1" applyAlignment="1">
      <alignment horizontal="center" vertical="center"/>
    </xf>
    <xf numFmtId="0" fontId="0" fillId="4" borderId="43" xfId="0" applyFill="1" applyBorder="1" applyAlignment="1">
      <alignment horizontal="center" vertical="center"/>
    </xf>
    <xf numFmtId="165" fontId="4" fillId="4" borderId="24" xfId="1" applyFont="1" applyFill="1" applyBorder="1" applyAlignment="1">
      <alignment horizontal="center" vertical="center"/>
    </xf>
    <xf numFmtId="165" fontId="0" fillId="4" borderId="11" xfId="1" applyFont="1" applyFill="1" applyBorder="1" applyAlignment="1">
      <alignment horizontal="right" vertical="center"/>
    </xf>
    <xf numFmtId="165" fontId="0" fillId="5" borderId="35" xfId="1" applyFont="1" applyFill="1" applyBorder="1" applyAlignment="1" applyProtection="1">
      <alignment horizontal="right" vertical="center"/>
      <protection locked="0"/>
    </xf>
    <xf numFmtId="165" fontId="0" fillId="4" borderId="46" xfId="1" applyFont="1" applyFill="1" applyBorder="1" applyAlignment="1">
      <alignment horizontal="right" vertical="center"/>
    </xf>
    <xf numFmtId="0" fontId="4" fillId="4" borderId="2" xfId="0" applyFont="1" applyFill="1" applyBorder="1"/>
    <xf numFmtId="0" fontId="4" fillId="0" borderId="2" xfId="0" applyFont="1" applyBorder="1"/>
    <xf numFmtId="165" fontId="4" fillId="4" borderId="8" xfId="1" applyFont="1" applyFill="1" applyBorder="1" applyAlignment="1">
      <alignment horizontal="center" vertical="center"/>
    </xf>
    <xf numFmtId="167" fontId="11" fillId="2" borderId="34" xfId="0" applyNumberFormat="1" applyFont="1" applyFill="1" applyBorder="1" applyAlignment="1">
      <alignment vertical="center"/>
    </xf>
    <xf numFmtId="10" fontId="0" fillId="4" borderId="51" xfId="2" applyNumberFormat="1" applyFont="1" applyFill="1" applyBorder="1" applyAlignment="1">
      <alignment horizontal="left" wrapText="1"/>
    </xf>
    <xf numFmtId="0" fontId="0" fillId="0" borderId="1" xfId="0" applyBorder="1" applyAlignment="1">
      <alignment wrapText="1"/>
    </xf>
    <xf numFmtId="0" fontId="0" fillId="0" borderId="2" xfId="0" applyBorder="1" applyAlignment="1">
      <alignment wrapText="1"/>
    </xf>
    <xf numFmtId="0" fontId="0" fillId="6" borderId="2" xfId="0" applyFill="1" applyBorder="1"/>
    <xf numFmtId="0" fontId="0" fillId="6" borderId="2" xfId="0" applyFill="1" applyBorder="1" applyAlignment="1">
      <alignment wrapText="1"/>
    </xf>
    <xf numFmtId="0" fontId="0" fillId="6" borderId="3" xfId="0" applyFill="1" applyBorder="1" applyAlignment="1">
      <alignment wrapText="1"/>
    </xf>
    <xf numFmtId="0" fontId="4" fillId="4" borderId="0" xfId="0" applyFont="1" applyFill="1" applyAlignment="1">
      <alignment vertical="center"/>
    </xf>
    <xf numFmtId="165" fontId="11" fillId="3" borderId="0" xfId="0" applyNumberFormat="1" applyFont="1" applyFill="1" applyAlignment="1">
      <alignment horizontal="center" vertical="center"/>
    </xf>
    <xf numFmtId="0" fontId="10" fillId="3" borderId="0" xfId="0" applyFont="1" applyFill="1" applyAlignment="1">
      <alignment horizontal="center" vertical="center"/>
    </xf>
    <xf numFmtId="0" fontId="19" fillId="3" borderId="0" xfId="0" applyFont="1" applyFill="1" applyAlignment="1">
      <alignment horizontal="center"/>
    </xf>
    <xf numFmtId="0" fontId="4" fillId="3" borderId="0" xfId="0" applyFont="1" applyFill="1" applyAlignment="1">
      <alignment horizontal="center" vertical="center"/>
    </xf>
    <xf numFmtId="165" fontId="0" fillId="3" borderId="0" xfId="1" applyFont="1" applyFill="1" applyAlignment="1">
      <alignment horizontal="center" vertical="center"/>
    </xf>
    <xf numFmtId="165" fontId="4" fillId="3" borderId="0" xfId="0" applyNumberFormat="1" applyFont="1" applyFill="1" applyAlignment="1">
      <alignment horizontal="center" vertical="center"/>
    </xf>
    <xf numFmtId="0" fontId="4" fillId="4" borderId="3" xfId="0" applyFont="1" applyFill="1" applyBorder="1" applyAlignment="1">
      <alignment vertical="center"/>
    </xf>
    <xf numFmtId="165" fontId="4" fillId="4" borderId="49" xfId="1" applyFont="1" applyFill="1" applyBorder="1" applyAlignment="1">
      <alignment horizontal="center" vertical="center"/>
    </xf>
    <xf numFmtId="165" fontId="4" fillId="4" borderId="45" xfId="1" applyFont="1" applyFill="1" applyBorder="1" applyAlignment="1">
      <alignment horizontal="center" vertical="center"/>
    </xf>
    <xf numFmtId="165" fontId="4" fillId="3" borderId="52" xfId="1" applyFont="1" applyFill="1" applyBorder="1" applyAlignment="1">
      <alignment horizontal="center" vertical="center"/>
    </xf>
    <xf numFmtId="165" fontId="4" fillId="3" borderId="54" xfId="1" applyFont="1" applyFill="1" applyBorder="1" applyAlignment="1">
      <alignment horizontal="center" vertical="center"/>
    </xf>
    <xf numFmtId="0" fontId="0" fillId="7" borderId="0" xfId="0" applyFill="1"/>
    <xf numFmtId="0" fontId="4" fillId="6" borderId="2" xfId="0" applyFont="1" applyFill="1" applyBorder="1" applyAlignment="1">
      <alignment wrapText="1"/>
    </xf>
    <xf numFmtId="0" fontId="17" fillId="4" borderId="3" xfId="0" applyFont="1" applyFill="1" applyBorder="1" applyAlignment="1">
      <alignment vertical="center"/>
    </xf>
    <xf numFmtId="0" fontId="17" fillId="3" borderId="0" xfId="0" applyFont="1" applyFill="1" applyAlignment="1">
      <alignment horizontal="center" vertical="center"/>
    </xf>
    <xf numFmtId="0" fontId="17" fillId="4" borderId="0" xfId="0" applyFont="1" applyFill="1" applyAlignment="1">
      <alignment horizontal="center" vertical="center"/>
    </xf>
    <xf numFmtId="0" fontId="0" fillId="4" borderId="2" xfId="0" applyFill="1" applyBorder="1" applyAlignment="1">
      <alignment horizontal="center" vertical="center"/>
    </xf>
    <xf numFmtId="0" fontId="19" fillId="4" borderId="0" xfId="0" applyFont="1" applyFill="1"/>
    <xf numFmtId="165" fontId="0" fillId="0" borderId="1" xfId="1" applyFont="1" applyBorder="1" applyAlignment="1">
      <alignment horizontal="right" vertical="center"/>
    </xf>
    <xf numFmtId="0" fontId="19" fillId="4" borderId="0" xfId="0" applyFont="1" applyFill="1" applyAlignment="1">
      <alignment vertical="top" wrapText="1"/>
    </xf>
    <xf numFmtId="10" fontId="4" fillId="3" borderId="0" xfId="0" applyNumberFormat="1" applyFont="1" applyFill="1" applyAlignment="1">
      <alignment vertical="center"/>
    </xf>
    <xf numFmtId="10" fontId="4" fillId="0" borderId="11" xfId="0" applyNumberFormat="1" applyFont="1" applyBorder="1" applyAlignment="1">
      <alignment horizontal="right" vertical="center"/>
    </xf>
    <xf numFmtId="167" fontId="4" fillId="4" borderId="38" xfId="0" applyNumberFormat="1" applyFont="1" applyFill="1" applyBorder="1" applyAlignment="1">
      <alignment horizontal="right" vertical="center"/>
    </xf>
    <xf numFmtId="167" fontId="4" fillId="4" borderId="14" xfId="0" applyNumberFormat="1" applyFont="1" applyFill="1" applyBorder="1" applyAlignment="1">
      <alignment horizontal="right" vertical="center"/>
    </xf>
    <xf numFmtId="0" fontId="0" fillId="3" borderId="11" xfId="0" applyFill="1" applyBorder="1"/>
    <xf numFmtId="10" fontId="0" fillId="4" borderId="12" xfId="0" applyNumberFormat="1" applyFill="1" applyBorder="1" applyAlignment="1">
      <alignment vertical="center"/>
    </xf>
    <xf numFmtId="0" fontId="0" fillId="3" borderId="12" xfId="0" applyFill="1" applyBorder="1"/>
    <xf numFmtId="165" fontId="4" fillId="0" borderId="13" xfId="0" applyNumberFormat="1" applyFont="1" applyBorder="1" applyAlignment="1">
      <alignment horizontal="right" vertical="center"/>
    </xf>
    <xf numFmtId="165" fontId="0" fillId="4" borderId="25" xfId="0" applyNumberFormat="1" applyFill="1" applyBorder="1" applyAlignment="1">
      <alignment horizontal="center"/>
    </xf>
    <xf numFmtId="0" fontId="17" fillId="0" borderId="3" xfId="0" applyFont="1" applyBorder="1" applyAlignment="1">
      <alignment horizontal="center" vertical="center"/>
    </xf>
    <xf numFmtId="44" fontId="17" fillId="4" borderId="31" xfId="0" applyNumberFormat="1" applyFont="1" applyFill="1" applyBorder="1" applyAlignment="1">
      <alignment horizontal="center" vertical="center"/>
    </xf>
    <xf numFmtId="0" fontId="17" fillId="4" borderId="39" xfId="0" applyFont="1" applyFill="1" applyBorder="1" applyAlignment="1">
      <alignment horizontal="center" vertical="center"/>
    </xf>
    <xf numFmtId="0" fontId="17" fillId="4" borderId="17" xfId="0" applyFont="1" applyFill="1" applyBorder="1" applyAlignment="1">
      <alignment horizontal="center" vertical="center"/>
    </xf>
    <xf numFmtId="0" fontId="0" fillId="0" borderId="3" xfId="0" applyBorder="1" applyAlignment="1">
      <alignment horizontal="center" vertical="center"/>
    </xf>
    <xf numFmtId="165" fontId="0" fillId="4" borderId="55" xfId="0" applyNumberFormat="1" applyFill="1" applyBorder="1" applyAlignment="1">
      <alignment horizontal="center" vertical="center"/>
    </xf>
    <xf numFmtId="0" fontId="0" fillId="4" borderId="37" xfId="0" applyFill="1" applyBorder="1" applyAlignment="1">
      <alignment horizontal="center"/>
    </xf>
    <xf numFmtId="0" fontId="0" fillId="4" borderId="50" xfId="0" applyFill="1" applyBorder="1" applyAlignment="1">
      <alignment horizontal="center"/>
    </xf>
    <xf numFmtId="0" fontId="22" fillId="4" borderId="0" xfId="0" applyFont="1" applyFill="1"/>
    <xf numFmtId="0" fontId="0" fillId="0" borderId="56" xfId="0" applyBorder="1"/>
    <xf numFmtId="0" fontId="0" fillId="0" borderId="57" xfId="0" applyBorder="1"/>
    <xf numFmtId="0" fontId="0" fillId="0" borderId="58" xfId="0" applyBorder="1"/>
    <xf numFmtId="165" fontId="4" fillId="4" borderId="6" xfId="1" applyFont="1" applyFill="1" applyBorder="1" applyAlignment="1">
      <alignment horizontal="center" vertical="center"/>
    </xf>
    <xf numFmtId="165" fontId="4" fillId="4" borderId="19" xfId="1" applyFont="1" applyFill="1" applyBorder="1" applyAlignment="1">
      <alignment horizontal="center" vertical="center"/>
    </xf>
    <xf numFmtId="165" fontId="4" fillId="3" borderId="55" xfId="1" applyFont="1" applyFill="1" applyBorder="1" applyAlignment="1">
      <alignment horizontal="center" vertical="center"/>
    </xf>
    <xf numFmtId="0" fontId="0" fillId="4" borderId="39" xfId="0" applyFill="1" applyBorder="1" applyAlignment="1">
      <alignment horizontal="center" vertical="center"/>
    </xf>
    <xf numFmtId="165" fontId="4" fillId="4" borderId="6" xfId="0" applyNumberFormat="1" applyFont="1" applyFill="1" applyBorder="1" applyAlignment="1">
      <alignment horizontal="center" vertical="center"/>
    </xf>
    <xf numFmtId="165" fontId="0" fillId="3" borderId="55" xfId="0" applyNumberFormat="1" applyFill="1" applyBorder="1" applyAlignment="1">
      <alignment horizontal="center" vertical="center"/>
    </xf>
    <xf numFmtId="0" fontId="0" fillId="3" borderId="33" xfId="0" applyFill="1" applyBorder="1" applyAlignment="1">
      <alignment horizontal="center"/>
    </xf>
    <xf numFmtId="0" fontId="0" fillId="3" borderId="37" xfId="0" applyFill="1" applyBorder="1" applyAlignment="1">
      <alignment horizontal="center" vertical="center"/>
    </xf>
    <xf numFmtId="0" fontId="0" fillId="3" borderId="2" xfId="0" applyFill="1" applyBorder="1" applyAlignment="1">
      <alignment horizontal="center" vertical="center"/>
    </xf>
    <xf numFmtId="10" fontId="4" fillId="4" borderId="14" xfId="0" applyNumberFormat="1" applyFont="1" applyFill="1" applyBorder="1" applyAlignment="1">
      <alignment vertical="center"/>
    </xf>
    <xf numFmtId="165" fontId="4" fillId="4" borderId="17" xfId="0" applyNumberFormat="1" applyFont="1" applyFill="1" applyBorder="1" applyAlignment="1">
      <alignment horizontal="center" vertical="center"/>
    </xf>
    <xf numFmtId="0" fontId="0" fillId="3" borderId="50" xfId="0" applyFill="1" applyBorder="1" applyAlignment="1">
      <alignment horizontal="center" vertical="center"/>
    </xf>
    <xf numFmtId="0" fontId="0" fillId="3" borderId="1" xfId="0" applyFill="1" applyBorder="1" applyAlignment="1">
      <alignment horizontal="center"/>
    </xf>
    <xf numFmtId="0" fontId="0" fillId="6" borderId="2" xfId="0" applyFill="1" applyBorder="1" applyAlignment="1">
      <alignment vertical="top" wrapText="1"/>
    </xf>
    <xf numFmtId="0" fontId="4" fillId="0" borderId="2" xfId="0" applyFont="1" applyBorder="1" applyAlignment="1">
      <alignment wrapText="1"/>
    </xf>
    <xf numFmtId="0" fontId="0" fillId="0" borderId="2" xfId="0" applyBorder="1" applyAlignment="1">
      <alignment vertical="top" wrapText="1"/>
    </xf>
    <xf numFmtId="0" fontId="10" fillId="0" borderId="3" xfId="0" applyFont="1" applyBorder="1" applyAlignment="1">
      <alignment vertical="center"/>
    </xf>
    <xf numFmtId="165" fontId="11" fillId="0" borderId="59" xfId="0" applyNumberFormat="1" applyFont="1" applyBorder="1" applyAlignment="1">
      <alignment horizontal="center" vertical="center"/>
    </xf>
    <xf numFmtId="165" fontId="3" fillId="5" borderId="62" xfId="1" applyFill="1" applyBorder="1" applyAlignment="1" applyProtection="1">
      <alignment horizontal="center" vertical="center"/>
      <protection locked="0"/>
    </xf>
    <xf numFmtId="165" fontId="11" fillId="2" borderId="34" xfId="0" applyNumberFormat="1" applyFont="1" applyFill="1" applyBorder="1" applyAlignment="1">
      <alignment vertical="center"/>
    </xf>
    <xf numFmtId="167" fontId="4" fillId="4" borderId="69" xfId="0" applyNumberFormat="1" applyFont="1" applyFill="1" applyBorder="1" applyAlignment="1">
      <alignment horizontal="right" vertical="center"/>
    </xf>
    <xf numFmtId="165" fontId="4" fillId="4" borderId="70" xfId="1" applyFont="1" applyFill="1" applyBorder="1" applyAlignment="1">
      <alignment vertical="center"/>
    </xf>
    <xf numFmtId="0" fontId="0" fillId="3" borderId="68" xfId="0" applyFill="1" applyBorder="1"/>
    <xf numFmtId="10" fontId="22" fillId="0" borderId="68" xfId="0" applyNumberFormat="1" applyFont="1" applyBorder="1" applyAlignment="1">
      <alignment horizontal="right" vertical="center"/>
    </xf>
    <xf numFmtId="0" fontId="22" fillId="4" borderId="68" xfId="0" applyFont="1" applyFill="1" applyBorder="1" applyAlignment="1">
      <alignment vertical="center"/>
    </xf>
    <xf numFmtId="9" fontId="0" fillId="4" borderId="0" xfId="0" applyNumberFormat="1" applyFill="1"/>
    <xf numFmtId="165" fontId="4" fillId="4" borderId="29" xfId="1" applyFont="1" applyFill="1" applyBorder="1" applyAlignment="1">
      <alignment horizontal="center" vertical="center"/>
    </xf>
    <xf numFmtId="165" fontId="4" fillId="4" borderId="71" xfId="1" applyFont="1" applyFill="1" applyBorder="1" applyAlignment="1">
      <alignment horizontal="center" vertical="center"/>
    </xf>
    <xf numFmtId="10" fontId="0" fillId="0" borderId="0" xfId="0" applyNumberFormat="1"/>
    <xf numFmtId="165" fontId="0" fillId="4" borderId="72" xfId="1" applyFont="1" applyFill="1" applyBorder="1"/>
    <xf numFmtId="0" fontId="0" fillId="3" borderId="73" xfId="0" applyFill="1" applyBorder="1" applyAlignment="1">
      <alignment horizontal="center"/>
    </xf>
    <xf numFmtId="0" fontId="4" fillId="2" borderId="0" xfId="0" applyFont="1" applyFill="1" applyAlignment="1">
      <alignment horizontal="center" wrapText="1"/>
    </xf>
    <xf numFmtId="0" fontId="4" fillId="0" borderId="1" xfId="0" applyFont="1" applyBorder="1" applyAlignment="1">
      <alignment wrapText="1"/>
    </xf>
    <xf numFmtId="0" fontId="4" fillId="0" borderId="3" xfId="0" applyFont="1" applyBorder="1" applyAlignment="1">
      <alignment wrapText="1"/>
    </xf>
    <xf numFmtId="0" fontId="4" fillId="6" borderId="3" xfId="0" applyFont="1" applyFill="1" applyBorder="1" applyAlignment="1">
      <alignment wrapText="1"/>
    </xf>
    <xf numFmtId="0" fontId="0" fillId="3" borderId="13" xfId="0" applyFill="1" applyBorder="1"/>
    <xf numFmtId="165" fontId="0" fillId="4" borderId="61" xfId="1" applyFont="1" applyFill="1" applyBorder="1" applyAlignment="1">
      <alignment horizontal="right" vertical="center"/>
    </xf>
    <xf numFmtId="10" fontId="22" fillId="0" borderId="1" xfId="1" applyNumberFormat="1" applyFont="1" applyBorder="1" applyAlignment="1">
      <alignment horizontal="right" vertical="center"/>
    </xf>
    <xf numFmtId="10" fontId="22" fillId="0" borderId="2" xfId="2" applyNumberFormat="1" applyFont="1" applyBorder="1" applyAlignment="1">
      <alignment horizontal="right" vertical="center"/>
    </xf>
    <xf numFmtId="10" fontId="4" fillId="0" borderId="1" xfId="2" applyNumberFormat="1" applyFont="1" applyBorder="1" applyAlignment="1">
      <alignment horizontal="right" vertical="center"/>
    </xf>
    <xf numFmtId="10" fontId="0" fillId="5" borderId="1" xfId="2" applyNumberFormat="1" applyFont="1" applyFill="1" applyBorder="1" applyAlignment="1" applyProtection="1">
      <alignment horizontal="right" vertical="center"/>
      <protection locked="0"/>
    </xf>
    <xf numFmtId="10" fontId="0" fillId="5" borderId="40" xfId="2" applyNumberFormat="1" applyFont="1" applyFill="1" applyBorder="1" applyAlignment="1" applyProtection="1">
      <alignment horizontal="right" vertical="center"/>
      <protection locked="0"/>
    </xf>
    <xf numFmtId="10" fontId="0" fillId="5" borderId="5" xfId="2" applyNumberFormat="1" applyFont="1" applyFill="1" applyBorder="1" applyAlignment="1" applyProtection="1">
      <alignment horizontal="right" vertical="center"/>
      <protection locked="0"/>
    </xf>
    <xf numFmtId="44" fontId="0" fillId="4" borderId="24" xfId="1" applyNumberFormat="1" applyFont="1" applyFill="1" applyBorder="1" applyAlignment="1">
      <alignment horizontal="right" vertical="center"/>
    </xf>
    <xf numFmtId="44" fontId="0" fillId="4" borderId="25" xfId="1" applyNumberFormat="1" applyFont="1" applyFill="1" applyBorder="1" applyAlignment="1">
      <alignment horizontal="right" vertical="center"/>
    </xf>
    <xf numFmtId="44" fontId="4" fillId="4" borderId="25" xfId="1" applyNumberFormat="1" applyFont="1" applyFill="1" applyBorder="1" applyAlignment="1">
      <alignment horizontal="right" vertical="center"/>
    </xf>
    <xf numFmtId="44" fontId="0" fillId="4" borderId="29" xfId="1" applyNumberFormat="1" applyFont="1" applyFill="1" applyBorder="1" applyAlignment="1">
      <alignment horizontal="center" vertical="center"/>
    </xf>
    <xf numFmtId="44" fontId="4" fillId="4" borderId="26" xfId="0" applyNumberFormat="1" applyFont="1" applyFill="1" applyBorder="1" applyAlignment="1">
      <alignment horizontal="right" vertical="center"/>
    </xf>
    <xf numFmtId="44" fontId="0" fillId="4" borderId="30" xfId="1" applyNumberFormat="1" applyFont="1" applyFill="1" applyBorder="1" applyAlignment="1">
      <alignment horizontal="right" vertical="center"/>
    </xf>
    <xf numFmtId="44" fontId="0" fillId="4" borderId="47" xfId="1" applyNumberFormat="1" applyFont="1" applyFill="1" applyBorder="1" applyAlignment="1">
      <alignment horizontal="right" vertical="center"/>
    </xf>
    <xf numFmtId="44" fontId="0" fillId="4" borderId="48" xfId="1" applyNumberFormat="1" applyFont="1" applyFill="1" applyBorder="1" applyAlignment="1">
      <alignment horizontal="right" vertical="center"/>
    </xf>
    <xf numFmtId="44" fontId="0" fillId="4" borderId="9" xfId="1" applyNumberFormat="1" applyFont="1" applyFill="1" applyBorder="1" applyAlignment="1">
      <alignment horizontal="center" vertical="center"/>
    </xf>
    <xf numFmtId="44" fontId="0" fillId="4" borderId="10" xfId="1" applyNumberFormat="1" applyFont="1" applyFill="1" applyBorder="1" applyAlignment="1">
      <alignment horizontal="center" vertical="center"/>
    </xf>
    <xf numFmtId="44" fontId="4" fillId="4" borderId="28" xfId="0" applyNumberFormat="1" applyFont="1" applyFill="1" applyBorder="1" applyAlignment="1">
      <alignment horizontal="right" vertical="center"/>
    </xf>
    <xf numFmtId="44" fontId="4" fillId="4" borderId="18" xfId="0" applyNumberFormat="1" applyFont="1" applyFill="1" applyBorder="1" applyAlignment="1">
      <alignment horizontal="center" vertical="center"/>
    </xf>
    <xf numFmtId="44" fontId="4" fillId="4" borderId="60" xfId="0" applyNumberFormat="1" applyFont="1" applyFill="1" applyBorder="1" applyAlignment="1">
      <alignment horizontal="center" vertical="center"/>
    </xf>
    <xf numFmtId="44" fontId="11" fillId="2" borderId="0" xfId="0" applyNumberFormat="1" applyFont="1" applyFill="1" applyAlignment="1">
      <alignment vertical="center"/>
    </xf>
    <xf numFmtId="44" fontId="4" fillId="4" borderId="54" xfId="0" applyNumberFormat="1" applyFont="1" applyFill="1" applyBorder="1" applyAlignment="1">
      <alignment horizontal="center" vertical="center"/>
    </xf>
    <xf numFmtId="44" fontId="11" fillId="2" borderId="23" xfId="0" applyNumberFormat="1" applyFont="1" applyFill="1" applyBorder="1" applyAlignment="1">
      <alignment vertical="center"/>
    </xf>
    <xf numFmtId="44" fontId="4" fillId="4" borderId="55" xfId="0" applyNumberFormat="1" applyFont="1" applyFill="1" applyBorder="1" applyAlignment="1">
      <alignment horizontal="center" vertical="center"/>
    </xf>
    <xf numFmtId="44" fontId="4" fillId="4" borderId="7" xfId="1" applyNumberFormat="1" applyFont="1" applyFill="1" applyBorder="1" applyAlignment="1">
      <alignment horizontal="right" vertical="center"/>
    </xf>
    <xf numFmtId="44" fontId="0" fillId="4" borderId="8" xfId="1" applyNumberFormat="1" applyFont="1" applyFill="1" applyBorder="1" applyAlignment="1">
      <alignment horizontal="center" vertical="center"/>
    </xf>
    <xf numFmtId="44" fontId="4" fillId="4" borderId="15" xfId="0" applyNumberFormat="1" applyFont="1" applyFill="1" applyBorder="1" applyAlignment="1">
      <alignment horizontal="right" vertical="center"/>
    </xf>
    <xf numFmtId="44" fontId="17" fillId="4" borderId="74" xfId="0" applyNumberFormat="1" applyFont="1" applyFill="1" applyBorder="1" applyAlignment="1">
      <alignment horizontal="center" vertical="center"/>
    </xf>
    <xf numFmtId="44" fontId="0" fillId="5" borderId="1" xfId="1" applyNumberFormat="1" applyFont="1" applyFill="1" applyBorder="1" applyAlignment="1" applyProtection="1">
      <alignment horizontal="right" vertical="center"/>
      <protection locked="0"/>
    </xf>
    <xf numFmtId="0" fontId="23" fillId="0" borderId="3" xfId="0" applyFont="1" applyBorder="1" applyAlignment="1">
      <alignment wrapText="1"/>
    </xf>
    <xf numFmtId="0" fontId="0" fillId="4" borderId="2" xfId="0" applyFill="1" applyBorder="1" applyAlignment="1">
      <alignment wrapText="1"/>
    </xf>
    <xf numFmtId="0" fontId="23" fillId="6" borderId="2" xfId="0" applyFont="1" applyFill="1" applyBorder="1" applyAlignment="1">
      <alignment wrapText="1"/>
    </xf>
    <xf numFmtId="0" fontId="0" fillId="0" borderId="0" xfId="0" applyAlignment="1">
      <alignment wrapText="1"/>
    </xf>
    <xf numFmtId="9" fontId="3" fillId="5" borderId="1" xfId="2" applyFill="1" applyBorder="1" applyAlignment="1" applyProtection="1">
      <alignment horizontal="right" vertical="center"/>
      <protection locked="0"/>
    </xf>
    <xf numFmtId="9" fontId="3" fillId="0" borderId="3" xfId="2" applyBorder="1" applyAlignment="1">
      <alignment horizontal="right" vertical="center"/>
    </xf>
    <xf numFmtId="9" fontId="3" fillId="3" borderId="0" xfId="2" applyFill="1" applyAlignment="1">
      <alignment horizontal="right" vertical="center"/>
    </xf>
    <xf numFmtId="9" fontId="3" fillId="5" borderId="40" xfId="2" applyFill="1" applyBorder="1" applyAlignment="1" applyProtection="1">
      <alignment horizontal="right" vertical="center"/>
      <protection locked="0"/>
    </xf>
    <xf numFmtId="9" fontId="3" fillId="0" borderId="44" xfId="2" applyBorder="1" applyAlignment="1">
      <alignment horizontal="right" vertical="center"/>
    </xf>
    <xf numFmtId="9" fontId="3" fillId="3" borderId="53" xfId="2" applyFill="1" applyBorder="1" applyAlignment="1">
      <alignment horizontal="right" vertical="center"/>
    </xf>
    <xf numFmtId="9" fontId="0" fillId="5" borderId="40" xfId="2" applyFont="1" applyFill="1" applyBorder="1" applyAlignment="1" applyProtection="1">
      <alignment horizontal="right" vertical="center"/>
      <protection locked="0"/>
    </xf>
    <xf numFmtId="165" fontId="0" fillId="4" borderId="53" xfId="0" applyNumberFormat="1" applyFill="1" applyBorder="1" applyAlignment="1">
      <alignment horizontal="right" vertical="center"/>
    </xf>
    <xf numFmtId="165" fontId="0" fillId="3" borderId="53" xfId="0" applyNumberFormat="1" applyFill="1" applyBorder="1" applyAlignment="1">
      <alignment horizontal="right" vertical="center"/>
    </xf>
    <xf numFmtId="0" fontId="0" fillId="4" borderId="75" xfId="0" applyFill="1" applyBorder="1" applyAlignment="1">
      <alignment horizontal="center"/>
    </xf>
    <xf numFmtId="0" fontId="4" fillId="6" borderId="0" xfId="0" applyFont="1" applyFill="1"/>
    <xf numFmtId="0" fontId="0" fillId="6" borderId="0" xfId="0" applyFill="1" applyAlignment="1">
      <alignment wrapText="1"/>
    </xf>
    <xf numFmtId="0" fontId="4" fillId="0" borderId="0" xfId="0" applyFont="1" applyFill="1"/>
    <xf numFmtId="0" fontId="4" fillId="4" borderId="1" xfId="0" applyFont="1" applyFill="1" applyBorder="1"/>
    <xf numFmtId="0" fontId="4" fillId="2" borderId="1" xfId="0" applyFont="1" applyFill="1" applyBorder="1"/>
    <xf numFmtId="0" fontId="19" fillId="2" borderId="0" xfId="0" applyFont="1" applyFill="1" applyAlignment="1">
      <alignment horizontal="center"/>
    </xf>
    <xf numFmtId="0" fontId="0" fillId="2" borderId="2" xfId="0" applyFill="1" applyBorder="1" applyAlignment="1">
      <alignment horizontal="center"/>
    </xf>
    <xf numFmtId="0" fontId="0" fillId="2" borderId="35" xfId="0" applyFill="1" applyBorder="1" applyAlignment="1">
      <alignment horizontal="center"/>
    </xf>
    <xf numFmtId="10" fontId="0" fillId="0" borderId="57" xfId="0" applyNumberFormat="1" applyBorder="1" applyAlignment="1">
      <alignment horizontal="left"/>
    </xf>
    <xf numFmtId="10" fontId="0" fillId="0" borderId="58" xfId="0" applyNumberFormat="1" applyBorder="1" applyAlignment="1">
      <alignment horizontal="left"/>
    </xf>
    <xf numFmtId="10" fontId="0" fillId="0" borderId="57" xfId="0" applyNumberFormat="1" applyBorder="1"/>
    <xf numFmtId="10" fontId="0" fillId="0" borderId="58" xfId="0" applyNumberFormat="1" applyBorder="1"/>
    <xf numFmtId="167" fontId="0" fillId="5" borderId="35" xfId="1" applyNumberFormat="1" applyFont="1" applyFill="1" applyBorder="1" applyAlignment="1" applyProtection="1">
      <alignment horizontal="left" vertical="center" wrapText="1"/>
      <protection locked="0"/>
    </xf>
    <xf numFmtId="0" fontId="0" fillId="4" borderId="0" xfId="0" applyFill="1" applyBorder="1" applyAlignment="1" applyProtection="1">
      <alignment horizontal="left" vertical="top"/>
      <protection locked="0"/>
    </xf>
    <xf numFmtId="0" fontId="0" fillId="4" borderId="3" xfId="0" applyFill="1" applyBorder="1" applyAlignment="1">
      <alignment horizontal="center" vertical="center"/>
    </xf>
    <xf numFmtId="165" fontId="4" fillId="4" borderId="76" xfId="1" applyFont="1" applyFill="1" applyBorder="1" applyAlignment="1">
      <alignment horizontal="center" vertical="center"/>
    </xf>
    <xf numFmtId="44" fontId="17" fillId="4" borderId="7" xfId="0" applyNumberFormat="1" applyFont="1" applyFill="1" applyBorder="1" applyAlignment="1">
      <alignment horizontal="center" vertical="center"/>
    </xf>
    <xf numFmtId="44" fontId="0" fillId="5" borderId="24" xfId="0" applyNumberFormat="1" applyFill="1" applyBorder="1" applyAlignment="1" applyProtection="1">
      <alignment horizontal="right" vertical="center"/>
      <protection locked="0"/>
    </xf>
    <xf numFmtId="165" fontId="0" fillId="4" borderId="77" xfId="1" applyFont="1" applyFill="1" applyBorder="1" applyAlignment="1">
      <alignment horizontal="right" vertical="center"/>
    </xf>
    <xf numFmtId="10" fontId="22" fillId="0" borderId="35" xfId="1" applyNumberFormat="1" applyFont="1" applyBorder="1" applyAlignment="1">
      <alignment horizontal="right" vertical="center"/>
    </xf>
    <xf numFmtId="10" fontId="22" fillId="0" borderId="37" xfId="2" applyNumberFormat="1" applyFont="1" applyBorder="1" applyAlignment="1">
      <alignment horizontal="right" vertical="center"/>
    </xf>
    <xf numFmtId="10" fontId="22" fillId="0" borderId="78" xfId="0" applyNumberFormat="1" applyFont="1" applyBorder="1" applyAlignment="1">
      <alignment horizontal="right" vertical="center"/>
    </xf>
    <xf numFmtId="9" fontId="3" fillId="5" borderId="35" xfId="2" applyFill="1" applyBorder="1" applyAlignment="1" applyProtection="1">
      <alignment horizontal="right" vertical="center"/>
      <protection locked="0"/>
    </xf>
    <xf numFmtId="9" fontId="3" fillId="0" borderId="33" xfId="2" applyBorder="1" applyAlignment="1">
      <alignment horizontal="right" vertical="center"/>
    </xf>
    <xf numFmtId="9" fontId="3" fillId="3" borderId="34" xfId="2" applyFill="1" applyBorder="1" applyAlignment="1">
      <alignment horizontal="right" vertical="center"/>
    </xf>
    <xf numFmtId="0" fontId="0" fillId="2" borderId="37" xfId="0" applyFill="1" applyBorder="1" applyAlignment="1">
      <alignment horizontal="center"/>
    </xf>
    <xf numFmtId="0" fontId="0" fillId="2" borderId="50" xfId="0" applyFill="1" applyBorder="1" applyAlignment="1">
      <alignment horizontal="center"/>
    </xf>
    <xf numFmtId="0" fontId="0" fillId="3" borderId="0" xfId="0" applyFill="1" applyAlignment="1" applyProtection="1">
      <alignment horizontal="center" vertical="center"/>
      <protection locked="0"/>
    </xf>
    <xf numFmtId="0" fontId="0" fillId="3" borderId="23" xfId="0" applyFill="1" applyBorder="1" applyAlignment="1" applyProtection="1">
      <alignment horizontal="center" vertical="center"/>
      <protection locked="0"/>
    </xf>
    <xf numFmtId="0" fontId="0" fillId="3" borderId="34" xfId="0" applyFill="1" applyBorder="1" applyAlignment="1" applyProtection="1">
      <alignment horizontal="center" vertical="center"/>
      <protection locked="0"/>
    </xf>
    <xf numFmtId="10" fontId="22" fillId="5" borderId="2" xfId="1" applyNumberFormat="1" applyFont="1" applyFill="1" applyBorder="1" applyAlignment="1" applyProtection="1">
      <alignment horizontal="right" vertical="center"/>
      <protection locked="0"/>
    </xf>
    <xf numFmtId="10" fontId="22" fillId="5" borderId="37" xfId="1" applyNumberFormat="1" applyFont="1" applyFill="1" applyBorder="1" applyAlignment="1" applyProtection="1">
      <alignment horizontal="right" vertical="center"/>
      <protection locked="0"/>
    </xf>
    <xf numFmtId="9" fontId="0" fillId="0" borderId="2" xfId="2" applyFont="1" applyBorder="1" applyAlignment="1">
      <alignment wrapText="1"/>
    </xf>
    <xf numFmtId="0" fontId="21" fillId="4" borderId="0" xfId="0" quotePrefix="1" applyFont="1" applyFill="1" applyBorder="1" applyAlignment="1">
      <alignment horizontal="left"/>
    </xf>
    <xf numFmtId="0" fontId="21" fillId="4" borderId="0" xfId="0" quotePrefix="1" applyFont="1" applyFill="1" applyBorder="1"/>
    <xf numFmtId="0" fontId="21" fillId="4" borderId="0" xfId="0" applyFont="1" applyFill="1" applyBorder="1" applyAlignment="1">
      <alignment vertical="center"/>
    </xf>
    <xf numFmtId="10" fontId="27" fillId="4" borderId="0" xfId="0" applyNumberFormat="1" applyFont="1" applyFill="1" applyBorder="1" applyAlignment="1">
      <alignment vertical="center"/>
    </xf>
    <xf numFmtId="0" fontId="26" fillId="4" borderId="0" xfId="0" applyFont="1" applyFill="1" applyBorder="1"/>
    <xf numFmtId="0" fontId="28" fillId="4" borderId="0" xfId="30" applyFont="1" applyFill="1" applyBorder="1"/>
    <xf numFmtId="0" fontId="25" fillId="4" borderId="0" xfId="0" applyFont="1" applyFill="1" applyBorder="1" applyAlignment="1">
      <alignment wrapText="1"/>
    </xf>
    <xf numFmtId="165" fontId="25" fillId="4" borderId="0" xfId="0" applyNumberFormat="1" applyFont="1" applyFill="1" applyBorder="1" applyAlignment="1">
      <alignment horizontal="center" wrapText="1"/>
    </xf>
    <xf numFmtId="0" fontId="27" fillId="4" borderId="0" xfId="0" applyFont="1" applyFill="1" applyBorder="1" applyAlignment="1">
      <alignment vertical="center"/>
    </xf>
    <xf numFmtId="10" fontId="27" fillId="4" borderId="0" xfId="2" applyNumberFormat="1" applyFont="1" applyFill="1" applyBorder="1" applyAlignment="1">
      <alignment vertical="center"/>
    </xf>
    <xf numFmtId="0" fontId="26" fillId="4" borderId="0" xfId="0" applyFont="1" applyFill="1" applyBorder="1" applyAlignment="1">
      <alignment wrapText="1"/>
    </xf>
    <xf numFmtId="10" fontId="26" fillId="4" borderId="0" xfId="2" applyNumberFormat="1" applyFont="1" applyFill="1" applyBorder="1" applyAlignment="1">
      <alignment horizontal="center" wrapText="1"/>
    </xf>
    <xf numFmtId="10" fontId="26" fillId="4" borderId="0" xfId="2" applyNumberFormat="1" applyFont="1" applyFill="1" applyBorder="1" applyAlignment="1">
      <alignment horizontal="center"/>
    </xf>
    <xf numFmtId="0" fontId="26" fillId="4" borderId="0" xfId="0" applyFont="1" applyFill="1" applyBorder="1" applyAlignment="1">
      <alignment vertical="top"/>
    </xf>
    <xf numFmtId="10" fontId="26" fillId="4" borderId="0" xfId="2" applyNumberFormat="1" applyFont="1" applyFill="1" applyBorder="1" applyAlignment="1">
      <alignment horizontal="center" vertical="top"/>
    </xf>
    <xf numFmtId="0" fontId="28" fillId="4" borderId="0" xfId="30" applyFont="1" applyFill="1" applyBorder="1" applyAlignment="1">
      <alignment vertical="top" wrapText="1"/>
    </xf>
    <xf numFmtId="0" fontId="26" fillId="4" borderId="0" xfId="0" applyFont="1" applyFill="1" applyBorder="1" applyAlignment="1">
      <alignment vertical="top" wrapText="1"/>
    </xf>
    <xf numFmtId="10" fontId="26" fillId="4" borderId="0" xfId="2" applyNumberFormat="1" applyFont="1" applyFill="1" applyBorder="1" applyAlignment="1" applyProtection="1">
      <alignment horizontal="center" vertical="top"/>
      <protection locked="0"/>
    </xf>
    <xf numFmtId="0" fontId="25" fillId="4" borderId="0" xfId="0" applyFont="1" applyFill="1" applyBorder="1"/>
    <xf numFmtId="10" fontId="25" fillId="4" borderId="0" xfId="2" applyNumberFormat="1" applyFont="1" applyFill="1" applyBorder="1" applyAlignment="1">
      <alignment horizontal="center"/>
    </xf>
    <xf numFmtId="0" fontId="25" fillId="4" borderId="0" xfId="0" applyFont="1" applyFill="1" applyBorder="1" applyAlignment="1">
      <alignment horizontal="center"/>
    </xf>
    <xf numFmtId="10" fontId="25" fillId="4" borderId="0" xfId="0" applyNumberFormat="1" applyFont="1" applyFill="1" applyBorder="1" applyAlignment="1">
      <alignment horizontal="center"/>
    </xf>
    <xf numFmtId="10" fontId="21" fillId="4" borderId="0" xfId="2" applyNumberFormat="1" applyFont="1" applyFill="1" applyBorder="1" applyAlignment="1">
      <alignment vertical="center"/>
    </xf>
    <xf numFmtId="0" fontId="27" fillId="4" borderId="0" xfId="0" applyFont="1" applyFill="1" applyBorder="1"/>
    <xf numFmtId="0" fontId="26" fillId="4" borderId="0" xfId="30" applyFont="1" applyFill="1" applyBorder="1"/>
    <xf numFmtId="0" fontId="21" fillId="4" borderId="0" xfId="0" applyFont="1" applyFill="1" applyBorder="1"/>
    <xf numFmtId="10" fontId="27" fillId="4" borderId="0" xfId="0" applyNumberFormat="1" applyFont="1" applyFill="1" applyBorder="1"/>
    <xf numFmtId="0" fontId="27" fillId="4" borderId="0" xfId="0" applyFont="1" applyFill="1" applyBorder="1" applyAlignment="1">
      <alignment horizontal="center" vertical="center"/>
    </xf>
    <xf numFmtId="164" fontId="27" fillId="4" borderId="0" xfId="0" applyNumberFormat="1" applyFont="1" applyFill="1" applyBorder="1"/>
    <xf numFmtId="165" fontId="27" fillId="4" borderId="0" xfId="0" applyNumberFormat="1" applyFont="1" applyFill="1" applyBorder="1"/>
    <xf numFmtId="9" fontId="27" fillId="4" borderId="0" xfId="0" applyNumberFormat="1" applyFont="1" applyFill="1" applyBorder="1" applyAlignment="1">
      <alignment horizontal="left"/>
    </xf>
    <xf numFmtId="10" fontId="27" fillId="4" borderId="0" xfId="0" applyNumberFormat="1" applyFont="1" applyFill="1" applyBorder="1" applyAlignment="1">
      <alignment horizontal="left"/>
    </xf>
    <xf numFmtId="2" fontId="28" fillId="4" borderId="0" xfId="30" applyNumberFormat="1" applyFont="1" applyFill="1" applyBorder="1"/>
    <xf numFmtId="10" fontId="28" fillId="4" borderId="0" xfId="2" applyNumberFormat="1" applyFont="1" applyFill="1" applyBorder="1"/>
    <xf numFmtId="9" fontId="27" fillId="4" borderId="0" xfId="2" applyFont="1" applyFill="1" applyBorder="1" applyAlignment="1">
      <alignment horizontal="left"/>
    </xf>
    <xf numFmtId="0" fontId="29" fillId="4" borderId="0" xfId="0" applyFont="1" applyFill="1" applyBorder="1"/>
    <xf numFmtId="166" fontId="28" fillId="4" borderId="0" xfId="33" applyFont="1" applyFill="1" applyBorder="1"/>
    <xf numFmtId="10" fontId="27" fillId="4" borderId="0" xfId="2" applyNumberFormat="1" applyFont="1" applyFill="1" applyBorder="1"/>
    <xf numFmtId="165" fontId="27" fillId="4" borderId="0" xfId="1" applyFont="1" applyFill="1" applyBorder="1"/>
    <xf numFmtId="10" fontId="28" fillId="4" borderId="0" xfId="30" applyNumberFormat="1" applyFont="1" applyFill="1" applyBorder="1"/>
    <xf numFmtId="10" fontId="21" fillId="4" borderId="0" xfId="2" applyNumberFormat="1" applyFont="1" applyFill="1" applyBorder="1"/>
    <xf numFmtId="44" fontId="27" fillId="4" borderId="0" xfId="0" applyNumberFormat="1" applyFont="1" applyFill="1" applyBorder="1"/>
    <xf numFmtId="168" fontId="21" fillId="4" borderId="0" xfId="2" applyNumberFormat="1" applyFont="1" applyFill="1" applyBorder="1"/>
    <xf numFmtId="10" fontId="21" fillId="4" borderId="0" xfId="0" applyNumberFormat="1" applyFont="1" applyFill="1" applyBorder="1"/>
    <xf numFmtId="170" fontId="22" fillId="5" borderId="1" xfId="2" applyNumberFormat="1" applyFont="1" applyFill="1" applyBorder="1" applyAlignment="1" applyProtection="1">
      <alignment horizontal="right" vertical="center"/>
      <protection locked="0"/>
    </xf>
    <xf numFmtId="170" fontId="22" fillId="5" borderId="41" xfId="2" applyNumberFormat="1" applyFont="1" applyFill="1" applyBorder="1" applyAlignment="1" applyProtection="1">
      <alignment horizontal="right" vertical="center"/>
      <protection locked="0"/>
    </xf>
    <xf numFmtId="170" fontId="22" fillId="5" borderId="35" xfId="2" applyNumberFormat="1" applyFont="1" applyFill="1" applyBorder="1" applyAlignment="1" applyProtection="1">
      <alignment horizontal="right" vertical="center"/>
      <protection locked="0"/>
    </xf>
    <xf numFmtId="10" fontId="10" fillId="2" borderId="0" xfId="2" applyNumberFormat="1" applyFont="1" applyFill="1" applyBorder="1" applyAlignment="1">
      <alignment horizontal="center" vertical="center"/>
    </xf>
    <xf numFmtId="0" fontId="0" fillId="4" borderId="3" xfId="0" applyFill="1" applyBorder="1" applyAlignment="1">
      <alignment wrapText="1"/>
    </xf>
    <xf numFmtId="9" fontId="0" fillId="4" borderId="0" xfId="0" applyNumberFormat="1" applyFill="1" applyBorder="1"/>
    <xf numFmtId="169" fontId="10" fillId="4" borderId="0" xfId="2" applyNumberFormat="1" applyFont="1" applyFill="1" applyBorder="1" applyAlignment="1" applyProtection="1">
      <alignment horizontal="center" vertical="center"/>
      <protection locked="0"/>
    </xf>
    <xf numFmtId="169" fontId="10" fillId="4" borderId="34" xfId="2" applyNumberFormat="1" applyFont="1" applyFill="1" applyBorder="1" applyAlignment="1" applyProtection="1">
      <alignment horizontal="center" vertical="center"/>
      <protection locked="0"/>
    </xf>
    <xf numFmtId="169" fontId="10" fillId="4" borderId="3" xfId="2" applyNumberFormat="1" applyFont="1" applyFill="1" applyBorder="1" applyAlignment="1" applyProtection="1">
      <alignment horizontal="center" vertical="center"/>
      <protection locked="0"/>
    </xf>
    <xf numFmtId="165" fontId="11" fillId="4" borderId="3" xfId="0" applyNumberFormat="1" applyFont="1" applyFill="1" applyBorder="1" applyAlignment="1">
      <alignment horizontal="center" vertical="center"/>
    </xf>
    <xf numFmtId="167" fontId="11" fillId="4" borderId="3" xfId="0" applyNumberFormat="1" applyFont="1" applyFill="1" applyBorder="1" applyAlignment="1">
      <alignment vertical="center"/>
    </xf>
    <xf numFmtId="167" fontId="11" fillId="4" borderId="33" xfId="0" applyNumberFormat="1" applyFont="1" applyFill="1" applyBorder="1" applyAlignment="1">
      <alignment vertical="center"/>
    </xf>
    <xf numFmtId="165" fontId="11" fillId="4" borderId="33" xfId="0" applyNumberFormat="1" applyFont="1" applyFill="1" applyBorder="1" applyAlignment="1">
      <alignment horizontal="center" vertical="center"/>
    </xf>
    <xf numFmtId="0" fontId="0" fillId="4" borderId="37" xfId="0" applyFill="1" applyBorder="1"/>
    <xf numFmtId="9" fontId="3" fillId="4" borderId="1" xfId="2" applyFill="1" applyBorder="1" applyAlignment="1">
      <alignment horizontal="center" vertical="center"/>
    </xf>
    <xf numFmtId="165" fontId="3" fillId="4" borderId="36" xfId="1" applyFill="1" applyBorder="1" applyAlignment="1">
      <alignment horizontal="center" vertical="center"/>
    </xf>
    <xf numFmtId="165" fontId="0" fillId="4" borderId="50" xfId="1" applyFont="1" applyFill="1" applyBorder="1" applyAlignment="1">
      <alignment horizontal="center" vertical="center"/>
    </xf>
    <xf numFmtId="165" fontId="4" fillId="4" borderId="22" xfId="0" applyNumberFormat="1" applyFont="1" applyFill="1" applyBorder="1" applyAlignment="1">
      <alignment horizontal="center" vertical="center"/>
    </xf>
    <xf numFmtId="9" fontId="3" fillId="4" borderId="35" xfId="2" applyFill="1" applyBorder="1" applyAlignment="1">
      <alignment horizontal="center" vertical="center"/>
    </xf>
    <xf numFmtId="0" fontId="0" fillId="4" borderId="37" xfId="0" applyFill="1" applyBorder="1" applyAlignment="1">
      <alignment horizontal="center" vertical="center"/>
    </xf>
    <xf numFmtId="0" fontId="0" fillId="4" borderId="33" xfId="0" applyFill="1" applyBorder="1" applyAlignment="1">
      <alignment horizontal="center" vertical="center"/>
    </xf>
    <xf numFmtId="0" fontId="0" fillId="4" borderId="35" xfId="0" applyFill="1" applyBorder="1" applyAlignment="1">
      <alignment horizontal="center"/>
    </xf>
    <xf numFmtId="0" fontId="0" fillId="4" borderId="36" xfId="0" applyFill="1" applyBorder="1" applyAlignment="1">
      <alignment horizontal="center"/>
    </xf>
    <xf numFmtId="169" fontId="10" fillId="4" borderId="59" xfId="2" applyNumberFormat="1" applyFont="1" applyFill="1" applyBorder="1" applyAlignment="1" applyProtection="1">
      <alignment horizontal="center" vertical="center"/>
    </xf>
    <xf numFmtId="10" fontId="22" fillId="4" borderId="2" xfId="2" applyNumberFormat="1" applyFont="1" applyFill="1" applyBorder="1" applyAlignment="1" applyProtection="1">
      <alignment horizontal="right" vertical="center"/>
      <protection locked="0"/>
    </xf>
    <xf numFmtId="10" fontId="22" fillId="4" borderId="37" xfId="2" applyNumberFormat="1" applyFont="1" applyFill="1" applyBorder="1" applyAlignment="1" applyProtection="1">
      <alignment horizontal="right" vertical="center"/>
      <protection locked="0"/>
    </xf>
    <xf numFmtId="169" fontId="10" fillId="5" borderId="35" xfId="2" applyNumberFormat="1" applyFont="1" applyFill="1" applyBorder="1" applyAlignment="1" applyProtection="1">
      <alignment horizontal="center" vertical="center"/>
      <protection locked="0"/>
    </xf>
    <xf numFmtId="169" fontId="10" fillId="5" borderId="0" xfId="2" applyNumberFormat="1" applyFont="1" applyFill="1" applyAlignment="1" applyProtection="1">
      <alignment horizontal="center" vertical="center"/>
      <protection locked="0"/>
    </xf>
    <xf numFmtId="169" fontId="10" fillId="5" borderId="36" xfId="2" applyNumberFormat="1" applyFont="1" applyFill="1" applyBorder="1" applyAlignment="1" applyProtection="1">
      <alignment horizontal="center" vertical="center"/>
      <protection locked="0"/>
    </xf>
    <xf numFmtId="169" fontId="10" fillId="5" borderId="1" xfId="2" applyNumberFormat="1" applyFont="1" applyFill="1" applyBorder="1" applyAlignment="1" applyProtection="1">
      <alignment horizontal="center" vertical="center"/>
      <protection locked="0"/>
    </xf>
    <xf numFmtId="165" fontId="0" fillId="5" borderId="80" xfId="1" applyFont="1" applyFill="1" applyBorder="1" applyAlignment="1" applyProtection="1">
      <alignment horizontal="center" vertical="center"/>
      <protection locked="0"/>
    </xf>
    <xf numFmtId="165" fontId="4" fillId="4" borderId="59" xfId="0" applyNumberFormat="1" applyFont="1" applyFill="1" applyBorder="1" applyAlignment="1">
      <alignment horizontal="center" vertical="center"/>
    </xf>
    <xf numFmtId="0" fontId="4" fillId="4" borderId="0" xfId="0" applyFont="1" applyFill="1" applyBorder="1"/>
    <xf numFmtId="0" fontId="0" fillId="4" borderId="0" xfId="0" applyFill="1" applyBorder="1" applyAlignment="1">
      <alignment horizontal="center"/>
    </xf>
    <xf numFmtId="0" fontId="0" fillId="4" borderId="0" xfId="0" applyFill="1" applyBorder="1" applyAlignment="1" applyProtection="1">
      <alignment vertical="top"/>
      <protection locked="0"/>
    </xf>
    <xf numFmtId="0" fontId="4" fillId="4" borderId="0" xfId="0" applyFont="1" applyFill="1" applyBorder="1" applyAlignment="1">
      <alignment horizontal="right"/>
    </xf>
    <xf numFmtId="0" fontId="19" fillId="4" borderId="0" xfId="0" applyFont="1" applyFill="1" applyAlignment="1">
      <alignment horizontal="center"/>
    </xf>
    <xf numFmtId="0" fontId="30" fillId="4" borderId="59" xfId="0" applyFont="1" applyFill="1" applyBorder="1" applyAlignment="1">
      <alignment horizontal="right"/>
    </xf>
    <xf numFmtId="0" fontId="31" fillId="3" borderId="0" xfId="0" applyFont="1" applyFill="1" applyAlignment="1">
      <alignment horizontal="center"/>
    </xf>
    <xf numFmtId="165" fontId="11" fillId="4" borderId="0" xfId="0" applyNumberFormat="1" applyFont="1" applyFill="1" applyAlignment="1">
      <alignment horizontal="center" vertical="center"/>
    </xf>
    <xf numFmtId="0" fontId="10" fillId="4" borderId="0" xfId="0" applyFont="1" applyFill="1" applyBorder="1"/>
    <xf numFmtId="0" fontId="0" fillId="4" borderId="0" xfId="0" applyFill="1" applyBorder="1"/>
    <xf numFmtId="165" fontId="0" fillId="5" borderId="5" xfId="1" applyFont="1" applyFill="1" applyBorder="1" applyAlignment="1" applyProtection="1">
      <alignment horizontal="right" vertical="center"/>
      <protection locked="0"/>
    </xf>
    <xf numFmtId="10" fontId="22" fillId="5" borderId="41" xfId="1" applyNumberFormat="1" applyFont="1" applyFill="1" applyBorder="1" applyAlignment="1" applyProtection="1">
      <alignment horizontal="right" vertical="center"/>
      <protection locked="0"/>
    </xf>
    <xf numFmtId="165" fontId="4" fillId="4" borderId="16" xfId="1" applyFont="1" applyFill="1" applyBorder="1" applyAlignment="1">
      <alignment horizontal="center" vertical="center"/>
    </xf>
    <xf numFmtId="0" fontId="33" fillId="4" borderId="79" xfId="0" applyFont="1" applyFill="1" applyBorder="1"/>
    <xf numFmtId="0" fontId="34" fillId="4" borderId="79" xfId="0" applyFont="1" applyFill="1" applyBorder="1" applyAlignment="1">
      <alignment horizontal="right"/>
    </xf>
    <xf numFmtId="170" fontId="33" fillId="4" borderId="79" xfId="0" applyNumberFormat="1" applyFont="1" applyFill="1" applyBorder="1"/>
    <xf numFmtId="0" fontId="33" fillId="4" borderId="79" xfId="0" applyFont="1" applyFill="1" applyBorder="1" applyAlignment="1">
      <alignment horizontal="right"/>
    </xf>
    <xf numFmtId="167" fontId="33" fillId="4" borderId="79" xfId="0" applyNumberFormat="1" applyFont="1" applyFill="1" applyBorder="1"/>
    <xf numFmtId="165" fontId="0" fillId="4" borderId="79" xfId="0" applyNumberFormat="1" applyFill="1" applyBorder="1"/>
    <xf numFmtId="169" fontId="10" fillId="5" borderId="1" xfId="2" applyNumberFormat="1" applyFont="1" applyFill="1" applyBorder="1" applyAlignment="1" applyProtection="1">
      <alignment horizontal="center" vertical="center"/>
      <protection locked="0"/>
    </xf>
    <xf numFmtId="169" fontId="10" fillId="5" borderId="36" xfId="2" applyNumberFormat="1" applyFont="1" applyFill="1" applyBorder="1" applyAlignment="1" applyProtection="1">
      <alignment horizontal="center" vertical="center"/>
      <protection locked="0"/>
    </xf>
    <xf numFmtId="169" fontId="10" fillId="5" borderId="35" xfId="2" applyNumberFormat="1" applyFont="1" applyFill="1" applyBorder="1" applyAlignment="1" applyProtection="1">
      <alignment horizontal="center" vertical="center"/>
      <protection locked="0"/>
    </xf>
    <xf numFmtId="169" fontId="10" fillId="5" borderId="0" xfId="2" applyNumberFormat="1" applyFont="1" applyFill="1" applyAlignment="1" applyProtection="1">
      <alignment horizontal="center" vertical="center"/>
      <protection locked="0"/>
    </xf>
    <xf numFmtId="0" fontId="0" fillId="4" borderId="3" xfId="0" applyFill="1" applyBorder="1" applyAlignment="1" applyProtection="1">
      <alignment wrapText="1"/>
    </xf>
    <xf numFmtId="0" fontId="0" fillId="3" borderId="0" xfId="0" applyFill="1" applyAlignment="1" applyProtection="1">
      <alignment horizontal="center" vertical="center"/>
    </xf>
    <xf numFmtId="0" fontId="0" fillId="4" borderId="0" xfId="0" applyFill="1" applyAlignment="1" applyProtection="1">
      <alignment horizontal="center" vertical="center"/>
    </xf>
    <xf numFmtId="9" fontId="10" fillId="5" borderId="0" xfId="2" applyFont="1" applyFill="1" applyBorder="1" applyAlignment="1" applyProtection="1">
      <alignment horizontal="center" vertical="center"/>
    </xf>
    <xf numFmtId="169" fontId="10" fillId="5" borderId="0" xfId="2" applyNumberFormat="1" applyFont="1" applyFill="1" applyBorder="1" applyAlignment="1" applyProtection="1">
      <alignment horizontal="center" vertical="center"/>
    </xf>
    <xf numFmtId="169" fontId="10" fillId="5" borderId="0" xfId="2" applyNumberFormat="1" applyFont="1" applyFill="1" applyAlignment="1" applyProtection="1">
      <alignment horizontal="center" vertical="center"/>
    </xf>
    <xf numFmtId="0" fontId="0" fillId="5" borderId="79" xfId="0" applyFill="1" applyBorder="1" applyProtection="1">
      <protection locked="0"/>
    </xf>
    <xf numFmtId="0" fontId="27" fillId="4" borderId="0" xfId="0" applyFont="1" applyFill="1" applyAlignment="1">
      <alignment horizontal="right"/>
    </xf>
    <xf numFmtId="0" fontId="27" fillId="4" borderId="0" xfId="0" applyFont="1" applyFill="1" applyBorder="1" applyAlignment="1">
      <alignment horizontal="center"/>
    </xf>
    <xf numFmtId="9" fontId="0" fillId="4" borderId="79" xfId="2" applyFont="1" applyFill="1" applyBorder="1"/>
    <xf numFmtId="170" fontId="0" fillId="4" borderId="79" xfId="2" applyNumberFormat="1" applyFont="1" applyFill="1" applyBorder="1"/>
    <xf numFmtId="0" fontId="32" fillId="4" borderId="81" xfId="0" applyFont="1" applyFill="1" applyBorder="1" applyAlignment="1">
      <alignment horizontal="center"/>
    </xf>
    <xf numFmtId="0" fontId="32" fillId="4" borderId="82" xfId="0" applyFont="1" applyFill="1" applyBorder="1" applyAlignment="1">
      <alignment horizontal="center"/>
    </xf>
    <xf numFmtId="0" fontId="32" fillId="4" borderId="83" xfId="0" applyFont="1" applyFill="1" applyBorder="1" applyAlignment="1">
      <alignment horizontal="center"/>
    </xf>
    <xf numFmtId="0" fontId="0" fillId="4" borderId="63" xfId="0" applyFill="1" applyBorder="1" applyAlignment="1" applyProtection="1">
      <alignment horizontal="left" vertical="top" wrapText="1"/>
      <protection locked="0"/>
    </xf>
    <xf numFmtId="0" fontId="0" fillId="4" borderId="64" xfId="0" applyFill="1" applyBorder="1" applyAlignment="1" applyProtection="1">
      <alignment horizontal="left" vertical="top" wrapText="1"/>
      <protection locked="0"/>
    </xf>
    <xf numFmtId="0" fontId="0" fillId="4" borderId="65" xfId="0" applyFill="1" applyBorder="1" applyAlignment="1" applyProtection="1">
      <alignment horizontal="left" vertical="top" wrapText="1"/>
      <protection locked="0"/>
    </xf>
    <xf numFmtId="0" fontId="0" fillId="4" borderId="66" xfId="0" applyFill="1" applyBorder="1" applyAlignment="1" applyProtection="1">
      <alignment horizontal="left" vertical="top" wrapText="1"/>
      <protection locked="0"/>
    </xf>
    <xf numFmtId="0" fontId="0" fillId="4" borderId="4" xfId="0" applyFill="1" applyBorder="1" applyAlignment="1" applyProtection="1">
      <alignment horizontal="left" vertical="top" wrapText="1"/>
      <protection locked="0"/>
    </xf>
    <xf numFmtId="0" fontId="0" fillId="4" borderId="67" xfId="0" applyFill="1" applyBorder="1" applyAlignment="1" applyProtection="1">
      <alignment horizontal="left" vertical="top" wrapText="1"/>
      <protection locked="0"/>
    </xf>
    <xf numFmtId="0" fontId="0" fillId="5" borderId="33" xfId="0" applyFill="1" applyBorder="1" applyAlignment="1" applyProtection="1">
      <alignment horizontal="center" vertical="center"/>
      <protection locked="0"/>
    </xf>
    <xf numFmtId="0" fontId="0" fillId="5" borderId="22" xfId="0" applyFill="1" applyBorder="1" applyAlignment="1" applyProtection="1">
      <alignment horizontal="center" vertical="center"/>
      <protection locked="0"/>
    </xf>
    <xf numFmtId="0" fontId="0" fillId="5" borderId="3" xfId="0" applyFill="1" applyBorder="1" applyAlignment="1" applyProtection="1">
      <alignment horizontal="center" vertical="center"/>
      <protection locked="0"/>
    </xf>
    <xf numFmtId="0" fontId="33" fillId="4" borderId="84" xfId="0" applyFont="1" applyFill="1" applyBorder="1" applyAlignment="1">
      <alignment horizontal="center"/>
    </xf>
    <xf numFmtId="0" fontId="33" fillId="4" borderId="85" xfId="0" applyFont="1" applyFill="1" applyBorder="1" applyAlignment="1">
      <alignment horizontal="center"/>
    </xf>
    <xf numFmtId="0" fontId="11" fillId="5" borderId="1" xfId="0" applyFont="1" applyFill="1" applyBorder="1" applyAlignment="1" applyProtection="1">
      <alignment horizontal="center" vertical="center"/>
      <protection locked="0"/>
    </xf>
    <xf numFmtId="0" fontId="0" fillId="5" borderId="33" xfId="0" applyFill="1" applyBorder="1" applyAlignment="1" applyProtection="1">
      <alignment horizontal="center" vertical="center" wrapText="1"/>
      <protection locked="0"/>
    </xf>
    <xf numFmtId="0" fontId="0" fillId="5" borderId="22" xfId="0" applyFill="1" applyBorder="1" applyAlignment="1" applyProtection="1">
      <alignment horizontal="center" vertical="center" wrapText="1"/>
      <protection locked="0"/>
    </xf>
    <xf numFmtId="0" fontId="21" fillId="4" borderId="0" xfId="0" quotePrefix="1" applyFont="1" applyFill="1" applyBorder="1" applyAlignment="1">
      <alignment horizontal="left"/>
    </xf>
    <xf numFmtId="0" fontId="25" fillId="4" borderId="0" xfId="0" applyFont="1" applyFill="1" applyBorder="1" applyAlignment="1">
      <alignment horizontal="center" wrapText="1"/>
    </xf>
    <xf numFmtId="165" fontId="25" fillId="4" borderId="0" xfId="0" applyNumberFormat="1" applyFont="1" applyFill="1" applyBorder="1" applyAlignment="1">
      <alignment horizontal="center" wrapText="1"/>
    </xf>
    <xf numFmtId="0" fontId="11" fillId="2" borderId="0" xfId="0" applyFont="1" applyFill="1" applyAlignment="1" applyProtection="1">
      <alignment horizontal="center"/>
      <protection locked="0"/>
    </xf>
    <xf numFmtId="0" fontId="4" fillId="4" borderId="1" xfId="0" applyFont="1" applyFill="1" applyBorder="1" applyAlignment="1">
      <alignment horizontal="center"/>
    </xf>
    <xf numFmtId="165" fontId="11" fillId="2" borderId="0" xfId="0" applyNumberFormat="1" applyFont="1" applyFill="1" applyAlignment="1">
      <alignment horizontal="center"/>
    </xf>
    <xf numFmtId="0" fontId="4" fillId="2" borderId="0" xfId="0" quotePrefix="1" applyFont="1" applyFill="1" applyAlignment="1">
      <alignment horizontal="left"/>
    </xf>
  </cellXfs>
  <cellStyles count="34">
    <cellStyle name="Hyperlink" xfId="4" builtinId="8"/>
    <cellStyle name="Komma" xfId="33" builtinId="3"/>
    <cellStyle name="Komma 2" xfId="32"/>
    <cellStyle name="Procent" xfId="2" builtinId="5"/>
    <cellStyle name="Procent 2" xfId="7"/>
    <cellStyle name="Procent 2 2" xfId="11"/>
    <cellStyle name="Procent 2 2 2" xfId="12"/>
    <cellStyle name="Procent 2 3" xfId="13"/>
    <cellStyle name="Procent 2 3 2" xfId="14"/>
    <cellStyle name="Procent 2 4" xfId="15"/>
    <cellStyle name="Procent 3" xfId="16"/>
    <cellStyle name="Procent 4" xfId="17"/>
    <cellStyle name="Stand. 2" xfId="8"/>
    <cellStyle name="Stand. 3" xfId="30"/>
    <cellStyle name="Standaard" xfId="0" builtinId="0"/>
    <cellStyle name="Standaard 2" xfId="3"/>
    <cellStyle name="Standaard 2 2" xfId="18"/>
    <cellStyle name="Standaard 2 2 2" xfId="19"/>
    <cellStyle name="Standaard 2 3" xfId="20"/>
    <cellStyle name="Standaard 2 3 2" xfId="21"/>
    <cellStyle name="Standaard 2 4" xfId="22"/>
    <cellStyle name="Standaard 2 4 2" xfId="23"/>
    <cellStyle name="Standaard 2 5" xfId="24"/>
    <cellStyle name="Standaard 3" xfId="25"/>
    <cellStyle name="Standaard 4" xfId="5"/>
    <cellStyle name="Standaard 5" xfId="9"/>
    <cellStyle name="Valuta" xfId="1" builtinId="4"/>
    <cellStyle name="Valuta 2" xfId="6"/>
    <cellStyle name="Valuta 2 2" xfId="26"/>
    <cellStyle name="Valuta 2 2 2" xfId="27"/>
    <cellStyle name="Valuta 3" xfId="28"/>
    <cellStyle name="Valuta 4" xfId="29"/>
    <cellStyle name="Valuta 5" xfId="10"/>
    <cellStyle name="Valuta 6" xfId="31"/>
  </cellStyles>
  <dxfs count="32">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b/>
        <i val="0"/>
      </font>
      <fill>
        <patternFill>
          <bgColor rgb="FF00B050"/>
        </patternFill>
      </fill>
    </dxf>
    <dxf>
      <font>
        <b/>
        <i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b/>
        <i val="0"/>
      </font>
      <fill>
        <patternFill>
          <bgColor rgb="FF00B050"/>
        </patternFill>
      </fill>
    </dxf>
    <dxf>
      <font>
        <b/>
        <i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b/>
        <i val="0"/>
      </font>
      <fill>
        <patternFill>
          <bgColor rgb="FF00B050"/>
        </patternFill>
      </fill>
    </dxf>
    <dxf>
      <font>
        <b/>
        <i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b/>
        <i val="0"/>
      </font>
      <fill>
        <patternFill>
          <bgColor rgb="FF00B050"/>
        </patternFill>
      </fill>
    </dxf>
    <dxf>
      <font>
        <b/>
        <i val="0"/>
      </font>
      <fill>
        <patternFill>
          <bgColor rgb="FFFF0000"/>
        </patternFill>
      </fill>
    </dxf>
  </dxfs>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heme/theme1.xml><?xml version="1.0" encoding="utf-8"?>
<a:theme xmlns:a="http://schemas.openxmlformats.org/drawingml/2006/main" name="Office-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7"/>
  <sheetViews>
    <sheetView workbookViewId="0">
      <selection activeCell="B46" sqref="B46"/>
    </sheetView>
  </sheetViews>
  <sheetFormatPr defaultRowHeight="15.75" x14ac:dyDescent="0.25"/>
  <cols>
    <col min="2" max="2" width="18.25" customWidth="1"/>
    <col min="3" max="3" width="62.125" customWidth="1"/>
  </cols>
  <sheetData>
    <row r="2" spans="2:3" x14ac:dyDescent="0.25">
      <c r="B2" t="s">
        <v>177</v>
      </c>
      <c r="C2" s="409"/>
    </row>
    <row r="3" spans="2:3" x14ac:dyDescent="0.25">
      <c r="B3" t="s">
        <v>178</v>
      </c>
      <c r="C3" s="409"/>
    </row>
    <row r="5" spans="2:3" ht="47.25" x14ac:dyDescent="0.25">
      <c r="B5" t="s">
        <v>179</v>
      </c>
      <c r="C5" s="260" t="s">
        <v>199</v>
      </c>
    </row>
    <row r="7" spans="2:3" x14ac:dyDescent="0.25">
      <c r="B7" t="s">
        <v>180</v>
      </c>
      <c r="C7" s="409"/>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pageSetUpPr fitToPage="1"/>
  </sheetPr>
  <dimension ref="A1:X53"/>
  <sheetViews>
    <sheetView zoomScale="80" zoomScaleNormal="80" workbookViewId="0">
      <pane ySplit="3" topLeftCell="A4" activePane="bottomLeft" state="frozen"/>
      <selection pane="bottomLeft" activeCell="F3" sqref="F3:S3"/>
    </sheetView>
  </sheetViews>
  <sheetFormatPr defaultColWidth="10.5" defaultRowHeight="15.75" x14ac:dyDescent="0.25"/>
  <cols>
    <col min="1" max="1" width="60.875" style="5" customWidth="1"/>
    <col min="2" max="2" width="0.5" style="6" customWidth="1"/>
    <col min="3" max="3" width="14" style="6" hidden="1" customWidth="1"/>
    <col min="4" max="5" width="0.5" style="6" customWidth="1"/>
    <col min="6" max="6" width="11.625" style="6" customWidth="1"/>
    <col min="7" max="7" width="12.5" style="6" bestFit="1" customWidth="1"/>
    <col min="8" max="8" width="11.125" style="6" customWidth="1"/>
    <col min="9" max="10" width="11.5" style="6" customWidth="1"/>
    <col min="11" max="11" width="11.375" style="6" customWidth="1"/>
    <col min="12" max="12" width="11.75" style="6" customWidth="1"/>
    <col min="13" max="13" width="12" style="6" customWidth="1"/>
    <col min="14" max="15" width="12.5" style="6" customWidth="1"/>
    <col min="16" max="16" width="11.875" style="6" customWidth="1"/>
    <col min="17" max="17" width="12" style="6" customWidth="1"/>
    <col min="18" max="19" width="12.5" style="6" customWidth="1"/>
    <col min="20" max="20" width="0.75" style="5" customWidth="1"/>
    <col min="21" max="21" width="28" style="5" bestFit="1" customWidth="1"/>
    <col min="22" max="22" width="7.5" style="5" bestFit="1" customWidth="1"/>
    <col min="23" max="23" width="20.25" style="5" bestFit="1" customWidth="1"/>
    <col min="24" max="24" width="8.875" style="5" bestFit="1" customWidth="1"/>
    <col min="25" max="26" width="7.875" style="5" customWidth="1"/>
    <col min="27" max="16384" width="10.5" style="5"/>
  </cols>
  <sheetData>
    <row r="1" spans="1:24" x14ac:dyDescent="0.25">
      <c r="A1" s="67" t="s">
        <v>0</v>
      </c>
      <c r="B1" s="16"/>
      <c r="C1" s="16"/>
      <c r="D1" s="16"/>
    </row>
    <row r="2" spans="1:24" x14ac:dyDescent="0.25">
      <c r="A2" s="162" t="s">
        <v>124</v>
      </c>
    </row>
    <row r="3" spans="1:24" s="388" customFormat="1" ht="18.75" x14ac:dyDescent="0.3">
      <c r="A3" s="92" t="s">
        <v>84</v>
      </c>
      <c r="B3" s="93"/>
      <c r="C3" s="93"/>
      <c r="D3" s="93"/>
      <c r="E3" s="93"/>
      <c r="F3" s="428" t="s">
        <v>207</v>
      </c>
      <c r="G3" s="428"/>
      <c r="H3" s="428"/>
      <c r="I3" s="428"/>
      <c r="J3" s="428"/>
      <c r="K3" s="428"/>
      <c r="L3" s="428"/>
      <c r="M3" s="428"/>
      <c r="N3" s="428"/>
      <c r="O3" s="428"/>
      <c r="P3" s="428"/>
      <c r="Q3" s="428"/>
      <c r="R3" s="428"/>
      <c r="S3" s="428"/>
      <c r="T3" s="39"/>
      <c r="V3" s="389"/>
      <c r="W3" s="389"/>
      <c r="X3" s="389"/>
    </row>
    <row r="4" spans="1:24" s="389" customFormat="1" x14ac:dyDescent="0.25">
      <c r="A4" s="111"/>
      <c r="B4" s="112"/>
      <c r="C4" s="112"/>
      <c r="D4" s="112"/>
      <c r="E4" s="112"/>
      <c r="F4" s="112"/>
      <c r="G4" s="167"/>
      <c r="H4" s="167"/>
      <c r="I4" s="167"/>
      <c r="J4" s="167"/>
      <c r="K4" s="167"/>
      <c r="L4" s="167"/>
      <c r="M4" s="167"/>
      <c r="N4" s="167"/>
      <c r="O4" s="167"/>
      <c r="P4" s="167"/>
      <c r="Q4" s="167"/>
      <c r="R4" s="167"/>
      <c r="S4" s="167"/>
      <c r="T4" s="83"/>
    </row>
    <row r="5" spans="1:24" ht="24.95" customHeight="1" x14ac:dyDescent="0.25">
      <c r="A5" s="95" t="s">
        <v>83</v>
      </c>
      <c r="B5" s="88"/>
      <c r="C5" s="86" t="s">
        <v>7</v>
      </c>
      <c r="D5" s="88"/>
      <c r="E5" s="88"/>
      <c r="F5" s="425" t="s">
        <v>99</v>
      </c>
      <c r="G5" s="424"/>
      <c r="H5" s="423" t="s">
        <v>99</v>
      </c>
      <c r="I5" s="424"/>
      <c r="J5" s="429" t="s">
        <v>99</v>
      </c>
      <c r="K5" s="430"/>
      <c r="L5" s="425" t="s">
        <v>205</v>
      </c>
      <c r="M5" s="425"/>
      <c r="N5" s="423" t="s">
        <v>97</v>
      </c>
      <c r="O5" s="425"/>
      <c r="P5" s="423" t="s">
        <v>98</v>
      </c>
      <c r="Q5" s="424"/>
      <c r="R5" s="423" t="s">
        <v>98</v>
      </c>
      <c r="S5" s="425"/>
      <c r="T5" s="89"/>
    </row>
    <row r="6" spans="1:24" x14ac:dyDescent="0.25">
      <c r="A6" s="96" t="s">
        <v>9</v>
      </c>
      <c r="B6" s="87"/>
      <c r="C6" s="87"/>
      <c r="D6" s="87"/>
      <c r="E6" s="87"/>
      <c r="F6" s="298"/>
      <c r="G6" s="299"/>
      <c r="H6" s="300"/>
      <c r="I6" s="299"/>
      <c r="J6" s="300"/>
      <c r="K6" s="299"/>
      <c r="L6" s="298"/>
      <c r="M6" s="298"/>
      <c r="N6" s="300"/>
      <c r="O6" s="298"/>
      <c r="P6" s="300"/>
      <c r="Q6" s="299"/>
      <c r="R6" s="300"/>
      <c r="S6" s="298"/>
      <c r="T6" s="1"/>
    </row>
    <row r="7" spans="1:24" ht="15.95" customHeight="1" x14ac:dyDescent="0.25">
      <c r="A7" s="97" t="s">
        <v>110</v>
      </c>
      <c r="B7" s="155"/>
      <c r="C7" s="100"/>
      <c r="D7" s="155"/>
      <c r="E7" s="155"/>
      <c r="F7" s="390"/>
      <c r="G7" s="288">
        <v>2153</v>
      </c>
      <c r="H7" s="138" t="s">
        <v>202</v>
      </c>
      <c r="I7" s="288">
        <v>2675</v>
      </c>
      <c r="J7" s="138" t="s">
        <v>203</v>
      </c>
      <c r="K7" s="288">
        <v>2948</v>
      </c>
      <c r="L7" s="138" t="s">
        <v>204</v>
      </c>
      <c r="M7" s="288">
        <v>4768</v>
      </c>
      <c r="N7" s="283"/>
      <c r="O7" s="256">
        <v>0</v>
      </c>
      <c r="P7" s="138"/>
      <c r="Q7" s="288">
        <v>0</v>
      </c>
      <c r="R7" s="283"/>
      <c r="S7" s="256">
        <v>0</v>
      </c>
      <c r="T7" s="82"/>
      <c r="U7" s="426" t="s">
        <v>198</v>
      </c>
      <c r="V7" s="427"/>
      <c r="W7" s="393" t="s">
        <v>201</v>
      </c>
    </row>
    <row r="8" spans="1:24" ht="15.95" customHeight="1" x14ac:dyDescent="0.25">
      <c r="A8" s="97" t="s">
        <v>105</v>
      </c>
      <c r="B8" s="155"/>
      <c r="C8" s="100"/>
      <c r="D8" s="155"/>
      <c r="E8" s="155"/>
      <c r="F8" s="169"/>
      <c r="G8" s="235">
        <f>G7/156</f>
        <v>13.801282051282051</v>
      </c>
      <c r="H8" s="129"/>
      <c r="I8" s="235">
        <f>I7/156</f>
        <v>17.147435897435898</v>
      </c>
      <c r="J8" s="139"/>
      <c r="K8" s="240">
        <f>K7/156</f>
        <v>18.897435897435898</v>
      </c>
      <c r="L8" s="137"/>
      <c r="M8" s="240">
        <f>M7/156</f>
        <v>30.564102564102566</v>
      </c>
      <c r="N8" s="228"/>
      <c r="O8" s="243">
        <f>O7/156</f>
        <v>0</v>
      </c>
      <c r="P8" s="289"/>
      <c r="Q8" s="240">
        <f>Q7/156</f>
        <v>0</v>
      </c>
      <c r="R8" s="228"/>
      <c r="S8" s="243">
        <f>S7/156</f>
        <v>0</v>
      </c>
      <c r="T8" s="82"/>
      <c r="U8" s="168"/>
    </row>
    <row r="9" spans="1:24" ht="15.95" customHeight="1" x14ac:dyDescent="0.25">
      <c r="A9" s="94" t="s">
        <v>107</v>
      </c>
      <c r="B9" s="155"/>
      <c r="C9" s="100" t="s">
        <v>11</v>
      </c>
      <c r="D9" s="155"/>
      <c r="E9" s="155"/>
      <c r="F9" s="229">
        <f>IF(F5&lt;&gt;"",8%,"")</f>
        <v>0.08</v>
      </c>
      <c r="G9" s="236">
        <f>F9*G8</f>
        <v>1.1041025641025641</v>
      </c>
      <c r="H9" s="229">
        <f>IF(H5&lt;&gt;"",8%,"")</f>
        <v>0.08</v>
      </c>
      <c r="I9" s="236">
        <f>H9*I8</f>
        <v>1.3717948717948718</v>
      </c>
      <c r="J9" s="229">
        <f>IF(J5&lt;&gt;"",8%,"")</f>
        <v>0.08</v>
      </c>
      <c r="K9" s="241">
        <f>J9*K8</f>
        <v>1.5117948717948719</v>
      </c>
      <c r="L9" s="229">
        <f>IF(L5&lt;&gt;"",8%,"")</f>
        <v>0.08</v>
      </c>
      <c r="M9" s="240">
        <f>L9*M8</f>
        <v>2.4451282051282055</v>
      </c>
      <c r="N9" s="229">
        <f>IF(N5&lt;&gt;"",8%,"")</f>
        <v>0.08</v>
      </c>
      <c r="O9" s="243">
        <f>O8*N9</f>
        <v>0</v>
      </c>
      <c r="P9" s="290">
        <f>IF(P5&lt;&gt;"",8%,"")</f>
        <v>0.08</v>
      </c>
      <c r="Q9" s="240">
        <f>P9*Q8</f>
        <v>0</v>
      </c>
      <c r="R9" s="229">
        <f>IF(R5&lt;&gt;"",8%,"")</f>
        <v>0.08</v>
      </c>
      <c r="S9" s="243">
        <f>S8*R9</f>
        <v>0</v>
      </c>
      <c r="T9" s="83"/>
      <c r="U9" s="170"/>
    </row>
    <row r="10" spans="1:24" ht="15.95" customHeight="1" x14ac:dyDescent="0.25">
      <c r="A10" s="121" t="s">
        <v>146</v>
      </c>
      <c r="B10" s="155"/>
      <c r="C10" s="100"/>
      <c r="D10" s="155"/>
      <c r="E10" s="155"/>
      <c r="F10" s="229"/>
      <c r="G10" s="237">
        <f>G8+G9</f>
        <v>14.905384615384616</v>
      </c>
      <c r="H10" s="229"/>
      <c r="I10" s="237">
        <f>I8+I9</f>
        <v>18.51923076923077</v>
      </c>
      <c r="J10" s="229"/>
      <c r="K10" s="237">
        <f>K8+K9</f>
        <v>20.409230769230771</v>
      </c>
      <c r="L10" s="229"/>
      <c r="M10" s="237">
        <f>M8+M9</f>
        <v>33.009230769230768</v>
      </c>
      <c r="N10" s="229"/>
      <c r="O10" s="252">
        <f>O8+O9</f>
        <v>0</v>
      </c>
      <c r="P10" s="290"/>
      <c r="Q10" s="237">
        <f>Q8+Q9</f>
        <v>0</v>
      </c>
      <c r="R10" s="229"/>
      <c r="S10" s="252">
        <f>S8+S9</f>
        <v>0</v>
      </c>
      <c r="T10" s="83"/>
      <c r="U10" s="170"/>
    </row>
    <row r="11" spans="1:24" x14ac:dyDescent="0.25">
      <c r="A11" s="94" t="s">
        <v>90</v>
      </c>
      <c r="B11" s="155"/>
      <c r="C11" s="100" t="s">
        <v>11</v>
      </c>
      <c r="D11" s="155"/>
      <c r="E11" s="155"/>
      <c r="F11" s="230">
        <f>VLOOKUP(F5,Toelichting!$A$38:$B$42,2,0)</f>
        <v>7.0499999999999993E-2</v>
      </c>
      <c r="G11" s="236">
        <f>F11*G8</f>
        <v>0.97299038461538456</v>
      </c>
      <c r="H11" s="230">
        <f>VLOOKUP(H5,Toelichting!$A$38:$B$42,2,0)</f>
        <v>7.0499999999999993E-2</v>
      </c>
      <c r="I11" s="236">
        <f>H11*I8</f>
        <v>1.2088942307692307</v>
      </c>
      <c r="J11" s="230">
        <f>VLOOKUP(J5,Toelichting!$A$38:$B$42,2,0)</f>
        <v>7.0499999999999993E-2</v>
      </c>
      <c r="K11" s="242">
        <f>J11*K8</f>
        <v>1.3322692307692308</v>
      </c>
      <c r="L11" s="230">
        <f>VLOOKUP(L5,Toelichting!$A$38:$B$42,2,0)</f>
        <v>7.0499999999999993E-2</v>
      </c>
      <c r="M11" s="240">
        <f>L11*M8</f>
        <v>2.1547692307692308</v>
      </c>
      <c r="N11" s="230">
        <f>VLOOKUP(N5,Toelichting!$A$38:$B$42,2,0)</f>
        <v>8.3299999999999999E-2</v>
      </c>
      <c r="O11" s="244">
        <f>N11*O8</f>
        <v>0</v>
      </c>
      <c r="P11" s="291">
        <f>VLOOKUP(P5,Toelichting!$A$38:$B$42,2,0)</f>
        <v>8.3299999999999999E-2</v>
      </c>
      <c r="Q11" s="240">
        <f>P11*Q8</f>
        <v>0</v>
      </c>
      <c r="R11" s="230">
        <f>VLOOKUP(R5,Toelichting!$A$38:$B$42,2,0)</f>
        <v>8.3299999999999999E-2</v>
      </c>
      <c r="S11" s="244">
        <f>R11*S8</f>
        <v>0</v>
      </c>
      <c r="T11" s="82"/>
      <c r="V11" s="217"/>
    </row>
    <row r="12" spans="1:24" x14ac:dyDescent="0.25">
      <c r="A12" s="97" t="s">
        <v>148</v>
      </c>
      <c r="B12" s="155"/>
      <c r="C12" s="100"/>
      <c r="D12" s="155"/>
      <c r="E12" s="155"/>
      <c r="F12" s="232">
        <v>0.06</v>
      </c>
      <c r="G12" s="238">
        <f>F12*G10</f>
        <v>0.89432307692307689</v>
      </c>
      <c r="H12" s="233">
        <v>0</v>
      </c>
      <c r="I12" s="238">
        <f>H12*I10</f>
        <v>0</v>
      </c>
      <c r="J12" s="233">
        <v>0</v>
      </c>
      <c r="K12" s="238">
        <f>J12*K10</f>
        <v>0</v>
      </c>
      <c r="L12" s="234">
        <v>0</v>
      </c>
      <c r="M12" s="238">
        <f>L12*M10</f>
        <v>0</v>
      </c>
      <c r="N12" s="233">
        <v>0</v>
      </c>
      <c r="O12" s="253">
        <f>N12*O10</f>
        <v>0</v>
      </c>
      <c r="P12" s="233">
        <v>0</v>
      </c>
      <c r="Q12" s="238">
        <f>P12*Q10</f>
        <v>0</v>
      </c>
      <c r="R12" s="233">
        <v>0.01</v>
      </c>
      <c r="S12" s="253">
        <f>R12*S10</f>
        <v>0</v>
      </c>
      <c r="T12" s="175"/>
      <c r="U12" s="394" t="s">
        <v>189</v>
      </c>
      <c r="V12" s="395">
        <v>6.5000000000000002E-2</v>
      </c>
      <c r="W12" s="412">
        <f>F35*F12+H35*H12+J35*J12+L35*L12+N35*N12+P35*P12+R35*R12</f>
        <v>0.06</v>
      </c>
    </row>
    <row r="13" spans="1:24" x14ac:dyDescent="0.25">
      <c r="A13" s="116" t="s">
        <v>12</v>
      </c>
      <c r="B13" s="156"/>
      <c r="C13" s="98"/>
      <c r="D13" s="156"/>
      <c r="E13" s="171">
        <f>SUM(E$9:E$11)</f>
        <v>0</v>
      </c>
      <c r="F13" s="172"/>
      <c r="G13" s="239">
        <f>SUM(G$10:G$12)</f>
        <v>16.772698076923078</v>
      </c>
      <c r="H13" s="173"/>
      <c r="I13" s="239">
        <f>SUM(I$10:I$12)</f>
        <v>19.728125000000002</v>
      </c>
      <c r="J13" s="173"/>
      <c r="K13" s="239">
        <f>SUM(K$10:K$12)</f>
        <v>21.741500000000002</v>
      </c>
      <c r="L13" s="174"/>
      <c r="M13" s="239">
        <f>SUM(M$10:M$12)</f>
        <v>35.164000000000001</v>
      </c>
      <c r="N13" s="201"/>
      <c r="O13" s="254">
        <f>SUM(O$10:O$12)</f>
        <v>0</v>
      </c>
      <c r="P13" s="173"/>
      <c r="Q13" s="239">
        <f>SUM(Q$10:Q$12)</f>
        <v>0</v>
      </c>
      <c r="R13" s="201"/>
      <c r="S13" s="254">
        <f>SUM(S$10:S$12)</f>
        <v>0</v>
      </c>
      <c r="T13" s="214"/>
      <c r="U13" s="168"/>
    </row>
    <row r="14" spans="1:24" x14ac:dyDescent="0.25">
      <c r="A14" s="216" t="s">
        <v>134</v>
      </c>
      <c r="B14" s="156"/>
      <c r="C14" s="98"/>
      <c r="D14" s="156"/>
      <c r="E14" s="171"/>
      <c r="F14" s="215">
        <v>0.1739</v>
      </c>
      <c r="G14" s="212"/>
      <c r="H14" s="215">
        <v>0.1739</v>
      </c>
      <c r="I14" s="212"/>
      <c r="J14" s="215">
        <v>0.1739</v>
      </c>
      <c r="K14" s="212"/>
      <c r="L14" s="215">
        <v>0.1739</v>
      </c>
      <c r="M14" s="212"/>
      <c r="N14" s="215">
        <v>0.1739</v>
      </c>
      <c r="O14" s="213"/>
      <c r="P14" s="292">
        <v>0.1739</v>
      </c>
      <c r="Q14" s="212"/>
      <c r="R14" s="215">
        <v>0.1739</v>
      </c>
      <c r="S14" s="213"/>
      <c r="T14" s="214"/>
      <c r="U14" s="168"/>
    </row>
    <row r="15" spans="1:24" x14ac:dyDescent="0.25">
      <c r="A15" s="216" t="s">
        <v>135</v>
      </c>
      <c r="B15" s="156"/>
      <c r="C15" s="98"/>
      <c r="D15" s="156"/>
      <c r="E15" s="171"/>
      <c r="F15" s="215">
        <f>(((G13*1878)-Toelichting!$B$44)*Toelichting!$B$45/(G13*1878))*0.5</f>
        <v>7.1147762982928589E-2</v>
      </c>
      <c r="G15" s="212"/>
      <c r="H15" s="215">
        <f>(((I13*1878)-Toelichting!$B$44)*Toelichting!$B$45/(I13*1878))*0.5</f>
        <v>7.8091689444520634E-2</v>
      </c>
      <c r="I15" s="212"/>
      <c r="J15" s="215">
        <f>(((K13*1878)-Toelichting!$B$44)*Toelichting!$B$45/(K13*1878))*0.5</f>
        <v>8.1741102192704446E-2</v>
      </c>
      <c r="K15" s="212"/>
      <c r="L15" s="215">
        <f>(((M13*1878)-Toelichting!$B$44)*Toelichting!$B$45/(M13*1878))*0.5</f>
        <v>9.5390681473173797E-2</v>
      </c>
      <c r="M15" s="212"/>
      <c r="N15" s="215" t="e">
        <f>(((O13*1878)-Toelichting!$B$44)*Toelichting!$B$45/(O13*1878))*0.5</f>
        <v>#DIV/0!</v>
      </c>
      <c r="O15" s="213"/>
      <c r="P15" s="292" t="e">
        <f>(((Q13*1878)-Toelichting!$B$44)*Toelichting!$B$45/(Q13*1878))*0.5</f>
        <v>#DIV/0!</v>
      </c>
      <c r="Q15" s="212"/>
      <c r="R15" s="215" t="e">
        <f>(((S13*1878)-Toelichting!$B$44)*Toelichting!$B$45/(S13*1878))*0.5</f>
        <v>#DIV/0!</v>
      </c>
      <c r="S15" s="213"/>
      <c r="T15" s="214"/>
      <c r="U15" s="168"/>
    </row>
    <row r="16" spans="1:24" x14ac:dyDescent="0.25">
      <c r="A16" s="216" t="s">
        <v>136</v>
      </c>
      <c r="B16" s="156"/>
      <c r="C16" s="98"/>
      <c r="D16" s="156"/>
      <c r="E16" s="171"/>
      <c r="F16" s="215">
        <f>IF(0.5*0.6%*((1878*G13-Toelichting!$B$46)/(1878*G13))&gt;0,0.5*0.6%*((1878*G13-Toelichting!$B$46)/(1878*G13)),0)</f>
        <v>1.0056590132478394E-3</v>
      </c>
      <c r="G16" s="212"/>
      <c r="H16" s="215">
        <f>IF(0.5*0.6%*((1878*I13-Toelichting!$B$46)/(1878*I13))&gt;0,0.5*0.6%*((1878*I13-Toelichting!$B$46)/(1878*I13)),0)</f>
        <v>1.304426840704485E-3</v>
      </c>
      <c r="I16" s="212"/>
      <c r="J16" s="215">
        <f>IF(0.5*0.6%*((1878*K13-Toelichting!$B$46)/(1878*K13))&gt;0,0.5*0.6%*((1878*K13-Toelichting!$B$46)/(1878*K13)),0)</f>
        <v>1.4614456576948769E-3</v>
      </c>
      <c r="K16" s="212"/>
      <c r="L16" s="215">
        <f>IF(0.5*0.6%*((1878*M13-Toelichting!$B$46)/(1878*M13))&gt;0,0.5*0.6%*((1878*M13-Toelichting!$B$46)/(1878*M13)),0)</f>
        <v>2.0487294041284599E-3</v>
      </c>
      <c r="M16" s="212"/>
      <c r="N16" s="215" t="e">
        <f>IF(0.5*0.6%*((1878*O13-Toelichting!$B$46)/(1878*O13))&gt;0,0.5*0.6%*((1878*O13-Toelichting!$B$46)/(1878*O13)),0)</f>
        <v>#DIV/0!</v>
      </c>
      <c r="O16" s="213"/>
      <c r="P16" s="292" t="e">
        <f>IF(0.5*0.6%*((1878*Q13-Toelichting!$B$46)/(1878*Q13))&gt;0,0.5*0.6%*((1878*Q13-Toelichting!$B$46)/(1878*Q13)),0)</f>
        <v>#DIV/0!</v>
      </c>
      <c r="Q16" s="212"/>
      <c r="R16" s="215" t="e">
        <f>IF(0.5*0.6%*((1878*S13-Toelichting!$B$46)/(1878*S13))&gt;0,0.5*0.6%*((1878*S13-Toelichting!$B$46)/(1878*S13)),0)</f>
        <v>#DIV/0!</v>
      </c>
      <c r="S16" s="213"/>
      <c r="T16" s="177"/>
      <c r="U16" s="168"/>
    </row>
    <row r="17" spans="1:23" x14ac:dyDescent="0.25">
      <c r="A17" s="117" t="s">
        <v>88</v>
      </c>
      <c r="B17" s="156"/>
      <c r="C17" s="98"/>
      <c r="D17" s="156"/>
      <c r="E17" s="156"/>
      <c r="F17" s="176">
        <f>IF(ISERROR(F14+F15+F16),0,F14+F15+F16)</f>
        <v>0.24605342199617641</v>
      </c>
      <c r="G17" s="125">
        <f>F17*G13</f>
        <v>4.1269797579356107</v>
      </c>
      <c r="H17" s="176">
        <f>IF(ISERROR(H14+H15+H16),0,H14+H15+H16)</f>
        <v>0.25329611628522514</v>
      </c>
      <c r="I17" s="125">
        <f>H17*I13</f>
        <v>4.9970574440894575</v>
      </c>
      <c r="J17" s="176">
        <f>IF(ISERROR(J14+J15+J16),0,J14+J15+J16)</f>
        <v>0.25710254785039932</v>
      </c>
      <c r="K17" s="125">
        <f>J17*K13</f>
        <v>5.589795044089457</v>
      </c>
      <c r="L17" s="176">
        <f>IF(ISERROR(L14+L15+L16),0,L14+L15+L16)</f>
        <v>0.27133941087730229</v>
      </c>
      <c r="M17" s="125">
        <f>L17*M13</f>
        <v>9.5413790440894584</v>
      </c>
      <c r="N17" s="176">
        <f>IF(ISERROR(N14+N15+N16),0,N14+N15+N16)</f>
        <v>0</v>
      </c>
      <c r="O17" s="120">
        <f>N17*O8</f>
        <v>0</v>
      </c>
      <c r="P17" s="176">
        <f>IF(ISERROR(P14+P15+P16),0,P14+P15+P16)</f>
        <v>0</v>
      </c>
      <c r="Q17" s="125">
        <f>P17*Q13</f>
        <v>0</v>
      </c>
      <c r="R17" s="176">
        <f>IF(ISERROR(R14+R15+R16),0,R14+R15+R16)</f>
        <v>0</v>
      </c>
      <c r="S17" s="392">
        <f>R17*S8</f>
        <v>0</v>
      </c>
      <c r="T17" s="227"/>
      <c r="U17" s="168"/>
    </row>
    <row r="18" spans="1:23" x14ac:dyDescent="0.25">
      <c r="A18" s="118" t="s">
        <v>101</v>
      </c>
      <c r="B18" s="156"/>
      <c r="C18" s="98"/>
      <c r="D18" s="156"/>
      <c r="E18" s="156"/>
      <c r="F18" s="178"/>
      <c r="G18" s="245">
        <f>G13+G17</f>
        <v>20.899677834858689</v>
      </c>
      <c r="H18" s="130"/>
      <c r="I18" s="245">
        <f>I13+I17</f>
        <v>24.725182444089459</v>
      </c>
      <c r="J18" s="130"/>
      <c r="K18" s="245">
        <f>K13+K17</f>
        <v>27.331295044089458</v>
      </c>
      <c r="L18" s="124"/>
      <c r="M18" s="245">
        <f>M13+M17</f>
        <v>44.705379044089462</v>
      </c>
      <c r="N18" s="202"/>
      <c r="O18" s="246">
        <f>O13+O17</f>
        <v>0</v>
      </c>
      <c r="P18" s="130"/>
      <c r="Q18" s="245">
        <f>Q13+Q17</f>
        <v>0</v>
      </c>
      <c r="R18" s="202"/>
      <c r="S18" s="246">
        <f>S13+S17</f>
        <v>0</v>
      </c>
      <c r="T18" s="119"/>
    </row>
    <row r="19" spans="1:23" x14ac:dyDescent="0.25">
      <c r="A19" s="96" t="s">
        <v>92</v>
      </c>
      <c r="B19" s="87"/>
      <c r="C19" s="154"/>
      <c r="D19" s="87"/>
      <c r="E19" s="87"/>
      <c r="F19" s="87"/>
      <c r="G19" s="126"/>
      <c r="H19" s="131"/>
      <c r="I19" s="126"/>
      <c r="J19" s="131"/>
      <c r="K19" s="126"/>
      <c r="L19" s="87"/>
      <c r="M19" s="87"/>
      <c r="N19" s="131"/>
      <c r="O19" s="87"/>
      <c r="P19" s="131"/>
      <c r="Q19" s="126"/>
      <c r="R19" s="131"/>
      <c r="S19" s="87"/>
      <c r="T19" s="1"/>
      <c r="V19" s="12"/>
    </row>
    <row r="20" spans="1:23" x14ac:dyDescent="0.25">
      <c r="A20" s="97" t="s">
        <v>25</v>
      </c>
      <c r="B20" s="155"/>
      <c r="C20" s="100" t="s">
        <v>11</v>
      </c>
      <c r="D20" s="155"/>
      <c r="E20" s="155"/>
      <c r="F20" s="372">
        <f>VLOOKUP(F5,Toelichting!$A$38:$C$42,3,0)</f>
        <v>0.107</v>
      </c>
      <c r="G20" s="127"/>
      <c r="H20" s="372">
        <f>VLOOKUP(H5,Toelichting!$A$38:$C$42,3,0)</f>
        <v>0.107</v>
      </c>
      <c r="I20" s="132"/>
      <c r="J20" s="372">
        <f>VLOOKUP(J5,Toelichting!$A$38:$C$42,3,0)</f>
        <v>0.107</v>
      </c>
      <c r="K20" s="132"/>
      <c r="L20" s="372">
        <f>VLOOKUP(L5,Toelichting!$A$38:$C$42,3,0)</f>
        <v>0.107</v>
      </c>
      <c r="M20" s="132"/>
      <c r="N20" s="372">
        <f>VLOOKUP(N5,Toelichting!$A$38:$C$42,3,0)</f>
        <v>0.1265</v>
      </c>
      <c r="O20" s="114"/>
      <c r="P20" s="373">
        <f>VLOOKUP(P5,Toelichting!$A$38:$C$42,3,0)</f>
        <v>0.1071</v>
      </c>
      <c r="Q20" s="132"/>
      <c r="R20" s="372">
        <f>VLOOKUP(R5,Toelichting!$A$38:$C$42,3,0)</f>
        <v>0.1071</v>
      </c>
      <c r="S20" s="114"/>
      <c r="T20" s="82"/>
      <c r="V20" s="12"/>
    </row>
    <row r="21" spans="1:23" x14ac:dyDescent="0.25">
      <c r="A21" s="94" t="s">
        <v>26</v>
      </c>
      <c r="B21" s="155"/>
      <c r="C21" s="100" t="s">
        <v>11</v>
      </c>
      <c r="D21" s="155"/>
      <c r="E21" s="155"/>
      <c r="F21" s="301">
        <v>0.02</v>
      </c>
      <c r="G21" s="127"/>
      <c r="H21" s="301">
        <v>0.02</v>
      </c>
      <c r="I21" s="133"/>
      <c r="J21" s="301">
        <v>0.02</v>
      </c>
      <c r="K21" s="133"/>
      <c r="L21" s="301">
        <v>0.02</v>
      </c>
      <c r="M21" s="133"/>
      <c r="N21" s="301">
        <v>0</v>
      </c>
      <c r="O21" s="115"/>
      <c r="P21" s="302">
        <v>0</v>
      </c>
      <c r="Q21" s="133"/>
      <c r="R21" s="301">
        <v>0</v>
      </c>
      <c r="S21" s="115"/>
      <c r="T21" s="83"/>
      <c r="V21" s="12"/>
    </row>
    <row r="22" spans="1:23" x14ac:dyDescent="0.25">
      <c r="A22" s="97" t="s">
        <v>27</v>
      </c>
      <c r="B22" s="155"/>
      <c r="C22" s="100" t="s">
        <v>21</v>
      </c>
      <c r="D22" s="155"/>
      <c r="E22" s="155"/>
      <c r="F22" s="301">
        <v>0.04</v>
      </c>
      <c r="G22" s="179"/>
      <c r="H22" s="301">
        <v>0</v>
      </c>
      <c r="I22" s="132"/>
      <c r="J22" s="301">
        <v>0</v>
      </c>
      <c r="K22" s="132"/>
      <c r="L22" s="301">
        <v>0</v>
      </c>
      <c r="M22" s="114"/>
      <c r="N22" s="391">
        <v>0</v>
      </c>
      <c r="O22" s="114"/>
      <c r="P22" s="391">
        <v>0</v>
      </c>
      <c r="Q22" s="132"/>
      <c r="R22" s="301">
        <v>0</v>
      </c>
      <c r="S22" s="114"/>
      <c r="T22" s="82"/>
      <c r="V22" s="12"/>
    </row>
    <row r="23" spans="1:23" x14ac:dyDescent="0.25">
      <c r="A23" s="97" t="s">
        <v>153</v>
      </c>
      <c r="B23" s="155"/>
      <c r="C23" s="100"/>
      <c r="D23" s="155"/>
      <c r="E23" s="155"/>
      <c r="F23" s="348">
        <v>0.08</v>
      </c>
      <c r="G23" s="127"/>
      <c r="H23" s="348">
        <v>0.08</v>
      </c>
      <c r="I23" s="132"/>
      <c r="J23" s="348">
        <v>0.08</v>
      </c>
      <c r="K23" s="132"/>
      <c r="L23" s="348">
        <v>0.2</v>
      </c>
      <c r="M23" s="114"/>
      <c r="N23" s="349">
        <v>0</v>
      </c>
      <c r="O23" s="114"/>
      <c r="P23" s="350">
        <v>0</v>
      </c>
      <c r="Q23" s="132"/>
      <c r="R23" s="349">
        <v>0</v>
      </c>
      <c r="S23" s="114"/>
      <c r="T23" s="82"/>
      <c r="V23" s="12"/>
    </row>
    <row r="24" spans="1:23" x14ac:dyDescent="0.25">
      <c r="A24" s="110" t="s">
        <v>150</v>
      </c>
      <c r="B24" s="155"/>
      <c r="C24" s="100"/>
      <c r="D24" s="155"/>
      <c r="E24" s="155"/>
      <c r="F24" s="231">
        <f>SUM(F20:F23)</f>
        <v>0.247</v>
      </c>
      <c r="G24" s="218">
        <f>G18/(1-F24)-G18</f>
        <v>6.855538413293619</v>
      </c>
      <c r="H24" s="231">
        <f>SUM(H20:H23)</f>
        <v>0.20700000000000002</v>
      </c>
      <c r="I24" s="218">
        <f>I18/(1-H24)-I18</f>
        <v>6.4541144589237334</v>
      </c>
      <c r="J24" s="231">
        <f>SUM(J20:J23)</f>
        <v>0.20700000000000002</v>
      </c>
      <c r="K24" s="218">
        <f>K18/(1-J24)-K18</f>
        <v>7.1343985802352066</v>
      </c>
      <c r="L24" s="231">
        <f>SUM(L20:L23)</f>
        <v>0.32700000000000001</v>
      </c>
      <c r="M24" s="218">
        <f>M18/(1-L24)-M18</f>
        <v>21.721632908495174</v>
      </c>
      <c r="N24" s="231">
        <f>SUM(N20:N23)</f>
        <v>0.1265</v>
      </c>
      <c r="O24" s="286">
        <f>O18/(1-N24)-O18</f>
        <v>0</v>
      </c>
      <c r="P24" s="231">
        <f>SUM(P20:P23)</f>
        <v>0.1071</v>
      </c>
      <c r="Q24" s="218">
        <f>Q18/(1-P24)-Q18</f>
        <v>0</v>
      </c>
      <c r="R24" s="231">
        <f>SUM(R20:R23)</f>
        <v>0.1071</v>
      </c>
      <c r="S24" s="219">
        <f>S18/(1-R24)-S18</f>
        <v>0</v>
      </c>
      <c r="T24" s="82"/>
      <c r="U24" s="396" t="s">
        <v>192</v>
      </c>
      <c r="V24" s="395">
        <v>0.28000000000000003</v>
      </c>
      <c r="W24" s="413">
        <f>F35*F24+H35*H24+J35*J24+L35*L24+N35*N24+P35*P24+R35*R24</f>
        <v>0.247</v>
      </c>
    </row>
    <row r="25" spans="1:23" ht="18.95" customHeight="1" x14ac:dyDescent="0.25">
      <c r="A25" s="164" t="s">
        <v>125</v>
      </c>
      <c r="B25" s="165"/>
      <c r="C25" s="166"/>
      <c r="D25" s="165"/>
      <c r="E25" s="165"/>
      <c r="F25" s="180"/>
      <c r="G25" s="181">
        <f>G24+G18</f>
        <v>27.755216248152308</v>
      </c>
      <c r="H25" s="182"/>
      <c r="I25" s="181">
        <f>I24+I18</f>
        <v>31.179296903013192</v>
      </c>
      <c r="J25" s="182"/>
      <c r="K25" s="181">
        <f>K24+K18</f>
        <v>34.465693624324665</v>
      </c>
      <c r="L25" s="183"/>
      <c r="M25" s="181">
        <f>M24+M18</f>
        <v>66.427011952584635</v>
      </c>
      <c r="N25" s="195"/>
      <c r="O25" s="287">
        <f>O24+O18</f>
        <v>0</v>
      </c>
      <c r="P25" s="182"/>
      <c r="Q25" s="181">
        <f>Q24+Q18</f>
        <v>0</v>
      </c>
      <c r="R25" s="195"/>
      <c r="S25" s="255">
        <f>S24+S18</f>
        <v>0</v>
      </c>
      <c r="T25" s="1"/>
    </row>
    <row r="26" spans="1:23" x14ac:dyDescent="0.25">
      <c r="A26" s="109"/>
      <c r="B26" s="87"/>
      <c r="C26" s="100"/>
      <c r="D26" s="87"/>
      <c r="E26" s="87"/>
      <c r="F26" s="184"/>
      <c r="G26" s="128"/>
      <c r="H26" s="134"/>
      <c r="I26" s="135"/>
      <c r="J26" s="134"/>
      <c r="K26" s="135"/>
      <c r="L26" s="122"/>
      <c r="M26" s="123"/>
      <c r="N26" s="134"/>
      <c r="O26" s="123"/>
      <c r="P26" s="134"/>
      <c r="Q26" s="135"/>
      <c r="R26" s="134"/>
      <c r="S26" s="123"/>
      <c r="T26" s="1"/>
    </row>
    <row r="27" spans="1:23" x14ac:dyDescent="0.25">
      <c r="A27" s="96" t="s">
        <v>116</v>
      </c>
      <c r="B27" s="87"/>
      <c r="C27" s="154"/>
      <c r="D27" s="87"/>
      <c r="E27" s="87"/>
      <c r="F27" s="87"/>
      <c r="G27" s="126"/>
      <c r="H27" s="131"/>
      <c r="I27" s="126"/>
      <c r="J27" s="131"/>
      <c r="K27" s="126"/>
      <c r="L27" s="87"/>
      <c r="M27" s="87"/>
      <c r="N27" s="131"/>
      <c r="O27" s="87"/>
      <c r="P27" s="131"/>
      <c r="Q27" s="126"/>
      <c r="R27" s="131"/>
      <c r="S27" s="87"/>
      <c r="T27" s="1"/>
    </row>
    <row r="28" spans="1:23" x14ac:dyDescent="0.25">
      <c r="A28" s="121" t="s">
        <v>94</v>
      </c>
      <c r="B28" s="101"/>
      <c r="C28" s="100"/>
      <c r="D28" s="101"/>
      <c r="E28" s="101"/>
      <c r="F28" s="261">
        <v>0.28999999999999998</v>
      </c>
      <c r="G28" s="142">
        <f>F28*G25</f>
        <v>8.0490127119641688</v>
      </c>
      <c r="H28" s="264">
        <v>0.28999999999999998</v>
      </c>
      <c r="I28" s="136">
        <f>H28*I25</f>
        <v>9.041996101873826</v>
      </c>
      <c r="J28" s="261">
        <v>0.28999999999999998</v>
      </c>
      <c r="K28" s="136">
        <f>J28*K25</f>
        <v>9.9950511510541524</v>
      </c>
      <c r="L28" s="261">
        <v>0.28999999999999998</v>
      </c>
      <c r="M28" s="192">
        <f>L28*M25</f>
        <v>19.263833466249544</v>
      </c>
      <c r="N28" s="267">
        <v>0</v>
      </c>
      <c r="O28" s="196">
        <f>N28*O25</f>
        <v>0</v>
      </c>
      <c r="P28" s="293">
        <v>0</v>
      </c>
      <c r="Q28" s="136">
        <f>P28*Q25</f>
        <v>0</v>
      </c>
      <c r="R28" s="267">
        <v>0</v>
      </c>
      <c r="S28" s="196">
        <f>R28*S25</f>
        <v>0</v>
      </c>
      <c r="T28" s="1"/>
      <c r="U28" s="396" t="s">
        <v>190</v>
      </c>
      <c r="V28" s="395">
        <v>0.55000000000000004</v>
      </c>
      <c r="W28" s="412">
        <f>F35*F28+H35*H28+J35*J28+L35*L28+N35*N28+P35*P28+R35*R28</f>
        <v>0.28999999999999998</v>
      </c>
    </row>
    <row r="29" spans="1:23" x14ac:dyDescent="0.25">
      <c r="A29" s="157"/>
      <c r="B29" s="101"/>
      <c r="C29" s="100"/>
      <c r="D29" s="101"/>
      <c r="E29" s="101"/>
      <c r="F29" s="262"/>
      <c r="G29" s="158"/>
      <c r="H29" s="265"/>
      <c r="I29" s="159"/>
      <c r="J29" s="262"/>
      <c r="K29" s="159"/>
      <c r="L29" s="262"/>
      <c r="M29" s="193"/>
      <c r="N29" s="268"/>
      <c r="O29" s="185"/>
      <c r="P29" s="294"/>
      <c r="Q29" s="159"/>
      <c r="R29" s="268"/>
      <c r="S29" s="185"/>
      <c r="T29" s="1"/>
    </row>
    <row r="30" spans="1:23" x14ac:dyDescent="0.25">
      <c r="A30" s="96" t="s">
        <v>122</v>
      </c>
      <c r="B30" s="101"/>
      <c r="C30" s="87"/>
      <c r="D30" s="101"/>
      <c r="E30" s="101"/>
      <c r="F30" s="263"/>
      <c r="G30" s="160"/>
      <c r="H30" s="266"/>
      <c r="I30" s="161"/>
      <c r="J30" s="263"/>
      <c r="K30" s="161"/>
      <c r="L30" s="263"/>
      <c r="M30" s="194"/>
      <c r="N30" s="269"/>
      <c r="O30" s="197"/>
      <c r="P30" s="295"/>
      <c r="Q30" s="161"/>
      <c r="R30" s="269"/>
      <c r="S30" s="197"/>
      <c r="T30" s="1"/>
    </row>
    <row r="31" spans="1:23" x14ac:dyDescent="0.25">
      <c r="A31" s="150" t="s">
        <v>126</v>
      </c>
      <c r="B31" s="87"/>
      <c r="C31" s="87"/>
      <c r="D31" s="87"/>
      <c r="E31" s="87"/>
      <c r="F31" s="261">
        <v>0.02</v>
      </c>
      <c r="G31" s="247">
        <f>F31*G25</f>
        <v>0.55510432496304618</v>
      </c>
      <c r="H31" s="261">
        <v>0.02</v>
      </c>
      <c r="I31" s="249">
        <f>H31*I25</f>
        <v>0.62358593806026386</v>
      </c>
      <c r="J31" s="261">
        <v>0.02</v>
      </c>
      <c r="K31" s="249">
        <f>J31*K25</f>
        <v>0.68931387248649334</v>
      </c>
      <c r="L31" s="261">
        <v>0.02</v>
      </c>
      <c r="M31" s="251">
        <f>L31*M25</f>
        <v>1.3285402390516927</v>
      </c>
      <c r="N31" s="267">
        <v>0.02</v>
      </c>
      <c r="O31" s="251">
        <f>N31*O25</f>
        <v>0</v>
      </c>
      <c r="P31" s="293">
        <v>0.02</v>
      </c>
      <c r="Q31" s="249">
        <f>P31*Q25</f>
        <v>0</v>
      </c>
      <c r="R31" s="267">
        <v>0.03</v>
      </c>
      <c r="S31" s="251">
        <f>R31*S25</f>
        <v>0</v>
      </c>
      <c r="T31" s="1"/>
      <c r="U31" s="396" t="s">
        <v>193</v>
      </c>
      <c r="V31" s="395">
        <v>0.02</v>
      </c>
      <c r="W31" s="412">
        <f>F31*F35+H31*H35+J31*J35+L31*L35+N31*N35+P31*P35+R31*R35</f>
        <v>0.02</v>
      </c>
    </row>
    <row r="32" spans="1:23" ht="18.75" x14ac:dyDescent="0.25">
      <c r="A32" s="92" t="s">
        <v>102</v>
      </c>
      <c r="B32" s="151"/>
      <c r="C32" s="152"/>
      <c r="D32" s="151"/>
      <c r="E32" s="151"/>
      <c r="F32" s="108"/>
      <c r="G32" s="248">
        <f>IF(F5&lt;&gt;"",SUM(G25+G28+G31),0)</f>
        <v>36.359333285079522</v>
      </c>
      <c r="H32" s="143"/>
      <c r="I32" s="248">
        <f>IF(H5&lt;&gt;"",SUM(I25+I28+I31),0)</f>
        <v>40.844878942947282</v>
      </c>
      <c r="J32" s="143"/>
      <c r="K32" s="250">
        <f>IF(J5&lt;&gt;"",SUM(K25+K28+K31),0)</f>
        <v>45.150058647865308</v>
      </c>
      <c r="L32" s="113"/>
      <c r="M32" s="248">
        <f>IF(L5&lt;&gt;"",SUM(M25+M28+M31),0)</f>
        <v>87.019385657885877</v>
      </c>
      <c r="N32" s="211"/>
      <c r="O32" s="248">
        <f>IF(N5&lt;&gt;"",SUM(O25+O28+O31),0)</f>
        <v>0</v>
      </c>
      <c r="P32" s="143"/>
      <c r="Q32" s="250">
        <f>IF(P5&lt;&gt;"",SUM(Q25+Q28+Q31),0)</f>
        <v>0</v>
      </c>
      <c r="R32" s="211"/>
      <c r="S32" s="248">
        <f>IF(R5&lt;&gt;"",SUM(S25+S28+S31),0)</f>
        <v>0</v>
      </c>
      <c r="T32" s="1"/>
      <c r="U32" s="188"/>
    </row>
    <row r="33" spans="1:24" x14ac:dyDescent="0.25">
      <c r="A33" s="96" t="s">
        <v>155</v>
      </c>
      <c r="B33" s="87"/>
      <c r="C33" s="154"/>
      <c r="D33" s="87"/>
      <c r="E33" s="87"/>
      <c r="F33" s="200"/>
      <c r="G33" s="203"/>
      <c r="H33" s="199"/>
      <c r="I33" s="203"/>
      <c r="J33" s="199"/>
      <c r="K33" s="203"/>
      <c r="L33" s="200"/>
      <c r="M33" s="200"/>
      <c r="N33" s="199"/>
      <c r="O33" s="200"/>
      <c r="P33" s="199"/>
      <c r="Q33" s="203"/>
      <c r="R33" s="199"/>
      <c r="S33" s="200"/>
      <c r="T33" s="1"/>
      <c r="U33" s="188"/>
    </row>
    <row r="34" spans="1:24" ht="19.5" thickBot="1" x14ac:dyDescent="0.3">
      <c r="A34" s="258" t="s">
        <v>195</v>
      </c>
      <c r="B34" s="87"/>
      <c r="C34" s="100"/>
      <c r="D34" s="87"/>
      <c r="E34" s="87"/>
      <c r="F34" s="377">
        <v>10</v>
      </c>
      <c r="G34" s="376"/>
      <c r="H34" s="374">
        <v>0</v>
      </c>
      <c r="I34" s="376"/>
      <c r="J34" s="374">
        <v>0</v>
      </c>
      <c r="K34" s="376"/>
      <c r="L34" s="374">
        <v>0</v>
      </c>
      <c r="M34" s="376"/>
      <c r="N34" s="374">
        <v>0</v>
      </c>
      <c r="O34" s="375"/>
      <c r="P34" s="374">
        <v>0</v>
      </c>
      <c r="Q34" s="376"/>
      <c r="R34" s="374">
        <v>0</v>
      </c>
      <c r="S34" s="375"/>
      <c r="T34" s="1"/>
      <c r="U34" s="353"/>
    </row>
    <row r="35" spans="1:24" ht="19.5" hidden="1" thickBot="1" x14ac:dyDescent="0.3">
      <c r="A35" s="403" t="s">
        <v>200</v>
      </c>
      <c r="B35" s="404"/>
      <c r="C35" s="405"/>
      <c r="D35" s="404"/>
      <c r="E35" s="404"/>
      <c r="F35" s="406">
        <f>F34/$S$36</f>
        <v>1</v>
      </c>
      <c r="G35" s="407"/>
      <c r="H35" s="406">
        <f>H34/$S$36</f>
        <v>0</v>
      </c>
      <c r="I35" s="407"/>
      <c r="J35" s="406">
        <f>J34/$S$36</f>
        <v>0</v>
      </c>
      <c r="K35" s="407"/>
      <c r="L35" s="406">
        <f>L34/$S$36</f>
        <v>0</v>
      </c>
      <c r="M35" s="407"/>
      <c r="N35" s="406">
        <f>N34/$S$36</f>
        <v>0</v>
      </c>
      <c r="O35" s="408"/>
      <c r="P35" s="406">
        <f>P34/$S$36</f>
        <v>0</v>
      </c>
      <c r="Q35" s="407"/>
      <c r="R35" s="406">
        <f>R34/$S$36</f>
        <v>0</v>
      </c>
      <c r="S35" s="408"/>
      <c r="T35" s="1"/>
      <c r="U35" s="353"/>
    </row>
    <row r="36" spans="1:24" ht="19.5" thickBot="1" x14ac:dyDescent="0.3">
      <c r="A36" s="352" t="s">
        <v>191</v>
      </c>
      <c r="B36" s="87"/>
      <c r="C36" s="100"/>
      <c r="D36" s="87"/>
      <c r="E36" s="87"/>
      <c r="F36" s="354"/>
      <c r="G36" s="354"/>
      <c r="H36" s="355"/>
      <c r="I36" s="354"/>
      <c r="J36" s="355"/>
      <c r="K36" s="354"/>
      <c r="L36" s="355"/>
      <c r="M36" s="354"/>
      <c r="N36" s="355"/>
      <c r="O36" s="356"/>
      <c r="P36" s="355"/>
      <c r="Q36" s="354"/>
      <c r="R36" s="355"/>
      <c r="S36" s="371">
        <f>SUM(F34:S34)</f>
        <v>10</v>
      </c>
      <c r="T36" s="1"/>
      <c r="U36" s="353"/>
    </row>
    <row r="37" spans="1:24" ht="19.5" thickBot="1" x14ac:dyDescent="0.3">
      <c r="A37" s="208" t="s">
        <v>156</v>
      </c>
      <c r="B37" s="87"/>
      <c r="C37" s="100"/>
      <c r="D37" s="87"/>
      <c r="E37" s="87"/>
      <c r="F37" s="357"/>
      <c r="G37" s="358"/>
      <c r="H37" s="359"/>
      <c r="I37" s="358"/>
      <c r="J37" s="359"/>
      <c r="K37" s="358"/>
      <c r="L37" s="359"/>
      <c r="M37" s="358"/>
      <c r="N37" s="359"/>
      <c r="O37" s="358"/>
      <c r="P37" s="359"/>
      <c r="Q37" s="358"/>
      <c r="R37" s="360"/>
      <c r="S37" s="209">
        <f>(F34*G32+H34*I32+J34*K32+L34*M32+N34*O32+P34*Q32+R34*S32)</f>
        <v>363.59333285079521</v>
      </c>
      <c r="T37" s="1"/>
      <c r="U37" s="188"/>
    </row>
    <row r="38" spans="1:24" x14ac:dyDescent="0.25">
      <c r="A38" s="96" t="s">
        <v>151</v>
      </c>
      <c r="B38" s="87"/>
      <c r="C38" s="154"/>
      <c r="D38" s="87"/>
      <c r="E38" s="87"/>
      <c r="F38" s="87"/>
      <c r="G38" s="126"/>
      <c r="H38" s="131"/>
      <c r="I38" s="126"/>
      <c r="J38" s="131"/>
      <c r="K38" s="126"/>
      <c r="L38" s="131"/>
      <c r="M38" s="126"/>
      <c r="N38" s="131"/>
      <c r="O38" s="126"/>
      <c r="P38" s="131"/>
      <c r="Q38" s="126"/>
      <c r="R38" s="198"/>
      <c r="S38" s="222"/>
      <c r="T38" s="1"/>
    </row>
    <row r="39" spans="1:24" ht="17.25" customHeight="1" x14ac:dyDescent="0.25">
      <c r="A39" s="97" t="s">
        <v>149</v>
      </c>
      <c r="B39" s="99"/>
      <c r="C39" s="100"/>
      <c r="D39" s="99"/>
      <c r="E39" s="99"/>
      <c r="F39" s="362"/>
      <c r="G39" s="363"/>
      <c r="H39" s="366"/>
      <c r="I39" s="363"/>
      <c r="J39" s="366"/>
      <c r="K39" s="363"/>
      <c r="L39" s="366"/>
      <c r="M39" s="363"/>
      <c r="N39" s="366"/>
      <c r="O39" s="363"/>
      <c r="P39" s="366"/>
      <c r="Q39" s="363"/>
      <c r="R39" s="361"/>
      <c r="S39" s="210">
        <v>11</v>
      </c>
      <c r="T39" s="1"/>
    </row>
    <row r="40" spans="1:24" ht="16.5" thickBot="1" x14ac:dyDescent="0.3">
      <c r="A40" s="94" t="s">
        <v>129</v>
      </c>
      <c r="B40" s="87"/>
      <c r="C40" s="100"/>
      <c r="D40" s="87"/>
      <c r="E40" s="87"/>
      <c r="F40" s="167"/>
      <c r="G40" s="364"/>
      <c r="H40" s="367"/>
      <c r="I40" s="364"/>
      <c r="J40" s="367"/>
      <c r="K40" s="364"/>
      <c r="L40" s="367"/>
      <c r="M40" s="364"/>
      <c r="N40" s="367"/>
      <c r="O40" s="364"/>
      <c r="P40" s="367"/>
      <c r="Q40" s="364"/>
      <c r="R40" s="23"/>
      <c r="S40" s="378">
        <v>23</v>
      </c>
      <c r="T40" s="1"/>
    </row>
    <row r="41" spans="1:24" ht="16.5" thickBot="1" x14ac:dyDescent="0.3">
      <c r="A41" s="164" t="s">
        <v>128</v>
      </c>
      <c r="B41" s="87"/>
      <c r="C41" s="100"/>
      <c r="D41" s="87"/>
      <c r="E41" s="87"/>
      <c r="F41" s="285"/>
      <c r="G41" s="365"/>
      <c r="H41" s="368"/>
      <c r="I41" s="365"/>
      <c r="J41" s="368"/>
      <c r="K41" s="365"/>
      <c r="L41" s="368"/>
      <c r="M41" s="365"/>
      <c r="N41" s="368"/>
      <c r="O41" s="365"/>
      <c r="P41" s="368"/>
      <c r="Q41" s="365"/>
      <c r="R41" s="20"/>
      <c r="S41" s="379">
        <f>S39+S40</f>
        <v>34</v>
      </c>
      <c r="T41" s="1"/>
      <c r="U41" s="393" t="s">
        <v>194</v>
      </c>
      <c r="V41" s="397">
        <v>36.299999999999997</v>
      </c>
      <c r="W41" s="398">
        <f>S41</f>
        <v>34</v>
      </c>
    </row>
    <row r="42" spans="1:24" ht="5.25" customHeight="1" thickBot="1" x14ac:dyDescent="0.3">
      <c r="A42" s="96"/>
      <c r="B42" s="87"/>
      <c r="C42" s="154"/>
      <c r="D42" s="87"/>
      <c r="E42" s="87"/>
      <c r="F42" s="87"/>
      <c r="G42" s="126"/>
      <c r="H42" s="131"/>
      <c r="I42" s="126"/>
      <c r="J42" s="131"/>
      <c r="K42" s="126"/>
      <c r="L42" s="131"/>
      <c r="M42" s="126"/>
      <c r="N42" s="131"/>
      <c r="O42" s="126"/>
      <c r="P42" s="131"/>
      <c r="Q42" s="126"/>
      <c r="R42" s="198"/>
      <c r="S42" s="204"/>
      <c r="T42" s="1"/>
    </row>
    <row r="43" spans="1:24" ht="19.5" thickBot="1" x14ac:dyDescent="0.3">
      <c r="A43" s="140" t="s">
        <v>157</v>
      </c>
      <c r="B43" s="153"/>
      <c r="C43" s="153"/>
      <c r="D43" s="153"/>
      <c r="E43" s="153"/>
      <c r="F43" s="23"/>
      <c r="G43" s="187"/>
      <c r="H43" s="186"/>
      <c r="I43" s="187"/>
      <c r="J43" s="186"/>
      <c r="K43" s="187"/>
      <c r="L43" s="186"/>
      <c r="M43" s="187"/>
      <c r="N43" s="186"/>
      <c r="O43" s="187"/>
      <c r="P43" s="186"/>
      <c r="Q43" s="187"/>
      <c r="R43" s="270"/>
      <c r="S43" s="209">
        <f>(S37+S41)</f>
        <v>397.59333285079521</v>
      </c>
      <c r="T43" s="1"/>
    </row>
    <row r="44" spans="1:24" ht="19.5" thickBot="1" x14ac:dyDescent="0.3">
      <c r="A44" s="275" t="s">
        <v>173</v>
      </c>
      <c r="B44" s="276"/>
      <c r="C44" s="276"/>
      <c r="D44" s="276"/>
      <c r="E44" s="276"/>
      <c r="F44" s="277"/>
      <c r="G44" s="277"/>
      <c r="H44" s="296"/>
      <c r="I44" s="297"/>
      <c r="J44" s="296"/>
      <c r="K44" s="297"/>
      <c r="L44" s="296"/>
      <c r="M44" s="297"/>
      <c r="N44" s="296"/>
      <c r="O44" s="297"/>
      <c r="P44" s="296"/>
      <c r="Q44" s="297"/>
      <c r="R44" s="278"/>
      <c r="S44" s="351">
        <v>2.52E-2</v>
      </c>
      <c r="T44" s="1"/>
    </row>
    <row r="45" spans="1:24" ht="19.5" thickBot="1" x14ac:dyDescent="0.3">
      <c r="A45" s="274" t="s">
        <v>174</v>
      </c>
      <c r="B45" s="153"/>
      <c r="C45" s="153"/>
      <c r="D45" s="153"/>
      <c r="E45" s="153"/>
      <c r="F45" s="23"/>
      <c r="G45" s="23"/>
      <c r="H45" s="369"/>
      <c r="I45" s="370"/>
      <c r="J45" s="369"/>
      <c r="K45" s="370"/>
      <c r="L45" s="369"/>
      <c r="M45" s="370"/>
      <c r="N45" s="186"/>
      <c r="O45" s="187"/>
      <c r="P45" s="369"/>
      <c r="Q45" s="370"/>
      <c r="R45" s="186"/>
      <c r="S45" s="209">
        <f>S43+(S43*S44)</f>
        <v>407.61268483863523</v>
      </c>
      <c r="T45" s="1"/>
    </row>
    <row r="46" spans="1:24" x14ac:dyDescent="0.25">
      <c r="A46" s="380"/>
      <c r="B46" s="153"/>
      <c r="C46" s="153"/>
      <c r="D46" s="153"/>
      <c r="E46" s="153"/>
      <c r="F46" s="381"/>
      <c r="G46" s="381"/>
      <c r="H46" s="381"/>
      <c r="I46" s="381"/>
      <c r="J46" s="381"/>
      <c r="K46" s="381"/>
      <c r="L46" s="381"/>
      <c r="M46" s="381"/>
      <c r="N46" s="381"/>
      <c r="O46" s="381"/>
      <c r="P46" s="381"/>
      <c r="Q46" s="381"/>
      <c r="R46" s="381"/>
      <c r="S46" s="381"/>
      <c r="T46" s="1"/>
      <c r="W46" s="410" t="b">
        <f>IF(AND(W12&lt;=V12,W24&lt;=V24,W28&lt;=V28,W31&lt;=V31,W41&lt;=V41),TRUE,FALSE)</f>
        <v>1</v>
      </c>
      <c r="X46" s="411" t="b">
        <f>IF(ISNA(W46),0,W46)</f>
        <v>1</v>
      </c>
    </row>
    <row r="47" spans="1:24" ht="10.5" customHeight="1" thickBot="1" x14ac:dyDescent="0.3">
      <c r="A47" s="380"/>
      <c r="B47" s="153"/>
      <c r="C47" s="153"/>
      <c r="D47" s="153"/>
      <c r="E47" s="153"/>
      <c r="F47" s="381"/>
      <c r="G47" s="381"/>
      <c r="H47" s="381"/>
      <c r="I47" s="381"/>
      <c r="J47" s="381"/>
      <c r="K47" s="381"/>
      <c r="L47" s="381"/>
      <c r="M47" s="381"/>
      <c r="N47" s="381"/>
      <c r="O47" s="381"/>
      <c r="P47" s="381"/>
      <c r="Q47" s="381"/>
      <c r="R47" s="381"/>
      <c r="S47" s="381"/>
      <c r="T47" s="1"/>
    </row>
    <row r="48" spans="1:24" ht="21.75" thickBot="1" x14ac:dyDescent="0.4">
      <c r="A48" s="385" t="s">
        <v>196</v>
      </c>
      <c r="B48" s="386"/>
      <c r="C48" s="386"/>
      <c r="D48" s="386"/>
      <c r="E48" s="386"/>
      <c r="F48" s="414" t="str">
        <f>IF(W46,"WAAR","NIET WAAR, ONGELDIG!!")</f>
        <v>WAAR</v>
      </c>
      <c r="G48" s="415"/>
      <c r="H48" s="415"/>
      <c r="I48" s="416"/>
      <c r="M48" s="13"/>
      <c r="O48" s="387"/>
      <c r="Q48" s="13"/>
      <c r="S48" s="387"/>
    </row>
    <row r="49" spans="1:19" ht="18.75" x14ac:dyDescent="0.25">
      <c r="A49" s="383"/>
      <c r="B49" s="384"/>
      <c r="C49" s="384"/>
      <c r="D49" s="384"/>
      <c r="E49" s="384"/>
      <c r="F49" s="381"/>
      <c r="G49" s="381"/>
      <c r="H49" s="381"/>
      <c r="I49" s="381"/>
      <c r="M49" s="13"/>
      <c r="O49" s="387"/>
      <c r="Q49" s="13"/>
      <c r="S49" s="387"/>
    </row>
    <row r="50" spans="1:19" x14ac:dyDescent="0.25">
      <c r="A50" s="5" t="s">
        <v>197</v>
      </c>
    </row>
    <row r="51" spans="1:19" ht="21.75" customHeight="1" x14ac:dyDescent="0.25">
      <c r="A51" s="417" t="s">
        <v>206</v>
      </c>
      <c r="B51" s="418"/>
      <c r="C51" s="418"/>
      <c r="D51" s="418"/>
      <c r="E51" s="418"/>
      <c r="F51" s="418"/>
      <c r="G51" s="418"/>
      <c r="H51" s="418"/>
      <c r="I51" s="418"/>
      <c r="J51" s="418"/>
      <c r="K51" s="418"/>
      <c r="L51" s="418"/>
      <c r="M51" s="418"/>
      <c r="N51" s="418"/>
      <c r="O51" s="419"/>
      <c r="P51" s="284"/>
      <c r="Q51" s="284"/>
      <c r="R51" s="284"/>
      <c r="S51" s="284"/>
    </row>
    <row r="52" spans="1:19" ht="15.75" customHeight="1" x14ac:dyDescent="0.25">
      <c r="A52" s="420"/>
      <c r="B52" s="421"/>
      <c r="C52" s="421"/>
      <c r="D52" s="421"/>
      <c r="E52" s="421"/>
      <c r="F52" s="421"/>
      <c r="G52" s="421"/>
      <c r="H52" s="421"/>
      <c r="I52" s="421"/>
      <c r="J52" s="421"/>
      <c r="K52" s="421"/>
      <c r="L52" s="421"/>
      <c r="M52" s="421"/>
      <c r="N52" s="421"/>
      <c r="O52" s="422"/>
      <c r="P52" s="284"/>
      <c r="Q52" s="284"/>
      <c r="R52" s="284"/>
      <c r="S52" s="284"/>
    </row>
    <row r="53" spans="1:19" ht="35.25" customHeight="1" x14ac:dyDescent="0.25">
      <c r="A53" s="382"/>
      <c r="B53" s="382"/>
      <c r="C53" s="382"/>
      <c r="D53" s="382"/>
      <c r="E53" s="382"/>
      <c r="F53" s="382"/>
      <c r="G53" s="382"/>
      <c r="H53" s="382"/>
      <c r="I53" s="382"/>
      <c r="J53" s="382"/>
      <c r="K53" s="382"/>
      <c r="L53" s="382"/>
      <c r="M53" s="382"/>
      <c r="N53" s="382"/>
      <c r="O53" s="382"/>
      <c r="P53" s="284"/>
      <c r="Q53" s="284"/>
      <c r="R53" s="284"/>
      <c r="S53" s="284"/>
    </row>
  </sheetData>
  <sheetProtection password="CBBB" sheet="1" objects="1" scenarios="1"/>
  <mergeCells count="11">
    <mergeCell ref="F3:S3"/>
    <mergeCell ref="F5:G5"/>
    <mergeCell ref="H5:I5"/>
    <mergeCell ref="J5:K5"/>
    <mergeCell ref="L5:M5"/>
    <mergeCell ref="R5:S5"/>
    <mergeCell ref="F48:I48"/>
    <mergeCell ref="A51:O52"/>
    <mergeCell ref="P5:Q5"/>
    <mergeCell ref="N5:O5"/>
    <mergeCell ref="U7:V7"/>
  </mergeCells>
  <conditionalFormatting sqref="F48:F49">
    <cfRule type="cellIs" dxfId="31" priority="8" operator="equal">
      <formula>"NIET WAAR, ONGELDIG!!"</formula>
    </cfRule>
    <cfRule type="cellIs" dxfId="30" priority="9" operator="equal">
      <formula>"WAAR"</formula>
    </cfRule>
  </conditionalFormatting>
  <conditionalFormatting sqref="W12">
    <cfRule type="cellIs" dxfId="29" priority="7" operator="greaterThan">
      <formula>$V$12</formula>
    </cfRule>
  </conditionalFormatting>
  <conditionalFormatting sqref="W24">
    <cfRule type="cellIs" dxfId="28" priority="6" operator="greaterThan">
      <formula>$V$24</formula>
    </cfRule>
  </conditionalFormatting>
  <conditionalFormatting sqref="W28">
    <cfRule type="cellIs" dxfId="27" priority="5" operator="greaterThan">
      <formula>$V$28</formula>
    </cfRule>
  </conditionalFormatting>
  <conditionalFormatting sqref="W31">
    <cfRule type="cellIs" dxfId="26" priority="4" operator="greaterThan">
      <formula>$V$31</formula>
    </cfRule>
  </conditionalFormatting>
  <conditionalFormatting sqref="W41">
    <cfRule type="cellIs" priority="3" operator="greaterThan">
      <formula>$V$41</formula>
    </cfRule>
    <cfRule type="cellIs" dxfId="25" priority="2" operator="greaterThan">
      <formula>$W$41</formula>
    </cfRule>
    <cfRule type="cellIs" dxfId="24" priority="1" operator="greaterThan">
      <formula>$V$41</formula>
    </cfRule>
  </conditionalFormatting>
  <pageMargins left="0.7" right="0.7" top="0.75" bottom="0.75" header="0.3" footer="0.3"/>
  <pageSetup paperSize="9" scale="66" fitToHeight="2" orientation="landscape" r:id="rId1"/>
  <ignoredErrors>
    <ignoredError sqref="G24" formula="1"/>
    <ignoredError sqref="W46:X46" evalError="1"/>
  </ignoredErrors>
  <extLst>
    <ext xmlns:x14="http://schemas.microsoft.com/office/spreadsheetml/2009/9/main" uri="{CCE6A557-97BC-4b89-ADB6-D9C93CAAB3DF}">
      <x14:dataValidations xmlns:xm="http://schemas.microsoft.com/office/excel/2006/main" count="1">
        <x14:dataValidation type="list" allowBlank="1" showInputMessage="1" showErrorMessage="1">
          <x14:formula1>
            <xm:f>Toelichting!$A$37:$A$42</xm:f>
          </x14:formula1>
          <xm:sqref>F5:S5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pageSetUpPr fitToPage="1"/>
  </sheetPr>
  <dimension ref="A1:X53"/>
  <sheetViews>
    <sheetView tabSelected="1" zoomScale="80" zoomScaleNormal="80" workbookViewId="0">
      <pane ySplit="3" topLeftCell="A4" activePane="bottomLeft" state="frozen"/>
      <selection pane="bottomLeft" activeCell="F3" sqref="F3:S3"/>
    </sheetView>
  </sheetViews>
  <sheetFormatPr defaultColWidth="10.5" defaultRowHeight="15.75" x14ac:dyDescent="0.25"/>
  <cols>
    <col min="1" max="1" width="60.875" style="5" customWidth="1"/>
    <col min="2" max="2" width="0.5" style="6" customWidth="1"/>
    <col min="3" max="3" width="14" style="6" hidden="1" customWidth="1"/>
    <col min="4" max="5" width="0.5" style="6" customWidth="1"/>
    <col min="6" max="6" width="11.625" style="6" customWidth="1"/>
    <col min="7" max="7" width="12.5" style="6" bestFit="1" customWidth="1"/>
    <col min="8" max="8" width="11.125" style="6" customWidth="1"/>
    <col min="9" max="10" width="11.5" style="6" customWidth="1"/>
    <col min="11" max="11" width="11.375" style="6" customWidth="1"/>
    <col min="12" max="12" width="11.75" style="6" customWidth="1"/>
    <col min="13" max="13" width="12" style="6" customWidth="1"/>
    <col min="14" max="15" width="12.5" style="6" customWidth="1"/>
    <col min="16" max="16" width="11.875" style="6" customWidth="1"/>
    <col min="17" max="17" width="12" style="6" customWidth="1"/>
    <col min="18" max="19" width="12.5" style="6" customWidth="1"/>
    <col min="20" max="20" width="0.75" style="5" customWidth="1"/>
    <col min="21" max="21" width="28" style="5" bestFit="1" customWidth="1"/>
    <col min="22" max="22" width="7.5" style="5" bestFit="1" customWidth="1"/>
    <col min="23" max="23" width="20.25" style="5" bestFit="1" customWidth="1"/>
    <col min="24" max="24" width="8.875" style="5" bestFit="1" customWidth="1"/>
    <col min="25" max="26" width="7.875" style="5" customWidth="1"/>
    <col min="27" max="16384" width="10.5" style="5"/>
  </cols>
  <sheetData>
    <row r="1" spans="1:24" x14ac:dyDescent="0.25">
      <c r="A1" s="67" t="s">
        <v>0</v>
      </c>
      <c r="B1" s="16"/>
      <c r="C1" s="16"/>
      <c r="D1" s="16"/>
    </row>
    <row r="2" spans="1:24" x14ac:dyDescent="0.25">
      <c r="A2" s="162" t="s">
        <v>124</v>
      </c>
    </row>
    <row r="3" spans="1:24" s="388" customFormat="1" ht="18.75" x14ac:dyDescent="0.3">
      <c r="A3" s="92" t="s">
        <v>84</v>
      </c>
      <c r="B3" s="93"/>
      <c r="C3" s="93"/>
      <c r="D3" s="93"/>
      <c r="E3" s="93"/>
      <c r="F3" s="428" t="s">
        <v>207</v>
      </c>
      <c r="G3" s="428"/>
      <c r="H3" s="428"/>
      <c r="I3" s="428"/>
      <c r="J3" s="428"/>
      <c r="K3" s="428"/>
      <c r="L3" s="428"/>
      <c r="M3" s="428"/>
      <c r="N3" s="428"/>
      <c r="O3" s="428"/>
      <c r="P3" s="428"/>
      <c r="Q3" s="428"/>
      <c r="R3" s="428"/>
      <c r="S3" s="428"/>
      <c r="T3" s="39"/>
      <c r="V3" s="389"/>
      <c r="W3" s="389"/>
      <c r="X3" s="389"/>
    </row>
    <row r="4" spans="1:24" s="389" customFormat="1" x14ac:dyDescent="0.25">
      <c r="A4" s="111"/>
      <c r="B4" s="112"/>
      <c r="C4" s="112"/>
      <c r="D4" s="112"/>
      <c r="E4" s="112"/>
      <c r="F4" s="112"/>
      <c r="G4" s="167"/>
      <c r="H4" s="167"/>
      <c r="I4" s="167"/>
      <c r="J4" s="167"/>
      <c r="K4" s="167"/>
      <c r="L4" s="167"/>
      <c r="M4" s="167"/>
      <c r="N4" s="167"/>
      <c r="O4" s="167"/>
      <c r="P4" s="167"/>
      <c r="Q4" s="167"/>
      <c r="R4" s="167"/>
      <c r="S4" s="167"/>
      <c r="T4" s="83"/>
    </row>
    <row r="5" spans="1:24" ht="24.95" customHeight="1" x14ac:dyDescent="0.25">
      <c r="A5" s="95" t="s">
        <v>83</v>
      </c>
      <c r="B5" s="88"/>
      <c r="C5" s="86" t="s">
        <v>7</v>
      </c>
      <c r="D5" s="88"/>
      <c r="E5" s="88"/>
      <c r="F5" s="425" t="s">
        <v>99</v>
      </c>
      <c r="G5" s="424"/>
      <c r="H5" s="423" t="s">
        <v>99</v>
      </c>
      <c r="I5" s="424"/>
      <c r="J5" s="429" t="s">
        <v>99</v>
      </c>
      <c r="K5" s="430"/>
      <c r="L5" s="425" t="s">
        <v>205</v>
      </c>
      <c r="M5" s="425"/>
      <c r="N5" s="423" t="s">
        <v>97</v>
      </c>
      <c r="O5" s="425"/>
      <c r="P5" s="423" t="s">
        <v>98</v>
      </c>
      <c r="Q5" s="424"/>
      <c r="R5" s="423" t="s">
        <v>98</v>
      </c>
      <c r="S5" s="425"/>
      <c r="T5" s="89"/>
    </row>
    <row r="6" spans="1:24" x14ac:dyDescent="0.25">
      <c r="A6" s="96" t="s">
        <v>9</v>
      </c>
      <c r="B6" s="87"/>
      <c r="C6" s="87"/>
      <c r="D6" s="87"/>
      <c r="E6" s="87"/>
      <c r="F6" s="298"/>
      <c r="G6" s="299"/>
      <c r="H6" s="300"/>
      <c r="I6" s="299"/>
      <c r="J6" s="300"/>
      <c r="K6" s="299"/>
      <c r="L6" s="298"/>
      <c r="M6" s="298"/>
      <c r="N6" s="300"/>
      <c r="O6" s="298"/>
      <c r="P6" s="300"/>
      <c r="Q6" s="299"/>
      <c r="R6" s="300"/>
      <c r="S6" s="298"/>
      <c r="T6" s="1"/>
    </row>
    <row r="7" spans="1:24" ht="15.95" customHeight="1" x14ac:dyDescent="0.25">
      <c r="A7" s="97" t="s">
        <v>110</v>
      </c>
      <c r="B7" s="155"/>
      <c r="C7" s="100"/>
      <c r="D7" s="155"/>
      <c r="E7" s="155"/>
      <c r="F7" s="390"/>
      <c r="G7" s="288">
        <v>2153</v>
      </c>
      <c r="H7" s="138" t="s">
        <v>202</v>
      </c>
      <c r="I7" s="288">
        <v>2675</v>
      </c>
      <c r="J7" s="138" t="s">
        <v>203</v>
      </c>
      <c r="K7" s="288">
        <v>2948</v>
      </c>
      <c r="L7" s="138" t="s">
        <v>204</v>
      </c>
      <c r="M7" s="288">
        <v>4768</v>
      </c>
      <c r="N7" s="283"/>
      <c r="O7" s="256">
        <v>0</v>
      </c>
      <c r="P7" s="138"/>
      <c r="Q7" s="288">
        <v>0</v>
      </c>
      <c r="R7" s="283"/>
      <c r="S7" s="256">
        <v>0</v>
      </c>
      <c r="T7" s="82"/>
      <c r="U7" s="426" t="s">
        <v>198</v>
      </c>
      <c r="V7" s="427"/>
      <c r="W7" s="393" t="s">
        <v>201</v>
      </c>
    </row>
    <row r="8" spans="1:24" ht="15.95" customHeight="1" x14ac:dyDescent="0.25">
      <c r="A8" s="97" t="s">
        <v>105</v>
      </c>
      <c r="B8" s="155"/>
      <c r="C8" s="100"/>
      <c r="D8" s="155"/>
      <c r="E8" s="155"/>
      <c r="F8" s="169"/>
      <c r="G8" s="235">
        <f>G7/156</f>
        <v>13.801282051282051</v>
      </c>
      <c r="H8" s="129"/>
      <c r="I8" s="235">
        <f>I7/156</f>
        <v>17.147435897435898</v>
      </c>
      <c r="J8" s="139"/>
      <c r="K8" s="240">
        <f>K7/156</f>
        <v>18.897435897435898</v>
      </c>
      <c r="L8" s="137"/>
      <c r="M8" s="240">
        <f>M7/156</f>
        <v>30.564102564102566</v>
      </c>
      <c r="N8" s="228"/>
      <c r="O8" s="243">
        <f>O7/156</f>
        <v>0</v>
      </c>
      <c r="P8" s="289"/>
      <c r="Q8" s="240">
        <f>Q7/156</f>
        <v>0</v>
      </c>
      <c r="R8" s="228"/>
      <c r="S8" s="243">
        <f>S7/156</f>
        <v>0</v>
      </c>
      <c r="T8" s="82"/>
      <c r="U8" s="168"/>
    </row>
    <row r="9" spans="1:24" ht="15.95" customHeight="1" x14ac:dyDescent="0.25">
      <c r="A9" s="94" t="s">
        <v>107</v>
      </c>
      <c r="B9" s="155"/>
      <c r="C9" s="100" t="s">
        <v>11</v>
      </c>
      <c r="D9" s="155"/>
      <c r="E9" s="155"/>
      <c r="F9" s="229">
        <f>IF(F5&lt;&gt;"",8%,"")</f>
        <v>0.08</v>
      </c>
      <c r="G9" s="236">
        <f>F9*G8</f>
        <v>1.1041025641025641</v>
      </c>
      <c r="H9" s="229">
        <f>IF(H5&lt;&gt;"",8%,"")</f>
        <v>0.08</v>
      </c>
      <c r="I9" s="236">
        <f>H9*I8</f>
        <v>1.3717948717948718</v>
      </c>
      <c r="J9" s="229">
        <f>IF(J5&lt;&gt;"",8%,"")</f>
        <v>0.08</v>
      </c>
      <c r="K9" s="241">
        <f>J9*K8</f>
        <v>1.5117948717948719</v>
      </c>
      <c r="L9" s="229">
        <f>IF(L5&lt;&gt;"",8%,"")</f>
        <v>0.08</v>
      </c>
      <c r="M9" s="240">
        <f>L9*M8</f>
        <v>2.4451282051282055</v>
      </c>
      <c r="N9" s="229">
        <f>IF(N5&lt;&gt;"",8%,"")</f>
        <v>0.08</v>
      </c>
      <c r="O9" s="243">
        <f>O8*N9</f>
        <v>0</v>
      </c>
      <c r="P9" s="290">
        <f>IF(P5&lt;&gt;"",8%,"")</f>
        <v>0.08</v>
      </c>
      <c r="Q9" s="240">
        <f>P9*Q8</f>
        <v>0</v>
      </c>
      <c r="R9" s="229">
        <f>IF(R5&lt;&gt;"",8%,"")</f>
        <v>0.08</v>
      </c>
      <c r="S9" s="243">
        <f>S8*R9</f>
        <v>0</v>
      </c>
      <c r="T9" s="83"/>
      <c r="U9" s="170"/>
    </row>
    <row r="10" spans="1:24" ht="15.95" customHeight="1" x14ac:dyDescent="0.25">
      <c r="A10" s="121" t="s">
        <v>146</v>
      </c>
      <c r="B10" s="155"/>
      <c r="C10" s="100"/>
      <c r="D10" s="155"/>
      <c r="E10" s="155"/>
      <c r="F10" s="229"/>
      <c r="G10" s="237">
        <f>G8+G9</f>
        <v>14.905384615384616</v>
      </c>
      <c r="H10" s="229"/>
      <c r="I10" s="237">
        <f>I8+I9</f>
        <v>18.51923076923077</v>
      </c>
      <c r="J10" s="229"/>
      <c r="K10" s="237">
        <f>K8+K9</f>
        <v>20.409230769230771</v>
      </c>
      <c r="L10" s="229"/>
      <c r="M10" s="237">
        <f>M8+M9</f>
        <v>33.009230769230768</v>
      </c>
      <c r="N10" s="229"/>
      <c r="O10" s="252">
        <f>O8+O9</f>
        <v>0</v>
      </c>
      <c r="P10" s="290"/>
      <c r="Q10" s="237">
        <f>Q8+Q9</f>
        <v>0</v>
      </c>
      <c r="R10" s="229"/>
      <c r="S10" s="252">
        <f>S8+S9</f>
        <v>0</v>
      </c>
      <c r="T10" s="83"/>
      <c r="U10" s="170"/>
    </row>
    <row r="11" spans="1:24" x14ac:dyDescent="0.25">
      <c r="A11" s="94" t="s">
        <v>90</v>
      </c>
      <c r="B11" s="155"/>
      <c r="C11" s="100" t="s">
        <v>11</v>
      </c>
      <c r="D11" s="155"/>
      <c r="E11" s="155"/>
      <c r="F11" s="230">
        <f>VLOOKUP(F5,Toelichting!$A$38:$B$42,2,0)</f>
        <v>7.0499999999999993E-2</v>
      </c>
      <c r="G11" s="236">
        <f>F11*G8</f>
        <v>0.97299038461538456</v>
      </c>
      <c r="H11" s="230">
        <f>VLOOKUP(H5,Toelichting!$A$38:$B$42,2,0)</f>
        <v>7.0499999999999993E-2</v>
      </c>
      <c r="I11" s="236">
        <f>H11*I8</f>
        <v>1.2088942307692307</v>
      </c>
      <c r="J11" s="230">
        <f>VLOOKUP(J5,Toelichting!$A$38:$B$42,2,0)</f>
        <v>7.0499999999999993E-2</v>
      </c>
      <c r="K11" s="242">
        <f>J11*K8</f>
        <v>1.3322692307692308</v>
      </c>
      <c r="L11" s="230">
        <f>VLOOKUP(L5,Toelichting!$A$38:$B$42,2,0)</f>
        <v>7.0499999999999993E-2</v>
      </c>
      <c r="M11" s="240">
        <f>L11*M8</f>
        <v>2.1547692307692308</v>
      </c>
      <c r="N11" s="230">
        <f>VLOOKUP(N5,Toelichting!$A$38:$B$42,2,0)</f>
        <v>8.3299999999999999E-2</v>
      </c>
      <c r="O11" s="244">
        <f>N11*O8</f>
        <v>0</v>
      </c>
      <c r="P11" s="291">
        <f>VLOOKUP(P5,Toelichting!$A$38:$B$42,2,0)</f>
        <v>8.3299999999999999E-2</v>
      </c>
      <c r="Q11" s="240">
        <f>P11*Q8</f>
        <v>0</v>
      </c>
      <c r="R11" s="230">
        <f>VLOOKUP(R5,Toelichting!$A$38:$B$42,2,0)</f>
        <v>8.3299999999999999E-2</v>
      </c>
      <c r="S11" s="244">
        <f>R11*S8</f>
        <v>0</v>
      </c>
      <c r="T11" s="82"/>
      <c r="V11" s="217"/>
    </row>
    <row r="12" spans="1:24" x14ac:dyDescent="0.25">
      <c r="A12" s="97" t="s">
        <v>148</v>
      </c>
      <c r="B12" s="155"/>
      <c r="C12" s="100"/>
      <c r="D12" s="155"/>
      <c r="E12" s="155"/>
      <c r="F12" s="232">
        <v>0.06</v>
      </c>
      <c r="G12" s="238">
        <f>F12*G10</f>
        <v>0.89432307692307689</v>
      </c>
      <c r="H12" s="233">
        <v>0</v>
      </c>
      <c r="I12" s="238">
        <f>H12*I10</f>
        <v>0</v>
      </c>
      <c r="J12" s="233">
        <v>0</v>
      </c>
      <c r="K12" s="238">
        <f>J12*K10</f>
        <v>0</v>
      </c>
      <c r="L12" s="234">
        <v>0</v>
      </c>
      <c r="M12" s="238">
        <f>L12*M10</f>
        <v>0</v>
      </c>
      <c r="N12" s="233">
        <v>0</v>
      </c>
      <c r="O12" s="253">
        <f>N12*O10</f>
        <v>0</v>
      </c>
      <c r="P12" s="233">
        <v>0</v>
      </c>
      <c r="Q12" s="238">
        <f>P12*Q10</f>
        <v>0</v>
      </c>
      <c r="R12" s="233">
        <v>0.01</v>
      </c>
      <c r="S12" s="253">
        <f>R12*S10</f>
        <v>0</v>
      </c>
      <c r="T12" s="175"/>
      <c r="U12" s="394" t="s">
        <v>189</v>
      </c>
      <c r="V12" s="395">
        <v>6.5000000000000002E-2</v>
      </c>
      <c r="W12" s="412">
        <f>F35*F12+H35*H12+J35*J12+L35*L12+N35*N12+P35*P12+R35*R12</f>
        <v>0.06</v>
      </c>
    </row>
    <row r="13" spans="1:24" x14ac:dyDescent="0.25">
      <c r="A13" s="116" t="s">
        <v>12</v>
      </c>
      <c r="B13" s="156"/>
      <c r="C13" s="98"/>
      <c r="D13" s="156"/>
      <c r="E13" s="171">
        <f>SUM(E$9:E$11)</f>
        <v>0</v>
      </c>
      <c r="F13" s="172"/>
      <c r="G13" s="239">
        <f>SUM(G$10:G$12)</f>
        <v>16.772698076923078</v>
      </c>
      <c r="H13" s="173"/>
      <c r="I13" s="239">
        <f>SUM(I$10:I$12)</f>
        <v>19.728125000000002</v>
      </c>
      <c r="J13" s="173"/>
      <c r="K13" s="239">
        <f>SUM(K$10:K$12)</f>
        <v>21.741500000000002</v>
      </c>
      <c r="L13" s="174"/>
      <c r="M13" s="239">
        <f>SUM(M$10:M$12)</f>
        <v>35.164000000000001</v>
      </c>
      <c r="N13" s="201"/>
      <c r="O13" s="254">
        <f>SUM(O$10:O$12)</f>
        <v>0</v>
      </c>
      <c r="P13" s="173"/>
      <c r="Q13" s="239">
        <f>SUM(Q$10:Q$12)</f>
        <v>0</v>
      </c>
      <c r="R13" s="201"/>
      <c r="S13" s="254">
        <f>SUM(S$10:S$12)</f>
        <v>0</v>
      </c>
      <c r="T13" s="214"/>
      <c r="U13" s="168"/>
    </row>
    <row r="14" spans="1:24" x14ac:dyDescent="0.25">
      <c r="A14" s="216" t="s">
        <v>134</v>
      </c>
      <c r="B14" s="156"/>
      <c r="C14" s="98"/>
      <c r="D14" s="156"/>
      <c r="E14" s="171"/>
      <c r="F14" s="215">
        <v>0.1739</v>
      </c>
      <c r="G14" s="212"/>
      <c r="H14" s="215">
        <v>0.1739</v>
      </c>
      <c r="I14" s="212"/>
      <c r="J14" s="215">
        <v>0.1739</v>
      </c>
      <c r="K14" s="212"/>
      <c r="L14" s="215">
        <v>0.1739</v>
      </c>
      <c r="M14" s="212"/>
      <c r="N14" s="215">
        <v>0.1739</v>
      </c>
      <c r="O14" s="213"/>
      <c r="P14" s="292">
        <v>0.1739</v>
      </c>
      <c r="Q14" s="212"/>
      <c r="R14" s="215">
        <v>0.1739</v>
      </c>
      <c r="S14" s="213"/>
      <c r="T14" s="214"/>
      <c r="U14" s="168"/>
    </row>
    <row r="15" spans="1:24" x14ac:dyDescent="0.25">
      <c r="A15" s="216" t="s">
        <v>135</v>
      </c>
      <c r="B15" s="156"/>
      <c r="C15" s="98"/>
      <c r="D15" s="156"/>
      <c r="E15" s="171"/>
      <c r="F15" s="215">
        <f>(((G13*1878)-Toelichting!$B$44)*Toelichting!$B$45/(G13*1878))*0.5</f>
        <v>7.1147762982928589E-2</v>
      </c>
      <c r="G15" s="212"/>
      <c r="H15" s="215">
        <f>(((I13*1878)-Toelichting!$B$44)*Toelichting!$B$45/(I13*1878))*0.5</f>
        <v>7.8091689444520634E-2</v>
      </c>
      <c r="I15" s="212"/>
      <c r="J15" s="215">
        <f>(((K13*1878)-Toelichting!$B$44)*Toelichting!$B$45/(K13*1878))*0.5</f>
        <v>8.1741102192704446E-2</v>
      </c>
      <c r="K15" s="212"/>
      <c r="L15" s="215">
        <f>(((M13*1878)-Toelichting!$B$44)*Toelichting!$B$45/(M13*1878))*0.5</f>
        <v>9.5390681473173797E-2</v>
      </c>
      <c r="M15" s="212"/>
      <c r="N15" s="215" t="e">
        <f>(((O13*1878)-Toelichting!$B$44)*Toelichting!$B$45/(O13*1878))*0.5</f>
        <v>#DIV/0!</v>
      </c>
      <c r="O15" s="213"/>
      <c r="P15" s="292" t="e">
        <f>(((Q13*1878)-Toelichting!$B$44)*Toelichting!$B$45/(Q13*1878))*0.5</f>
        <v>#DIV/0!</v>
      </c>
      <c r="Q15" s="212"/>
      <c r="R15" s="215" t="e">
        <f>(((S13*1878)-Toelichting!$B$44)*Toelichting!$B$45/(S13*1878))*0.5</f>
        <v>#DIV/0!</v>
      </c>
      <c r="S15" s="213"/>
      <c r="T15" s="214"/>
      <c r="U15" s="168"/>
    </row>
    <row r="16" spans="1:24" x14ac:dyDescent="0.25">
      <c r="A16" s="216" t="s">
        <v>136</v>
      </c>
      <c r="B16" s="156"/>
      <c r="C16" s="98"/>
      <c r="D16" s="156"/>
      <c r="E16" s="171"/>
      <c r="F16" s="215">
        <f>IF(0.5*0.6%*((1878*G13-Toelichting!$B$46)/(1878*G13))&gt;0,0.5*0.6%*((1878*G13-Toelichting!$B$46)/(1878*G13)),0)</f>
        <v>1.0056590132478394E-3</v>
      </c>
      <c r="G16" s="212"/>
      <c r="H16" s="215">
        <f>IF(0.5*0.6%*((1878*I13-Toelichting!$B$46)/(1878*I13))&gt;0,0.5*0.6%*((1878*I13-Toelichting!$B$46)/(1878*I13)),0)</f>
        <v>1.304426840704485E-3</v>
      </c>
      <c r="I16" s="212"/>
      <c r="J16" s="215">
        <f>IF(0.5*0.6%*((1878*K13-Toelichting!$B$46)/(1878*K13))&gt;0,0.5*0.6%*((1878*K13-Toelichting!$B$46)/(1878*K13)),0)</f>
        <v>1.4614456576948769E-3</v>
      </c>
      <c r="K16" s="212"/>
      <c r="L16" s="215">
        <f>IF(0.5*0.6%*((1878*M13-Toelichting!$B$46)/(1878*M13))&gt;0,0.5*0.6%*((1878*M13-Toelichting!$B$46)/(1878*M13)),0)</f>
        <v>2.0487294041284599E-3</v>
      </c>
      <c r="M16" s="212"/>
      <c r="N16" s="215" t="e">
        <f>IF(0.5*0.6%*((1878*O13-Toelichting!$B$46)/(1878*O13))&gt;0,0.5*0.6%*((1878*O13-Toelichting!$B$46)/(1878*O13)),0)</f>
        <v>#DIV/0!</v>
      </c>
      <c r="O16" s="213"/>
      <c r="P16" s="292" t="e">
        <f>IF(0.5*0.6%*((1878*Q13-Toelichting!$B$46)/(1878*Q13))&gt;0,0.5*0.6%*((1878*Q13-Toelichting!$B$46)/(1878*Q13)),0)</f>
        <v>#DIV/0!</v>
      </c>
      <c r="Q16" s="212"/>
      <c r="R16" s="215" t="e">
        <f>IF(0.5*0.6%*((1878*S13-Toelichting!$B$46)/(1878*S13))&gt;0,0.5*0.6%*((1878*S13-Toelichting!$B$46)/(1878*S13)),0)</f>
        <v>#DIV/0!</v>
      </c>
      <c r="S16" s="213"/>
      <c r="T16" s="177"/>
      <c r="U16" s="168"/>
    </row>
    <row r="17" spans="1:23" x14ac:dyDescent="0.25">
      <c r="A17" s="117" t="s">
        <v>88</v>
      </c>
      <c r="B17" s="156"/>
      <c r="C17" s="98"/>
      <c r="D17" s="156"/>
      <c r="E17" s="156"/>
      <c r="F17" s="176">
        <f>IF(ISERROR(F14+F15+F16),0,F14+F15+F16)</f>
        <v>0.24605342199617641</v>
      </c>
      <c r="G17" s="125">
        <f>F17*G13</f>
        <v>4.1269797579356107</v>
      </c>
      <c r="H17" s="176">
        <f>IF(ISERROR(H14+H15+H16),0,H14+H15+H16)</f>
        <v>0.25329611628522514</v>
      </c>
      <c r="I17" s="125">
        <f>H17*I13</f>
        <v>4.9970574440894575</v>
      </c>
      <c r="J17" s="176">
        <f>IF(ISERROR(J14+J15+J16),0,J14+J15+J16)</f>
        <v>0.25710254785039932</v>
      </c>
      <c r="K17" s="125">
        <f>J17*K13</f>
        <v>5.589795044089457</v>
      </c>
      <c r="L17" s="176">
        <f>IF(ISERROR(L14+L15+L16),0,L14+L15+L16)</f>
        <v>0.27133941087730229</v>
      </c>
      <c r="M17" s="125">
        <f>L17*M13</f>
        <v>9.5413790440894584</v>
      </c>
      <c r="N17" s="176">
        <f>IF(ISERROR(N14+N15+N16),0,N14+N15+N16)</f>
        <v>0</v>
      </c>
      <c r="O17" s="120">
        <f>N17*O8</f>
        <v>0</v>
      </c>
      <c r="P17" s="176">
        <f>IF(ISERROR(P14+P15+P16),0,P14+P15+P16)</f>
        <v>0</v>
      </c>
      <c r="Q17" s="125">
        <f>P17*Q13</f>
        <v>0</v>
      </c>
      <c r="R17" s="176">
        <f>IF(ISERROR(R14+R15+R16),0,R14+R15+R16)</f>
        <v>0</v>
      </c>
      <c r="S17" s="392">
        <f>R17*S8</f>
        <v>0</v>
      </c>
      <c r="T17" s="227"/>
      <c r="U17" s="168"/>
    </row>
    <row r="18" spans="1:23" x14ac:dyDescent="0.25">
      <c r="A18" s="118" t="s">
        <v>101</v>
      </c>
      <c r="B18" s="156"/>
      <c r="C18" s="98"/>
      <c r="D18" s="156"/>
      <c r="E18" s="156"/>
      <c r="F18" s="178"/>
      <c r="G18" s="245">
        <f>G13+G17</f>
        <v>20.899677834858689</v>
      </c>
      <c r="H18" s="130"/>
      <c r="I18" s="245">
        <f>I13+I17</f>
        <v>24.725182444089459</v>
      </c>
      <c r="J18" s="130"/>
      <c r="K18" s="245">
        <f>K13+K17</f>
        <v>27.331295044089458</v>
      </c>
      <c r="L18" s="124"/>
      <c r="M18" s="245">
        <f>M13+M17</f>
        <v>44.705379044089462</v>
      </c>
      <c r="N18" s="202"/>
      <c r="O18" s="246">
        <f>O13+O17</f>
        <v>0</v>
      </c>
      <c r="P18" s="130"/>
      <c r="Q18" s="245">
        <f>Q13+Q17</f>
        <v>0</v>
      </c>
      <c r="R18" s="202"/>
      <c r="S18" s="246">
        <f>S13+S17</f>
        <v>0</v>
      </c>
      <c r="T18" s="119"/>
    </row>
    <row r="19" spans="1:23" x14ac:dyDescent="0.25">
      <c r="A19" s="96" t="s">
        <v>92</v>
      </c>
      <c r="B19" s="87"/>
      <c r="C19" s="154"/>
      <c r="D19" s="87"/>
      <c r="E19" s="87"/>
      <c r="F19" s="87"/>
      <c r="G19" s="126"/>
      <c r="H19" s="131"/>
      <c r="I19" s="126"/>
      <c r="J19" s="131"/>
      <c r="K19" s="126"/>
      <c r="L19" s="87"/>
      <c r="M19" s="87"/>
      <c r="N19" s="131"/>
      <c r="O19" s="87"/>
      <c r="P19" s="131"/>
      <c r="Q19" s="126"/>
      <c r="R19" s="131"/>
      <c r="S19" s="87"/>
      <c r="T19" s="1"/>
      <c r="V19" s="12"/>
    </row>
    <row r="20" spans="1:23" x14ac:dyDescent="0.25">
      <c r="A20" s="97" t="s">
        <v>25</v>
      </c>
      <c r="B20" s="155"/>
      <c r="C20" s="100" t="s">
        <v>11</v>
      </c>
      <c r="D20" s="155"/>
      <c r="E20" s="155"/>
      <c r="F20" s="372">
        <f>VLOOKUP(F5,Toelichting!$A$38:$C$42,3,0)</f>
        <v>0.107</v>
      </c>
      <c r="G20" s="127"/>
      <c r="H20" s="372">
        <f>VLOOKUP(H5,Toelichting!$A$38:$C$42,3,0)</f>
        <v>0.107</v>
      </c>
      <c r="I20" s="132"/>
      <c r="J20" s="372">
        <f>VLOOKUP(J5,Toelichting!$A$38:$C$42,3,0)</f>
        <v>0.107</v>
      </c>
      <c r="K20" s="132"/>
      <c r="L20" s="372">
        <f>VLOOKUP(L5,Toelichting!$A$38:$C$42,3,0)</f>
        <v>0.107</v>
      </c>
      <c r="M20" s="132"/>
      <c r="N20" s="372">
        <f>VLOOKUP(N5,Toelichting!$A$38:$C$42,3,0)</f>
        <v>0.1265</v>
      </c>
      <c r="O20" s="114"/>
      <c r="P20" s="373">
        <f>VLOOKUP(P5,Toelichting!$A$38:$C$42,3,0)</f>
        <v>0.1071</v>
      </c>
      <c r="Q20" s="132"/>
      <c r="R20" s="372">
        <f>VLOOKUP(R5,Toelichting!$A$38:$C$42,3,0)</f>
        <v>0.1071</v>
      </c>
      <c r="S20" s="114"/>
      <c r="T20" s="82"/>
      <c r="V20" s="12"/>
    </row>
    <row r="21" spans="1:23" x14ac:dyDescent="0.25">
      <c r="A21" s="94" t="s">
        <v>26</v>
      </c>
      <c r="B21" s="155"/>
      <c r="C21" s="100" t="s">
        <v>11</v>
      </c>
      <c r="D21" s="155"/>
      <c r="E21" s="155"/>
      <c r="F21" s="301">
        <v>0.02</v>
      </c>
      <c r="G21" s="127"/>
      <c r="H21" s="301">
        <v>0.02</v>
      </c>
      <c r="I21" s="133"/>
      <c r="J21" s="301">
        <v>0.02</v>
      </c>
      <c r="K21" s="133"/>
      <c r="L21" s="301">
        <v>0.02</v>
      </c>
      <c r="M21" s="133"/>
      <c r="N21" s="301">
        <v>0</v>
      </c>
      <c r="O21" s="115"/>
      <c r="P21" s="302">
        <v>0</v>
      </c>
      <c r="Q21" s="133"/>
      <c r="R21" s="301">
        <v>0</v>
      </c>
      <c r="S21" s="115"/>
      <c r="T21" s="83"/>
      <c r="V21" s="12"/>
    </row>
    <row r="22" spans="1:23" x14ac:dyDescent="0.25">
      <c r="A22" s="97" t="s">
        <v>27</v>
      </c>
      <c r="B22" s="155"/>
      <c r="C22" s="100" t="s">
        <v>21</v>
      </c>
      <c r="D22" s="155"/>
      <c r="E22" s="155"/>
      <c r="F22" s="301">
        <v>0.04</v>
      </c>
      <c r="G22" s="179"/>
      <c r="H22" s="301">
        <v>0</v>
      </c>
      <c r="I22" s="132"/>
      <c r="J22" s="301">
        <v>0</v>
      </c>
      <c r="K22" s="132"/>
      <c r="L22" s="301">
        <v>0</v>
      </c>
      <c r="M22" s="114"/>
      <c r="N22" s="391">
        <v>0</v>
      </c>
      <c r="O22" s="114"/>
      <c r="P22" s="391">
        <v>0</v>
      </c>
      <c r="Q22" s="132"/>
      <c r="R22" s="301">
        <v>0</v>
      </c>
      <c r="S22" s="114"/>
      <c r="T22" s="82"/>
      <c r="V22" s="12"/>
    </row>
    <row r="23" spans="1:23" x14ac:dyDescent="0.25">
      <c r="A23" s="97" t="s">
        <v>153</v>
      </c>
      <c r="B23" s="155"/>
      <c r="C23" s="100"/>
      <c r="D23" s="155"/>
      <c r="E23" s="155"/>
      <c r="F23" s="348">
        <v>0.08</v>
      </c>
      <c r="G23" s="127"/>
      <c r="H23" s="348">
        <v>0.08</v>
      </c>
      <c r="I23" s="132"/>
      <c r="J23" s="348">
        <v>0.08</v>
      </c>
      <c r="K23" s="132"/>
      <c r="L23" s="348">
        <v>0.2</v>
      </c>
      <c r="M23" s="114"/>
      <c r="N23" s="349">
        <v>0</v>
      </c>
      <c r="O23" s="114"/>
      <c r="P23" s="350">
        <v>0</v>
      </c>
      <c r="Q23" s="132"/>
      <c r="R23" s="349">
        <v>0</v>
      </c>
      <c r="S23" s="114"/>
      <c r="T23" s="82"/>
      <c r="V23" s="12"/>
    </row>
    <row r="24" spans="1:23" x14ac:dyDescent="0.25">
      <c r="A24" s="110" t="s">
        <v>150</v>
      </c>
      <c r="B24" s="155"/>
      <c r="C24" s="100"/>
      <c r="D24" s="155"/>
      <c r="E24" s="155"/>
      <c r="F24" s="231">
        <f>SUM(F20:F23)</f>
        <v>0.247</v>
      </c>
      <c r="G24" s="218">
        <f>G18/(1-F24)-G18</f>
        <v>6.855538413293619</v>
      </c>
      <c r="H24" s="231">
        <f>SUM(H20:H23)</f>
        <v>0.20700000000000002</v>
      </c>
      <c r="I24" s="218">
        <f>I18/(1-H24)-I18</f>
        <v>6.4541144589237334</v>
      </c>
      <c r="J24" s="231">
        <f>SUM(J20:J23)</f>
        <v>0.20700000000000002</v>
      </c>
      <c r="K24" s="218">
        <f>K18/(1-J24)-K18</f>
        <v>7.1343985802352066</v>
      </c>
      <c r="L24" s="231">
        <f>SUM(L20:L23)</f>
        <v>0.32700000000000001</v>
      </c>
      <c r="M24" s="218">
        <f>M18/(1-L24)-M18</f>
        <v>21.721632908495174</v>
      </c>
      <c r="N24" s="231">
        <f>SUM(N20:N23)</f>
        <v>0.1265</v>
      </c>
      <c r="O24" s="286">
        <f>O18/(1-N24)-O18</f>
        <v>0</v>
      </c>
      <c r="P24" s="231">
        <f>SUM(P20:P23)</f>
        <v>0.1071</v>
      </c>
      <c r="Q24" s="218">
        <f>Q18/(1-P24)-Q18</f>
        <v>0</v>
      </c>
      <c r="R24" s="231">
        <f>SUM(R20:R23)</f>
        <v>0.1071</v>
      </c>
      <c r="S24" s="219">
        <f>S18/(1-R24)-S18</f>
        <v>0</v>
      </c>
      <c r="T24" s="82"/>
      <c r="U24" s="396" t="s">
        <v>192</v>
      </c>
      <c r="V24" s="395">
        <v>0.28000000000000003</v>
      </c>
      <c r="W24" s="413">
        <f>F35*F24+H35*H24+J35*J24+L35*L24+N35*N24+P35*P24+R35*R24</f>
        <v>0.247</v>
      </c>
    </row>
    <row r="25" spans="1:23" ht="18.95" customHeight="1" x14ac:dyDescent="0.25">
      <c r="A25" s="164" t="s">
        <v>125</v>
      </c>
      <c r="B25" s="165"/>
      <c r="C25" s="166"/>
      <c r="D25" s="165"/>
      <c r="E25" s="165"/>
      <c r="F25" s="180"/>
      <c r="G25" s="181">
        <f>G24+G18</f>
        <v>27.755216248152308</v>
      </c>
      <c r="H25" s="182"/>
      <c r="I25" s="181">
        <f>I24+I18</f>
        <v>31.179296903013192</v>
      </c>
      <c r="J25" s="182"/>
      <c r="K25" s="181">
        <f>K24+K18</f>
        <v>34.465693624324665</v>
      </c>
      <c r="L25" s="183"/>
      <c r="M25" s="181">
        <f>M24+M18</f>
        <v>66.427011952584635</v>
      </c>
      <c r="N25" s="195"/>
      <c r="O25" s="287">
        <f>O24+O18</f>
        <v>0</v>
      </c>
      <c r="P25" s="182"/>
      <c r="Q25" s="181">
        <f>Q24+Q18</f>
        <v>0</v>
      </c>
      <c r="R25" s="195"/>
      <c r="S25" s="255">
        <f>S24+S18</f>
        <v>0</v>
      </c>
      <c r="T25" s="1"/>
    </row>
    <row r="26" spans="1:23" x14ac:dyDescent="0.25">
      <c r="A26" s="109"/>
      <c r="B26" s="87"/>
      <c r="C26" s="100"/>
      <c r="D26" s="87"/>
      <c r="E26" s="87"/>
      <c r="F26" s="184"/>
      <c r="G26" s="128"/>
      <c r="H26" s="134"/>
      <c r="I26" s="135"/>
      <c r="J26" s="134"/>
      <c r="K26" s="135"/>
      <c r="L26" s="122"/>
      <c r="M26" s="123"/>
      <c r="N26" s="134"/>
      <c r="O26" s="123"/>
      <c r="P26" s="134"/>
      <c r="Q26" s="135"/>
      <c r="R26" s="134"/>
      <c r="S26" s="123"/>
      <c r="T26" s="1"/>
    </row>
    <row r="27" spans="1:23" x14ac:dyDescent="0.25">
      <c r="A27" s="96" t="s">
        <v>116</v>
      </c>
      <c r="B27" s="87"/>
      <c r="C27" s="154"/>
      <c r="D27" s="87"/>
      <c r="E27" s="87"/>
      <c r="F27" s="87"/>
      <c r="G27" s="126"/>
      <c r="H27" s="131"/>
      <c r="I27" s="126"/>
      <c r="J27" s="131"/>
      <c r="K27" s="126"/>
      <c r="L27" s="87"/>
      <c r="M27" s="87"/>
      <c r="N27" s="131"/>
      <c r="O27" s="87"/>
      <c r="P27" s="131"/>
      <c r="Q27" s="126"/>
      <c r="R27" s="131"/>
      <c r="S27" s="87"/>
      <c r="T27" s="1"/>
    </row>
    <row r="28" spans="1:23" x14ac:dyDescent="0.25">
      <c r="A28" s="121" t="s">
        <v>94</v>
      </c>
      <c r="B28" s="101"/>
      <c r="C28" s="100"/>
      <c r="D28" s="101"/>
      <c r="E28" s="101"/>
      <c r="F28" s="261">
        <v>0.28999999999999998</v>
      </c>
      <c r="G28" s="142">
        <f>F28*G25</f>
        <v>8.0490127119641688</v>
      </c>
      <c r="H28" s="264">
        <v>0.28999999999999998</v>
      </c>
      <c r="I28" s="136">
        <f>H28*I25</f>
        <v>9.041996101873826</v>
      </c>
      <c r="J28" s="261">
        <v>0.28999999999999998</v>
      </c>
      <c r="K28" s="136">
        <f>J28*K25</f>
        <v>9.9950511510541524</v>
      </c>
      <c r="L28" s="261">
        <v>0.28999999999999998</v>
      </c>
      <c r="M28" s="192">
        <f>L28*M25</f>
        <v>19.263833466249544</v>
      </c>
      <c r="N28" s="267">
        <v>0</v>
      </c>
      <c r="O28" s="196">
        <f>N28*O25</f>
        <v>0</v>
      </c>
      <c r="P28" s="293">
        <v>0</v>
      </c>
      <c r="Q28" s="136">
        <f>P28*Q25</f>
        <v>0</v>
      </c>
      <c r="R28" s="267">
        <v>0</v>
      </c>
      <c r="S28" s="196">
        <f>R28*S25</f>
        <v>0</v>
      </c>
      <c r="T28" s="1"/>
      <c r="U28" s="396" t="s">
        <v>190</v>
      </c>
      <c r="V28" s="395">
        <v>0.55000000000000004</v>
      </c>
      <c r="W28" s="412">
        <f>F35*F28+H35*H28+J35*J28+L35*L28+N35*N28+P35*P28+R35*R28</f>
        <v>0.28999999999999998</v>
      </c>
    </row>
    <row r="29" spans="1:23" x14ac:dyDescent="0.25">
      <c r="A29" s="157"/>
      <c r="B29" s="101"/>
      <c r="C29" s="100"/>
      <c r="D29" s="101"/>
      <c r="E29" s="101"/>
      <c r="F29" s="262"/>
      <c r="G29" s="158"/>
      <c r="H29" s="265"/>
      <c r="I29" s="159"/>
      <c r="J29" s="262"/>
      <c r="K29" s="159"/>
      <c r="L29" s="262"/>
      <c r="M29" s="193"/>
      <c r="N29" s="268"/>
      <c r="O29" s="185"/>
      <c r="P29" s="294"/>
      <c r="Q29" s="159"/>
      <c r="R29" s="268"/>
      <c r="S29" s="185"/>
      <c r="T29" s="1"/>
    </row>
    <row r="30" spans="1:23" x14ac:dyDescent="0.25">
      <c r="A30" s="96" t="s">
        <v>122</v>
      </c>
      <c r="B30" s="101"/>
      <c r="C30" s="87"/>
      <c r="D30" s="101"/>
      <c r="E30" s="101"/>
      <c r="F30" s="263"/>
      <c r="G30" s="160"/>
      <c r="H30" s="266"/>
      <c r="I30" s="161"/>
      <c r="J30" s="263"/>
      <c r="K30" s="161"/>
      <c r="L30" s="263"/>
      <c r="M30" s="194"/>
      <c r="N30" s="269"/>
      <c r="O30" s="197"/>
      <c r="P30" s="295"/>
      <c r="Q30" s="161"/>
      <c r="R30" s="269"/>
      <c r="S30" s="197"/>
      <c r="T30" s="1"/>
    </row>
    <row r="31" spans="1:23" x14ac:dyDescent="0.25">
      <c r="A31" s="150" t="s">
        <v>126</v>
      </c>
      <c r="B31" s="87"/>
      <c r="C31" s="87"/>
      <c r="D31" s="87"/>
      <c r="E31" s="87"/>
      <c r="F31" s="261">
        <v>0.02</v>
      </c>
      <c r="G31" s="247">
        <f>F31*G25</f>
        <v>0.55510432496304618</v>
      </c>
      <c r="H31" s="261">
        <v>0.02</v>
      </c>
      <c r="I31" s="249">
        <f>H31*I25</f>
        <v>0.62358593806026386</v>
      </c>
      <c r="J31" s="261">
        <v>0.02</v>
      </c>
      <c r="K31" s="249">
        <f>J31*K25</f>
        <v>0.68931387248649334</v>
      </c>
      <c r="L31" s="261">
        <v>0.02</v>
      </c>
      <c r="M31" s="251">
        <f>L31*M25</f>
        <v>1.3285402390516927</v>
      </c>
      <c r="N31" s="267">
        <v>0.02</v>
      </c>
      <c r="O31" s="251">
        <f>N31*O25</f>
        <v>0</v>
      </c>
      <c r="P31" s="293">
        <v>0.02</v>
      </c>
      <c r="Q31" s="249">
        <f>P31*Q25</f>
        <v>0</v>
      </c>
      <c r="R31" s="267">
        <v>0.03</v>
      </c>
      <c r="S31" s="251">
        <f>R31*S25</f>
        <v>0</v>
      </c>
      <c r="T31" s="1"/>
      <c r="U31" s="396" t="s">
        <v>193</v>
      </c>
      <c r="V31" s="395">
        <v>0.02</v>
      </c>
      <c r="W31" s="412">
        <f>F31*F35+H31*H35+J31*J35+L31*L35+N31*N35+P31*P35+R31*R35</f>
        <v>0.02</v>
      </c>
    </row>
    <row r="32" spans="1:23" ht="18.75" x14ac:dyDescent="0.25">
      <c r="A32" s="92" t="s">
        <v>102</v>
      </c>
      <c r="B32" s="151"/>
      <c r="C32" s="152"/>
      <c r="D32" s="151"/>
      <c r="E32" s="151"/>
      <c r="F32" s="108"/>
      <c r="G32" s="248">
        <f>IF(F5&lt;&gt;"",SUM(G25+G28+G31),0)</f>
        <v>36.359333285079522</v>
      </c>
      <c r="H32" s="143"/>
      <c r="I32" s="248">
        <f>IF(H5&lt;&gt;"",SUM(I25+I28+I31),0)</f>
        <v>40.844878942947282</v>
      </c>
      <c r="J32" s="143"/>
      <c r="K32" s="250">
        <f>IF(J5&lt;&gt;"",SUM(K25+K28+K31),0)</f>
        <v>45.150058647865308</v>
      </c>
      <c r="L32" s="113"/>
      <c r="M32" s="248">
        <f>IF(L5&lt;&gt;"",SUM(M25+M28+M31),0)</f>
        <v>87.019385657885877</v>
      </c>
      <c r="N32" s="211"/>
      <c r="O32" s="248">
        <f>IF(N5&lt;&gt;"",SUM(O25+O28+O31),0)</f>
        <v>0</v>
      </c>
      <c r="P32" s="143"/>
      <c r="Q32" s="250">
        <f>IF(P5&lt;&gt;"",SUM(Q25+Q28+Q31),0)</f>
        <v>0</v>
      </c>
      <c r="R32" s="211"/>
      <c r="S32" s="248">
        <f>IF(R5&lt;&gt;"",SUM(S25+S28+S31),0)</f>
        <v>0</v>
      </c>
      <c r="T32" s="1"/>
      <c r="U32" s="188"/>
    </row>
    <row r="33" spans="1:24" x14ac:dyDescent="0.25">
      <c r="A33" s="96" t="s">
        <v>155</v>
      </c>
      <c r="B33" s="87"/>
      <c r="C33" s="154"/>
      <c r="D33" s="87"/>
      <c r="E33" s="87"/>
      <c r="F33" s="200"/>
      <c r="G33" s="203"/>
      <c r="H33" s="199"/>
      <c r="I33" s="203"/>
      <c r="J33" s="199"/>
      <c r="K33" s="203"/>
      <c r="L33" s="200"/>
      <c r="M33" s="200"/>
      <c r="N33" s="199"/>
      <c r="O33" s="200"/>
      <c r="P33" s="199"/>
      <c r="Q33" s="203"/>
      <c r="R33" s="199"/>
      <c r="S33" s="200"/>
      <c r="T33" s="1"/>
      <c r="U33" s="188"/>
    </row>
    <row r="34" spans="1:24" ht="19.5" thickBot="1" x14ac:dyDescent="0.3">
      <c r="A34" s="258" t="s">
        <v>195</v>
      </c>
      <c r="B34" s="87"/>
      <c r="C34" s="100"/>
      <c r="D34" s="87"/>
      <c r="E34" s="87"/>
      <c r="F34" s="399">
        <v>10</v>
      </c>
      <c r="G34" s="400"/>
      <c r="H34" s="401">
        <v>0</v>
      </c>
      <c r="I34" s="400"/>
      <c r="J34" s="401">
        <v>0</v>
      </c>
      <c r="K34" s="400"/>
      <c r="L34" s="401">
        <v>0</v>
      </c>
      <c r="M34" s="400"/>
      <c r="N34" s="401">
        <v>0</v>
      </c>
      <c r="O34" s="402"/>
      <c r="P34" s="401">
        <v>0</v>
      </c>
      <c r="Q34" s="400"/>
      <c r="R34" s="401">
        <v>0</v>
      </c>
      <c r="S34" s="402"/>
      <c r="T34" s="1"/>
      <c r="U34" s="353"/>
    </row>
    <row r="35" spans="1:24" ht="19.5" hidden="1" thickBot="1" x14ac:dyDescent="0.3">
      <c r="A35" s="403" t="s">
        <v>200</v>
      </c>
      <c r="B35" s="404"/>
      <c r="C35" s="405"/>
      <c r="D35" s="404"/>
      <c r="E35" s="404"/>
      <c r="F35" s="406">
        <f>F34/$S$36</f>
        <v>1</v>
      </c>
      <c r="G35" s="407"/>
      <c r="H35" s="406">
        <f>H34/$S$36</f>
        <v>0</v>
      </c>
      <c r="I35" s="407"/>
      <c r="J35" s="406">
        <f>J34/$S$36</f>
        <v>0</v>
      </c>
      <c r="K35" s="407"/>
      <c r="L35" s="406">
        <f>L34/$S$36</f>
        <v>0</v>
      </c>
      <c r="M35" s="407"/>
      <c r="N35" s="406">
        <f>N34/$S$36</f>
        <v>0</v>
      </c>
      <c r="O35" s="408"/>
      <c r="P35" s="406">
        <f>P34/$S$36</f>
        <v>0</v>
      </c>
      <c r="Q35" s="407"/>
      <c r="R35" s="406">
        <f>R34/$S$36</f>
        <v>0</v>
      </c>
      <c r="S35" s="408"/>
      <c r="T35" s="1"/>
      <c r="U35" s="353"/>
    </row>
    <row r="36" spans="1:24" ht="19.5" thickBot="1" x14ac:dyDescent="0.3">
      <c r="A36" s="352" t="s">
        <v>191</v>
      </c>
      <c r="B36" s="87"/>
      <c r="C36" s="100"/>
      <c r="D36" s="87"/>
      <c r="E36" s="87"/>
      <c r="F36" s="354"/>
      <c r="G36" s="354"/>
      <c r="H36" s="355"/>
      <c r="I36" s="354"/>
      <c r="J36" s="355"/>
      <c r="K36" s="354"/>
      <c r="L36" s="355"/>
      <c r="M36" s="354"/>
      <c r="N36" s="355"/>
      <c r="O36" s="356"/>
      <c r="P36" s="355"/>
      <c r="Q36" s="354"/>
      <c r="R36" s="355"/>
      <c r="S36" s="371">
        <f>SUM(F34:S34)</f>
        <v>10</v>
      </c>
      <c r="T36" s="1"/>
      <c r="U36" s="353"/>
    </row>
    <row r="37" spans="1:24" ht="19.5" thickBot="1" x14ac:dyDescent="0.3">
      <c r="A37" s="208" t="s">
        <v>156</v>
      </c>
      <c r="B37" s="87"/>
      <c r="C37" s="100"/>
      <c r="D37" s="87"/>
      <c r="E37" s="87"/>
      <c r="F37" s="357"/>
      <c r="G37" s="358"/>
      <c r="H37" s="359"/>
      <c r="I37" s="358"/>
      <c r="J37" s="359"/>
      <c r="K37" s="358"/>
      <c r="L37" s="359"/>
      <c r="M37" s="358"/>
      <c r="N37" s="359"/>
      <c r="O37" s="358"/>
      <c r="P37" s="359"/>
      <c r="Q37" s="358"/>
      <c r="R37" s="360"/>
      <c r="S37" s="209">
        <f>(F34*G32+H34*I32+J34*K32+L34*M32+N34*O32+P34*Q32+R34*S32)</f>
        <v>363.59333285079521</v>
      </c>
      <c r="T37" s="1"/>
      <c r="U37" s="188"/>
    </row>
    <row r="38" spans="1:24" x14ac:dyDescent="0.25">
      <c r="A38" s="96" t="s">
        <v>151</v>
      </c>
      <c r="B38" s="87"/>
      <c r="C38" s="154"/>
      <c r="D38" s="87"/>
      <c r="E38" s="87"/>
      <c r="F38" s="87"/>
      <c r="G38" s="126"/>
      <c r="H38" s="131"/>
      <c r="I38" s="126"/>
      <c r="J38" s="131"/>
      <c r="K38" s="126"/>
      <c r="L38" s="131"/>
      <c r="M38" s="126"/>
      <c r="N38" s="131"/>
      <c r="O38" s="126"/>
      <c r="P38" s="131"/>
      <c r="Q38" s="126"/>
      <c r="R38" s="198"/>
      <c r="S38" s="222"/>
      <c r="T38" s="1"/>
    </row>
    <row r="39" spans="1:24" ht="17.25" customHeight="1" x14ac:dyDescent="0.25">
      <c r="A39" s="97" t="s">
        <v>149</v>
      </c>
      <c r="B39" s="99"/>
      <c r="C39" s="100"/>
      <c r="D39" s="99"/>
      <c r="E39" s="99"/>
      <c r="F39" s="362"/>
      <c r="G39" s="363"/>
      <c r="H39" s="366"/>
      <c r="I39" s="363"/>
      <c r="J39" s="366"/>
      <c r="K39" s="363"/>
      <c r="L39" s="366"/>
      <c r="M39" s="363"/>
      <c r="N39" s="366"/>
      <c r="O39" s="363"/>
      <c r="P39" s="366"/>
      <c r="Q39" s="363"/>
      <c r="R39" s="361"/>
      <c r="S39" s="210">
        <v>11</v>
      </c>
      <c r="T39" s="1"/>
    </row>
    <row r="40" spans="1:24" ht="16.5" thickBot="1" x14ac:dyDescent="0.3">
      <c r="A40" s="94" t="s">
        <v>129</v>
      </c>
      <c r="B40" s="87"/>
      <c r="C40" s="100"/>
      <c r="D40" s="87"/>
      <c r="E40" s="87"/>
      <c r="F40" s="167"/>
      <c r="G40" s="364"/>
      <c r="H40" s="367"/>
      <c r="I40" s="364"/>
      <c r="J40" s="367"/>
      <c r="K40" s="364"/>
      <c r="L40" s="367"/>
      <c r="M40" s="364"/>
      <c r="N40" s="367"/>
      <c r="O40" s="364"/>
      <c r="P40" s="367"/>
      <c r="Q40" s="364"/>
      <c r="R40" s="23"/>
      <c r="S40" s="378">
        <v>23</v>
      </c>
      <c r="T40" s="1"/>
    </row>
    <row r="41" spans="1:24" ht="16.5" thickBot="1" x14ac:dyDescent="0.3">
      <c r="A41" s="164" t="s">
        <v>128</v>
      </c>
      <c r="B41" s="87"/>
      <c r="C41" s="100"/>
      <c r="D41" s="87"/>
      <c r="E41" s="87"/>
      <c r="F41" s="285"/>
      <c r="G41" s="365"/>
      <c r="H41" s="368"/>
      <c r="I41" s="365"/>
      <c r="J41" s="368"/>
      <c r="K41" s="365"/>
      <c r="L41" s="368"/>
      <c r="M41" s="365"/>
      <c r="N41" s="368"/>
      <c r="O41" s="365"/>
      <c r="P41" s="368"/>
      <c r="Q41" s="365"/>
      <c r="R41" s="20"/>
      <c r="S41" s="379">
        <f>S39+S40</f>
        <v>34</v>
      </c>
      <c r="T41" s="1"/>
      <c r="U41" s="393" t="s">
        <v>194</v>
      </c>
      <c r="V41" s="397">
        <v>36.299999999999997</v>
      </c>
      <c r="W41" s="398">
        <f>S41</f>
        <v>34</v>
      </c>
    </row>
    <row r="42" spans="1:24" ht="5.25" customHeight="1" thickBot="1" x14ac:dyDescent="0.3">
      <c r="A42" s="96"/>
      <c r="B42" s="87"/>
      <c r="C42" s="154"/>
      <c r="D42" s="87"/>
      <c r="E42" s="87"/>
      <c r="F42" s="87"/>
      <c r="G42" s="126"/>
      <c r="H42" s="131"/>
      <c r="I42" s="126"/>
      <c r="J42" s="131"/>
      <c r="K42" s="126"/>
      <c r="L42" s="131"/>
      <c r="M42" s="126"/>
      <c r="N42" s="131"/>
      <c r="O42" s="126"/>
      <c r="P42" s="131"/>
      <c r="Q42" s="126"/>
      <c r="R42" s="198"/>
      <c r="S42" s="204"/>
      <c r="T42" s="1"/>
    </row>
    <row r="43" spans="1:24" ht="19.5" thickBot="1" x14ac:dyDescent="0.3">
      <c r="A43" s="140" t="s">
        <v>157</v>
      </c>
      <c r="B43" s="153"/>
      <c r="C43" s="153"/>
      <c r="D43" s="153"/>
      <c r="E43" s="153"/>
      <c r="F43" s="23"/>
      <c r="G43" s="187"/>
      <c r="H43" s="186"/>
      <c r="I43" s="187"/>
      <c r="J43" s="186"/>
      <c r="K43" s="187"/>
      <c r="L43" s="186"/>
      <c r="M43" s="187"/>
      <c r="N43" s="186"/>
      <c r="O43" s="187"/>
      <c r="P43" s="186"/>
      <c r="Q43" s="187"/>
      <c r="R43" s="270"/>
      <c r="S43" s="209">
        <f>(S37+S41)</f>
        <v>397.59333285079521</v>
      </c>
      <c r="T43" s="1"/>
    </row>
    <row r="44" spans="1:24" ht="19.5" thickBot="1" x14ac:dyDescent="0.3">
      <c r="A44" s="275" t="s">
        <v>173</v>
      </c>
      <c r="B44" s="276"/>
      <c r="C44" s="276"/>
      <c r="D44" s="276"/>
      <c r="E44" s="276"/>
      <c r="F44" s="277"/>
      <c r="G44" s="277"/>
      <c r="H44" s="296"/>
      <c r="I44" s="297"/>
      <c r="J44" s="296"/>
      <c r="K44" s="297"/>
      <c r="L44" s="296"/>
      <c r="M44" s="297"/>
      <c r="N44" s="296"/>
      <c r="O44" s="297"/>
      <c r="P44" s="296"/>
      <c r="Q44" s="297"/>
      <c r="R44" s="278"/>
      <c r="S44" s="351">
        <v>2.52E-2</v>
      </c>
      <c r="T44" s="1"/>
    </row>
    <row r="45" spans="1:24" ht="19.5" thickBot="1" x14ac:dyDescent="0.3">
      <c r="A45" s="274" t="s">
        <v>174</v>
      </c>
      <c r="B45" s="153"/>
      <c r="C45" s="153"/>
      <c r="D45" s="153"/>
      <c r="E45" s="153"/>
      <c r="F45" s="23"/>
      <c r="G45" s="23"/>
      <c r="H45" s="369"/>
      <c r="I45" s="370"/>
      <c r="J45" s="369"/>
      <c r="K45" s="370"/>
      <c r="L45" s="369"/>
      <c r="M45" s="370"/>
      <c r="N45" s="186"/>
      <c r="O45" s="187"/>
      <c r="P45" s="369"/>
      <c r="Q45" s="370"/>
      <c r="R45" s="186"/>
      <c r="S45" s="209">
        <f>S43+(S43*S44)</f>
        <v>407.61268483863523</v>
      </c>
      <c r="T45" s="1"/>
    </row>
    <row r="46" spans="1:24" x14ac:dyDescent="0.25">
      <c r="A46" s="380"/>
      <c r="B46" s="153"/>
      <c r="C46" s="153"/>
      <c r="D46" s="153"/>
      <c r="E46" s="153"/>
      <c r="F46" s="381"/>
      <c r="G46" s="381"/>
      <c r="H46" s="381"/>
      <c r="I46" s="381"/>
      <c r="J46" s="381"/>
      <c r="K46" s="381"/>
      <c r="L46" s="381"/>
      <c r="M46" s="381"/>
      <c r="N46" s="381"/>
      <c r="O46" s="381"/>
      <c r="P46" s="381"/>
      <c r="Q46" s="381"/>
      <c r="R46" s="381"/>
      <c r="S46" s="381"/>
      <c r="T46" s="1"/>
      <c r="W46" s="410" t="b">
        <f>IF(AND(W12&lt;=V12,W24&lt;=V24,W28&lt;=V28,W31&lt;=V31,W41&lt;=V41),TRUE,FALSE)</f>
        <v>1</v>
      </c>
      <c r="X46" s="411" t="b">
        <f>IF(ISNA(W46),0,W46)</f>
        <v>1</v>
      </c>
    </row>
    <row r="47" spans="1:24" ht="10.5" customHeight="1" thickBot="1" x14ac:dyDescent="0.3">
      <c r="A47" s="380"/>
      <c r="B47" s="153"/>
      <c r="C47" s="153"/>
      <c r="D47" s="153"/>
      <c r="E47" s="153"/>
      <c r="F47" s="381"/>
      <c r="G47" s="381"/>
      <c r="H47" s="381"/>
      <c r="I47" s="381"/>
      <c r="J47" s="381"/>
      <c r="K47" s="381"/>
      <c r="L47" s="381"/>
      <c r="M47" s="381"/>
      <c r="N47" s="381"/>
      <c r="O47" s="381"/>
      <c r="P47" s="381"/>
      <c r="Q47" s="381"/>
      <c r="R47" s="381"/>
      <c r="S47" s="381"/>
      <c r="T47" s="1"/>
    </row>
    <row r="48" spans="1:24" ht="21.75" thickBot="1" x14ac:dyDescent="0.4">
      <c r="A48" s="385" t="s">
        <v>196</v>
      </c>
      <c r="B48" s="386"/>
      <c r="C48" s="386"/>
      <c r="D48" s="386"/>
      <c r="E48" s="386"/>
      <c r="F48" s="414" t="str">
        <f>IF(W46,"WAAR","NIET WAAR, ONGELDIG!!")</f>
        <v>WAAR</v>
      </c>
      <c r="G48" s="415"/>
      <c r="H48" s="415"/>
      <c r="I48" s="416"/>
      <c r="M48" s="13"/>
      <c r="O48" s="387"/>
      <c r="Q48" s="13"/>
      <c r="S48" s="387"/>
    </row>
    <row r="49" spans="1:19" ht="18.75" x14ac:dyDescent="0.25">
      <c r="A49" s="383"/>
      <c r="B49" s="384"/>
      <c r="C49" s="384"/>
      <c r="D49" s="384"/>
      <c r="E49" s="384"/>
      <c r="F49" s="381"/>
      <c r="G49" s="381"/>
      <c r="H49" s="381"/>
      <c r="I49" s="381"/>
      <c r="M49" s="13"/>
      <c r="O49" s="387"/>
      <c r="Q49" s="13"/>
      <c r="S49" s="387"/>
    </row>
    <row r="50" spans="1:19" x14ac:dyDescent="0.25">
      <c r="A50" s="5" t="s">
        <v>197</v>
      </c>
    </row>
    <row r="51" spans="1:19" ht="21.75" customHeight="1" x14ac:dyDescent="0.25">
      <c r="A51" s="417" t="s">
        <v>206</v>
      </c>
      <c r="B51" s="418"/>
      <c r="C51" s="418"/>
      <c r="D51" s="418"/>
      <c r="E51" s="418"/>
      <c r="F51" s="418"/>
      <c r="G51" s="418"/>
      <c r="H51" s="418"/>
      <c r="I51" s="418"/>
      <c r="J51" s="418"/>
      <c r="K51" s="418"/>
      <c r="L51" s="418"/>
      <c r="M51" s="418"/>
      <c r="N51" s="418"/>
      <c r="O51" s="419"/>
      <c r="P51" s="284"/>
      <c r="Q51" s="284"/>
      <c r="R51" s="284"/>
      <c r="S51" s="284"/>
    </row>
    <row r="52" spans="1:19" ht="15.75" customHeight="1" x14ac:dyDescent="0.25">
      <c r="A52" s="420"/>
      <c r="B52" s="421"/>
      <c r="C52" s="421"/>
      <c r="D52" s="421"/>
      <c r="E52" s="421"/>
      <c r="F52" s="421"/>
      <c r="G52" s="421"/>
      <c r="H52" s="421"/>
      <c r="I52" s="421"/>
      <c r="J52" s="421"/>
      <c r="K52" s="421"/>
      <c r="L52" s="421"/>
      <c r="M52" s="421"/>
      <c r="N52" s="421"/>
      <c r="O52" s="422"/>
      <c r="P52" s="284"/>
      <c r="Q52" s="284"/>
      <c r="R52" s="284"/>
      <c r="S52" s="284"/>
    </row>
    <row r="53" spans="1:19" ht="35.25" customHeight="1" x14ac:dyDescent="0.25">
      <c r="A53" s="382"/>
      <c r="B53" s="382"/>
      <c r="C53" s="382"/>
      <c r="D53" s="382"/>
      <c r="E53" s="382"/>
      <c r="F53" s="382"/>
      <c r="G53" s="382"/>
      <c r="H53" s="382"/>
      <c r="I53" s="382"/>
      <c r="J53" s="382"/>
      <c r="K53" s="382"/>
      <c r="L53" s="382"/>
      <c r="M53" s="382"/>
      <c r="N53" s="382"/>
      <c r="O53" s="382"/>
      <c r="P53" s="284"/>
      <c r="Q53" s="284"/>
      <c r="R53" s="284"/>
      <c r="S53" s="284"/>
    </row>
  </sheetData>
  <sheetProtection password="CBBB" sheet="1" objects="1" scenarios="1"/>
  <mergeCells count="11">
    <mergeCell ref="U7:V7"/>
    <mergeCell ref="F48:I48"/>
    <mergeCell ref="A51:O52"/>
    <mergeCell ref="F3:S3"/>
    <mergeCell ref="F5:G5"/>
    <mergeCell ref="H5:I5"/>
    <mergeCell ref="J5:K5"/>
    <mergeCell ref="L5:M5"/>
    <mergeCell ref="N5:O5"/>
    <mergeCell ref="P5:Q5"/>
    <mergeCell ref="R5:S5"/>
  </mergeCells>
  <conditionalFormatting sqref="F48:F49">
    <cfRule type="cellIs" dxfId="23" priority="8" operator="equal">
      <formula>"NIET WAAR, ONGELDIG!!"</formula>
    </cfRule>
    <cfRule type="cellIs" dxfId="22" priority="9" operator="equal">
      <formula>"WAAR"</formula>
    </cfRule>
  </conditionalFormatting>
  <conditionalFormatting sqref="W12">
    <cfRule type="cellIs" dxfId="21" priority="7" operator="greaterThan">
      <formula>$V$12</formula>
    </cfRule>
  </conditionalFormatting>
  <conditionalFormatting sqref="W24">
    <cfRule type="cellIs" dxfId="20" priority="6" operator="greaterThan">
      <formula>$V$24</formula>
    </cfRule>
  </conditionalFormatting>
  <conditionalFormatting sqref="W28">
    <cfRule type="cellIs" dxfId="19" priority="5" operator="greaterThan">
      <formula>$V$28</formula>
    </cfRule>
  </conditionalFormatting>
  <conditionalFormatting sqref="W31">
    <cfRule type="cellIs" dxfId="18" priority="4" operator="greaterThan">
      <formula>$V$31</formula>
    </cfRule>
  </conditionalFormatting>
  <conditionalFormatting sqref="W41">
    <cfRule type="cellIs" dxfId="17" priority="1" operator="greaterThan">
      <formula>$V$41</formula>
    </cfRule>
    <cfRule type="cellIs" dxfId="16" priority="2" operator="greaterThan">
      <formula>$W$41</formula>
    </cfRule>
    <cfRule type="cellIs" priority="3" operator="greaterThan">
      <formula>$V$41</formula>
    </cfRule>
  </conditionalFormatting>
  <pageMargins left="0.7" right="0.7" top="0.75" bottom="0.75" header="0.3" footer="0.3"/>
  <pageSetup paperSize="9" scale="66" fitToHeight="2"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Toelichting!$A$37:$A$42</xm:f>
          </x14:formula1>
          <xm:sqref>F5:S5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pageSetUpPr fitToPage="1"/>
  </sheetPr>
  <dimension ref="A1:X53"/>
  <sheetViews>
    <sheetView zoomScale="80" zoomScaleNormal="80" workbookViewId="0">
      <pane ySplit="3" topLeftCell="A4" activePane="bottomLeft" state="frozen"/>
      <selection pane="bottomLeft" activeCell="F3" sqref="F3:S3"/>
    </sheetView>
  </sheetViews>
  <sheetFormatPr defaultColWidth="10.5" defaultRowHeight="15.75" x14ac:dyDescent="0.25"/>
  <cols>
    <col min="1" max="1" width="60.875" style="5" customWidth="1"/>
    <col min="2" max="2" width="0.5" style="6" customWidth="1"/>
    <col min="3" max="3" width="14" style="6" hidden="1" customWidth="1"/>
    <col min="4" max="5" width="0.5" style="6" customWidth="1"/>
    <col min="6" max="6" width="11.625" style="6" customWidth="1"/>
    <col min="7" max="7" width="12.5" style="6" bestFit="1" customWidth="1"/>
    <col min="8" max="8" width="11.125" style="6" customWidth="1"/>
    <col min="9" max="10" width="11.5" style="6" customWidth="1"/>
    <col min="11" max="11" width="11.375" style="6" customWidth="1"/>
    <col min="12" max="12" width="11.75" style="6" customWidth="1"/>
    <col min="13" max="13" width="12" style="6" customWidth="1"/>
    <col min="14" max="15" width="12.5" style="6" customWidth="1"/>
    <col min="16" max="16" width="11.875" style="6" customWidth="1"/>
    <col min="17" max="17" width="12" style="6" customWidth="1"/>
    <col min="18" max="19" width="12.5" style="6" customWidth="1"/>
    <col min="20" max="20" width="0.75" style="5" customWidth="1"/>
    <col min="21" max="21" width="28" style="5" bestFit="1" customWidth="1"/>
    <col min="22" max="22" width="7.5" style="5" bestFit="1" customWidth="1"/>
    <col min="23" max="23" width="20.25" style="5" bestFit="1" customWidth="1"/>
    <col min="24" max="24" width="8.875" style="5" bestFit="1" customWidth="1"/>
    <col min="25" max="26" width="7.875" style="5" customWidth="1"/>
    <col min="27" max="16384" width="10.5" style="5"/>
  </cols>
  <sheetData>
    <row r="1" spans="1:24" x14ac:dyDescent="0.25">
      <c r="A1" s="67" t="s">
        <v>0</v>
      </c>
      <c r="B1" s="16"/>
      <c r="C1" s="16"/>
      <c r="D1" s="16"/>
    </row>
    <row r="2" spans="1:24" x14ac:dyDescent="0.25">
      <c r="A2" s="162" t="s">
        <v>124</v>
      </c>
    </row>
    <row r="3" spans="1:24" s="388" customFormat="1" ht="18.75" x14ac:dyDescent="0.3">
      <c r="A3" s="92" t="s">
        <v>84</v>
      </c>
      <c r="B3" s="93"/>
      <c r="C3" s="93"/>
      <c r="D3" s="93"/>
      <c r="E3" s="93"/>
      <c r="F3" s="428" t="s">
        <v>207</v>
      </c>
      <c r="G3" s="428"/>
      <c r="H3" s="428"/>
      <c r="I3" s="428"/>
      <c r="J3" s="428"/>
      <c r="K3" s="428"/>
      <c r="L3" s="428"/>
      <c r="M3" s="428"/>
      <c r="N3" s="428"/>
      <c r="O3" s="428"/>
      <c r="P3" s="428"/>
      <c r="Q3" s="428"/>
      <c r="R3" s="428"/>
      <c r="S3" s="428"/>
      <c r="T3" s="39"/>
      <c r="V3" s="389"/>
      <c r="W3" s="389"/>
      <c r="X3" s="389"/>
    </row>
    <row r="4" spans="1:24" s="389" customFormat="1" x14ac:dyDescent="0.25">
      <c r="A4" s="111"/>
      <c r="B4" s="112"/>
      <c r="C4" s="112"/>
      <c r="D4" s="112"/>
      <c r="E4" s="112"/>
      <c r="F4" s="112"/>
      <c r="G4" s="167"/>
      <c r="H4" s="167"/>
      <c r="I4" s="167"/>
      <c r="J4" s="167"/>
      <c r="K4" s="167"/>
      <c r="L4" s="167"/>
      <c r="M4" s="167"/>
      <c r="N4" s="167"/>
      <c r="O4" s="167"/>
      <c r="P4" s="167"/>
      <c r="Q4" s="167"/>
      <c r="R4" s="167"/>
      <c r="S4" s="167"/>
      <c r="T4" s="83"/>
    </row>
    <row r="5" spans="1:24" ht="24.95" customHeight="1" x14ac:dyDescent="0.25">
      <c r="A5" s="95" t="s">
        <v>83</v>
      </c>
      <c r="B5" s="88"/>
      <c r="C5" s="86" t="s">
        <v>7</v>
      </c>
      <c r="D5" s="88"/>
      <c r="E5" s="88"/>
      <c r="F5" s="425" t="s">
        <v>99</v>
      </c>
      <c r="G5" s="424"/>
      <c r="H5" s="423" t="s">
        <v>99</v>
      </c>
      <c r="I5" s="424"/>
      <c r="J5" s="429" t="s">
        <v>99</v>
      </c>
      <c r="K5" s="430"/>
      <c r="L5" s="425" t="s">
        <v>205</v>
      </c>
      <c r="M5" s="425"/>
      <c r="N5" s="423" t="s">
        <v>97</v>
      </c>
      <c r="O5" s="425"/>
      <c r="P5" s="423" t="s">
        <v>98</v>
      </c>
      <c r="Q5" s="424"/>
      <c r="R5" s="423" t="s">
        <v>98</v>
      </c>
      <c r="S5" s="425"/>
      <c r="T5" s="89"/>
    </row>
    <row r="6" spans="1:24" x14ac:dyDescent="0.25">
      <c r="A6" s="96" t="s">
        <v>9</v>
      </c>
      <c r="B6" s="87"/>
      <c r="C6" s="87"/>
      <c r="D6" s="87"/>
      <c r="E6" s="87"/>
      <c r="F6" s="298"/>
      <c r="G6" s="299"/>
      <c r="H6" s="300"/>
      <c r="I6" s="299"/>
      <c r="J6" s="300"/>
      <c r="K6" s="299"/>
      <c r="L6" s="298"/>
      <c r="M6" s="298"/>
      <c r="N6" s="300"/>
      <c r="O6" s="298"/>
      <c r="P6" s="300"/>
      <c r="Q6" s="299"/>
      <c r="R6" s="300"/>
      <c r="S6" s="298"/>
      <c r="T6" s="1"/>
    </row>
    <row r="7" spans="1:24" ht="15.95" customHeight="1" x14ac:dyDescent="0.25">
      <c r="A7" s="97" t="s">
        <v>110</v>
      </c>
      <c r="B7" s="155"/>
      <c r="C7" s="100"/>
      <c r="D7" s="155"/>
      <c r="E7" s="155"/>
      <c r="F7" s="390"/>
      <c r="G7" s="288">
        <v>2153</v>
      </c>
      <c r="H7" s="138" t="s">
        <v>202</v>
      </c>
      <c r="I7" s="288">
        <v>2675</v>
      </c>
      <c r="J7" s="138" t="s">
        <v>203</v>
      </c>
      <c r="K7" s="288">
        <v>2948</v>
      </c>
      <c r="L7" s="138" t="s">
        <v>204</v>
      </c>
      <c r="M7" s="288">
        <v>4768</v>
      </c>
      <c r="N7" s="283"/>
      <c r="O7" s="256">
        <v>0</v>
      </c>
      <c r="P7" s="138"/>
      <c r="Q7" s="288">
        <v>0</v>
      </c>
      <c r="R7" s="283"/>
      <c r="S7" s="256">
        <v>0</v>
      </c>
      <c r="T7" s="82"/>
      <c r="U7" s="426" t="s">
        <v>198</v>
      </c>
      <c r="V7" s="427"/>
      <c r="W7" s="393" t="s">
        <v>201</v>
      </c>
    </row>
    <row r="8" spans="1:24" ht="15.95" customHeight="1" x14ac:dyDescent="0.25">
      <c r="A8" s="97" t="s">
        <v>105</v>
      </c>
      <c r="B8" s="155"/>
      <c r="C8" s="100"/>
      <c r="D8" s="155"/>
      <c r="E8" s="155"/>
      <c r="F8" s="169"/>
      <c r="G8" s="235">
        <f>G7/156</f>
        <v>13.801282051282051</v>
      </c>
      <c r="H8" s="129"/>
      <c r="I8" s="235">
        <f>I7/156</f>
        <v>17.147435897435898</v>
      </c>
      <c r="J8" s="139"/>
      <c r="K8" s="240">
        <f>K7/156</f>
        <v>18.897435897435898</v>
      </c>
      <c r="L8" s="137"/>
      <c r="M8" s="240">
        <f>M7/156</f>
        <v>30.564102564102566</v>
      </c>
      <c r="N8" s="228"/>
      <c r="O8" s="243">
        <f>O7/156</f>
        <v>0</v>
      </c>
      <c r="P8" s="289"/>
      <c r="Q8" s="240">
        <f>Q7/156</f>
        <v>0</v>
      </c>
      <c r="R8" s="228"/>
      <c r="S8" s="243">
        <f>S7/156</f>
        <v>0</v>
      </c>
      <c r="T8" s="82"/>
      <c r="U8" s="168"/>
    </row>
    <row r="9" spans="1:24" ht="15.95" customHeight="1" x14ac:dyDescent="0.25">
      <c r="A9" s="94" t="s">
        <v>107</v>
      </c>
      <c r="B9" s="155"/>
      <c r="C9" s="100" t="s">
        <v>11</v>
      </c>
      <c r="D9" s="155"/>
      <c r="E9" s="155"/>
      <c r="F9" s="229">
        <f>IF(F5&lt;&gt;"",8%,"")</f>
        <v>0.08</v>
      </c>
      <c r="G9" s="236">
        <f>F9*G8</f>
        <v>1.1041025641025641</v>
      </c>
      <c r="H9" s="229">
        <f>IF(H5&lt;&gt;"",8%,"")</f>
        <v>0.08</v>
      </c>
      <c r="I9" s="236">
        <f>H9*I8</f>
        <v>1.3717948717948718</v>
      </c>
      <c r="J9" s="229">
        <f>IF(J5&lt;&gt;"",8%,"")</f>
        <v>0.08</v>
      </c>
      <c r="K9" s="241">
        <f>J9*K8</f>
        <v>1.5117948717948719</v>
      </c>
      <c r="L9" s="229">
        <f>IF(L5&lt;&gt;"",8%,"")</f>
        <v>0.08</v>
      </c>
      <c r="M9" s="240">
        <f>L9*M8</f>
        <v>2.4451282051282055</v>
      </c>
      <c r="N9" s="229">
        <f>IF(N5&lt;&gt;"",8%,"")</f>
        <v>0.08</v>
      </c>
      <c r="O9" s="243">
        <f>O8*N9</f>
        <v>0</v>
      </c>
      <c r="P9" s="290">
        <f>IF(P5&lt;&gt;"",8%,"")</f>
        <v>0.08</v>
      </c>
      <c r="Q9" s="240">
        <f>P9*Q8</f>
        <v>0</v>
      </c>
      <c r="R9" s="229">
        <f>IF(R5&lt;&gt;"",8%,"")</f>
        <v>0.08</v>
      </c>
      <c r="S9" s="243">
        <f>S8*R9</f>
        <v>0</v>
      </c>
      <c r="T9" s="83"/>
      <c r="U9" s="170"/>
    </row>
    <row r="10" spans="1:24" ht="15.95" customHeight="1" x14ac:dyDescent="0.25">
      <c r="A10" s="121" t="s">
        <v>146</v>
      </c>
      <c r="B10" s="155"/>
      <c r="C10" s="100"/>
      <c r="D10" s="155"/>
      <c r="E10" s="155"/>
      <c r="F10" s="229"/>
      <c r="G10" s="237">
        <f>G8+G9</f>
        <v>14.905384615384616</v>
      </c>
      <c r="H10" s="229"/>
      <c r="I10" s="237">
        <f>I8+I9</f>
        <v>18.51923076923077</v>
      </c>
      <c r="J10" s="229"/>
      <c r="K10" s="237">
        <f>K8+K9</f>
        <v>20.409230769230771</v>
      </c>
      <c r="L10" s="229"/>
      <c r="M10" s="237">
        <f>M8+M9</f>
        <v>33.009230769230768</v>
      </c>
      <c r="N10" s="229"/>
      <c r="O10" s="252">
        <f>O8+O9</f>
        <v>0</v>
      </c>
      <c r="P10" s="290"/>
      <c r="Q10" s="237">
        <f>Q8+Q9</f>
        <v>0</v>
      </c>
      <c r="R10" s="229"/>
      <c r="S10" s="252">
        <f>S8+S9</f>
        <v>0</v>
      </c>
      <c r="T10" s="83"/>
      <c r="U10" s="170"/>
    </row>
    <row r="11" spans="1:24" x14ac:dyDescent="0.25">
      <c r="A11" s="94" t="s">
        <v>90</v>
      </c>
      <c r="B11" s="155"/>
      <c r="C11" s="100" t="s">
        <v>11</v>
      </c>
      <c r="D11" s="155"/>
      <c r="E11" s="155"/>
      <c r="F11" s="230">
        <f>VLOOKUP(F5,Toelichting!$A$38:$B$42,2,0)</f>
        <v>7.0499999999999993E-2</v>
      </c>
      <c r="G11" s="236">
        <f>F11*G8</f>
        <v>0.97299038461538456</v>
      </c>
      <c r="H11" s="230">
        <f>VLOOKUP(H5,Toelichting!$A$38:$B$42,2,0)</f>
        <v>7.0499999999999993E-2</v>
      </c>
      <c r="I11" s="236">
        <f>H11*I8</f>
        <v>1.2088942307692307</v>
      </c>
      <c r="J11" s="230">
        <f>VLOOKUP(J5,Toelichting!$A$38:$B$42,2,0)</f>
        <v>7.0499999999999993E-2</v>
      </c>
      <c r="K11" s="242">
        <f>J11*K8</f>
        <v>1.3322692307692308</v>
      </c>
      <c r="L11" s="230">
        <f>VLOOKUP(L5,Toelichting!$A$38:$B$42,2,0)</f>
        <v>7.0499999999999993E-2</v>
      </c>
      <c r="M11" s="240">
        <f>L11*M8</f>
        <v>2.1547692307692308</v>
      </c>
      <c r="N11" s="230">
        <f>VLOOKUP(N5,Toelichting!$A$38:$B$42,2,0)</f>
        <v>8.3299999999999999E-2</v>
      </c>
      <c r="O11" s="244">
        <f>N11*O8</f>
        <v>0</v>
      </c>
      <c r="P11" s="291">
        <f>VLOOKUP(P5,Toelichting!$A$38:$B$42,2,0)</f>
        <v>8.3299999999999999E-2</v>
      </c>
      <c r="Q11" s="240">
        <f>P11*Q8</f>
        <v>0</v>
      </c>
      <c r="R11" s="230">
        <f>VLOOKUP(R5,Toelichting!$A$38:$B$42,2,0)</f>
        <v>8.3299999999999999E-2</v>
      </c>
      <c r="S11" s="244">
        <f>R11*S8</f>
        <v>0</v>
      </c>
      <c r="T11" s="82"/>
      <c r="V11" s="217"/>
    </row>
    <row r="12" spans="1:24" x14ac:dyDescent="0.25">
      <c r="A12" s="97" t="s">
        <v>148</v>
      </c>
      <c r="B12" s="155"/>
      <c r="C12" s="100"/>
      <c r="D12" s="155"/>
      <c r="E12" s="155"/>
      <c r="F12" s="232">
        <v>0.06</v>
      </c>
      <c r="G12" s="238">
        <f>F12*G10</f>
        <v>0.89432307692307689</v>
      </c>
      <c r="H12" s="233">
        <v>0</v>
      </c>
      <c r="I12" s="238">
        <f>H12*I10</f>
        <v>0</v>
      </c>
      <c r="J12" s="233">
        <v>0</v>
      </c>
      <c r="K12" s="238">
        <f>J12*K10</f>
        <v>0</v>
      </c>
      <c r="L12" s="234">
        <v>0</v>
      </c>
      <c r="M12" s="238">
        <f>L12*M10</f>
        <v>0</v>
      </c>
      <c r="N12" s="233">
        <v>0</v>
      </c>
      <c r="O12" s="253">
        <f>N12*O10</f>
        <v>0</v>
      </c>
      <c r="P12" s="233">
        <v>0</v>
      </c>
      <c r="Q12" s="238">
        <f>P12*Q10</f>
        <v>0</v>
      </c>
      <c r="R12" s="233">
        <v>0.01</v>
      </c>
      <c r="S12" s="253">
        <f>R12*S10</f>
        <v>0</v>
      </c>
      <c r="T12" s="175"/>
      <c r="U12" s="394" t="s">
        <v>189</v>
      </c>
      <c r="V12" s="395">
        <v>6.5000000000000002E-2</v>
      </c>
      <c r="W12" s="412">
        <f>F35*F12+H35*H12+J35*J12+L35*L12+N35*N12+P35*P12+R35*R12</f>
        <v>0.06</v>
      </c>
    </row>
    <row r="13" spans="1:24" x14ac:dyDescent="0.25">
      <c r="A13" s="116" t="s">
        <v>12</v>
      </c>
      <c r="B13" s="156"/>
      <c r="C13" s="98"/>
      <c r="D13" s="156"/>
      <c r="E13" s="171">
        <f>SUM(E$9:E$11)</f>
        <v>0</v>
      </c>
      <c r="F13" s="172"/>
      <c r="G13" s="239">
        <f>SUM(G$10:G$12)</f>
        <v>16.772698076923078</v>
      </c>
      <c r="H13" s="173"/>
      <c r="I13" s="239">
        <f>SUM(I$10:I$12)</f>
        <v>19.728125000000002</v>
      </c>
      <c r="J13" s="173"/>
      <c r="K13" s="239">
        <f>SUM(K$10:K$12)</f>
        <v>21.741500000000002</v>
      </c>
      <c r="L13" s="174"/>
      <c r="M13" s="239">
        <f>SUM(M$10:M$12)</f>
        <v>35.164000000000001</v>
      </c>
      <c r="N13" s="201"/>
      <c r="O13" s="254">
        <f>SUM(O$10:O$12)</f>
        <v>0</v>
      </c>
      <c r="P13" s="173"/>
      <c r="Q13" s="239">
        <f>SUM(Q$10:Q$12)</f>
        <v>0</v>
      </c>
      <c r="R13" s="201"/>
      <c r="S13" s="254">
        <f>SUM(S$10:S$12)</f>
        <v>0</v>
      </c>
      <c r="T13" s="214"/>
      <c r="U13" s="168"/>
    </row>
    <row r="14" spans="1:24" x14ac:dyDescent="0.25">
      <c r="A14" s="216" t="s">
        <v>134</v>
      </c>
      <c r="B14" s="156"/>
      <c r="C14" s="98"/>
      <c r="D14" s="156"/>
      <c r="E14" s="171"/>
      <c r="F14" s="215">
        <v>0.1739</v>
      </c>
      <c r="G14" s="212"/>
      <c r="H14" s="215">
        <v>0.1739</v>
      </c>
      <c r="I14" s="212"/>
      <c r="J14" s="215">
        <v>0.1739</v>
      </c>
      <c r="K14" s="212"/>
      <c r="L14" s="215">
        <v>0.1739</v>
      </c>
      <c r="M14" s="212"/>
      <c r="N14" s="215">
        <v>0.1739</v>
      </c>
      <c r="O14" s="213"/>
      <c r="P14" s="292">
        <v>0.1739</v>
      </c>
      <c r="Q14" s="212"/>
      <c r="R14" s="215">
        <v>0.1739</v>
      </c>
      <c r="S14" s="213"/>
      <c r="T14" s="214"/>
      <c r="U14" s="168"/>
    </row>
    <row r="15" spans="1:24" x14ac:dyDescent="0.25">
      <c r="A15" s="216" t="s">
        <v>135</v>
      </c>
      <c r="B15" s="156"/>
      <c r="C15" s="98"/>
      <c r="D15" s="156"/>
      <c r="E15" s="171"/>
      <c r="F15" s="215">
        <f>(((G13*1878)-Toelichting!$B$44)*Toelichting!$B$45/(G13*1878))*0.5</f>
        <v>7.1147762982928589E-2</v>
      </c>
      <c r="G15" s="212"/>
      <c r="H15" s="215">
        <f>(((I13*1878)-Toelichting!$B$44)*Toelichting!$B$45/(I13*1878))*0.5</f>
        <v>7.8091689444520634E-2</v>
      </c>
      <c r="I15" s="212"/>
      <c r="J15" s="215">
        <f>(((K13*1878)-Toelichting!$B$44)*Toelichting!$B$45/(K13*1878))*0.5</f>
        <v>8.1741102192704446E-2</v>
      </c>
      <c r="K15" s="212"/>
      <c r="L15" s="215">
        <f>(((M13*1878)-Toelichting!$B$44)*Toelichting!$B$45/(M13*1878))*0.5</f>
        <v>9.5390681473173797E-2</v>
      </c>
      <c r="M15" s="212"/>
      <c r="N15" s="215" t="e">
        <f>(((O13*1878)-Toelichting!$B$44)*Toelichting!$B$45/(O13*1878))*0.5</f>
        <v>#DIV/0!</v>
      </c>
      <c r="O15" s="213"/>
      <c r="P15" s="292" t="e">
        <f>(((Q13*1878)-Toelichting!$B$44)*Toelichting!$B$45/(Q13*1878))*0.5</f>
        <v>#DIV/0!</v>
      </c>
      <c r="Q15" s="212"/>
      <c r="R15" s="215" t="e">
        <f>(((S13*1878)-Toelichting!$B$44)*Toelichting!$B$45/(S13*1878))*0.5</f>
        <v>#DIV/0!</v>
      </c>
      <c r="S15" s="213"/>
      <c r="T15" s="214"/>
      <c r="U15" s="168"/>
    </row>
    <row r="16" spans="1:24" x14ac:dyDescent="0.25">
      <c r="A16" s="216" t="s">
        <v>136</v>
      </c>
      <c r="B16" s="156"/>
      <c r="C16" s="98"/>
      <c r="D16" s="156"/>
      <c r="E16" s="171"/>
      <c r="F16" s="215">
        <f>IF(0.5*0.6%*((1878*G13-Toelichting!$B$46)/(1878*G13))&gt;0,0.5*0.6%*((1878*G13-Toelichting!$B$46)/(1878*G13)),0)</f>
        <v>1.0056590132478394E-3</v>
      </c>
      <c r="G16" s="212"/>
      <c r="H16" s="215">
        <f>IF(0.5*0.6%*((1878*I13-Toelichting!$B$46)/(1878*I13))&gt;0,0.5*0.6%*((1878*I13-Toelichting!$B$46)/(1878*I13)),0)</f>
        <v>1.304426840704485E-3</v>
      </c>
      <c r="I16" s="212"/>
      <c r="J16" s="215">
        <f>IF(0.5*0.6%*((1878*K13-Toelichting!$B$46)/(1878*K13))&gt;0,0.5*0.6%*((1878*K13-Toelichting!$B$46)/(1878*K13)),0)</f>
        <v>1.4614456576948769E-3</v>
      </c>
      <c r="K16" s="212"/>
      <c r="L16" s="215">
        <f>IF(0.5*0.6%*((1878*M13-Toelichting!$B$46)/(1878*M13))&gt;0,0.5*0.6%*((1878*M13-Toelichting!$B$46)/(1878*M13)),0)</f>
        <v>2.0487294041284599E-3</v>
      </c>
      <c r="M16" s="212"/>
      <c r="N16" s="215" t="e">
        <f>IF(0.5*0.6%*((1878*O13-Toelichting!$B$46)/(1878*O13))&gt;0,0.5*0.6%*((1878*O13-Toelichting!$B$46)/(1878*O13)),0)</f>
        <v>#DIV/0!</v>
      </c>
      <c r="O16" s="213"/>
      <c r="P16" s="292" t="e">
        <f>IF(0.5*0.6%*((1878*Q13-Toelichting!$B$46)/(1878*Q13))&gt;0,0.5*0.6%*((1878*Q13-Toelichting!$B$46)/(1878*Q13)),0)</f>
        <v>#DIV/0!</v>
      </c>
      <c r="Q16" s="212"/>
      <c r="R16" s="215" t="e">
        <f>IF(0.5*0.6%*((1878*S13-Toelichting!$B$46)/(1878*S13))&gt;0,0.5*0.6%*((1878*S13-Toelichting!$B$46)/(1878*S13)),0)</f>
        <v>#DIV/0!</v>
      </c>
      <c r="S16" s="213"/>
      <c r="T16" s="177"/>
      <c r="U16" s="168"/>
    </row>
    <row r="17" spans="1:23" x14ac:dyDescent="0.25">
      <c r="A17" s="117" t="s">
        <v>88</v>
      </c>
      <c r="B17" s="156"/>
      <c r="C17" s="98"/>
      <c r="D17" s="156"/>
      <c r="E17" s="156"/>
      <c r="F17" s="176">
        <f>IF(ISERROR(F14+F15+F16),0,F14+F15+F16)</f>
        <v>0.24605342199617641</v>
      </c>
      <c r="G17" s="125">
        <f>F17*G13</f>
        <v>4.1269797579356107</v>
      </c>
      <c r="H17" s="176">
        <f>IF(ISERROR(H14+H15+H16),0,H14+H15+H16)</f>
        <v>0.25329611628522514</v>
      </c>
      <c r="I17" s="125">
        <f>H17*I13</f>
        <v>4.9970574440894575</v>
      </c>
      <c r="J17" s="176">
        <f>IF(ISERROR(J14+J15+J16),0,J14+J15+J16)</f>
        <v>0.25710254785039932</v>
      </c>
      <c r="K17" s="125">
        <f>J17*K13</f>
        <v>5.589795044089457</v>
      </c>
      <c r="L17" s="176">
        <f>IF(ISERROR(L14+L15+L16),0,L14+L15+L16)</f>
        <v>0.27133941087730229</v>
      </c>
      <c r="M17" s="125">
        <f>L17*M13</f>
        <v>9.5413790440894584</v>
      </c>
      <c r="N17" s="176">
        <f>IF(ISERROR(N14+N15+N16),0,N14+N15+N16)</f>
        <v>0</v>
      </c>
      <c r="O17" s="120">
        <f>N17*O8</f>
        <v>0</v>
      </c>
      <c r="P17" s="176">
        <f>IF(ISERROR(P14+P15+P16),0,P14+P15+P16)</f>
        <v>0</v>
      </c>
      <c r="Q17" s="125">
        <f>P17*Q13</f>
        <v>0</v>
      </c>
      <c r="R17" s="176">
        <f>IF(ISERROR(R14+R15+R16),0,R14+R15+R16)</f>
        <v>0</v>
      </c>
      <c r="S17" s="392">
        <f>R17*S8</f>
        <v>0</v>
      </c>
      <c r="T17" s="227"/>
      <c r="U17" s="168"/>
    </row>
    <row r="18" spans="1:23" x14ac:dyDescent="0.25">
      <c r="A18" s="118" t="s">
        <v>101</v>
      </c>
      <c r="B18" s="156"/>
      <c r="C18" s="98"/>
      <c r="D18" s="156"/>
      <c r="E18" s="156"/>
      <c r="F18" s="178"/>
      <c r="G18" s="245">
        <f>G13+G17</f>
        <v>20.899677834858689</v>
      </c>
      <c r="H18" s="130"/>
      <c r="I18" s="245">
        <f>I13+I17</f>
        <v>24.725182444089459</v>
      </c>
      <c r="J18" s="130"/>
      <c r="K18" s="245">
        <f>K13+K17</f>
        <v>27.331295044089458</v>
      </c>
      <c r="L18" s="124"/>
      <c r="M18" s="245">
        <f>M13+M17</f>
        <v>44.705379044089462</v>
      </c>
      <c r="N18" s="202"/>
      <c r="O18" s="246">
        <f>O13+O17</f>
        <v>0</v>
      </c>
      <c r="P18" s="130"/>
      <c r="Q18" s="245">
        <f>Q13+Q17</f>
        <v>0</v>
      </c>
      <c r="R18" s="202"/>
      <c r="S18" s="246">
        <f>S13+S17</f>
        <v>0</v>
      </c>
      <c r="T18" s="119"/>
    </row>
    <row r="19" spans="1:23" x14ac:dyDescent="0.25">
      <c r="A19" s="96" t="s">
        <v>92</v>
      </c>
      <c r="B19" s="87"/>
      <c r="C19" s="154"/>
      <c r="D19" s="87"/>
      <c r="E19" s="87"/>
      <c r="F19" s="87"/>
      <c r="G19" s="126"/>
      <c r="H19" s="131"/>
      <c r="I19" s="126"/>
      <c r="J19" s="131"/>
      <c r="K19" s="126"/>
      <c r="L19" s="87"/>
      <c r="M19" s="87"/>
      <c r="N19" s="131"/>
      <c r="O19" s="87"/>
      <c r="P19" s="131"/>
      <c r="Q19" s="126"/>
      <c r="R19" s="131"/>
      <c r="S19" s="87"/>
      <c r="T19" s="1"/>
      <c r="V19" s="12"/>
    </row>
    <row r="20" spans="1:23" x14ac:dyDescent="0.25">
      <c r="A20" s="97" t="s">
        <v>25</v>
      </c>
      <c r="B20" s="155"/>
      <c r="C20" s="100" t="s">
        <v>11</v>
      </c>
      <c r="D20" s="155"/>
      <c r="E20" s="155"/>
      <c r="F20" s="372">
        <f>VLOOKUP(F5,Toelichting!$A$38:$C$42,3,0)</f>
        <v>0.107</v>
      </c>
      <c r="G20" s="127"/>
      <c r="H20" s="372">
        <f>VLOOKUP(H5,Toelichting!$A$38:$C$42,3,0)</f>
        <v>0.107</v>
      </c>
      <c r="I20" s="132"/>
      <c r="J20" s="372">
        <f>VLOOKUP(J5,Toelichting!$A$38:$C$42,3,0)</f>
        <v>0.107</v>
      </c>
      <c r="K20" s="132"/>
      <c r="L20" s="372">
        <f>VLOOKUP(L5,Toelichting!$A$38:$C$42,3,0)</f>
        <v>0.107</v>
      </c>
      <c r="M20" s="132"/>
      <c r="N20" s="372">
        <f>VLOOKUP(N5,Toelichting!$A$38:$C$42,3,0)</f>
        <v>0.1265</v>
      </c>
      <c r="O20" s="114"/>
      <c r="P20" s="373">
        <f>VLOOKUP(P5,Toelichting!$A$38:$C$42,3,0)</f>
        <v>0.1071</v>
      </c>
      <c r="Q20" s="132"/>
      <c r="R20" s="372">
        <f>VLOOKUP(R5,Toelichting!$A$38:$C$42,3,0)</f>
        <v>0.1071</v>
      </c>
      <c r="S20" s="114"/>
      <c r="T20" s="82"/>
      <c r="V20" s="12"/>
    </row>
    <row r="21" spans="1:23" x14ac:dyDescent="0.25">
      <c r="A21" s="94" t="s">
        <v>26</v>
      </c>
      <c r="B21" s="155"/>
      <c r="C21" s="100" t="s">
        <v>11</v>
      </c>
      <c r="D21" s="155"/>
      <c r="E21" s="155"/>
      <c r="F21" s="301">
        <v>0.02</v>
      </c>
      <c r="G21" s="127"/>
      <c r="H21" s="301">
        <v>0.02</v>
      </c>
      <c r="I21" s="133"/>
      <c r="J21" s="301">
        <v>0.02</v>
      </c>
      <c r="K21" s="133"/>
      <c r="L21" s="301">
        <v>0.02</v>
      </c>
      <c r="M21" s="133"/>
      <c r="N21" s="301">
        <v>0</v>
      </c>
      <c r="O21" s="115"/>
      <c r="P21" s="302">
        <v>0</v>
      </c>
      <c r="Q21" s="133"/>
      <c r="R21" s="301">
        <v>0</v>
      </c>
      <c r="S21" s="115"/>
      <c r="T21" s="83"/>
      <c r="V21" s="12"/>
    </row>
    <row r="22" spans="1:23" x14ac:dyDescent="0.25">
      <c r="A22" s="97" t="s">
        <v>27</v>
      </c>
      <c r="B22" s="155"/>
      <c r="C22" s="100" t="s">
        <v>21</v>
      </c>
      <c r="D22" s="155"/>
      <c r="E22" s="155"/>
      <c r="F22" s="301">
        <v>0.04</v>
      </c>
      <c r="G22" s="179"/>
      <c r="H22" s="301">
        <v>0</v>
      </c>
      <c r="I22" s="132"/>
      <c r="J22" s="301">
        <v>0</v>
      </c>
      <c r="K22" s="132"/>
      <c r="L22" s="301">
        <v>0</v>
      </c>
      <c r="M22" s="114"/>
      <c r="N22" s="391">
        <v>0</v>
      </c>
      <c r="O22" s="114"/>
      <c r="P22" s="391">
        <v>0</v>
      </c>
      <c r="Q22" s="132"/>
      <c r="R22" s="301">
        <v>0</v>
      </c>
      <c r="S22" s="114"/>
      <c r="T22" s="82"/>
      <c r="V22" s="12"/>
    </row>
    <row r="23" spans="1:23" x14ac:dyDescent="0.25">
      <c r="A23" s="97" t="s">
        <v>153</v>
      </c>
      <c r="B23" s="155"/>
      <c r="C23" s="100"/>
      <c r="D23" s="155"/>
      <c r="E23" s="155"/>
      <c r="F23" s="348">
        <v>0.08</v>
      </c>
      <c r="G23" s="127"/>
      <c r="H23" s="348">
        <v>0.08</v>
      </c>
      <c r="I23" s="132"/>
      <c r="J23" s="348">
        <v>0.08</v>
      </c>
      <c r="K23" s="132"/>
      <c r="L23" s="348">
        <v>0.2</v>
      </c>
      <c r="M23" s="114"/>
      <c r="N23" s="349">
        <v>0</v>
      </c>
      <c r="O23" s="114"/>
      <c r="P23" s="350">
        <v>0</v>
      </c>
      <c r="Q23" s="132"/>
      <c r="R23" s="349">
        <v>0</v>
      </c>
      <c r="S23" s="114"/>
      <c r="T23" s="82"/>
      <c r="V23" s="12"/>
    </row>
    <row r="24" spans="1:23" x14ac:dyDescent="0.25">
      <c r="A24" s="110" t="s">
        <v>150</v>
      </c>
      <c r="B24" s="155"/>
      <c r="C24" s="100"/>
      <c r="D24" s="155"/>
      <c r="E24" s="155"/>
      <c r="F24" s="231">
        <f>SUM(F20:F23)</f>
        <v>0.247</v>
      </c>
      <c r="G24" s="218">
        <f>G18/(1-F24)-G18</f>
        <v>6.855538413293619</v>
      </c>
      <c r="H24" s="231">
        <f>SUM(H20:H23)</f>
        <v>0.20700000000000002</v>
      </c>
      <c r="I24" s="218">
        <f>I18/(1-H24)-I18</f>
        <v>6.4541144589237334</v>
      </c>
      <c r="J24" s="231">
        <f>SUM(J20:J23)</f>
        <v>0.20700000000000002</v>
      </c>
      <c r="K24" s="218">
        <f>K18/(1-J24)-K18</f>
        <v>7.1343985802352066</v>
      </c>
      <c r="L24" s="231">
        <f>SUM(L20:L23)</f>
        <v>0.32700000000000001</v>
      </c>
      <c r="M24" s="218">
        <f>M18/(1-L24)-M18</f>
        <v>21.721632908495174</v>
      </c>
      <c r="N24" s="231">
        <f>SUM(N20:N23)</f>
        <v>0.1265</v>
      </c>
      <c r="O24" s="286">
        <f>O18/(1-N24)-O18</f>
        <v>0</v>
      </c>
      <c r="P24" s="231">
        <f>SUM(P20:P23)</f>
        <v>0.1071</v>
      </c>
      <c r="Q24" s="218">
        <f>Q18/(1-P24)-Q18</f>
        <v>0</v>
      </c>
      <c r="R24" s="231">
        <f>SUM(R20:R23)</f>
        <v>0.1071</v>
      </c>
      <c r="S24" s="219">
        <f>S18/(1-R24)-S18</f>
        <v>0</v>
      </c>
      <c r="T24" s="82"/>
      <c r="U24" s="396" t="s">
        <v>192</v>
      </c>
      <c r="V24" s="395">
        <v>0.28000000000000003</v>
      </c>
      <c r="W24" s="413">
        <f>F35*F24+H35*H24+J35*J24+L35*L24+N35*N24+P35*P24+R35*R24</f>
        <v>0.247</v>
      </c>
    </row>
    <row r="25" spans="1:23" ht="18.95" customHeight="1" x14ac:dyDescent="0.25">
      <c r="A25" s="164" t="s">
        <v>125</v>
      </c>
      <c r="B25" s="165"/>
      <c r="C25" s="166"/>
      <c r="D25" s="165"/>
      <c r="E25" s="165"/>
      <c r="F25" s="180"/>
      <c r="G25" s="181">
        <f>G24+G18</f>
        <v>27.755216248152308</v>
      </c>
      <c r="H25" s="182"/>
      <c r="I25" s="181">
        <f>I24+I18</f>
        <v>31.179296903013192</v>
      </c>
      <c r="J25" s="182"/>
      <c r="K25" s="181">
        <f>K24+K18</f>
        <v>34.465693624324665</v>
      </c>
      <c r="L25" s="183"/>
      <c r="M25" s="181">
        <f>M24+M18</f>
        <v>66.427011952584635</v>
      </c>
      <c r="N25" s="195"/>
      <c r="O25" s="287">
        <f>O24+O18</f>
        <v>0</v>
      </c>
      <c r="P25" s="182"/>
      <c r="Q25" s="181">
        <f>Q24+Q18</f>
        <v>0</v>
      </c>
      <c r="R25" s="195"/>
      <c r="S25" s="255">
        <f>S24+S18</f>
        <v>0</v>
      </c>
      <c r="T25" s="1"/>
    </row>
    <row r="26" spans="1:23" x14ac:dyDescent="0.25">
      <c r="A26" s="109"/>
      <c r="B26" s="87"/>
      <c r="C26" s="100"/>
      <c r="D26" s="87"/>
      <c r="E26" s="87"/>
      <c r="F26" s="184"/>
      <c r="G26" s="128"/>
      <c r="H26" s="134"/>
      <c r="I26" s="135"/>
      <c r="J26" s="134"/>
      <c r="K26" s="135"/>
      <c r="L26" s="122"/>
      <c r="M26" s="123"/>
      <c r="N26" s="134"/>
      <c r="O26" s="123"/>
      <c r="P26" s="134"/>
      <c r="Q26" s="135"/>
      <c r="R26" s="134"/>
      <c r="S26" s="123"/>
      <c r="T26" s="1"/>
    </row>
    <row r="27" spans="1:23" x14ac:dyDescent="0.25">
      <c r="A27" s="96" t="s">
        <v>116</v>
      </c>
      <c r="B27" s="87"/>
      <c r="C27" s="154"/>
      <c r="D27" s="87"/>
      <c r="E27" s="87"/>
      <c r="F27" s="87"/>
      <c r="G27" s="126"/>
      <c r="H27" s="131"/>
      <c r="I27" s="126"/>
      <c r="J27" s="131"/>
      <c r="K27" s="126"/>
      <c r="L27" s="87"/>
      <c r="M27" s="87"/>
      <c r="N27" s="131"/>
      <c r="O27" s="87"/>
      <c r="P27" s="131"/>
      <c r="Q27" s="126"/>
      <c r="R27" s="131"/>
      <c r="S27" s="87"/>
      <c r="T27" s="1"/>
    </row>
    <row r="28" spans="1:23" x14ac:dyDescent="0.25">
      <c r="A28" s="121" t="s">
        <v>94</v>
      </c>
      <c r="B28" s="101"/>
      <c r="C28" s="100"/>
      <c r="D28" s="101"/>
      <c r="E28" s="101"/>
      <c r="F28" s="261">
        <v>0.28999999999999998</v>
      </c>
      <c r="G28" s="142">
        <f>F28*G25</f>
        <v>8.0490127119641688</v>
      </c>
      <c r="H28" s="264">
        <v>0.28999999999999998</v>
      </c>
      <c r="I28" s="136">
        <f>H28*I25</f>
        <v>9.041996101873826</v>
      </c>
      <c r="J28" s="261">
        <v>0.28999999999999998</v>
      </c>
      <c r="K28" s="136">
        <f>J28*K25</f>
        <v>9.9950511510541524</v>
      </c>
      <c r="L28" s="261">
        <v>0.28999999999999998</v>
      </c>
      <c r="M28" s="192">
        <f>L28*M25</f>
        <v>19.263833466249544</v>
      </c>
      <c r="N28" s="267">
        <v>0</v>
      </c>
      <c r="O28" s="196">
        <f>N28*O25</f>
        <v>0</v>
      </c>
      <c r="P28" s="293">
        <v>0</v>
      </c>
      <c r="Q28" s="136">
        <f>P28*Q25</f>
        <v>0</v>
      </c>
      <c r="R28" s="267">
        <v>0</v>
      </c>
      <c r="S28" s="196">
        <f>R28*S25</f>
        <v>0</v>
      </c>
      <c r="T28" s="1"/>
      <c r="U28" s="396" t="s">
        <v>190</v>
      </c>
      <c r="V28" s="395">
        <v>0.55000000000000004</v>
      </c>
      <c r="W28" s="412">
        <f>F35*F28+H35*H28+J35*J28+L35*L28+N35*N28+P35*P28+R35*R28</f>
        <v>0.28999999999999998</v>
      </c>
    </row>
    <row r="29" spans="1:23" x14ac:dyDescent="0.25">
      <c r="A29" s="157"/>
      <c r="B29" s="101"/>
      <c r="C29" s="100"/>
      <c r="D29" s="101"/>
      <c r="E29" s="101"/>
      <c r="F29" s="262"/>
      <c r="G29" s="158"/>
      <c r="H29" s="265"/>
      <c r="I29" s="159"/>
      <c r="J29" s="262"/>
      <c r="K29" s="159"/>
      <c r="L29" s="262"/>
      <c r="M29" s="193"/>
      <c r="N29" s="268"/>
      <c r="O29" s="185"/>
      <c r="P29" s="294"/>
      <c r="Q29" s="159"/>
      <c r="R29" s="268"/>
      <c r="S29" s="185"/>
      <c r="T29" s="1"/>
    </row>
    <row r="30" spans="1:23" x14ac:dyDescent="0.25">
      <c r="A30" s="96" t="s">
        <v>122</v>
      </c>
      <c r="B30" s="101"/>
      <c r="C30" s="87"/>
      <c r="D30" s="101"/>
      <c r="E30" s="101"/>
      <c r="F30" s="263"/>
      <c r="G30" s="160"/>
      <c r="H30" s="266"/>
      <c r="I30" s="161"/>
      <c r="J30" s="263"/>
      <c r="K30" s="161"/>
      <c r="L30" s="263"/>
      <c r="M30" s="194"/>
      <c r="N30" s="269"/>
      <c r="O30" s="197"/>
      <c r="P30" s="295"/>
      <c r="Q30" s="161"/>
      <c r="R30" s="269"/>
      <c r="S30" s="197"/>
      <c r="T30" s="1"/>
    </row>
    <row r="31" spans="1:23" x14ac:dyDescent="0.25">
      <c r="A31" s="150" t="s">
        <v>126</v>
      </c>
      <c r="B31" s="87"/>
      <c r="C31" s="87"/>
      <c r="D31" s="87"/>
      <c r="E31" s="87"/>
      <c r="F31" s="261">
        <v>0.02</v>
      </c>
      <c r="G31" s="247">
        <f>F31*G25</f>
        <v>0.55510432496304618</v>
      </c>
      <c r="H31" s="261">
        <v>0.02</v>
      </c>
      <c r="I31" s="249">
        <f>H31*I25</f>
        <v>0.62358593806026386</v>
      </c>
      <c r="J31" s="261">
        <v>0.02</v>
      </c>
      <c r="K31" s="249">
        <f>J31*K25</f>
        <v>0.68931387248649334</v>
      </c>
      <c r="L31" s="261">
        <v>0.02</v>
      </c>
      <c r="M31" s="251">
        <f>L31*M25</f>
        <v>1.3285402390516927</v>
      </c>
      <c r="N31" s="267">
        <v>0.02</v>
      </c>
      <c r="O31" s="251">
        <f>N31*O25</f>
        <v>0</v>
      </c>
      <c r="P31" s="293">
        <v>0.02</v>
      </c>
      <c r="Q31" s="249">
        <f>P31*Q25</f>
        <v>0</v>
      </c>
      <c r="R31" s="267">
        <v>0.03</v>
      </c>
      <c r="S31" s="251">
        <f>R31*S25</f>
        <v>0</v>
      </c>
      <c r="T31" s="1"/>
      <c r="U31" s="396" t="s">
        <v>193</v>
      </c>
      <c r="V31" s="395">
        <v>0.02</v>
      </c>
      <c r="W31" s="412">
        <f>F31*F35+H31*H35+J31*J35+L31*L35+N31*N35+P31*P35+R31*R35</f>
        <v>0.02</v>
      </c>
    </row>
    <row r="32" spans="1:23" ht="18.75" x14ac:dyDescent="0.25">
      <c r="A32" s="92" t="s">
        <v>102</v>
      </c>
      <c r="B32" s="151"/>
      <c r="C32" s="152"/>
      <c r="D32" s="151"/>
      <c r="E32" s="151"/>
      <c r="F32" s="108"/>
      <c r="G32" s="248">
        <f>IF(F5&lt;&gt;"",SUM(G25+G28+G31),0)</f>
        <v>36.359333285079522</v>
      </c>
      <c r="H32" s="143"/>
      <c r="I32" s="248">
        <f>IF(H5&lt;&gt;"",SUM(I25+I28+I31),0)</f>
        <v>40.844878942947282</v>
      </c>
      <c r="J32" s="143"/>
      <c r="K32" s="250">
        <f>IF(J5&lt;&gt;"",SUM(K25+K28+K31),0)</f>
        <v>45.150058647865308</v>
      </c>
      <c r="L32" s="113"/>
      <c r="M32" s="248">
        <f>IF(L5&lt;&gt;"",SUM(M25+M28+M31),0)</f>
        <v>87.019385657885877</v>
      </c>
      <c r="N32" s="211"/>
      <c r="O32" s="248">
        <f>IF(N5&lt;&gt;"",SUM(O25+O28+O31),0)</f>
        <v>0</v>
      </c>
      <c r="P32" s="143"/>
      <c r="Q32" s="250">
        <f>IF(P5&lt;&gt;"",SUM(Q25+Q28+Q31),0)</f>
        <v>0</v>
      </c>
      <c r="R32" s="211"/>
      <c r="S32" s="248">
        <f>IF(R5&lt;&gt;"",SUM(S25+S28+S31),0)</f>
        <v>0</v>
      </c>
      <c r="T32" s="1"/>
      <c r="U32" s="188"/>
    </row>
    <row r="33" spans="1:24" x14ac:dyDescent="0.25">
      <c r="A33" s="96" t="s">
        <v>155</v>
      </c>
      <c r="B33" s="87"/>
      <c r="C33" s="154"/>
      <c r="D33" s="87"/>
      <c r="E33" s="87"/>
      <c r="F33" s="200"/>
      <c r="G33" s="203"/>
      <c r="H33" s="199"/>
      <c r="I33" s="203"/>
      <c r="J33" s="199"/>
      <c r="K33" s="203"/>
      <c r="L33" s="200"/>
      <c r="M33" s="200"/>
      <c r="N33" s="199"/>
      <c r="O33" s="200"/>
      <c r="P33" s="199"/>
      <c r="Q33" s="203"/>
      <c r="R33" s="199"/>
      <c r="S33" s="200"/>
      <c r="T33" s="1"/>
      <c r="U33" s="188"/>
    </row>
    <row r="34" spans="1:24" ht="19.5" thickBot="1" x14ac:dyDescent="0.3">
      <c r="A34" s="258" t="s">
        <v>195</v>
      </c>
      <c r="B34" s="87"/>
      <c r="C34" s="100"/>
      <c r="D34" s="87"/>
      <c r="E34" s="87"/>
      <c r="F34" s="399">
        <v>10</v>
      </c>
      <c r="G34" s="400"/>
      <c r="H34" s="401">
        <v>0</v>
      </c>
      <c r="I34" s="400"/>
      <c r="J34" s="401">
        <v>0</v>
      </c>
      <c r="K34" s="400"/>
      <c r="L34" s="401">
        <v>0</v>
      </c>
      <c r="M34" s="400"/>
      <c r="N34" s="401">
        <v>0</v>
      </c>
      <c r="O34" s="402"/>
      <c r="P34" s="401">
        <v>0</v>
      </c>
      <c r="Q34" s="400"/>
      <c r="R34" s="401">
        <v>0</v>
      </c>
      <c r="S34" s="402"/>
      <c r="T34" s="1"/>
      <c r="U34" s="353"/>
    </row>
    <row r="35" spans="1:24" ht="19.5" hidden="1" thickBot="1" x14ac:dyDescent="0.3">
      <c r="A35" s="403" t="s">
        <v>200</v>
      </c>
      <c r="B35" s="404"/>
      <c r="C35" s="405"/>
      <c r="D35" s="404"/>
      <c r="E35" s="404"/>
      <c r="F35" s="406">
        <f>F34/$S$36</f>
        <v>1</v>
      </c>
      <c r="G35" s="407"/>
      <c r="H35" s="406">
        <f>H34/$S$36</f>
        <v>0</v>
      </c>
      <c r="I35" s="407"/>
      <c r="J35" s="406">
        <f>J34/$S$36</f>
        <v>0</v>
      </c>
      <c r="K35" s="407"/>
      <c r="L35" s="406">
        <f>L34/$S$36</f>
        <v>0</v>
      </c>
      <c r="M35" s="407"/>
      <c r="N35" s="406">
        <f>N34/$S$36</f>
        <v>0</v>
      </c>
      <c r="O35" s="408"/>
      <c r="P35" s="406">
        <f>P34/$S$36</f>
        <v>0</v>
      </c>
      <c r="Q35" s="407"/>
      <c r="R35" s="406">
        <f>R34/$S$36</f>
        <v>0</v>
      </c>
      <c r="S35" s="408"/>
      <c r="T35" s="1"/>
      <c r="U35" s="353"/>
    </row>
    <row r="36" spans="1:24" ht="19.5" thickBot="1" x14ac:dyDescent="0.3">
      <c r="A36" s="352" t="s">
        <v>191</v>
      </c>
      <c r="B36" s="87"/>
      <c r="C36" s="100"/>
      <c r="D36" s="87"/>
      <c r="E36" s="87"/>
      <c r="F36" s="354"/>
      <c r="G36" s="354"/>
      <c r="H36" s="355"/>
      <c r="I36" s="354"/>
      <c r="J36" s="355"/>
      <c r="K36" s="354"/>
      <c r="L36" s="355"/>
      <c r="M36" s="354"/>
      <c r="N36" s="355"/>
      <c r="O36" s="356"/>
      <c r="P36" s="355"/>
      <c r="Q36" s="354"/>
      <c r="R36" s="355"/>
      <c r="S36" s="371">
        <f>SUM(F34:S34)</f>
        <v>10</v>
      </c>
      <c r="T36" s="1"/>
      <c r="U36" s="353"/>
    </row>
    <row r="37" spans="1:24" ht="19.5" thickBot="1" x14ac:dyDescent="0.3">
      <c r="A37" s="208" t="s">
        <v>156</v>
      </c>
      <c r="B37" s="87"/>
      <c r="C37" s="100"/>
      <c r="D37" s="87"/>
      <c r="E37" s="87"/>
      <c r="F37" s="357"/>
      <c r="G37" s="358"/>
      <c r="H37" s="359"/>
      <c r="I37" s="358"/>
      <c r="J37" s="359"/>
      <c r="K37" s="358"/>
      <c r="L37" s="359"/>
      <c r="M37" s="358"/>
      <c r="N37" s="359"/>
      <c r="O37" s="358"/>
      <c r="P37" s="359"/>
      <c r="Q37" s="358"/>
      <c r="R37" s="360"/>
      <c r="S37" s="209">
        <f>(F34*G32+H34*I32+J34*K32+L34*M32+N34*O32+P34*Q32+R34*S32)</f>
        <v>363.59333285079521</v>
      </c>
      <c r="T37" s="1"/>
      <c r="U37" s="188"/>
    </row>
    <row r="38" spans="1:24" x14ac:dyDescent="0.25">
      <c r="A38" s="96" t="s">
        <v>151</v>
      </c>
      <c r="B38" s="87"/>
      <c r="C38" s="154"/>
      <c r="D38" s="87"/>
      <c r="E38" s="87"/>
      <c r="F38" s="87"/>
      <c r="G38" s="126"/>
      <c r="H38" s="131"/>
      <c r="I38" s="126"/>
      <c r="J38" s="131"/>
      <c r="K38" s="126"/>
      <c r="L38" s="131"/>
      <c r="M38" s="126"/>
      <c r="N38" s="131"/>
      <c r="O38" s="126"/>
      <c r="P38" s="131"/>
      <c r="Q38" s="126"/>
      <c r="R38" s="198"/>
      <c r="S38" s="222"/>
      <c r="T38" s="1"/>
    </row>
    <row r="39" spans="1:24" ht="17.25" customHeight="1" x14ac:dyDescent="0.25">
      <c r="A39" s="97" t="s">
        <v>149</v>
      </c>
      <c r="B39" s="99"/>
      <c r="C39" s="100"/>
      <c r="D39" s="99"/>
      <c r="E39" s="99"/>
      <c r="F39" s="362"/>
      <c r="G39" s="363"/>
      <c r="H39" s="366"/>
      <c r="I39" s="363"/>
      <c r="J39" s="366"/>
      <c r="K39" s="363"/>
      <c r="L39" s="366"/>
      <c r="M39" s="363"/>
      <c r="N39" s="366"/>
      <c r="O39" s="363"/>
      <c r="P39" s="366"/>
      <c r="Q39" s="363"/>
      <c r="R39" s="361"/>
      <c r="S39" s="210">
        <v>11</v>
      </c>
      <c r="T39" s="1"/>
    </row>
    <row r="40" spans="1:24" ht="16.5" thickBot="1" x14ac:dyDescent="0.3">
      <c r="A40" s="94" t="s">
        <v>129</v>
      </c>
      <c r="B40" s="87"/>
      <c r="C40" s="100"/>
      <c r="D40" s="87"/>
      <c r="E40" s="87"/>
      <c r="F40" s="167"/>
      <c r="G40" s="364"/>
      <c r="H40" s="367"/>
      <c r="I40" s="364"/>
      <c r="J40" s="367"/>
      <c r="K40" s="364"/>
      <c r="L40" s="367"/>
      <c r="M40" s="364"/>
      <c r="N40" s="367"/>
      <c r="O40" s="364"/>
      <c r="P40" s="367"/>
      <c r="Q40" s="364"/>
      <c r="R40" s="23"/>
      <c r="S40" s="378">
        <v>23</v>
      </c>
      <c r="T40" s="1"/>
    </row>
    <row r="41" spans="1:24" ht="16.5" thickBot="1" x14ac:dyDescent="0.3">
      <c r="A41" s="164" t="s">
        <v>128</v>
      </c>
      <c r="B41" s="87"/>
      <c r="C41" s="100"/>
      <c r="D41" s="87"/>
      <c r="E41" s="87"/>
      <c r="F41" s="285"/>
      <c r="G41" s="365"/>
      <c r="H41" s="368"/>
      <c r="I41" s="365"/>
      <c r="J41" s="368"/>
      <c r="K41" s="365"/>
      <c r="L41" s="368"/>
      <c r="M41" s="365"/>
      <c r="N41" s="368"/>
      <c r="O41" s="365"/>
      <c r="P41" s="368"/>
      <c r="Q41" s="365"/>
      <c r="R41" s="20"/>
      <c r="S41" s="379">
        <f>S39+S40</f>
        <v>34</v>
      </c>
      <c r="T41" s="1"/>
      <c r="U41" s="393" t="s">
        <v>194</v>
      </c>
      <c r="V41" s="397">
        <v>36.299999999999997</v>
      </c>
      <c r="W41" s="398">
        <f>S41</f>
        <v>34</v>
      </c>
    </row>
    <row r="42" spans="1:24" ht="5.25" customHeight="1" thickBot="1" x14ac:dyDescent="0.3">
      <c r="A42" s="96"/>
      <c r="B42" s="87"/>
      <c r="C42" s="154"/>
      <c r="D42" s="87"/>
      <c r="E42" s="87"/>
      <c r="F42" s="87"/>
      <c r="G42" s="126"/>
      <c r="H42" s="131"/>
      <c r="I42" s="126"/>
      <c r="J42" s="131"/>
      <c r="K42" s="126"/>
      <c r="L42" s="131"/>
      <c r="M42" s="126"/>
      <c r="N42" s="131"/>
      <c r="O42" s="126"/>
      <c r="P42" s="131"/>
      <c r="Q42" s="126"/>
      <c r="R42" s="198"/>
      <c r="S42" s="204"/>
      <c r="T42" s="1"/>
    </row>
    <row r="43" spans="1:24" ht="19.5" thickBot="1" x14ac:dyDescent="0.3">
      <c r="A43" s="140" t="s">
        <v>157</v>
      </c>
      <c r="B43" s="153"/>
      <c r="C43" s="153"/>
      <c r="D43" s="153"/>
      <c r="E43" s="153"/>
      <c r="F43" s="23"/>
      <c r="G43" s="187"/>
      <c r="H43" s="186"/>
      <c r="I43" s="187"/>
      <c r="J43" s="186"/>
      <c r="K43" s="187"/>
      <c r="L43" s="186"/>
      <c r="M43" s="187"/>
      <c r="N43" s="186"/>
      <c r="O43" s="187"/>
      <c r="P43" s="186"/>
      <c r="Q43" s="187"/>
      <c r="R43" s="270"/>
      <c r="S43" s="209">
        <f>(S37+S41)</f>
        <v>397.59333285079521</v>
      </c>
      <c r="T43" s="1"/>
    </row>
    <row r="44" spans="1:24" ht="19.5" thickBot="1" x14ac:dyDescent="0.3">
      <c r="A44" s="275" t="s">
        <v>173</v>
      </c>
      <c r="B44" s="276"/>
      <c r="C44" s="276"/>
      <c r="D44" s="276"/>
      <c r="E44" s="276"/>
      <c r="F44" s="277"/>
      <c r="G44" s="277"/>
      <c r="H44" s="296"/>
      <c r="I44" s="297"/>
      <c r="J44" s="296"/>
      <c r="K44" s="297"/>
      <c r="L44" s="296"/>
      <c r="M44" s="297"/>
      <c r="N44" s="296"/>
      <c r="O44" s="297"/>
      <c r="P44" s="296"/>
      <c r="Q44" s="297"/>
      <c r="R44" s="278"/>
      <c r="S44" s="351">
        <v>2.52E-2</v>
      </c>
      <c r="T44" s="1"/>
    </row>
    <row r="45" spans="1:24" ht="19.5" thickBot="1" x14ac:dyDescent="0.3">
      <c r="A45" s="274" t="s">
        <v>174</v>
      </c>
      <c r="B45" s="153"/>
      <c r="C45" s="153"/>
      <c r="D45" s="153"/>
      <c r="E45" s="153"/>
      <c r="F45" s="23"/>
      <c r="G45" s="23"/>
      <c r="H45" s="369"/>
      <c r="I45" s="370"/>
      <c r="J45" s="369"/>
      <c r="K45" s="370"/>
      <c r="L45" s="369"/>
      <c r="M45" s="370"/>
      <c r="N45" s="186"/>
      <c r="O45" s="187"/>
      <c r="P45" s="369"/>
      <c r="Q45" s="370"/>
      <c r="R45" s="186"/>
      <c r="S45" s="209">
        <f>S43+(S43*S44)</f>
        <v>407.61268483863523</v>
      </c>
      <c r="T45" s="1"/>
    </row>
    <row r="46" spans="1:24" x14ac:dyDescent="0.25">
      <c r="A46" s="380"/>
      <c r="B46" s="153"/>
      <c r="C46" s="153"/>
      <c r="D46" s="153"/>
      <c r="E46" s="153"/>
      <c r="F46" s="381"/>
      <c r="G46" s="381"/>
      <c r="H46" s="381"/>
      <c r="I46" s="381"/>
      <c r="J46" s="381"/>
      <c r="K46" s="381"/>
      <c r="L46" s="381"/>
      <c r="M46" s="381"/>
      <c r="N46" s="381"/>
      <c r="O46" s="381"/>
      <c r="P46" s="381"/>
      <c r="Q46" s="381"/>
      <c r="R46" s="381"/>
      <c r="S46" s="381"/>
      <c r="T46" s="1"/>
      <c r="W46" s="410" t="b">
        <f>IF(AND(W12&lt;=V12,W24&lt;=V24,W28&lt;=V28,W31&lt;=V31,W41&lt;=V41),TRUE,FALSE)</f>
        <v>1</v>
      </c>
      <c r="X46" s="411" t="b">
        <f>IF(ISNA(W46),0,W46)</f>
        <v>1</v>
      </c>
    </row>
    <row r="47" spans="1:24" ht="10.5" customHeight="1" thickBot="1" x14ac:dyDescent="0.3">
      <c r="A47" s="380"/>
      <c r="B47" s="153"/>
      <c r="C47" s="153"/>
      <c r="D47" s="153"/>
      <c r="E47" s="153"/>
      <c r="F47" s="381"/>
      <c r="G47" s="381"/>
      <c r="H47" s="381"/>
      <c r="I47" s="381"/>
      <c r="J47" s="381"/>
      <c r="K47" s="381"/>
      <c r="L47" s="381"/>
      <c r="M47" s="381"/>
      <c r="N47" s="381"/>
      <c r="O47" s="381"/>
      <c r="P47" s="381"/>
      <c r="Q47" s="381"/>
      <c r="R47" s="381"/>
      <c r="S47" s="381"/>
      <c r="T47" s="1"/>
    </row>
    <row r="48" spans="1:24" ht="21.75" thickBot="1" x14ac:dyDescent="0.4">
      <c r="A48" s="385" t="s">
        <v>196</v>
      </c>
      <c r="B48" s="386"/>
      <c r="C48" s="386"/>
      <c r="D48" s="386"/>
      <c r="E48" s="386"/>
      <c r="F48" s="414" t="str">
        <f>IF(W46,"WAAR","NIET WAAR, ONGELDIG!!")</f>
        <v>WAAR</v>
      </c>
      <c r="G48" s="415"/>
      <c r="H48" s="415"/>
      <c r="I48" s="416"/>
      <c r="M48" s="13"/>
      <c r="O48" s="387"/>
      <c r="Q48" s="13"/>
      <c r="S48" s="387"/>
    </row>
    <row r="49" spans="1:19" ht="18.75" x14ac:dyDescent="0.25">
      <c r="A49" s="383"/>
      <c r="B49" s="384"/>
      <c r="C49" s="384"/>
      <c r="D49" s="384"/>
      <c r="E49" s="384"/>
      <c r="F49" s="381"/>
      <c r="G49" s="381"/>
      <c r="H49" s="381"/>
      <c r="I49" s="381"/>
      <c r="M49" s="13"/>
      <c r="O49" s="387"/>
      <c r="Q49" s="13"/>
      <c r="S49" s="387"/>
    </row>
    <row r="50" spans="1:19" x14ac:dyDescent="0.25">
      <c r="A50" s="5" t="s">
        <v>197</v>
      </c>
    </row>
    <row r="51" spans="1:19" ht="21.75" customHeight="1" x14ac:dyDescent="0.25">
      <c r="A51" s="417" t="s">
        <v>206</v>
      </c>
      <c r="B51" s="418"/>
      <c r="C51" s="418"/>
      <c r="D51" s="418"/>
      <c r="E51" s="418"/>
      <c r="F51" s="418"/>
      <c r="G51" s="418"/>
      <c r="H51" s="418"/>
      <c r="I51" s="418"/>
      <c r="J51" s="418"/>
      <c r="K51" s="418"/>
      <c r="L51" s="418"/>
      <c r="M51" s="418"/>
      <c r="N51" s="418"/>
      <c r="O51" s="419"/>
      <c r="P51" s="284"/>
      <c r="Q51" s="284"/>
      <c r="R51" s="284"/>
      <c r="S51" s="284"/>
    </row>
    <row r="52" spans="1:19" ht="15.75" customHeight="1" x14ac:dyDescent="0.25">
      <c r="A52" s="420"/>
      <c r="B52" s="421"/>
      <c r="C52" s="421"/>
      <c r="D52" s="421"/>
      <c r="E52" s="421"/>
      <c r="F52" s="421"/>
      <c r="G52" s="421"/>
      <c r="H52" s="421"/>
      <c r="I52" s="421"/>
      <c r="J52" s="421"/>
      <c r="K52" s="421"/>
      <c r="L52" s="421"/>
      <c r="M52" s="421"/>
      <c r="N52" s="421"/>
      <c r="O52" s="422"/>
      <c r="P52" s="284"/>
      <c r="Q52" s="284"/>
      <c r="R52" s="284"/>
      <c r="S52" s="284"/>
    </row>
    <row r="53" spans="1:19" ht="35.25" customHeight="1" x14ac:dyDescent="0.25">
      <c r="A53" s="382"/>
      <c r="B53" s="382"/>
      <c r="C53" s="382"/>
      <c r="D53" s="382"/>
      <c r="E53" s="382"/>
      <c r="F53" s="382"/>
      <c r="G53" s="382"/>
      <c r="H53" s="382"/>
      <c r="I53" s="382"/>
      <c r="J53" s="382"/>
      <c r="K53" s="382"/>
      <c r="L53" s="382"/>
      <c r="M53" s="382"/>
      <c r="N53" s="382"/>
      <c r="O53" s="382"/>
      <c r="P53" s="284"/>
      <c r="Q53" s="284"/>
      <c r="R53" s="284"/>
      <c r="S53" s="284"/>
    </row>
  </sheetData>
  <sheetProtection password="CBBB" sheet="1" objects="1" scenarios="1"/>
  <mergeCells count="11">
    <mergeCell ref="U7:V7"/>
    <mergeCell ref="F48:I48"/>
    <mergeCell ref="A51:O52"/>
    <mergeCell ref="F3:S3"/>
    <mergeCell ref="F5:G5"/>
    <mergeCell ref="H5:I5"/>
    <mergeCell ref="J5:K5"/>
    <mergeCell ref="L5:M5"/>
    <mergeCell ref="N5:O5"/>
    <mergeCell ref="P5:Q5"/>
    <mergeCell ref="R5:S5"/>
  </mergeCells>
  <conditionalFormatting sqref="F48:F49">
    <cfRule type="cellIs" dxfId="15" priority="8" operator="equal">
      <formula>"NIET WAAR, ONGELDIG!!"</formula>
    </cfRule>
    <cfRule type="cellIs" dxfId="14" priority="9" operator="equal">
      <formula>"WAAR"</formula>
    </cfRule>
  </conditionalFormatting>
  <conditionalFormatting sqref="W12">
    <cfRule type="cellIs" dxfId="13" priority="7" operator="greaterThan">
      <formula>$V$12</formula>
    </cfRule>
  </conditionalFormatting>
  <conditionalFormatting sqref="W24">
    <cfRule type="cellIs" dxfId="12" priority="6" operator="greaterThan">
      <formula>$V$24</formula>
    </cfRule>
  </conditionalFormatting>
  <conditionalFormatting sqref="W28">
    <cfRule type="cellIs" dxfId="11" priority="5" operator="greaterThan">
      <formula>$V$28</formula>
    </cfRule>
  </conditionalFormatting>
  <conditionalFormatting sqref="W31">
    <cfRule type="cellIs" dxfId="10" priority="4" operator="greaterThan">
      <formula>$V$31</formula>
    </cfRule>
  </conditionalFormatting>
  <conditionalFormatting sqref="W41">
    <cfRule type="cellIs" dxfId="9" priority="1" operator="greaterThan">
      <formula>$V$41</formula>
    </cfRule>
    <cfRule type="cellIs" dxfId="8" priority="2" operator="greaterThan">
      <formula>$W$41</formula>
    </cfRule>
    <cfRule type="cellIs" priority="3" operator="greaterThan">
      <formula>$V$41</formula>
    </cfRule>
  </conditionalFormatting>
  <pageMargins left="0.7" right="0.7" top="0.75" bottom="0.75" header="0.3" footer="0.3"/>
  <pageSetup paperSize="9" scale="66" fitToHeight="2"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Toelichting!$A$37:$A$42</xm:f>
          </x14:formula1>
          <xm:sqref>F5:S5</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pageSetUpPr fitToPage="1"/>
  </sheetPr>
  <dimension ref="A1:X53"/>
  <sheetViews>
    <sheetView zoomScale="80" zoomScaleNormal="80" workbookViewId="0">
      <pane ySplit="3" topLeftCell="A4" activePane="bottomLeft" state="frozen"/>
      <selection pane="bottomLeft" activeCell="F3" sqref="F3:S3"/>
    </sheetView>
  </sheetViews>
  <sheetFormatPr defaultColWidth="10.5" defaultRowHeight="15.75" x14ac:dyDescent="0.25"/>
  <cols>
    <col min="1" max="1" width="60.875" style="5" customWidth="1"/>
    <col min="2" max="2" width="0.5" style="6" customWidth="1"/>
    <col min="3" max="3" width="14" style="6" hidden="1" customWidth="1"/>
    <col min="4" max="5" width="0.5" style="6" customWidth="1"/>
    <col min="6" max="6" width="11.625" style="6" customWidth="1"/>
    <col min="7" max="7" width="12.5" style="6" bestFit="1" customWidth="1"/>
    <col min="8" max="8" width="11.125" style="6" customWidth="1"/>
    <col min="9" max="10" width="11.5" style="6" customWidth="1"/>
    <col min="11" max="11" width="11.375" style="6" customWidth="1"/>
    <col min="12" max="12" width="11.75" style="6" customWidth="1"/>
    <col min="13" max="13" width="12" style="6" customWidth="1"/>
    <col min="14" max="15" width="12.5" style="6" customWidth="1"/>
    <col min="16" max="16" width="11.875" style="6" customWidth="1"/>
    <col min="17" max="17" width="12" style="6" customWidth="1"/>
    <col min="18" max="19" width="12.5" style="6" customWidth="1"/>
    <col min="20" max="20" width="0.75" style="5" customWidth="1"/>
    <col min="21" max="21" width="28" style="5" bestFit="1" customWidth="1"/>
    <col min="22" max="22" width="7.5" style="5" bestFit="1" customWidth="1"/>
    <col min="23" max="23" width="20.25" style="5" bestFit="1" customWidth="1"/>
    <col min="24" max="24" width="8.875" style="5" bestFit="1" customWidth="1"/>
    <col min="25" max="26" width="7.875" style="5" customWidth="1"/>
    <col min="27" max="16384" width="10.5" style="5"/>
  </cols>
  <sheetData>
    <row r="1" spans="1:24" x14ac:dyDescent="0.25">
      <c r="A1" s="67" t="s">
        <v>0</v>
      </c>
      <c r="B1" s="16"/>
      <c r="C1" s="16"/>
      <c r="D1" s="16"/>
    </row>
    <row r="2" spans="1:24" x14ac:dyDescent="0.25">
      <c r="A2" s="162" t="s">
        <v>124</v>
      </c>
    </row>
    <row r="3" spans="1:24" s="388" customFormat="1" ht="18.75" x14ac:dyDescent="0.3">
      <c r="A3" s="92" t="s">
        <v>84</v>
      </c>
      <c r="B3" s="93"/>
      <c r="C3" s="93"/>
      <c r="D3" s="93"/>
      <c r="E3" s="93"/>
      <c r="F3" s="428" t="s">
        <v>207</v>
      </c>
      <c r="G3" s="428"/>
      <c r="H3" s="428"/>
      <c r="I3" s="428"/>
      <c r="J3" s="428"/>
      <c r="K3" s="428"/>
      <c r="L3" s="428"/>
      <c r="M3" s="428"/>
      <c r="N3" s="428"/>
      <c r="O3" s="428"/>
      <c r="P3" s="428"/>
      <c r="Q3" s="428"/>
      <c r="R3" s="428"/>
      <c r="S3" s="428"/>
      <c r="T3" s="39"/>
      <c r="V3" s="389"/>
      <c r="W3" s="389"/>
      <c r="X3" s="389"/>
    </row>
    <row r="4" spans="1:24" s="389" customFormat="1" x14ac:dyDescent="0.25">
      <c r="A4" s="111"/>
      <c r="B4" s="112"/>
      <c r="C4" s="112"/>
      <c r="D4" s="112"/>
      <c r="E4" s="112"/>
      <c r="F4" s="112"/>
      <c r="G4" s="167"/>
      <c r="H4" s="167"/>
      <c r="I4" s="167"/>
      <c r="J4" s="167"/>
      <c r="K4" s="167"/>
      <c r="L4" s="167"/>
      <c r="M4" s="167"/>
      <c r="N4" s="167"/>
      <c r="O4" s="167"/>
      <c r="P4" s="167"/>
      <c r="Q4" s="167"/>
      <c r="R4" s="167"/>
      <c r="S4" s="167"/>
      <c r="T4" s="83"/>
    </row>
    <row r="5" spans="1:24" ht="24.95" customHeight="1" x14ac:dyDescent="0.25">
      <c r="A5" s="95" t="s">
        <v>83</v>
      </c>
      <c r="B5" s="88"/>
      <c r="C5" s="86" t="s">
        <v>7</v>
      </c>
      <c r="D5" s="88"/>
      <c r="E5" s="88"/>
      <c r="F5" s="425" t="s">
        <v>99</v>
      </c>
      <c r="G5" s="424"/>
      <c r="H5" s="423" t="s">
        <v>99</v>
      </c>
      <c r="I5" s="424"/>
      <c r="J5" s="429" t="s">
        <v>99</v>
      </c>
      <c r="K5" s="430"/>
      <c r="L5" s="425" t="s">
        <v>205</v>
      </c>
      <c r="M5" s="425"/>
      <c r="N5" s="423" t="s">
        <v>97</v>
      </c>
      <c r="O5" s="425"/>
      <c r="P5" s="423" t="s">
        <v>98</v>
      </c>
      <c r="Q5" s="424"/>
      <c r="R5" s="423" t="s">
        <v>98</v>
      </c>
      <c r="S5" s="425"/>
      <c r="T5" s="89"/>
    </row>
    <row r="6" spans="1:24" x14ac:dyDescent="0.25">
      <c r="A6" s="96" t="s">
        <v>9</v>
      </c>
      <c r="B6" s="87"/>
      <c r="C6" s="87"/>
      <c r="D6" s="87"/>
      <c r="E6" s="87"/>
      <c r="F6" s="298"/>
      <c r="G6" s="299"/>
      <c r="H6" s="300"/>
      <c r="I6" s="299"/>
      <c r="J6" s="300"/>
      <c r="K6" s="299"/>
      <c r="L6" s="298"/>
      <c r="M6" s="298"/>
      <c r="N6" s="300"/>
      <c r="O6" s="298"/>
      <c r="P6" s="300"/>
      <c r="Q6" s="299"/>
      <c r="R6" s="300"/>
      <c r="S6" s="298"/>
      <c r="T6" s="1"/>
    </row>
    <row r="7" spans="1:24" ht="15.95" customHeight="1" x14ac:dyDescent="0.25">
      <c r="A7" s="97" t="s">
        <v>110</v>
      </c>
      <c r="B7" s="155"/>
      <c r="C7" s="100"/>
      <c r="D7" s="155"/>
      <c r="E7" s="155"/>
      <c r="F7" s="390"/>
      <c r="G7" s="288">
        <v>2153</v>
      </c>
      <c r="H7" s="138" t="s">
        <v>202</v>
      </c>
      <c r="I7" s="288">
        <v>2675</v>
      </c>
      <c r="J7" s="138" t="s">
        <v>203</v>
      </c>
      <c r="K7" s="288">
        <v>2948</v>
      </c>
      <c r="L7" s="138" t="s">
        <v>204</v>
      </c>
      <c r="M7" s="288">
        <v>4768</v>
      </c>
      <c r="N7" s="283"/>
      <c r="O7" s="256">
        <v>0</v>
      </c>
      <c r="P7" s="138"/>
      <c r="Q7" s="288">
        <v>0</v>
      </c>
      <c r="R7" s="283"/>
      <c r="S7" s="256">
        <v>0</v>
      </c>
      <c r="T7" s="82"/>
      <c r="U7" s="426" t="s">
        <v>198</v>
      </c>
      <c r="V7" s="427"/>
      <c r="W7" s="393" t="s">
        <v>201</v>
      </c>
    </row>
    <row r="8" spans="1:24" ht="15.95" customHeight="1" x14ac:dyDescent="0.25">
      <c r="A8" s="97" t="s">
        <v>105</v>
      </c>
      <c r="B8" s="155"/>
      <c r="C8" s="100"/>
      <c r="D8" s="155"/>
      <c r="E8" s="155"/>
      <c r="F8" s="169"/>
      <c r="G8" s="235">
        <f>G7/156</f>
        <v>13.801282051282051</v>
      </c>
      <c r="H8" s="129"/>
      <c r="I8" s="235">
        <f>I7/156</f>
        <v>17.147435897435898</v>
      </c>
      <c r="J8" s="139"/>
      <c r="K8" s="240">
        <f>K7/156</f>
        <v>18.897435897435898</v>
      </c>
      <c r="L8" s="137"/>
      <c r="M8" s="240">
        <f>M7/156</f>
        <v>30.564102564102566</v>
      </c>
      <c r="N8" s="228"/>
      <c r="O8" s="243">
        <f>O7/156</f>
        <v>0</v>
      </c>
      <c r="P8" s="289"/>
      <c r="Q8" s="240">
        <f>Q7/156</f>
        <v>0</v>
      </c>
      <c r="R8" s="228"/>
      <c r="S8" s="243">
        <f>S7/156</f>
        <v>0</v>
      </c>
      <c r="T8" s="82"/>
      <c r="U8" s="168"/>
    </row>
    <row r="9" spans="1:24" ht="15.95" customHeight="1" x14ac:dyDescent="0.25">
      <c r="A9" s="94" t="s">
        <v>107</v>
      </c>
      <c r="B9" s="155"/>
      <c r="C9" s="100" t="s">
        <v>11</v>
      </c>
      <c r="D9" s="155"/>
      <c r="E9" s="155"/>
      <c r="F9" s="229">
        <f>IF(F5&lt;&gt;"",8%,"")</f>
        <v>0.08</v>
      </c>
      <c r="G9" s="236">
        <f>F9*G8</f>
        <v>1.1041025641025641</v>
      </c>
      <c r="H9" s="229">
        <f>IF(H5&lt;&gt;"",8%,"")</f>
        <v>0.08</v>
      </c>
      <c r="I9" s="236">
        <f>H9*I8</f>
        <v>1.3717948717948718</v>
      </c>
      <c r="J9" s="229">
        <f>IF(J5&lt;&gt;"",8%,"")</f>
        <v>0.08</v>
      </c>
      <c r="K9" s="241">
        <f>J9*K8</f>
        <v>1.5117948717948719</v>
      </c>
      <c r="L9" s="229">
        <f>IF(L5&lt;&gt;"",8%,"")</f>
        <v>0.08</v>
      </c>
      <c r="M9" s="240">
        <f>L9*M8</f>
        <v>2.4451282051282055</v>
      </c>
      <c r="N9" s="229">
        <f>IF(N5&lt;&gt;"",8%,"")</f>
        <v>0.08</v>
      </c>
      <c r="O9" s="243">
        <f>O8*N9</f>
        <v>0</v>
      </c>
      <c r="P9" s="290">
        <f>IF(P5&lt;&gt;"",8%,"")</f>
        <v>0.08</v>
      </c>
      <c r="Q9" s="240">
        <f>P9*Q8</f>
        <v>0</v>
      </c>
      <c r="R9" s="229">
        <f>IF(R5&lt;&gt;"",8%,"")</f>
        <v>0.08</v>
      </c>
      <c r="S9" s="243">
        <f>S8*R9</f>
        <v>0</v>
      </c>
      <c r="T9" s="83"/>
      <c r="U9" s="170"/>
    </row>
    <row r="10" spans="1:24" ht="15.95" customHeight="1" x14ac:dyDescent="0.25">
      <c r="A10" s="121" t="s">
        <v>146</v>
      </c>
      <c r="B10" s="155"/>
      <c r="C10" s="100"/>
      <c r="D10" s="155"/>
      <c r="E10" s="155"/>
      <c r="F10" s="229"/>
      <c r="G10" s="237">
        <f>G8+G9</f>
        <v>14.905384615384616</v>
      </c>
      <c r="H10" s="229"/>
      <c r="I10" s="237">
        <f>I8+I9</f>
        <v>18.51923076923077</v>
      </c>
      <c r="J10" s="229"/>
      <c r="K10" s="237">
        <f>K8+K9</f>
        <v>20.409230769230771</v>
      </c>
      <c r="L10" s="229"/>
      <c r="M10" s="237">
        <f>M8+M9</f>
        <v>33.009230769230768</v>
      </c>
      <c r="N10" s="229"/>
      <c r="O10" s="252">
        <f>O8+O9</f>
        <v>0</v>
      </c>
      <c r="P10" s="290"/>
      <c r="Q10" s="237">
        <f>Q8+Q9</f>
        <v>0</v>
      </c>
      <c r="R10" s="229"/>
      <c r="S10" s="252">
        <f>S8+S9</f>
        <v>0</v>
      </c>
      <c r="T10" s="83"/>
      <c r="U10" s="170"/>
    </row>
    <row r="11" spans="1:24" x14ac:dyDescent="0.25">
      <c r="A11" s="94" t="s">
        <v>90</v>
      </c>
      <c r="B11" s="155"/>
      <c r="C11" s="100" t="s">
        <v>11</v>
      </c>
      <c r="D11" s="155"/>
      <c r="E11" s="155"/>
      <c r="F11" s="230">
        <f>VLOOKUP(F5,Toelichting!$A$38:$B$42,2,0)</f>
        <v>7.0499999999999993E-2</v>
      </c>
      <c r="G11" s="236">
        <f>F11*G8</f>
        <v>0.97299038461538456</v>
      </c>
      <c r="H11" s="230">
        <f>VLOOKUP(H5,Toelichting!$A$38:$B$42,2,0)</f>
        <v>7.0499999999999993E-2</v>
      </c>
      <c r="I11" s="236">
        <f>H11*I8</f>
        <v>1.2088942307692307</v>
      </c>
      <c r="J11" s="230">
        <f>VLOOKUP(J5,Toelichting!$A$38:$B$42,2,0)</f>
        <v>7.0499999999999993E-2</v>
      </c>
      <c r="K11" s="242">
        <f>J11*K8</f>
        <v>1.3322692307692308</v>
      </c>
      <c r="L11" s="230">
        <f>VLOOKUP(L5,Toelichting!$A$38:$B$42,2,0)</f>
        <v>7.0499999999999993E-2</v>
      </c>
      <c r="M11" s="240">
        <f>L11*M8</f>
        <v>2.1547692307692308</v>
      </c>
      <c r="N11" s="230">
        <f>VLOOKUP(N5,Toelichting!$A$38:$B$42,2,0)</f>
        <v>8.3299999999999999E-2</v>
      </c>
      <c r="O11" s="244">
        <f>N11*O8</f>
        <v>0</v>
      </c>
      <c r="P11" s="291">
        <f>VLOOKUP(P5,Toelichting!$A$38:$B$42,2,0)</f>
        <v>8.3299999999999999E-2</v>
      </c>
      <c r="Q11" s="240">
        <f>P11*Q8</f>
        <v>0</v>
      </c>
      <c r="R11" s="230">
        <f>VLOOKUP(R5,Toelichting!$A$38:$B$42,2,0)</f>
        <v>8.3299999999999999E-2</v>
      </c>
      <c r="S11" s="244">
        <f>R11*S8</f>
        <v>0</v>
      </c>
      <c r="T11" s="82"/>
      <c r="V11" s="217"/>
    </row>
    <row r="12" spans="1:24" x14ac:dyDescent="0.25">
      <c r="A12" s="97" t="s">
        <v>148</v>
      </c>
      <c r="B12" s="155"/>
      <c r="C12" s="100"/>
      <c r="D12" s="155"/>
      <c r="E12" s="155"/>
      <c r="F12" s="232">
        <v>0.06</v>
      </c>
      <c r="G12" s="238">
        <f>F12*G10</f>
        <v>0.89432307692307689</v>
      </c>
      <c r="H12" s="233">
        <v>0</v>
      </c>
      <c r="I12" s="238">
        <f>H12*I10</f>
        <v>0</v>
      </c>
      <c r="J12" s="233">
        <v>0</v>
      </c>
      <c r="K12" s="238">
        <f>J12*K10</f>
        <v>0</v>
      </c>
      <c r="L12" s="234">
        <v>0</v>
      </c>
      <c r="M12" s="238">
        <f>L12*M10</f>
        <v>0</v>
      </c>
      <c r="N12" s="233">
        <v>0</v>
      </c>
      <c r="O12" s="253">
        <f>N12*O10</f>
        <v>0</v>
      </c>
      <c r="P12" s="233">
        <v>0</v>
      </c>
      <c r="Q12" s="238">
        <f>P12*Q10</f>
        <v>0</v>
      </c>
      <c r="R12" s="233">
        <v>0.01</v>
      </c>
      <c r="S12" s="253">
        <f>R12*S10</f>
        <v>0</v>
      </c>
      <c r="T12" s="175"/>
      <c r="U12" s="394" t="s">
        <v>189</v>
      </c>
      <c r="V12" s="395">
        <v>6.5000000000000002E-2</v>
      </c>
      <c r="W12" s="412">
        <f>F35*F12+H35*H12+J35*J12+L35*L12+N35*N12+P35*P12+R35*R12</f>
        <v>0.06</v>
      </c>
    </row>
    <row r="13" spans="1:24" x14ac:dyDescent="0.25">
      <c r="A13" s="116" t="s">
        <v>12</v>
      </c>
      <c r="B13" s="156"/>
      <c r="C13" s="98"/>
      <c r="D13" s="156"/>
      <c r="E13" s="171">
        <f>SUM(E$9:E$11)</f>
        <v>0</v>
      </c>
      <c r="F13" s="172"/>
      <c r="G13" s="239">
        <f>SUM(G$10:G$12)</f>
        <v>16.772698076923078</v>
      </c>
      <c r="H13" s="173"/>
      <c r="I13" s="239">
        <f>SUM(I$10:I$12)</f>
        <v>19.728125000000002</v>
      </c>
      <c r="J13" s="173"/>
      <c r="K13" s="239">
        <f>SUM(K$10:K$12)</f>
        <v>21.741500000000002</v>
      </c>
      <c r="L13" s="174"/>
      <c r="M13" s="239">
        <f>SUM(M$10:M$12)</f>
        <v>35.164000000000001</v>
      </c>
      <c r="N13" s="201"/>
      <c r="O13" s="254">
        <f>SUM(O$10:O$12)</f>
        <v>0</v>
      </c>
      <c r="P13" s="173"/>
      <c r="Q13" s="239">
        <f>SUM(Q$10:Q$12)</f>
        <v>0</v>
      </c>
      <c r="R13" s="201"/>
      <c r="S13" s="254">
        <f>SUM(S$10:S$12)</f>
        <v>0</v>
      </c>
      <c r="T13" s="214"/>
      <c r="U13" s="168"/>
    </row>
    <row r="14" spans="1:24" x14ac:dyDescent="0.25">
      <c r="A14" s="216" t="s">
        <v>134</v>
      </c>
      <c r="B14" s="156"/>
      <c r="C14" s="98"/>
      <c r="D14" s="156"/>
      <c r="E14" s="171"/>
      <c r="F14" s="215">
        <v>0.1739</v>
      </c>
      <c r="G14" s="212"/>
      <c r="H14" s="215">
        <v>0.1739</v>
      </c>
      <c r="I14" s="212"/>
      <c r="J14" s="215">
        <v>0.1739</v>
      </c>
      <c r="K14" s="212"/>
      <c r="L14" s="215">
        <v>0.1739</v>
      </c>
      <c r="M14" s="212"/>
      <c r="N14" s="215">
        <v>0.1739</v>
      </c>
      <c r="O14" s="213"/>
      <c r="P14" s="292">
        <v>0.1739</v>
      </c>
      <c r="Q14" s="212"/>
      <c r="R14" s="215">
        <v>0.1739</v>
      </c>
      <c r="S14" s="213"/>
      <c r="T14" s="214"/>
      <c r="U14" s="168"/>
    </row>
    <row r="15" spans="1:24" x14ac:dyDescent="0.25">
      <c r="A15" s="216" t="s">
        <v>135</v>
      </c>
      <c r="B15" s="156"/>
      <c r="C15" s="98"/>
      <c r="D15" s="156"/>
      <c r="E15" s="171"/>
      <c r="F15" s="215">
        <f>(((G13*1878)-Toelichting!$B$44)*Toelichting!$B$45/(G13*1878))*0.5</f>
        <v>7.1147762982928589E-2</v>
      </c>
      <c r="G15" s="212"/>
      <c r="H15" s="215">
        <f>(((I13*1878)-Toelichting!$B$44)*Toelichting!$B$45/(I13*1878))*0.5</f>
        <v>7.8091689444520634E-2</v>
      </c>
      <c r="I15" s="212"/>
      <c r="J15" s="215">
        <f>(((K13*1878)-Toelichting!$B$44)*Toelichting!$B$45/(K13*1878))*0.5</f>
        <v>8.1741102192704446E-2</v>
      </c>
      <c r="K15" s="212"/>
      <c r="L15" s="215">
        <f>(((M13*1878)-Toelichting!$B$44)*Toelichting!$B$45/(M13*1878))*0.5</f>
        <v>9.5390681473173797E-2</v>
      </c>
      <c r="M15" s="212"/>
      <c r="N15" s="215" t="e">
        <f>(((O13*1878)-Toelichting!$B$44)*Toelichting!$B$45/(O13*1878))*0.5</f>
        <v>#DIV/0!</v>
      </c>
      <c r="O15" s="213"/>
      <c r="P15" s="292" t="e">
        <f>(((Q13*1878)-Toelichting!$B$44)*Toelichting!$B$45/(Q13*1878))*0.5</f>
        <v>#DIV/0!</v>
      </c>
      <c r="Q15" s="212"/>
      <c r="R15" s="215" t="e">
        <f>(((S13*1878)-Toelichting!$B$44)*Toelichting!$B$45/(S13*1878))*0.5</f>
        <v>#DIV/0!</v>
      </c>
      <c r="S15" s="213"/>
      <c r="T15" s="214"/>
      <c r="U15" s="168"/>
    </row>
    <row r="16" spans="1:24" x14ac:dyDescent="0.25">
      <c r="A16" s="216" t="s">
        <v>136</v>
      </c>
      <c r="B16" s="156"/>
      <c r="C16" s="98"/>
      <c r="D16" s="156"/>
      <c r="E16" s="171"/>
      <c r="F16" s="215">
        <f>IF(0.5*0.6%*((1878*G13-Toelichting!$B$46)/(1878*G13))&gt;0,0.5*0.6%*((1878*G13-Toelichting!$B$46)/(1878*G13)),0)</f>
        <v>1.0056590132478394E-3</v>
      </c>
      <c r="G16" s="212"/>
      <c r="H16" s="215">
        <f>IF(0.5*0.6%*((1878*I13-Toelichting!$B$46)/(1878*I13))&gt;0,0.5*0.6%*((1878*I13-Toelichting!$B$46)/(1878*I13)),0)</f>
        <v>1.304426840704485E-3</v>
      </c>
      <c r="I16" s="212"/>
      <c r="J16" s="215">
        <f>IF(0.5*0.6%*((1878*K13-Toelichting!$B$46)/(1878*K13))&gt;0,0.5*0.6%*((1878*K13-Toelichting!$B$46)/(1878*K13)),0)</f>
        <v>1.4614456576948769E-3</v>
      </c>
      <c r="K16" s="212"/>
      <c r="L16" s="215">
        <f>IF(0.5*0.6%*((1878*M13-Toelichting!$B$46)/(1878*M13))&gt;0,0.5*0.6%*((1878*M13-Toelichting!$B$46)/(1878*M13)),0)</f>
        <v>2.0487294041284599E-3</v>
      </c>
      <c r="M16" s="212"/>
      <c r="N16" s="215" t="e">
        <f>IF(0.5*0.6%*((1878*O13-Toelichting!$B$46)/(1878*O13))&gt;0,0.5*0.6%*((1878*O13-Toelichting!$B$46)/(1878*O13)),0)</f>
        <v>#DIV/0!</v>
      </c>
      <c r="O16" s="213"/>
      <c r="P16" s="292" t="e">
        <f>IF(0.5*0.6%*((1878*Q13-Toelichting!$B$46)/(1878*Q13))&gt;0,0.5*0.6%*((1878*Q13-Toelichting!$B$46)/(1878*Q13)),0)</f>
        <v>#DIV/0!</v>
      </c>
      <c r="Q16" s="212"/>
      <c r="R16" s="215" t="e">
        <f>IF(0.5*0.6%*((1878*S13-Toelichting!$B$46)/(1878*S13))&gt;0,0.5*0.6%*((1878*S13-Toelichting!$B$46)/(1878*S13)),0)</f>
        <v>#DIV/0!</v>
      </c>
      <c r="S16" s="213"/>
      <c r="T16" s="177"/>
      <c r="U16" s="168"/>
    </row>
    <row r="17" spans="1:23" x14ac:dyDescent="0.25">
      <c r="A17" s="117" t="s">
        <v>88</v>
      </c>
      <c r="B17" s="156"/>
      <c r="C17" s="98"/>
      <c r="D17" s="156"/>
      <c r="E17" s="156"/>
      <c r="F17" s="176">
        <f>IF(ISERROR(F14+F15+F16),0,F14+F15+F16)</f>
        <v>0.24605342199617641</v>
      </c>
      <c r="G17" s="125">
        <f>F17*G13</f>
        <v>4.1269797579356107</v>
      </c>
      <c r="H17" s="176">
        <f>IF(ISERROR(H14+H15+H16),0,H14+H15+H16)</f>
        <v>0.25329611628522514</v>
      </c>
      <c r="I17" s="125">
        <f>H17*I13</f>
        <v>4.9970574440894575</v>
      </c>
      <c r="J17" s="176">
        <f>IF(ISERROR(J14+J15+J16),0,J14+J15+J16)</f>
        <v>0.25710254785039932</v>
      </c>
      <c r="K17" s="125">
        <f>J17*K13</f>
        <v>5.589795044089457</v>
      </c>
      <c r="L17" s="176">
        <f>IF(ISERROR(L14+L15+L16),0,L14+L15+L16)</f>
        <v>0.27133941087730229</v>
      </c>
      <c r="M17" s="125">
        <f>L17*M13</f>
        <v>9.5413790440894584</v>
      </c>
      <c r="N17" s="176">
        <f>IF(ISERROR(N14+N15+N16),0,N14+N15+N16)</f>
        <v>0</v>
      </c>
      <c r="O17" s="120">
        <f>N17*O8</f>
        <v>0</v>
      </c>
      <c r="P17" s="176">
        <f>IF(ISERROR(P14+P15+P16),0,P14+P15+P16)</f>
        <v>0</v>
      </c>
      <c r="Q17" s="125">
        <f>P17*Q13</f>
        <v>0</v>
      </c>
      <c r="R17" s="176">
        <f>IF(ISERROR(R14+R15+R16),0,R14+R15+R16)</f>
        <v>0</v>
      </c>
      <c r="S17" s="392">
        <f>R17*S8</f>
        <v>0</v>
      </c>
      <c r="T17" s="227"/>
      <c r="U17" s="168"/>
    </row>
    <row r="18" spans="1:23" x14ac:dyDescent="0.25">
      <c r="A18" s="118" t="s">
        <v>101</v>
      </c>
      <c r="B18" s="156"/>
      <c r="C18" s="98"/>
      <c r="D18" s="156"/>
      <c r="E18" s="156"/>
      <c r="F18" s="178"/>
      <c r="G18" s="245">
        <f>G13+G17</f>
        <v>20.899677834858689</v>
      </c>
      <c r="H18" s="130"/>
      <c r="I18" s="245">
        <f>I13+I17</f>
        <v>24.725182444089459</v>
      </c>
      <c r="J18" s="130"/>
      <c r="K18" s="245">
        <f>K13+K17</f>
        <v>27.331295044089458</v>
      </c>
      <c r="L18" s="124"/>
      <c r="M18" s="245">
        <f>M13+M17</f>
        <v>44.705379044089462</v>
      </c>
      <c r="N18" s="202"/>
      <c r="O18" s="246">
        <f>O13+O17</f>
        <v>0</v>
      </c>
      <c r="P18" s="130"/>
      <c r="Q18" s="245">
        <f>Q13+Q17</f>
        <v>0</v>
      </c>
      <c r="R18" s="202"/>
      <c r="S18" s="246">
        <f>S13+S17</f>
        <v>0</v>
      </c>
      <c r="T18" s="119"/>
    </row>
    <row r="19" spans="1:23" x14ac:dyDescent="0.25">
      <c r="A19" s="96" t="s">
        <v>92</v>
      </c>
      <c r="B19" s="87"/>
      <c r="C19" s="154"/>
      <c r="D19" s="87"/>
      <c r="E19" s="87"/>
      <c r="F19" s="87"/>
      <c r="G19" s="126"/>
      <c r="H19" s="131"/>
      <c r="I19" s="126"/>
      <c r="J19" s="131"/>
      <c r="K19" s="126"/>
      <c r="L19" s="87"/>
      <c r="M19" s="87"/>
      <c r="N19" s="131"/>
      <c r="O19" s="87"/>
      <c r="P19" s="131"/>
      <c r="Q19" s="126"/>
      <c r="R19" s="131"/>
      <c r="S19" s="87"/>
      <c r="T19" s="1"/>
      <c r="V19" s="12"/>
    </row>
    <row r="20" spans="1:23" x14ac:dyDescent="0.25">
      <c r="A20" s="97" t="s">
        <v>25</v>
      </c>
      <c r="B20" s="155"/>
      <c r="C20" s="100" t="s">
        <v>11</v>
      </c>
      <c r="D20" s="155"/>
      <c r="E20" s="155"/>
      <c r="F20" s="372">
        <f>VLOOKUP(F5,Toelichting!$A$38:$C$42,3,0)</f>
        <v>0.107</v>
      </c>
      <c r="G20" s="127"/>
      <c r="H20" s="372">
        <f>VLOOKUP(H5,Toelichting!$A$38:$C$42,3,0)</f>
        <v>0.107</v>
      </c>
      <c r="I20" s="132"/>
      <c r="J20" s="372">
        <f>VLOOKUP(J5,Toelichting!$A$38:$C$42,3,0)</f>
        <v>0.107</v>
      </c>
      <c r="K20" s="132"/>
      <c r="L20" s="372">
        <f>VLOOKUP(L5,Toelichting!$A$38:$C$42,3,0)</f>
        <v>0.107</v>
      </c>
      <c r="M20" s="132"/>
      <c r="N20" s="372">
        <f>VLOOKUP(N5,Toelichting!$A$38:$C$42,3,0)</f>
        <v>0.1265</v>
      </c>
      <c r="O20" s="114"/>
      <c r="P20" s="373">
        <f>VLOOKUP(P5,Toelichting!$A$38:$C$42,3,0)</f>
        <v>0.1071</v>
      </c>
      <c r="Q20" s="132"/>
      <c r="R20" s="372">
        <f>VLOOKUP(R5,Toelichting!$A$38:$C$42,3,0)</f>
        <v>0.1071</v>
      </c>
      <c r="S20" s="114"/>
      <c r="T20" s="82"/>
      <c r="V20" s="12"/>
    </row>
    <row r="21" spans="1:23" x14ac:dyDescent="0.25">
      <c r="A21" s="94" t="s">
        <v>26</v>
      </c>
      <c r="B21" s="155"/>
      <c r="C21" s="100" t="s">
        <v>11</v>
      </c>
      <c r="D21" s="155"/>
      <c r="E21" s="155"/>
      <c r="F21" s="301">
        <v>0.02</v>
      </c>
      <c r="G21" s="127"/>
      <c r="H21" s="301">
        <v>0.02</v>
      </c>
      <c r="I21" s="133"/>
      <c r="J21" s="301">
        <v>0.02</v>
      </c>
      <c r="K21" s="133"/>
      <c r="L21" s="301">
        <v>0.02</v>
      </c>
      <c r="M21" s="133"/>
      <c r="N21" s="301">
        <v>0</v>
      </c>
      <c r="O21" s="115"/>
      <c r="P21" s="302">
        <v>0</v>
      </c>
      <c r="Q21" s="133"/>
      <c r="R21" s="301">
        <v>0</v>
      </c>
      <c r="S21" s="115"/>
      <c r="T21" s="83"/>
      <c r="V21" s="12"/>
    </row>
    <row r="22" spans="1:23" x14ac:dyDescent="0.25">
      <c r="A22" s="97" t="s">
        <v>27</v>
      </c>
      <c r="B22" s="155"/>
      <c r="C22" s="100" t="s">
        <v>21</v>
      </c>
      <c r="D22" s="155"/>
      <c r="E22" s="155"/>
      <c r="F22" s="301">
        <v>0.04</v>
      </c>
      <c r="G22" s="179"/>
      <c r="H22" s="301">
        <v>0</v>
      </c>
      <c r="I22" s="132"/>
      <c r="J22" s="301">
        <v>0</v>
      </c>
      <c r="K22" s="132"/>
      <c r="L22" s="301">
        <v>0</v>
      </c>
      <c r="M22" s="114"/>
      <c r="N22" s="391">
        <v>0</v>
      </c>
      <c r="O22" s="114"/>
      <c r="P22" s="391">
        <v>0</v>
      </c>
      <c r="Q22" s="132"/>
      <c r="R22" s="301">
        <v>0</v>
      </c>
      <c r="S22" s="114"/>
      <c r="T22" s="82"/>
      <c r="V22" s="12"/>
    </row>
    <row r="23" spans="1:23" x14ac:dyDescent="0.25">
      <c r="A23" s="97" t="s">
        <v>153</v>
      </c>
      <c r="B23" s="155"/>
      <c r="C23" s="100"/>
      <c r="D23" s="155"/>
      <c r="E23" s="155"/>
      <c r="F23" s="348">
        <v>0.08</v>
      </c>
      <c r="G23" s="127"/>
      <c r="H23" s="348">
        <v>0.08</v>
      </c>
      <c r="I23" s="132"/>
      <c r="J23" s="348">
        <v>0.08</v>
      </c>
      <c r="K23" s="132"/>
      <c r="L23" s="348">
        <v>0.2</v>
      </c>
      <c r="M23" s="114"/>
      <c r="N23" s="349">
        <v>0</v>
      </c>
      <c r="O23" s="114"/>
      <c r="P23" s="350">
        <v>0</v>
      </c>
      <c r="Q23" s="132"/>
      <c r="R23" s="349">
        <v>0</v>
      </c>
      <c r="S23" s="114"/>
      <c r="T23" s="82"/>
      <c r="V23" s="12"/>
    </row>
    <row r="24" spans="1:23" x14ac:dyDescent="0.25">
      <c r="A24" s="110" t="s">
        <v>150</v>
      </c>
      <c r="B24" s="155"/>
      <c r="C24" s="100"/>
      <c r="D24" s="155"/>
      <c r="E24" s="155"/>
      <c r="F24" s="231">
        <f>SUM(F20:F23)</f>
        <v>0.247</v>
      </c>
      <c r="G24" s="218">
        <f>G18/(1-F24)-G18</f>
        <v>6.855538413293619</v>
      </c>
      <c r="H24" s="231">
        <f>SUM(H20:H23)</f>
        <v>0.20700000000000002</v>
      </c>
      <c r="I24" s="218">
        <f>I18/(1-H24)-I18</f>
        <v>6.4541144589237334</v>
      </c>
      <c r="J24" s="231">
        <f>SUM(J20:J23)</f>
        <v>0.20700000000000002</v>
      </c>
      <c r="K24" s="218">
        <f>K18/(1-J24)-K18</f>
        <v>7.1343985802352066</v>
      </c>
      <c r="L24" s="231">
        <f>SUM(L20:L23)</f>
        <v>0.32700000000000001</v>
      </c>
      <c r="M24" s="218">
        <f>M18/(1-L24)-M18</f>
        <v>21.721632908495174</v>
      </c>
      <c r="N24" s="231">
        <f>SUM(N20:N23)</f>
        <v>0.1265</v>
      </c>
      <c r="O24" s="286">
        <f>O18/(1-N24)-O18</f>
        <v>0</v>
      </c>
      <c r="P24" s="231">
        <f>SUM(P20:P23)</f>
        <v>0.1071</v>
      </c>
      <c r="Q24" s="218">
        <f>Q18/(1-P24)-Q18</f>
        <v>0</v>
      </c>
      <c r="R24" s="231">
        <f>SUM(R20:R23)</f>
        <v>0.1071</v>
      </c>
      <c r="S24" s="219">
        <f>S18/(1-R24)-S18</f>
        <v>0</v>
      </c>
      <c r="T24" s="82"/>
      <c r="U24" s="396" t="s">
        <v>192</v>
      </c>
      <c r="V24" s="395">
        <v>0.28000000000000003</v>
      </c>
      <c r="W24" s="413">
        <f>F35*F24+H35*H24+J35*J24+L35*L24+N35*N24+P35*P24+R35*R24</f>
        <v>0.247</v>
      </c>
    </row>
    <row r="25" spans="1:23" ht="18.95" customHeight="1" x14ac:dyDescent="0.25">
      <c r="A25" s="164" t="s">
        <v>125</v>
      </c>
      <c r="B25" s="165"/>
      <c r="C25" s="166"/>
      <c r="D25" s="165"/>
      <c r="E25" s="165"/>
      <c r="F25" s="180"/>
      <c r="G25" s="181">
        <f>G24+G18</f>
        <v>27.755216248152308</v>
      </c>
      <c r="H25" s="182"/>
      <c r="I25" s="181">
        <f>I24+I18</f>
        <v>31.179296903013192</v>
      </c>
      <c r="J25" s="182"/>
      <c r="K25" s="181">
        <f>K24+K18</f>
        <v>34.465693624324665</v>
      </c>
      <c r="L25" s="183"/>
      <c r="M25" s="181">
        <f>M24+M18</f>
        <v>66.427011952584635</v>
      </c>
      <c r="N25" s="195"/>
      <c r="O25" s="287">
        <f>O24+O18</f>
        <v>0</v>
      </c>
      <c r="P25" s="182"/>
      <c r="Q25" s="181">
        <f>Q24+Q18</f>
        <v>0</v>
      </c>
      <c r="R25" s="195"/>
      <c r="S25" s="255">
        <f>S24+S18</f>
        <v>0</v>
      </c>
      <c r="T25" s="1"/>
    </row>
    <row r="26" spans="1:23" x14ac:dyDescent="0.25">
      <c r="A26" s="109"/>
      <c r="B26" s="87"/>
      <c r="C26" s="100"/>
      <c r="D26" s="87"/>
      <c r="E26" s="87"/>
      <c r="F26" s="184"/>
      <c r="G26" s="128"/>
      <c r="H26" s="134"/>
      <c r="I26" s="135"/>
      <c r="J26" s="134"/>
      <c r="K26" s="135"/>
      <c r="L26" s="122"/>
      <c r="M26" s="123"/>
      <c r="N26" s="134"/>
      <c r="O26" s="123"/>
      <c r="P26" s="134"/>
      <c r="Q26" s="135"/>
      <c r="R26" s="134"/>
      <c r="S26" s="123"/>
      <c r="T26" s="1"/>
    </row>
    <row r="27" spans="1:23" x14ac:dyDescent="0.25">
      <c r="A27" s="96" t="s">
        <v>116</v>
      </c>
      <c r="B27" s="87"/>
      <c r="C27" s="154"/>
      <c r="D27" s="87"/>
      <c r="E27" s="87"/>
      <c r="F27" s="87"/>
      <c r="G27" s="126"/>
      <c r="H27" s="131"/>
      <c r="I27" s="126"/>
      <c r="J27" s="131"/>
      <c r="K27" s="126"/>
      <c r="L27" s="87"/>
      <c r="M27" s="87"/>
      <c r="N27" s="131"/>
      <c r="O27" s="87"/>
      <c r="P27" s="131"/>
      <c r="Q27" s="126"/>
      <c r="R27" s="131"/>
      <c r="S27" s="87"/>
      <c r="T27" s="1"/>
    </row>
    <row r="28" spans="1:23" x14ac:dyDescent="0.25">
      <c r="A28" s="121" t="s">
        <v>94</v>
      </c>
      <c r="B28" s="101"/>
      <c r="C28" s="100"/>
      <c r="D28" s="101"/>
      <c r="E28" s="101"/>
      <c r="F28" s="261">
        <v>0.28999999999999998</v>
      </c>
      <c r="G28" s="142">
        <f>F28*G25</f>
        <v>8.0490127119641688</v>
      </c>
      <c r="H28" s="264">
        <v>0.28999999999999998</v>
      </c>
      <c r="I28" s="136">
        <f>H28*I25</f>
        <v>9.041996101873826</v>
      </c>
      <c r="J28" s="261">
        <v>0.28999999999999998</v>
      </c>
      <c r="K28" s="136">
        <f>J28*K25</f>
        <v>9.9950511510541524</v>
      </c>
      <c r="L28" s="261">
        <v>0.28999999999999998</v>
      </c>
      <c r="M28" s="192">
        <f>L28*M25</f>
        <v>19.263833466249544</v>
      </c>
      <c r="N28" s="267">
        <v>0</v>
      </c>
      <c r="O28" s="196">
        <f>N28*O25</f>
        <v>0</v>
      </c>
      <c r="P28" s="293">
        <v>0</v>
      </c>
      <c r="Q28" s="136">
        <f>P28*Q25</f>
        <v>0</v>
      </c>
      <c r="R28" s="267">
        <v>0</v>
      </c>
      <c r="S28" s="196">
        <f>R28*S25</f>
        <v>0</v>
      </c>
      <c r="T28" s="1"/>
      <c r="U28" s="396" t="s">
        <v>190</v>
      </c>
      <c r="V28" s="395">
        <v>0.55000000000000004</v>
      </c>
      <c r="W28" s="412">
        <f>F35*F28+H35*H28+J35*J28+L35*L28+N35*N28+P35*P28+R35*R28</f>
        <v>0.28999999999999998</v>
      </c>
    </row>
    <row r="29" spans="1:23" x14ac:dyDescent="0.25">
      <c r="A29" s="157"/>
      <c r="B29" s="101"/>
      <c r="C29" s="100"/>
      <c r="D29" s="101"/>
      <c r="E29" s="101"/>
      <c r="F29" s="262"/>
      <c r="G29" s="158"/>
      <c r="H29" s="265"/>
      <c r="I29" s="159"/>
      <c r="J29" s="262"/>
      <c r="K29" s="159"/>
      <c r="L29" s="262"/>
      <c r="M29" s="193"/>
      <c r="N29" s="268"/>
      <c r="O29" s="185"/>
      <c r="P29" s="294"/>
      <c r="Q29" s="159"/>
      <c r="R29" s="268"/>
      <c r="S29" s="185"/>
      <c r="T29" s="1"/>
    </row>
    <row r="30" spans="1:23" x14ac:dyDescent="0.25">
      <c r="A30" s="96" t="s">
        <v>122</v>
      </c>
      <c r="B30" s="101"/>
      <c r="C30" s="87"/>
      <c r="D30" s="101"/>
      <c r="E30" s="101"/>
      <c r="F30" s="263"/>
      <c r="G30" s="160"/>
      <c r="H30" s="266"/>
      <c r="I30" s="161"/>
      <c r="J30" s="263"/>
      <c r="K30" s="161"/>
      <c r="L30" s="263"/>
      <c r="M30" s="194"/>
      <c r="N30" s="269"/>
      <c r="O30" s="197"/>
      <c r="P30" s="295"/>
      <c r="Q30" s="161"/>
      <c r="R30" s="269"/>
      <c r="S30" s="197"/>
      <c r="T30" s="1"/>
    </row>
    <row r="31" spans="1:23" x14ac:dyDescent="0.25">
      <c r="A31" s="150" t="s">
        <v>126</v>
      </c>
      <c r="B31" s="87"/>
      <c r="C31" s="87"/>
      <c r="D31" s="87"/>
      <c r="E31" s="87"/>
      <c r="F31" s="261">
        <v>0.02</v>
      </c>
      <c r="G31" s="247">
        <f>F31*G25</f>
        <v>0.55510432496304618</v>
      </c>
      <c r="H31" s="261">
        <v>0.02</v>
      </c>
      <c r="I31" s="249">
        <f>H31*I25</f>
        <v>0.62358593806026386</v>
      </c>
      <c r="J31" s="261">
        <v>0.02</v>
      </c>
      <c r="K31" s="249">
        <f>J31*K25</f>
        <v>0.68931387248649334</v>
      </c>
      <c r="L31" s="261">
        <v>0.02</v>
      </c>
      <c r="M31" s="251">
        <f>L31*M25</f>
        <v>1.3285402390516927</v>
      </c>
      <c r="N31" s="267">
        <v>0.02</v>
      </c>
      <c r="O31" s="251">
        <f>N31*O25</f>
        <v>0</v>
      </c>
      <c r="P31" s="293">
        <v>0.02</v>
      </c>
      <c r="Q31" s="249">
        <f>P31*Q25</f>
        <v>0</v>
      </c>
      <c r="R31" s="267">
        <v>0.03</v>
      </c>
      <c r="S31" s="251">
        <f>R31*S25</f>
        <v>0</v>
      </c>
      <c r="T31" s="1"/>
      <c r="U31" s="396" t="s">
        <v>193</v>
      </c>
      <c r="V31" s="395">
        <v>0.02</v>
      </c>
      <c r="W31" s="412">
        <f>F31*F35+H31*H35+J31*J35+L31*L35+N31*N35+P31*P35+R31*R35</f>
        <v>0.02</v>
      </c>
    </row>
    <row r="32" spans="1:23" ht="18.75" x14ac:dyDescent="0.25">
      <c r="A32" s="92" t="s">
        <v>102</v>
      </c>
      <c r="B32" s="151"/>
      <c r="C32" s="152"/>
      <c r="D32" s="151"/>
      <c r="E32" s="151"/>
      <c r="F32" s="108"/>
      <c r="G32" s="248">
        <f>IF(F5&lt;&gt;"",SUM(G25+G28+G31),0)</f>
        <v>36.359333285079522</v>
      </c>
      <c r="H32" s="143"/>
      <c r="I32" s="248">
        <f>IF(H5&lt;&gt;"",SUM(I25+I28+I31),0)</f>
        <v>40.844878942947282</v>
      </c>
      <c r="J32" s="143"/>
      <c r="K32" s="250">
        <f>IF(J5&lt;&gt;"",SUM(K25+K28+K31),0)</f>
        <v>45.150058647865308</v>
      </c>
      <c r="L32" s="113"/>
      <c r="M32" s="248">
        <f>IF(L5&lt;&gt;"",SUM(M25+M28+M31),0)</f>
        <v>87.019385657885877</v>
      </c>
      <c r="N32" s="211"/>
      <c r="O32" s="248">
        <f>IF(N5&lt;&gt;"",SUM(O25+O28+O31),0)</f>
        <v>0</v>
      </c>
      <c r="P32" s="143"/>
      <c r="Q32" s="250">
        <f>IF(P5&lt;&gt;"",SUM(Q25+Q28+Q31),0)</f>
        <v>0</v>
      </c>
      <c r="R32" s="211"/>
      <c r="S32" s="248">
        <f>IF(R5&lt;&gt;"",SUM(S25+S28+S31),0)</f>
        <v>0</v>
      </c>
      <c r="T32" s="1"/>
      <c r="U32" s="188"/>
    </row>
    <row r="33" spans="1:24" x14ac:dyDescent="0.25">
      <c r="A33" s="96" t="s">
        <v>155</v>
      </c>
      <c r="B33" s="87"/>
      <c r="C33" s="154"/>
      <c r="D33" s="87"/>
      <c r="E33" s="87"/>
      <c r="F33" s="200"/>
      <c r="G33" s="203"/>
      <c r="H33" s="199"/>
      <c r="I33" s="203"/>
      <c r="J33" s="199"/>
      <c r="K33" s="203"/>
      <c r="L33" s="200"/>
      <c r="M33" s="200"/>
      <c r="N33" s="199"/>
      <c r="O33" s="200"/>
      <c r="P33" s="199"/>
      <c r="Q33" s="203"/>
      <c r="R33" s="199"/>
      <c r="S33" s="200"/>
      <c r="T33" s="1"/>
      <c r="U33" s="188"/>
    </row>
    <row r="34" spans="1:24" ht="19.5" thickBot="1" x14ac:dyDescent="0.3">
      <c r="A34" s="258" t="s">
        <v>195</v>
      </c>
      <c r="B34" s="87"/>
      <c r="C34" s="100"/>
      <c r="D34" s="87"/>
      <c r="E34" s="87"/>
      <c r="F34" s="399">
        <v>10</v>
      </c>
      <c r="G34" s="400"/>
      <c r="H34" s="401">
        <v>0</v>
      </c>
      <c r="I34" s="400"/>
      <c r="J34" s="401">
        <v>0</v>
      </c>
      <c r="K34" s="400"/>
      <c r="L34" s="401">
        <v>0</v>
      </c>
      <c r="M34" s="400"/>
      <c r="N34" s="401">
        <v>0</v>
      </c>
      <c r="O34" s="402"/>
      <c r="P34" s="401">
        <v>0</v>
      </c>
      <c r="Q34" s="400"/>
      <c r="R34" s="401">
        <v>0</v>
      </c>
      <c r="S34" s="402"/>
      <c r="T34" s="1"/>
      <c r="U34" s="353"/>
    </row>
    <row r="35" spans="1:24" ht="19.5" hidden="1" thickBot="1" x14ac:dyDescent="0.3">
      <c r="A35" s="403" t="s">
        <v>200</v>
      </c>
      <c r="B35" s="404"/>
      <c r="C35" s="405"/>
      <c r="D35" s="404"/>
      <c r="E35" s="404"/>
      <c r="F35" s="406">
        <f>F34/$S$36</f>
        <v>1</v>
      </c>
      <c r="G35" s="407"/>
      <c r="H35" s="406">
        <f>H34/$S$36</f>
        <v>0</v>
      </c>
      <c r="I35" s="407"/>
      <c r="J35" s="406">
        <f>J34/$S$36</f>
        <v>0</v>
      </c>
      <c r="K35" s="407"/>
      <c r="L35" s="406">
        <f>L34/$S$36</f>
        <v>0</v>
      </c>
      <c r="M35" s="407"/>
      <c r="N35" s="406">
        <f>N34/$S$36</f>
        <v>0</v>
      </c>
      <c r="O35" s="408"/>
      <c r="P35" s="406">
        <f>P34/$S$36</f>
        <v>0</v>
      </c>
      <c r="Q35" s="407"/>
      <c r="R35" s="406">
        <f>R34/$S$36</f>
        <v>0</v>
      </c>
      <c r="S35" s="408"/>
      <c r="T35" s="1"/>
      <c r="U35" s="353"/>
    </row>
    <row r="36" spans="1:24" ht="19.5" thickBot="1" x14ac:dyDescent="0.3">
      <c r="A36" s="352" t="s">
        <v>191</v>
      </c>
      <c r="B36" s="87"/>
      <c r="C36" s="100"/>
      <c r="D36" s="87"/>
      <c r="E36" s="87"/>
      <c r="F36" s="354"/>
      <c r="G36" s="354"/>
      <c r="H36" s="355"/>
      <c r="I36" s="354"/>
      <c r="J36" s="355"/>
      <c r="K36" s="354"/>
      <c r="L36" s="355"/>
      <c r="M36" s="354"/>
      <c r="N36" s="355"/>
      <c r="O36" s="356"/>
      <c r="P36" s="355"/>
      <c r="Q36" s="354"/>
      <c r="R36" s="355"/>
      <c r="S36" s="371">
        <f>SUM(F34:S34)</f>
        <v>10</v>
      </c>
      <c r="T36" s="1"/>
      <c r="U36" s="353"/>
    </row>
    <row r="37" spans="1:24" ht="19.5" thickBot="1" x14ac:dyDescent="0.3">
      <c r="A37" s="208" t="s">
        <v>156</v>
      </c>
      <c r="B37" s="87"/>
      <c r="C37" s="100"/>
      <c r="D37" s="87"/>
      <c r="E37" s="87"/>
      <c r="F37" s="357"/>
      <c r="G37" s="358"/>
      <c r="H37" s="359"/>
      <c r="I37" s="358"/>
      <c r="J37" s="359"/>
      <c r="K37" s="358"/>
      <c r="L37" s="359"/>
      <c r="M37" s="358"/>
      <c r="N37" s="359"/>
      <c r="O37" s="358"/>
      <c r="P37" s="359"/>
      <c r="Q37" s="358"/>
      <c r="R37" s="360"/>
      <c r="S37" s="209">
        <f>(F34*G32+H34*I32+J34*K32+L34*M32+N34*O32+P34*Q32+R34*S32)</f>
        <v>363.59333285079521</v>
      </c>
      <c r="T37" s="1"/>
      <c r="U37" s="188"/>
    </row>
    <row r="38" spans="1:24" x14ac:dyDescent="0.25">
      <c r="A38" s="96" t="s">
        <v>151</v>
      </c>
      <c r="B38" s="87"/>
      <c r="C38" s="154"/>
      <c r="D38" s="87"/>
      <c r="E38" s="87"/>
      <c r="F38" s="87"/>
      <c r="G38" s="126"/>
      <c r="H38" s="131"/>
      <c r="I38" s="126"/>
      <c r="J38" s="131"/>
      <c r="K38" s="126"/>
      <c r="L38" s="131"/>
      <c r="M38" s="126"/>
      <c r="N38" s="131"/>
      <c r="O38" s="126"/>
      <c r="P38" s="131"/>
      <c r="Q38" s="126"/>
      <c r="R38" s="198"/>
      <c r="S38" s="222"/>
      <c r="T38" s="1"/>
    </row>
    <row r="39" spans="1:24" ht="17.25" customHeight="1" x14ac:dyDescent="0.25">
      <c r="A39" s="97" t="s">
        <v>149</v>
      </c>
      <c r="B39" s="99"/>
      <c r="C39" s="100"/>
      <c r="D39" s="99"/>
      <c r="E39" s="99"/>
      <c r="F39" s="362"/>
      <c r="G39" s="363"/>
      <c r="H39" s="366"/>
      <c r="I39" s="363"/>
      <c r="J39" s="366"/>
      <c r="K39" s="363"/>
      <c r="L39" s="366"/>
      <c r="M39" s="363"/>
      <c r="N39" s="366"/>
      <c r="O39" s="363"/>
      <c r="P39" s="366"/>
      <c r="Q39" s="363"/>
      <c r="R39" s="361"/>
      <c r="S39" s="210">
        <v>11</v>
      </c>
      <c r="T39" s="1"/>
    </row>
    <row r="40" spans="1:24" ht="16.5" thickBot="1" x14ac:dyDescent="0.3">
      <c r="A40" s="94" t="s">
        <v>129</v>
      </c>
      <c r="B40" s="87"/>
      <c r="C40" s="100"/>
      <c r="D40" s="87"/>
      <c r="E40" s="87"/>
      <c r="F40" s="167"/>
      <c r="G40" s="364"/>
      <c r="H40" s="367"/>
      <c r="I40" s="364"/>
      <c r="J40" s="367"/>
      <c r="K40" s="364"/>
      <c r="L40" s="367"/>
      <c r="M40" s="364"/>
      <c r="N40" s="367"/>
      <c r="O40" s="364"/>
      <c r="P40" s="367"/>
      <c r="Q40" s="364"/>
      <c r="R40" s="23"/>
      <c r="S40" s="378">
        <v>23</v>
      </c>
      <c r="T40" s="1"/>
    </row>
    <row r="41" spans="1:24" ht="16.5" thickBot="1" x14ac:dyDescent="0.3">
      <c r="A41" s="164" t="s">
        <v>128</v>
      </c>
      <c r="B41" s="87"/>
      <c r="C41" s="100"/>
      <c r="D41" s="87"/>
      <c r="E41" s="87"/>
      <c r="F41" s="285"/>
      <c r="G41" s="365"/>
      <c r="H41" s="368"/>
      <c r="I41" s="365"/>
      <c r="J41" s="368"/>
      <c r="K41" s="365"/>
      <c r="L41" s="368"/>
      <c r="M41" s="365"/>
      <c r="N41" s="368"/>
      <c r="O41" s="365"/>
      <c r="P41" s="368"/>
      <c r="Q41" s="365"/>
      <c r="R41" s="20"/>
      <c r="S41" s="379">
        <f>S39+S40</f>
        <v>34</v>
      </c>
      <c r="T41" s="1"/>
      <c r="U41" s="393" t="s">
        <v>194</v>
      </c>
      <c r="V41" s="397">
        <v>36.299999999999997</v>
      </c>
      <c r="W41" s="398">
        <f>S41</f>
        <v>34</v>
      </c>
    </row>
    <row r="42" spans="1:24" ht="5.25" customHeight="1" thickBot="1" x14ac:dyDescent="0.3">
      <c r="A42" s="96"/>
      <c r="B42" s="87"/>
      <c r="C42" s="154"/>
      <c r="D42" s="87"/>
      <c r="E42" s="87"/>
      <c r="F42" s="87"/>
      <c r="G42" s="126"/>
      <c r="H42" s="131"/>
      <c r="I42" s="126"/>
      <c r="J42" s="131"/>
      <c r="K42" s="126"/>
      <c r="L42" s="131"/>
      <c r="M42" s="126"/>
      <c r="N42" s="131"/>
      <c r="O42" s="126"/>
      <c r="P42" s="131"/>
      <c r="Q42" s="126"/>
      <c r="R42" s="198"/>
      <c r="S42" s="204"/>
      <c r="T42" s="1"/>
    </row>
    <row r="43" spans="1:24" ht="19.5" thickBot="1" x14ac:dyDescent="0.3">
      <c r="A43" s="140" t="s">
        <v>157</v>
      </c>
      <c r="B43" s="153"/>
      <c r="C43" s="153"/>
      <c r="D43" s="153"/>
      <c r="E43" s="153"/>
      <c r="F43" s="23"/>
      <c r="G43" s="187"/>
      <c r="H43" s="186"/>
      <c r="I43" s="187"/>
      <c r="J43" s="186"/>
      <c r="K43" s="187"/>
      <c r="L43" s="186"/>
      <c r="M43" s="187"/>
      <c r="N43" s="186"/>
      <c r="O43" s="187"/>
      <c r="P43" s="186"/>
      <c r="Q43" s="187"/>
      <c r="R43" s="270"/>
      <c r="S43" s="209">
        <f>(S37+S41)</f>
        <v>397.59333285079521</v>
      </c>
      <c r="T43" s="1"/>
    </row>
    <row r="44" spans="1:24" ht="19.5" thickBot="1" x14ac:dyDescent="0.3">
      <c r="A44" s="275" t="s">
        <v>173</v>
      </c>
      <c r="B44" s="276"/>
      <c r="C44" s="276"/>
      <c r="D44" s="276"/>
      <c r="E44" s="276"/>
      <c r="F44" s="277"/>
      <c r="G44" s="277"/>
      <c r="H44" s="296"/>
      <c r="I44" s="297"/>
      <c r="J44" s="296"/>
      <c r="K44" s="297"/>
      <c r="L44" s="296"/>
      <c r="M44" s="297"/>
      <c r="N44" s="296"/>
      <c r="O44" s="297"/>
      <c r="P44" s="296"/>
      <c r="Q44" s="297"/>
      <c r="R44" s="278"/>
      <c r="S44" s="351">
        <v>2.52E-2</v>
      </c>
      <c r="T44" s="1"/>
    </row>
    <row r="45" spans="1:24" ht="19.5" thickBot="1" x14ac:dyDescent="0.3">
      <c r="A45" s="274" t="s">
        <v>174</v>
      </c>
      <c r="B45" s="153"/>
      <c r="C45" s="153"/>
      <c r="D45" s="153"/>
      <c r="E45" s="153"/>
      <c r="F45" s="23"/>
      <c r="G45" s="23"/>
      <c r="H45" s="369"/>
      <c r="I45" s="370"/>
      <c r="J45" s="369"/>
      <c r="K45" s="370"/>
      <c r="L45" s="369"/>
      <c r="M45" s="370"/>
      <c r="N45" s="186"/>
      <c r="O45" s="187"/>
      <c r="P45" s="369"/>
      <c r="Q45" s="370"/>
      <c r="R45" s="186"/>
      <c r="S45" s="209">
        <f>S43+(S43*S44)</f>
        <v>407.61268483863523</v>
      </c>
      <c r="T45" s="1"/>
    </row>
    <row r="46" spans="1:24" x14ac:dyDescent="0.25">
      <c r="A46" s="380"/>
      <c r="B46" s="153"/>
      <c r="C46" s="153"/>
      <c r="D46" s="153"/>
      <c r="E46" s="153"/>
      <c r="F46" s="381"/>
      <c r="G46" s="381"/>
      <c r="H46" s="381"/>
      <c r="I46" s="381"/>
      <c r="J46" s="381"/>
      <c r="K46" s="381"/>
      <c r="L46" s="381"/>
      <c r="M46" s="381"/>
      <c r="N46" s="381"/>
      <c r="O46" s="381"/>
      <c r="P46" s="381"/>
      <c r="Q46" s="381"/>
      <c r="R46" s="381"/>
      <c r="S46" s="381"/>
      <c r="T46" s="1"/>
      <c r="W46" s="410" t="b">
        <f>IF(AND(W12&lt;=V12,W24&lt;=V24,W28&lt;=V28,W31&lt;=V31,W41&lt;=V41),TRUE,FALSE)</f>
        <v>1</v>
      </c>
      <c r="X46" s="411" t="b">
        <f>IF(ISNA(W46),0,W46)</f>
        <v>1</v>
      </c>
    </row>
    <row r="47" spans="1:24" ht="10.5" customHeight="1" thickBot="1" x14ac:dyDescent="0.3">
      <c r="A47" s="380"/>
      <c r="B47" s="153"/>
      <c r="C47" s="153"/>
      <c r="D47" s="153"/>
      <c r="E47" s="153"/>
      <c r="F47" s="381"/>
      <c r="G47" s="381"/>
      <c r="H47" s="381"/>
      <c r="I47" s="381"/>
      <c r="J47" s="381"/>
      <c r="K47" s="381"/>
      <c r="L47" s="381"/>
      <c r="M47" s="381"/>
      <c r="N47" s="381"/>
      <c r="O47" s="381"/>
      <c r="P47" s="381"/>
      <c r="Q47" s="381"/>
      <c r="R47" s="381"/>
      <c r="S47" s="381"/>
      <c r="T47" s="1"/>
    </row>
    <row r="48" spans="1:24" ht="21.75" thickBot="1" x14ac:dyDescent="0.4">
      <c r="A48" s="385" t="s">
        <v>196</v>
      </c>
      <c r="B48" s="386"/>
      <c r="C48" s="386"/>
      <c r="D48" s="386"/>
      <c r="E48" s="386"/>
      <c r="F48" s="414" t="str">
        <f>IF(W46,"WAAR","NIET WAAR, ONGELDIG!!")</f>
        <v>WAAR</v>
      </c>
      <c r="G48" s="415"/>
      <c r="H48" s="415"/>
      <c r="I48" s="416"/>
      <c r="M48" s="13"/>
      <c r="O48" s="387"/>
      <c r="Q48" s="13"/>
      <c r="S48" s="387"/>
    </row>
    <row r="49" spans="1:19" ht="18.75" x14ac:dyDescent="0.25">
      <c r="A49" s="383"/>
      <c r="B49" s="384"/>
      <c r="C49" s="384"/>
      <c r="D49" s="384"/>
      <c r="E49" s="384"/>
      <c r="F49" s="381"/>
      <c r="G49" s="381"/>
      <c r="H49" s="381"/>
      <c r="I49" s="381"/>
      <c r="M49" s="13"/>
      <c r="O49" s="387"/>
      <c r="Q49" s="13"/>
      <c r="S49" s="387"/>
    </row>
    <row r="50" spans="1:19" x14ac:dyDescent="0.25">
      <c r="A50" s="5" t="s">
        <v>197</v>
      </c>
    </row>
    <row r="51" spans="1:19" ht="21.75" customHeight="1" x14ac:dyDescent="0.25">
      <c r="A51" s="417" t="s">
        <v>206</v>
      </c>
      <c r="B51" s="418"/>
      <c r="C51" s="418"/>
      <c r="D51" s="418"/>
      <c r="E51" s="418"/>
      <c r="F51" s="418"/>
      <c r="G51" s="418"/>
      <c r="H51" s="418"/>
      <c r="I51" s="418"/>
      <c r="J51" s="418"/>
      <c r="K51" s="418"/>
      <c r="L51" s="418"/>
      <c r="M51" s="418"/>
      <c r="N51" s="418"/>
      <c r="O51" s="419"/>
      <c r="P51" s="284"/>
      <c r="Q51" s="284"/>
      <c r="R51" s="284"/>
      <c r="S51" s="284"/>
    </row>
    <row r="52" spans="1:19" ht="15.75" customHeight="1" x14ac:dyDescent="0.25">
      <c r="A52" s="420"/>
      <c r="B52" s="421"/>
      <c r="C52" s="421"/>
      <c r="D52" s="421"/>
      <c r="E52" s="421"/>
      <c r="F52" s="421"/>
      <c r="G52" s="421"/>
      <c r="H52" s="421"/>
      <c r="I52" s="421"/>
      <c r="J52" s="421"/>
      <c r="K52" s="421"/>
      <c r="L52" s="421"/>
      <c r="M52" s="421"/>
      <c r="N52" s="421"/>
      <c r="O52" s="422"/>
      <c r="P52" s="284"/>
      <c r="Q52" s="284"/>
      <c r="R52" s="284"/>
      <c r="S52" s="284"/>
    </row>
    <row r="53" spans="1:19" ht="35.25" customHeight="1" x14ac:dyDescent="0.25">
      <c r="A53" s="382"/>
      <c r="B53" s="382"/>
      <c r="C53" s="382"/>
      <c r="D53" s="382"/>
      <c r="E53" s="382"/>
      <c r="F53" s="382"/>
      <c r="G53" s="382"/>
      <c r="H53" s="382"/>
      <c r="I53" s="382"/>
      <c r="J53" s="382"/>
      <c r="K53" s="382"/>
      <c r="L53" s="382"/>
      <c r="M53" s="382"/>
      <c r="N53" s="382"/>
      <c r="O53" s="382"/>
      <c r="P53" s="284"/>
      <c r="Q53" s="284"/>
      <c r="R53" s="284"/>
      <c r="S53" s="284"/>
    </row>
  </sheetData>
  <sheetProtection password="CBBB" sheet="1" objects="1" scenarios="1"/>
  <mergeCells count="11">
    <mergeCell ref="U7:V7"/>
    <mergeCell ref="F48:I48"/>
    <mergeCell ref="A51:O52"/>
    <mergeCell ref="F3:S3"/>
    <mergeCell ref="F5:G5"/>
    <mergeCell ref="H5:I5"/>
    <mergeCell ref="J5:K5"/>
    <mergeCell ref="L5:M5"/>
    <mergeCell ref="N5:O5"/>
    <mergeCell ref="P5:Q5"/>
    <mergeCell ref="R5:S5"/>
  </mergeCells>
  <conditionalFormatting sqref="F48:F49">
    <cfRule type="cellIs" dxfId="7" priority="8" operator="equal">
      <formula>"NIET WAAR, ONGELDIG!!"</formula>
    </cfRule>
    <cfRule type="cellIs" dxfId="6" priority="9" operator="equal">
      <formula>"WAAR"</formula>
    </cfRule>
  </conditionalFormatting>
  <conditionalFormatting sqref="W12">
    <cfRule type="cellIs" dxfId="5" priority="7" operator="greaterThan">
      <formula>$V$12</formula>
    </cfRule>
  </conditionalFormatting>
  <conditionalFormatting sqref="W24">
    <cfRule type="cellIs" dxfId="4" priority="6" operator="greaterThan">
      <formula>$V$24</formula>
    </cfRule>
  </conditionalFormatting>
  <conditionalFormatting sqref="W28">
    <cfRule type="cellIs" dxfId="3" priority="5" operator="greaterThan">
      <formula>$V$28</formula>
    </cfRule>
  </conditionalFormatting>
  <conditionalFormatting sqref="W31">
    <cfRule type="cellIs" dxfId="2" priority="4" operator="greaterThan">
      <formula>$V$31</formula>
    </cfRule>
  </conditionalFormatting>
  <conditionalFormatting sqref="W41">
    <cfRule type="cellIs" dxfId="1" priority="1" operator="greaterThan">
      <formula>$V$41</formula>
    </cfRule>
    <cfRule type="cellIs" dxfId="0" priority="2" operator="greaterThan">
      <formula>$W$41</formula>
    </cfRule>
    <cfRule type="cellIs" priority="3" operator="greaterThan">
      <formula>$V$41</formula>
    </cfRule>
  </conditionalFormatting>
  <pageMargins left="0.7" right="0.7" top="0.75" bottom="0.75" header="0.3" footer="0.3"/>
  <pageSetup paperSize="9" scale="66" fitToHeight="2"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Toelichting!$A$37:$A$42</xm:f>
          </x14:formula1>
          <xm:sqref>F5:S5</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46"/>
  <sheetViews>
    <sheetView zoomScale="80" zoomScaleNormal="80" workbookViewId="0">
      <selection activeCell="A62" sqref="A62"/>
    </sheetView>
  </sheetViews>
  <sheetFormatPr defaultColWidth="10.5" defaultRowHeight="15.75" x14ac:dyDescent="0.25"/>
  <cols>
    <col min="1" max="1" width="39.5" customWidth="1"/>
    <col min="2" max="2" width="113" customWidth="1"/>
  </cols>
  <sheetData>
    <row r="1" spans="1:2" x14ac:dyDescent="0.25">
      <c r="A1" t="s">
        <v>103</v>
      </c>
    </row>
    <row r="2" spans="1:2" x14ac:dyDescent="0.25">
      <c r="A2" s="223" t="s">
        <v>112</v>
      </c>
      <c r="B2" s="85" t="s">
        <v>4</v>
      </c>
    </row>
    <row r="3" spans="1:2" ht="36" customHeight="1" x14ac:dyDescent="0.25">
      <c r="A3" s="224" t="s">
        <v>83</v>
      </c>
      <c r="B3" s="145" t="s">
        <v>139</v>
      </c>
    </row>
    <row r="4" spans="1:2" x14ac:dyDescent="0.25">
      <c r="A4" s="163" t="s">
        <v>104</v>
      </c>
      <c r="B4" s="147" t="s">
        <v>106</v>
      </c>
    </row>
    <row r="5" spans="1:2" ht="54" customHeight="1" x14ac:dyDescent="0.25">
      <c r="A5" s="206" t="s">
        <v>63</v>
      </c>
      <c r="B5" s="146" t="s">
        <v>140</v>
      </c>
    </row>
    <row r="6" spans="1:2" x14ac:dyDescent="0.25">
      <c r="A6" s="163" t="s">
        <v>107</v>
      </c>
      <c r="B6" s="147" t="s">
        <v>108</v>
      </c>
    </row>
    <row r="7" spans="1:2" ht="94.5" x14ac:dyDescent="0.25">
      <c r="A7" s="206" t="s">
        <v>109</v>
      </c>
      <c r="B7" s="303" t="s">
        <v>181</v>
      </c>
    </row>
    <row r="8" spans="1:2" ht="36.950000000000003" customHeight="1" x14ac:dyDescent="0.25">
      <c r="A8" s="163" t="s">
        <v>111</v>
      </c>
      <c r="B8" s="148" t="s">
        <v>118</v>
      </c>
    </row>
    <row r="9" spans="1:2" ht="110.25" x14ac:dyDescent="0.25">
      <c r="A9" s="206" t="s">
        <v>25</v>
      </c>
      <c r="B9" s="146" t="s">
        <v>182</v>
      </c>
    </row>
    <row r="10" spans="1:2" ht="110.25" x14ac:dyDescent="0.25">
      <c r="A10" s="163" t="s">
        <v>26</v>
      </c>
      <c r="B10" s="148" t="s">
        <v>183</v>
      </c>
    </row>
    <row r="11" spans="1:2" ht="31.5" x14ac:dyDescent="0.25">
      <c r="A11" s="206" t="s">
        <v>27</v>
      </c>
      <c r="B11" s="144" t="s">
        <v>145</v>
      </c>
    </row>
    <row r="12" spans="1:2" ht="112.5" customHeight="1" x14ac:dyDescent="0.25">
      <c r="A12" s="163" t="s">
        <v>130</v>
      </c>
      <c r="B12" s="205" t="s">
        <v>131</v>
      </c>
    </row>
    <row r="13" spans="1:2" ht="33" customHeight="1" x14ac:dyDescent="0.25">
      <c r="A13" s="206" t="s">
        <v>132</v>
      </c>
      <c r="B13" s="207" t="s">
        <v>171</v>
      </c>
    </row>
    <row r="14" spans="1:2" ht="31.5" x14ac:dyDescent="0.25">
      <c r="A14" s="163" t="s">
        <v>93</v>
      </c>
      <c r="B14" s="148" t="s">
        <v>147</v>
      </c>
    </row>
    <row r="15" spans="1:2" ht="66" customHeight="1" x14ac:dyDescent="0.25">
      <c r="A15" s="206" t="s">
        <v>154</v>
      </c>
      <c r="B15" s="146" t="s">
        <v>170</v>
      </c>
    </row>
    <row r="16" spans="1:2" ht="110.25" x14ac:dyDescent="0.25">
      <c r="A16" s="163" t="s">
        <v>115</v>
      </c>
      <c r="B16" s="259" t="s">
        <v>184</v>
      </c>
    </row>
    <row r="17" spans="1:2" ht="47.25" x14ac:dyDescent="0.25">
      <c r="A17" s="225" t="s">
        <v>117</v>
      </c>
      <c r="B17" s="257" t="s">
        <v>175</v>
      </c>
    </row>
    <row r="18" spans="1:2" ht="31.5" x14ac:dyDescent="0.25">
      <c r="A18" s="226" t="s">
        <v>123</v>
      </c>
      <c r="B18" s="149" t="s">
        <v>127</v>
      </c>
    </row>
    <row r="19" spans="1:2" x14ac:dyDescent="0.25">
      <c r="A19" s="273" t="s">
        <v>173</v>
      </c>
      <c r="B19" s="146" t="s">
        <v>185</v>
      </c>
    </row>
    <row r="21" spans="1:2" x14ac:dyDescent="0.25">
      <c r="A21" s="107" t="s">
        <v>160</v>
      </c>
    </row>
    <row r="22" spans="1:2" ht="31.5" x14ac:dyDescent="0.25">
      <c r="A22" s="163" t="s">
        <v>158</v>
      </c>
      <c r="B22" s="148" t="s">
        <v>159</v>
      </c>
    </row>
    <row r="23" spans="1:2" ht="31.5" x14ac:dyDescent="0.25">
      <c r="A23" s="141" t="s">
        <v>168</v>
      </c>
      <c r="B23" s="146" t="s">
        <v>169</v>
      </c>
    </row>
    <row r="24" spans="1:2" ht="47.25" x14ac:dyDescent="0.25">
      <c r="A24" s="271" t="s">
        <v>172</v>
      </c>
      <c r="B24" s="272" t="s">
        <v>186</v>
      </c>
    </row>
    <row r="27" spans="1:2" x14ac:dyDescent="0.25">
      <c r="A27" s="163" t="s">
        <v>161</v>
      </c>
      <c r="B27" s="148"/>
    </row>
    <row r="28" spans="1:2" ht="94.5" x14ac:dyDescent="0.25">
      <c r="A28" s="107" t="s">
        <v>162</v>
      </c>
      <c r="B28" s="260" t="s">
        <v>167</v>
      </c>
    </row>
    <row r="29" spans="1:2" ht="31.5" x14ac:dyDescent="0.25">
      <c r="A29" s="163" t="s">
        <v>163</v>
      </c>
      <c r="B29" s="148" t="s">
        <v>165</v>
      </c>
    </row>
    <row r="30" spans="1:2" ht="31.5" x14ac:dyDescent="0.25">
      <c r="A30" s="206" t="s">
        <v>164</v>
      </c>
      <c r="B30" s="146" t="s">
        <v>166</v>
      </c>
    </row>
    <row r="35" spans="1:3" hidden="1" x14ac:dyDescent="0.25">
      <c r="A35" t="s">
        <v>133</v>
      </c>
    </row>
    <row r="36" spans="1:3" ht="16.5" hidden="1" thickBot="1" x14ac:dyDescent="0.3">
      <c r="A36" t="s">
        <v>83</v>
      </c>
    </row>
    <row r="37" spans="1:3" hidden="1" x14ac:dyDescent="0.25">
      <c r="A37" s="189"/>
      <c r="B37" s="189" t="s">
        <v>176</v>
      </c>
      <c r="C37" s="189" t="s">
        <v>25</v>
      </c>
    </row>
    <row r="38" spans="1:3" hidden="1" x14ac:dyDescent="0.25">
      <c r="A38" s="190" t="s">
        <v>97</v>
      </c>
      <c r="B38" s="279">
        <v>8.3299999999999999E-2</v>
      </c>
      <c r="C38" s="281">
        <v>0.1265</v>
      </c>
    </row>
    <row r="39" spans="1:3" hidden="1" x14ac:dyDescent="0.25">
      <c r="A39" s="190" t="s">
        <v>98</v>
      </c>
      <c r="B39" s="279">
        <v>8.3299999999999999E-2</v>
      </c>
      <c r="C39" s="281">
        <v>0.1071</v>
      </c>
    </row>
    <row r="40" spans="1:3" hidden="1" x14ac:dyDescent="0.25">
      <c r="A40" s="190" t="s">
        <v>100</v>
      </c>
      <c r="B40" s="279">
        <v>8.3000000000000004E-2</v>
      </c>
      <c r="C40" s="281">
        <v>0.1065</v>
      </c>
    </row>
    <row r="41" spans="1:3" hidden="1" x14ac:dyDescent="0.25">
      <c r="A41" s="190" t="s">
        <v>138</v>
      </c>
      <c r="B41" s="279">
        <v>8.3000000000000004E-2</v>
      </c>
      <c r="C41" s="281">
        <v>0.107</v>
      </c>
    </row>
    <row r="42" spans="1:3" ht="16.5" hidden="1" thickBot="1" x14ac:dyDescent="0.3">
      <c r="A42" s="191" t="s">
        <v>99</v>
      </c>
      <c r="B42" s="280">
        <v>7.0499999999999993E-2</v>
      </c>
      <c r="C42" s="282">
        <v>0.107</v>
      </c>
    </row>
    <row r="43" spans="1:3" hidden="1" x14ac:dyDescent="0.25"/>
    <row r="44" spans="1:3" hidden="1" x14ac:dyDescent="0.25">
      <c r="A44" t="s">
        <v>142</v>
      </c>
      <c r="B44" s="221">
        <v>12426</v>
      </c>
    </row>
    <row r="45" spans="1:3" hidden="1" x14ac:dyDescent="0.25">
      <c r="A45" t="s">
        <v>143</v>
      </c>
      <c r="B45" s="220">
        <v>0.23499999999999999</v>
      </c>
    </row>
    <row r="46" spans="1:3" hidden="1" x14ac:dyDescent="0.25">
      <c r="A46" t="s">
        <v>144</v>
      </c>
      <c r="B46" s="49">
        <v>20940</v>
      </c>
    </row>
  </sheetData>
  <sheetProtection password="CBBB" sheet="1" objects="1" scenarios="1"/>
  <pageMargins left="0.25" right="0.25" top="0.75" bottom="0.75" header="0.3" footer="0.3"/>
  <pageSetup paperSize="9" scale="83"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9"/>
  <sheetViews>
    <sheetView zoomScale="90" zoomScaleNormal="90" workbookViewId="0">
      <selection activeCell="D7" sqref="A1:XFD1048576"/>
    </sheetView>
  </sheetViews>
  <sheetFormatPr defaultColWidth="8.5" defaultRowHeight="12.75" x14ac:dyDescent="0.2"/>
  <cols>
    <col min="1" max="1" width="27" style="309" customWidth="1"/>
    <col min="2" max="2" width="10" style="309" bestFit="1" customWidth="1"/>
    <col min="3" max="11" width="10.5" style="309" customWidth="1"/>
    <col min="12" max="12" width="8.875" style="309" customWidth="1"/>
    <col min="13" max="13" width="45.5" style="309" customWidth="1"/>
    <col min="14" max="14" width="12.5" style="309" bestFit="1" customWidth="1"/>
    <col min="15" max="15" width="78.875" style="309" customWidth="1"/>
    <col min="16" max="16384" width="8.5" style="309"/>
  </cols>
  <sheetData>
    <row r="1" spans="1:15" ht="15.75" x14ac:dyDescent="0.25">
      <c r="A1" s="431" t="s">
        <v>79</v>
      </c>
      <c r="B1" s="431"/>
      <c r="C1" s="431"/>
      <c r="D1" s="431"/>
      <c r="E1" s="431"/>
      <c r="F1" s="431"/>
      <c r="G1" s="431"/>
      <c r="H1" s="431"/>
      <c r="I1" s="431"/>
      <c r="J1" s="304"/>
      <c r="K1" s="304"/>
      <c r="L1" s="305"/>
      <c r="M1" s="306"/>
      <c r="N1" s="307"/>
      <c r="O1" s="308"/>
    </row>
    <row r="2" spans="1:15" ht="15.75" x14ac:dyDescent="0.25">
      <c r="M2" s="306" t="s">
        <v>89</v>
      </c>
      <c r="N2" s="307"/>
      <c r="O2" s="308"/>
    </row>
    <row r="3" spans="1:15" ht="30" x14ac:dyDescent="0.25">
      <c r="A3" s="310" t="s">
        <v>113</v>
      </c>
      <c r="B3" s="432" t="s">
        <v>97</v>
      </c>
      <c r="C3" s="432"/>
      <c r="D3" s="433" t="s">
        <v>98</v>
      </c>
      <c r="E3" s="433"/>
      <c r="F3" s="433" t="s">
        <v>100</v>
      </c>
      <c r="G3" s="433"/>
      <c r="H3" s="433" t="s">
        <v>99</v>
      </c>
      <c r="I3" s="433"/>
      <c r="J3" s="311"/>
      <c r="K3" s="311"/>
      <c r="M3" s="312" t="s">
        <v>16</v>
      </c>
      <c r="N3" s="313">
        <v>6.7699999999999996E-2</v>
      </c>
      <c r="O3" s="314" t="s">
        <v>85</v>
      </c>
    </row>
    <row r="4" spans="1:15" ht="15.75" x14ac:dyDescent="0.25">
      <c r="A4" s="314" t="s">
        <v>80</v>
      </c>
      <c r="B4" s="315">
        <v>1</v>
      </c>
      <c r="C4" s="316"/>
      <c r="D4" s="316">
        <v>1</v>
      </c>
      <c r="E4" s="316"/>
      <c r="F4" s="316">
        <v>1</v>
      </c>
      <c r="G4" s="316"/>
      <c r="H4" s="316">
        <v>1</v>
      </c>
      <c r="I4" s="316"/>
      <c r="J4" s="316">
        <v>1</v>
      </c>
      <c r="K4" s="316"/>
      <c r="M4" s="312" t="s">
        <v>17</v>
      </c>
      <c r="N4" s="313">
        <v>2.07E-2</v>
      </c>
      <c r="O4" s="308" t="s">
        <v>86</v>
      </c>
    </row>
    <row r="5" spans="1:15" ht="15.75" x14ac:dyDescent="0.25">
      <c r="A5" s="314" t="s">
        <v>25</v>
      </c>
      <c r="B5" s="315">
        <f>(237.5)/(36/7*365)</f>
        <v>0.1265220700152207</v>
      </c>
      <c r="C5" s="316">
        <f>B5/$B$9</f>
        <v>0.16294354949367437</v>
      </c>
      <c r="D5" s="315">
        <f>(201)/(36/7*365)</f>
        <v>0.10707762557077624</v>
      </c>
      <c r="E5" s="316">
        <f>D5/D9</f>
        <v>0.13453274968876752</v>
      </c>
      <c r="F5" s="315">
        <f>(200)/(36/7*365)</f>
        <v>0.106544901065449</v>
      </c>
      <c r="G5" s="316">
        <f>F5/F9</f>
        <v>0.13293932649138931</v>
      </c>
      <c r="H5" s="315">
        <v>0.107</v>
      </c>
      <c r="I5" s="316">
        <f>H5/H9</f>
        <v>0.13442211055276382</v>
      </c>
      <c r="J5" s="316">
        <v>0.107</v>
      </c>
      <c r="K5" s="316">
        <f>J5/J9</f>
        <v>0.13442211055276382</v>
      </c>
      <c r="M5" s="312" t="s">
        <v>18</v>
      </c>
      <c r="N5" s="313">
        <v>4.7000000000000002E-3</v>
      </c>
      <c r="O5" s="308" t="s">
        <v>87</v>
      </c>
    </row>
    <row r="6" spans="1:15" ht="15.75" x14ac:dyDescent="0.25">
      <c r="A6" s="308" t="s">
        <v>26</v>
      </c>
      <c r="B6" s="316">
        <v>0.02</v>
      </c>
      <c r="C6" s="316">
        <f>B6/$B$9</f>
        <v>2.5757332214699322E-2</v>
      </c>
      <c r="D6" s="316">
        <v>0.02</v>
      </c>
      <c r="E6" s="316">
        <f>D6/D9</f>
        <v>2.512807861990626E-2</v>
      </c>
      <c r="F6" s="316">
        <v>1.4999999999999999E-2</v>
      </c>
      <c r="G6" s="316">
        <f>F6/F9</f>
        <v>1.8715958036752026E-2</v>
      </c>
      <c r="H6" s="316">
        <v>0.02</v>
      </c>
      <c r="I6" s="316">
        <f>H6/H9</f>
        <v>2.5125628140703515E-2</v>
      </c>
      <c r="J6" s="316">
        <v>0.02</v>
      </c>
      <c r="K6" s="316">
        <f>J6/J9</f>
        <v>2.5125628140703515E-2</v>
      </c>
      <c r="M6" s="312" t="s">
        <v>19</v>
      </c>
      <c r="N6" s="313">
        <v>6.9500000000000006E-2</v>
      </c>
      <c r="O6" s="308" t="s">
        <v>86</v>
      </c>
    </row>
    <row r="7" spans="1:15" ht="30" x14ac:dyDescent="0.2">
      <c r="A7" s="317" t="s">
        <v>27</v>
      </c>
      <c r="B7" s="318">
        <v>6.7000000000000004E-2</v>
      </c>
      <c r="C7" s="318">
        <f>B7/B9</f>
        <v>8.6287062919242735E-2</v>
      </c>
      <c r="D7" s="318">
        <v>6.7000000000000004E-2</v>
      </c>
      <c r="E7" s="318">
        <f>D7/D9</f>
        <v>8.4179063376685972E-2</v>
      </c>
      <c r="F7" s="318">
        <v>6.7000000000000004E-2</v>
      </c>
      <c r="G7" s="318">
        <f>F7/F9</f>
        <v>8.3597945897492379E-2</v>
      </c>
      <c r="H7" s="318">
        <v>6.7000000000000004E-2</v>
      </c>
      <c r="I7" s="318">
        <f>H7/H9</f>
        <v>8.4170854271356788E-2</v>
      </c>
      <c r="J7" s="318">
        <v>6.7000000000000004E-2</v>
      </c>
      <c r="K7" s="318">
        <f>J7/J9</f>
        <v>8.4170854271356788E-2</v>
      </c>
      <c r="L7" s="319"/>
      <c r="M7" s="312" t="s">
        <v>20</v>
      </c>
      <c r="N7" s="313">
        <v>1.1299999999999999E-2</v>
      </c>
      <c r="O7" s="320" t="s">
        <v>96</v>
      </c>
    </row>
    <row r="8" spans="1:15" ht="32.25" customHeight="1" x14ac:dyDescent="0.25">
      <c r="A8" s="320" t="s">
        <v>152</v>
      </c>
      <c r="B8" s="321">
        <v>0.01</v>
      </c>
      <c r="C8" s="318">
        <f>B8/B9</f>
        <v>1.2878666107349661E-2</v>
      </c>
      <c r="D8" s="321">
        <v>0.01</v>
      </c>
      <c r="E8" s="318">
        <f>D8/D9</f>
        <v>1.256403930995313E-2</v>
      </c>
      <c r="F8" s="321">
        <v>0.01</v>
      </c>
      <c r="G8" s="318">
        <f>F8/F9</f>
        <v>1.2477305357834685E-2</v>
      </c>
      <c r="H8" s="321">
        <v>0.01</v>
      </c>
      <c r="I8" s="318">
        <f>H8/H9</f>
        <v>1.2562814070351758E-2</v>
      </c>
      <c r="J8" s="318">
        <v>0.01</v>
      </c>
      <c r="K8" s="318">
        <f>J8/J9</f>
        <v>1.2562814070351758E-2</v>
      </c>
      <c r="L8" s="319"/>
      <c r="M8" s="312" t="s">
        <v>22</v>
      </c>
      <c r="N8" s="313">
        <v>0</v>
      </c>
      <c r="O8" s="314" t="s">
        <v>121</v>
      </c>
    </row>
    <row r="9" spans="1:15" ht="15.75" x14ac:dyDescent="0.25">
      <c r="A9" s="322" t="s">
        <v>81</v>
      </c>
      <c r="B9" s="323">
        <f>B4-B5-B6-B7-B8</f>
        <v>0.77647792998477927</v>
      </c>
      <c r="C9" s="324"/>
      <c r="D9" s="325">
        <f>D4-D5-D6-D7-D8</f>
        <v>0.79592237442922364</v>
      </c>
      <c r="E9" s="324"/>
      <c r="F9" s="325">
        <f>F4-F5-F6-F7-F8</f>
        <v>0.80145509893455102</v>
      </c>
      <c r="G9" s="324"/>
      <c r="H9" s="325">
        <f>H4-H5-H6-H7-H8</f>
        <v>0.79600000000000004</v>
      </c>
      <c r="I9" s="324"/>
      <c r="J9" s="325">
        <f>J4-SUM(J5:J8)</f>
        <v>0.79600000000000004</v>
      </c>
      <c r="K9" s="324"/>
      <c r="M9" s="306" t="s">
        <v>23</v>
      </c>
      <c r="N9" s="326">
        <f>SUM(N$3:N$8)</f>
        <v>0.1739</v>
      </c>
      <c r="O9" s="308"/>
    </row>
    <row r="10" spans="1:15" ht="15.75" x14ac:dyDescent="0.25">
      <c r="M10" s="327"/>
      <c r="N10" s="327"/>
      <c r="O10" s="327"/>
    </row>
    <row r="11" spans="1:15" ht="15.75" x14ac:dyDescent="0.25">
      <c r="A11" s="328"/>
      <c r="M11" s="329"/>
      <c r="N11" s="330"/>
      <c r="O11" s="327"/>
    </row>
    <row r="12" spans="1:15" ht="15.75" x14ac:dyDescent="0.25">
      <c r="A12" s="328" t="s">
        <v>119</v>
      </c>
      <c r="M12" s="327"/>
      <c r="N12" s="327"/>
      <c r="O12" s="327"/>
    </row>
    <row r="13" spans="1:15" ht="15.75" x14ac:dyDescent="0.25">
      <c r="A13" s="328" t="s">
        <v>120</v>
      </c>
      <c r="M13" s="329" t="s">
        <v>141</v>
      </c>
      <c r="N13" s="327"/>
      <c r="O13" s="327"/>
    </row>
    <row r="14" spans="1:15" ht="15.75" x14ac:dyDescent="0.25">
      <c r="A14" s="328" t="s">
        <v>82</v>
      </c>
      <c r="M14" s="331"/>
      <c r="N14" s="331" t="s">
        <v>97</v>
      </c>
      <c r="O14" s="327"/>
    </row>
    <row r="15" spans="1:15" ht="15.75" x14ac:dyDescent="0.25">
      <c r="M15" s="308" t="s">
        <v>64</v>
      </c>
      <c r="N15" s="332">
        <f>12.71*1878</f>
        <v>23869.38</v>
      </c>
      <c r="O15" s="327"/>
    </row>
    <row r="16" spans="1:15" ht="15.75" x14ac:dyDescent="0.25">
      <c r="A16" s="328" t="s">
        <v>137</v>
      </c>
      <c r="M16" s="308" t="s">
        <v>107</v>
      </c>
      <c r="N16" s="333">
        <f>N15*O16</f>
        <v>1909.5504000000001</v>
      </c>
      <c r="O16" s="334">
        <v>0.08</v>
      </c>
    </row>
    <row r="17" spans="1:15" ht="15.75" x14ac:dyDescent="0.25">
      <c r="M17" s="308" t="s">
        <v>109</v>
      </c>
      <c r="N17" s="333">
        <f>N15*O17</f>
        <v>1988.319354</v>
      </c>
      <c r="O17" s="335">
        <v>8.3299999999999999E-2</v>
      </c>
    </row>
    <row r="18" spans="1:15" ht="15.75" x14ac:dyDescent="0.25">
      <c r="A18" s="336"/>
      <c r="B18" s="337"/>
      <c r="M18" s="308" t="s">
        <v>93</v>
      </c>
      <c r="N18" s="333">
        <f>N15*O18</f>
        <v>238.69380000000001</v>
      </c>
      <c r="O18" s="338">
        <v>0.01</v>
      </c>
    </row>
    <row r="19" spans="1:15" ht="15.75" x14ac:dyDescent="0.25">
      <c r="M19" s="308"/>
      <c r="N19" s="333">
        <f>SUM(N15:N18)</f>
        <v>28005.943554000001</v>
      </c>
      <c r="O19" s="327"/>
    </row>
    <row r="20" spans="1:15" ht="15.75" x14ac:dyDescent="0.25">
      <c r="M20" s="322"/>
      <c r="N20" s="327" t="s">
        <v>95</v>
      </c>
      <c r="O20" s="327"/>
    </row>
    <row r="21" spans="1:15" ht="15.75" x14ac:dyDescent="0.25">
      <c r="M21" s="339" t="s">
        <v>65</v>
      </c>
      <c r="N21" s="327"/>
      <c r="O21" s="327"/>
    </row>
    <row r="22" spans="1:15" ht="15.75" x14ac:dyDescent="0.25">
      <c r="A22" s="340"/>
      <c r="M22" s="308" t="s">
        <v>66</v>
      </c>
      <c r="N22" s="341">
        <v>0.23499999999999999</v>
      </c>
      <c r="O22" s="327"/>
    </row>
    <row r="23" spans="1:15" ht="15.75" x14ac:dyDescent="0.25">
      <c r="M23" s="308" t="s">
        <v>67</v>
      </c>
      <c r="N23" s="342">
        <v>12426</v>
      </c>
      <c r="O23" s="327"/>
    </row>
    <row r="24" spans="1:15" ht="15.75" x14ac:dyDescent="0.25">
      <c r="B24" s="343"/>
      <c r="M24" s="308" t="s">
        <v>68</v>
      </c>
      <c r="N24" s="333">
        <f>N19-N23</f>
        <v>15579.943554000001</v>
      </c>
      <c r="O24" s="327"/>
    </row>
    <row r="25" spans="1:15" ht="15.75" x14ac:dyDescent="0.25">
      <c r="M25" s="308" t="s">
        <v>69</v>
      </c>
      <c r="N25" s="333">
        <f>N24*N22</f>
        <v>3661.2867351899999</v>
      </c>
      <c r="O25" s="327"/>
    </row>
    <row r="26" spans="1:15" ht="15.75" x14ac:dyDescent="0.25">
      <c r="M26" s="322"/>
      <c r="N26" s="327"/>
      <c r="O26" s="327"/>
    </row>
    <row r="27" spans="1:15" ht="15.75" x14ac:dyDescent="0.25">
      <c r="M27" s="322" t="s">
        <v>187</v>
      </c>
      <c r="N27" s="344">
        <f>IFERROR((N25/N19)*0.5,0)</f>
        <v>6.5366244992432501E-2</v>
      </c>
      <c r="O27" s="327"/>
    </row>
    <row r="28" spans="1:15" ht="15.75" x14ac:dyDescent="0.25">
      <c r="M28" s="322"/>
      <c r="N28" s="327"/>
      <c r="O28" s="327"/>
    </row>
    <row r="29" spans="1:15" ht="15.75" x14ac:dyDescent="0.25">
      <c r="M29" s="339" t="s">
        <v>71</v>
      </c>
      <c r="N29" s="327"/>
      <c r="O29" s="327"/>
    </row>
    <row r="30" spans="1:15" ht="15.75" x14ac:dyDescent="0.25">
      <c r="M30" s="308" t="s">
        <v>66</v>
      </c>
      <c r="N30" s="330">
        <v>6.0000000000000001E-3</v>
      </c>
      <c r="O30" s="327"/>
    </row>
    <row r="31" spans="1:15" ht="15.75" x14ac:dyDescent="0.25">
      <c r="M31" s="308" t="s">
        <v>72</v>
      </c>
      <c r="N31" s="342">
        <v>20940</v>
      </c>
      <c r="O31" s="345"/>
    </row>
    <row r="32" spans="1:15" ht="15.75" x14ac:dyDescent="0.25">
      <c r="M32" s="308" t="s">
        <v>68</v>
      </c>
      <c r="N32" s="333">
        <f>N19-N31</f>
        <v>7065.9435540000013</v>
      </c>
      <c r="O32" s="327"/>
    </row>
    <row r="33" spans="13:15" ht="15.75" x14ac:dyDescent="0.25">
      <c r="M33" s="308" t="s">
        <v>69</v>
      </c>
      <c r="N33" s="342">
        <f>N30*N32</f>
        <v>42.39566132400001</v>
      </c>
      <c r="O33" s="327"/>
    </row>
    <row r="34" spans="13:15" ht="15.75" x14ac:dyDescent="0.25">
      <c r="M34" s="322"/>
      <c r="N34" s="327"/>
      <c r="O34" s="327"/>
    </row>
    <row r="35" spans="13:15" ht="15.75" x14ac:dyDescent="0.25">
      <c r="M35" s="322" t="s">
        <v>188</v>
      </c>
      <c r="N35" s="346">
        <f>IFERROR(IF(((N33/N19)*0.5)&gt;0,(N33/N19)*0.5,0),0)</f>
        <v>7.569047127845255E-4</v>
      </c>
      <c r="O35" s="327"/>
    </row>
    <row r="36" spans="13:15" ht="15.75" x14ac:dyDescent="0.25">
      <c r="M36" s="322"/>
      <c r="N36" s="327"/>
      <c r="O36" s="327"/>
    </row>
    <row r="37" spans="13:15" ht="15.75" x14ac:dyDescent="0.25">
      <c r="M37" s="322" t="s">
        <v>114</v>
      </c>
      <c r="N37" s="347">
        <f>N27+N35</f>
        <v>6.612314970521703E-2</v>
      </c>
      <c r="O37" s="327"/>
    </row>
    <row r="38" spans="13:15" ht="15.75" x14ac:dyDescent="0.25">
      <c r="M38" s="327"/>
      <c r="N38" s="327"/>
      <c r="O38" s="327"/>
    </row>
    <row r="39" spans="13:15" ht="15.75" x14ac:dyDescent="0.25">
      <c r="M39" s="329" t="s">
        <v>91</v>
      </c>
      <c r="N39" s="330">
        <f>N9+N37</f>
        <v>0.24002314970521704</v>
      </c>
      <c r="O39" s="327"/>
    </row>
  </sheetData>
  <mergeCells count="5">
    <mergeCell ref="A1:I1"/>
    <mergeCell ref="B3:C3"/>
    <mergeCell ref="D3:E3"/>
    <mergeCell ref="F3:G3"/>
    <mergeCell ref="H3:I3"/>
  </mergeCells>
  <pageMargins left="0.7" right="0.7" top="0.75" bottom="0.75" header="0.3" footer="0.3"/>
  <pageSetup paperSize="9"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55"/>
  <sheetViews>
    <sheetView workbookViewId="0">
      <pane ySplit="3" topLeftCell="A4" activePane="bottomLeft" state="frozen"/>
      <selection pane="bottomLeft" activeCell="G28" sqref="G28"/>
    </sheetView>
  </sheetViews>
  <sheetFormatPr defaultColWidth="10.5" defaultRowHeight="15.75" x14ac:dyDescent="0.25"/>
  <cols>
    <col min="1" max="1" width="54.5" style="5" customWidth="1"/>
    <col min="2" max="2" width="0.5" style="6" customWidth="1"/>
    <col min="3" max="3" width="14" style="6" customWidth="1"/>
    <col min="4" max="4" width="0.5" style="6" customWidth="1"/>
    <col min="5" max="5" width="7" style="5" customWidth="1"/>
    <col min="6" max="6" width="0.5" style="6" customWidth="1"/>
    <col min="7" max="8" width="10.5" style="6"/>
    <col min="9" max="9" width="0.5" style="6" customWidth="1"/>
    <col min="10" max="11" width="10.5" style="6"/>
    <col min="12" max="12" width="0.5" style="5" customWidth="1"/>
    <col min="13" max="13" width="62" style="5" customWidth="1"/>
    <col min="14" max="16384" width="10.5" style="5"/>
  </cols>
  <sheetData>
    <row r="1" spans="1:13" x14ac:dyDescent="0.25">
      <c r="A1" s="67" t="s">
        <v>0</v>
      </c>
      <c r="B1" s="16"/>
      <c r="C1" s="16"/>
      <c r="D1" s="16"/>
      <c r="E1" s="17"/>
    </row>
    <row r="3" spans="1:13" s="18" customFormat="1" ht="18.75" x14ac:dyDescent="0.3">
      <c r="A3" s="37" t="s">
        <v>3</v>
      </c>
      <c r="B3" s="102"/>
      <c r="C3" s="38"/>
      <c r="D3" s="102"/>
      <c r="E3" s="37"/>
      <c r="F3" s="102"/>
      <c r="G3" s="434" t="s">
        <v>29</v>
      </c>
      <c r="H3" s="434"/>
      <c r="I3" s="102"/>
      <c r="J3" s="434" t="s">
        <v>30</v>
      </c>
      <c r="K3" s="434"/>
      <c r="L3" s="39"/>
      <c r="M3" s="39"/>
    </row>
    <row r="4" spans="1:13" x14ac:dyDescent="0.25">
      <c r="A4" s="19" t="s">
        <v>31</v>
      </c>
      <c r="B4" s="81"/>
      <c r="C4" s="20"/>
      <c r="D4" s="81"/>
      <c r="E4" s="19"/>
      <c r="F4" s="81"/>
      <c r="G4" s="435" t="s">
        <v>32</v>
      </c>
      <c r="H4" s="435"/>
      <c r="I4" s="81"/>
      <c r="J4" s="435" t="s">
        <v>32</v>
      </c>
      <c r="K4" s="435"/>
      <c r="L4" s="82"/>
      <c r="M4" s="57" t="s">
        <v>5</v>
      </c>
    </row>
    <row r="5" spans="1:13" x14ac:dyDescent="0.25">
      <c r="A5" s="22" t="s">
        <v>33</v>
      </c>
      <c r="B5" s="68"/>
      <c r="C5" s="23"/>
      <c r="D5" s="68"/>
      <c r="E5" s="22"/>
      <c r="F5" s="68"/>
      <c r="G5" s="55" t="s">
        <v>1</v>
      </c>
      <c r="H5" s="55" t="s">
        <v>2</v>
      </c>
      <c r="I5" s="68"/>
      <c r="J5" s="55" t="s">
        <v>2</v>
      </c>
      <c r="K5" s="55" t="s">
        <v>34</v>
      </c>
      <c r="L5" s="83"/>
      <c r="M5" s="22"/>
    </row>
    <row r="6" spans="1:13" x14ac:dyDescent="0.25">
      <c r="A6" s="22" t="s">
        <v>6</v>
      </c>
      <c r="B6" s="68"/>
      <c r="C6" s="23"/>
      <c r="D6" s="68"/>
      <c r="E6" s="22"/>
      <c r="F6" s="68"/>
      <c r="G6" s="55">
        <v>3</v>
      </c>
      <c r="H6" s="55">
        <v>7</v>
      </c>
      <c r="I6" s="68"/>
      <c r="J6" s="55">
        <v>7</v>
      </c>
      <c r="K6" s="55">
        <v>4</v>
      </c>
      <c r="L6" s="83"/>
      <c r="M6" s="22"/>
    </row>
    <row r="7" spans="1:13" x14ac:dyDescent="0.25">
      <c r="A7" s="22" t="s">
        <v>35</v>
      </c>
      <c r="B7" s="69"/>
      <c r="C7" s="23"/>
      <c r="D7" s="69"/>
      <c r="E7" s="22"/>
      <c r="F7" s="69"/>
      <c r="G7" s="56">
        <v>0.75</v>
      </c>
      <c r="H7" s="56">
        <v>0.25</v>
      </c>
      <c r="I7" s="69"/>
      <c r="J7" s="56">
        <v>0.6</v>
      </c>
      <c r="K7" s="56">
        <v>0.4</v>
      </c>
      <c r="L7" s="83"/>
      <c r="M7" s="22"/>
    </row>
    <row r="8" spans="1:13" x14ac:dyDescent="0.25">
      <c r="B8" s="3"/>
      <c r="D8" s="3"/>
      <c r="F8" s="3"/>
      <c r="I8" s="3"/>
      <c r="L8" s="1"/>
    </row>
    <row r="9" spans="1:13" ht="47.25" x14ac:dyDescent="0.25">
      <c r="A9" s="40"/>
      <c r="B9" s="87"/>
      <c r="C9" s="86" t="s">
        <v>36</v>
      </c>
      <c r="D9" s="87"/>
      <c r="E9" s="85" t="s">
        <v>8</v>
      </c>
      <c r="F9" s="87"/>
      <c r="G9" s="88"/>
      <c r="H9" s="88"/>
      <c r="I9" s="87"/>
      <c r="J9" s="88"/>
      <c r="K9" s="88"/>
      <c r="L9" s="89"/>
      <c r="M9" s="90" t="s">
        <v>37</v>
      </c>
    </row>
    <row r="10" spans="1:13" x14ac:dyDescent="0.25">
      <c r="A10" s="2" t="s">
        <v>9</v>
      </c>
      <c r="B10" s="3"/>
      <c r="C10" s="3"/>
      <c r="D10" s="3"/>
      <c r="E10" s="1"/>
      <c r="F10" s="3"/>
      <c r="G10" s="3"/>
      <c r="H10" s="3"/>
      <c r="I10" s="3"/>
      <c r="J10" s="3"/>
      <c r="K10" s="3"/>
      <c r="L10" s="1"/>
      <c r="M10" s="1"/>
    </row>
    <row r="11" spans="1:13" x14ac:dyDescent="0.25">
      <c r="A11" s="19" t="s">
        <v>10</v>
      </c>
      <c r="B11" s="70"/>
      <c r="C11" s="20"/>
      <c r="D11" s="70"/>
      <c r="E11" s="19"/>
      <c r="F11" s="70"/>
      <c r="G11" s="21" t="e">
        <f>VLOOKUP(G4&amp;G5&amp;G6,#REF!,6,0)</f>
        <v>#REF!</v>
      </c>
      <c r="H11" s="21" t="e">
        <f>VLOOKUP(G4&amp;H5&amp;H6,#REF!,6,0)</f>
        <v>#REF!</v>
      </c>
      <c r="I11" s="70"/>
      <c r="J11" s="21" t="e">
        <f>VLOOKUP(J4&amp;J5&amp;J6,#REF!,6,0)</f>
        <v>#REF!</v>
      </c>
      <c r="K11" s="21" t="e">
        <f>VLOOKUP(J4&amp;K5&amp;K6,#REF!,6,0)</f>
        <v>#REF!</v>
      </c>
      <c r="L11" s="82"/>
      <c r="M11" s="19"/>
    </row>
    <row r="12" spans="1:13" x14ac:dyDescent="0.25">
      <c r="A12" s="22" t="s">
        <v>38</v>
      </c>
      <c r="B12" s="71"/>
      <c r="C12" s="23" t="s">
        <v>11</v>
      </c>
      <c r="D12" s="71"/>
      <c r="E12" s="24">
        <v>0.08</v>
      </c>
      <c r="F12" s="71"/>
      <c r="G12" s="25" t="e">
        <f>IF((G$11*$E12)&gt;0.98,(G$11*$E12),0.98)</f>
        <v>#REF!</v>
      </c>
      <c r="H12" s="25" t="e">
        <f t="shared" ref="H12:K12" si="0">IF((H$11*$E12)&gt;0.98,(H$11*$E12),0.98)</f>
        <v>#REF!</v>
      </c>
      <c r="I12" s="71"/>
      <c r="J12" s="25" t="e">
        <f t="shared" si="0"/>
        <v>#REF!</v>
      </c>
      <c r="K12" s="25" t="e">
        <f t="shared" si="0"/>
        <v>#REF!</v>
      </c>
      <c r="L12" s="83"/>
      <c r="M12" s="22"/>
    </row>
    <row r="13" spans="1:13" x14ac:dyDescent="0.25">
      <c r="A13" s="22" t="s">
        <v>39</v>
      </c>
      <c r="B13" s="71"/>
      <c r="C13" s="23" t="s">
        <v>11</v>
      </c>
      <c r="D13" s="71"/>
      <c r="E13" s="26">
        <v>7.3999999999999996E-2</v>
      </c>
      <c r="F13" s="71"/>
      <c r="G13" s="25" t="e">
        <f>IF((G$11*$E13)&gt;0.94,(G$11*$E13),0.94)</f>
        <v>#REF!</v>
      </c>
      <c r="H13" s="25" t="e">
        <f t="shared" ref="H13:K13" si="1">IF((H$11*$E13)&gt;0.94,(H$11*$E13),0.94)</f>
        <v>#REF!</v>
      </c>
      <c r="I13" s="71"/>
      <c r="J13" s="25" t="e">
        <f t="shared" si="1"/>
        <v>#REF!</v>
      </c>
      <c r="K13" s="25" t="e">
        <f t="shared" si="1"/>
        <v>#REF!</v>
      </c>
      <c r="L13" s="83"/>
      <c r="M13" s="22"/>
    </row>
    <row r="14" spans="1:13" x14ac:dyDescent="0.25">
      <c r="A14" s="30" t="s">
        <v>12</v>
      </c>
      <c r="B14" s="72"/>
      <c r="C14" s="31"/>
      <c r="D14" s="72"/>
      <c r="E14" s="36">
        <f>SUM(E12:E13)</f>
        <v>0.154</v>
      </c>
      <c r="F14" s="72"/>
      <c r="G14" s="33" t="e">
        <f>SUM(G11:G13)</f>
        <v>#REF!</v>
      </c>
      <c r="H14" s="33" t="e">
        <f t="shared" ref="H14:K14" si="2">SUM(H11:H13)</f>
        <v>#REF!</v>
      </c>
      <c r="I14" s="72"/>
      <c r="J14" s="33" t="e">
        <f t="shared" si="2"/>
        <v>#REF!</v>
      </c>
      <c r="K14" s="33" t="e">
        <f t="shared" si="2"/>
        <v>#REF!</v>
      </c>
      <c r="L14" s="84"/>
      <c r="M14" s="34"/>
    </row>
    <row r="15" spans="1:13" ht="8.25" customHeight="1" x14ac:dyDescent="0.25">
      <c r="B15" s="3"/>
      <c r="D15" s="3"/>
      <c r="E15" s="12"/>
      <c r="F15" s="3"/>
      <c r="I15" s="3"/>
      <c r="L15" s="1"/>
    </row>
    <row r="16" spans="1:13" x14ac:dyDescent="0.25">
      <c r="A16" s="19" t="s">
        <v>13</v>
      </c>
      <c r="B16" s="70"/>
      <c r="C16" s="20" t="s">
        <v>11</v>
      </c>
      <c r="D16" s="70"/>
      <c r="E16" s="28"/>
      <c r="F16" s="70"/>
      <c r="G16" s="21" t="e">
        <f>G$14*'Pensioenpremie CAO'!B$16</f>
        <v>#REF!</v>
      </c>
      <c r="H16" s="21" t="e">
        <f>H$14*'Pensioenpremie CAO'!C$16</f>
        <v>#REF!</v>
      </c>
      <c r="I16" s="70"/>
      <c r="J16" s="21" t="e">
        <f>J$14*'Pensioenpremie CAO'!D$16</f>
        <v>#REF!</v>
      </c>
      <c r="K16" s="21" t="e">
        <f>K$14*'Pensioenpremie CAO'!E$16</f>
        <v>#REF!</v>
      </c>
      <c r="L16" s="82"/>
      <c r="M16" s="19"/>
    </row>
    <row r="17" spans="1:13" x14ac:dyDescent="0.25">
      <c r="A17" s="22" t="s">
        <v>14</v>
      </c>
      <c r="B17" s="71"/>
      <c r="C17" s="23" t="s">
        <v>11</v>
      </c>
      <c r="D17" s="71"/>
      <c r="E17" s="24"/>
      <c r="F17" s="71"/>
      <c r="G17" s="25" t="e">
        <f>G$14*'Pensioenpremie CAO'!B$24</f>
        <v>#REF!</v>
      </c>
      <c r="H17" s="25" t="e">
        <f>H$14*'Pensioenpremie CAO'!C$24</f>
        <v>#REF!</v>
      </c>
      <c r="I17" s="71"/>
      <c r="J17" s="25" t="e">
        <f>J$14*'Pensioenpremie CAO'!D$24</f>
        <v>#REF!</v>
      </c>
      <c r="K17" s="25" t="e">
        <f>K$14*'Pensioenpremie CAO'!E$24</f>
        <v>#REF!</v>
      </c>
      <c r="L17" s="83"/>
      <c r="M17" s="22"/>
    </row>
    <row r="18" spans="1:13" x14ac:dyDescent="0.25">
      <c r="A18" s="30" t="s">
        <v>15</v>
      </c>
      <c r="B18" s="72"/>
      <c r="C18" s="31"/>
      <c r="D18" s="72"/>
      <c r="E18" s="35"/>
      <c r="F18" s="72"/>
      <c r="G18" s="33" t="e">
        <f>SUM(G16:G17)</f>
        <v>#REF!</v>
      </c>
      <c r="H18" s="33" t="e">
        <f t="shared" ref="H18:K18" si="3">SUM(H16:H17)</f>
        <v>#REF!</v>
      </c>
      <c r="I18" s="72"/>
      <c r="J18" s="33" t="e">
        <f t="shared" si="3"/>
        <v>#REF!</v>
      </c>
      <c r="K18" s="33" t="e">
        <f t="shared" si="3"/>
        <v>#REF!</v>
      </c>
      <c r="L18" s="84"/>
      <c r="M18" s="34"/>
    </row>
    <row r="19" spans="1:13" ht="8.25" customHeight="1" x14ac:dyDescent="0.25">
      <c r="B19" s="3"/>
      <c r="D19" s="3"/>
      <c r="E19" s="12"/>
      <c r="F19" s="3"/>
      <c r="I19" s="3"/>
      <c r="L19" s="1"/>
    </row>
    <row r="20" spans="1:13" x14ac:dyDescent="0.25">
      <c r="A20" s="19" t="s">
        <v>16</v>
      </c>
      <c r="B20" s="70"/>
      <c r="C20" s="20" t="s">
        <v>11</v>
      </c>
      <c r="D20" s="70"/>
      <c r="E20" s="29">
        <v>6.6600000000000006E-2</v>
      </c>
      <c r="F20" s="70"/>
      <c r="G20" s="21" t="e">
        <f>G$14*$E20</f>
        <v>#REF!</v>
      </c>
      <c r="H20" s="21" t="e">
        <f t="shared" ref="H20:K23" si="4">H$14*$E20</f>
        <v>#REF!</v>
      </c>
      <c r="I20" s="70"/>
      <c r="J20" s="21" t="e">
        <f t="shared" si="4"/>
        <v>#REF!</v>
      </c>
      <c r="K20" s="21" t="e">
        <f t="shared" si="4"/>
        <v>#REF!</v>
      </c>
      <c r="L20" s="82"/>
      <c r="M20" s="19"/>
    </row>
    <row r="21" spans="1:13" x14ac:dyDescent="0.25">
      <c r="A21" s="22" t="s">
        <v>17</v>
      </c>
      <c r="B21" s="71"/>
      <c r="C21" s="23" t="s">
        <v>11</v>
      </c>
      <c r="D21" s="71"/>
      <c r="E21" s="26">
        <v>2.64E-2</v>
      </c>
      <c r="F21" s="71"/>
      <c r="G21" s="25" t="e">
        <f>G$14*$E21</f>
        <v>#REF!</v>
      </c>
      <c r="H21" s="25" t="e">
        <f t="shared" si="4"/>
        <v>#REF!</v>
      </c>
      <c r="I21" s="71"/>
      <c r="J21" s="25" t="e">
        <f t="shared" si="4"/>
        <v>#REF!</v>
      </c>
      <c r="K21" s="25" t="e">
        <f t="shared" si="4"/>
        <v>#REF!</v>
      </c>
      <c r="L21" s="83"/>
      <c r="M21" s="22"/>
    </row>
    <row r="22" spans="1:13" x14ac:dyDescent="0.25">
      <c r="A22" s="22" t="s">
        <v>18</v>
      </c>
      <c r="B22" s="71"/>
      <c r="C22" s="23" t="s">
        <v>11</v>
      </c>
      <c r="D22" s="71"/>
      <c r="E22" s="26">
        <v>9.4000000000000004E-3</v>
      </c>
      <c r="F22" s="71"/>
      <c r="G22" s="25" t="e">
        <f t="shared" ref="G22:G23" si="5">G$14*$E22</f>
        <v>#REF!</v>
      </c>
      <c r="H22" s="25" t="e">
        <f t="shared" si="4"/>
        <v>#REF!</v>
      </c>
      <c r="I22" s="71"/>
      <c r="J22" s="25" t="e">
        <f t="shared" si="4"/>
        <v>#REF!</v>
      </c>
      <c r="K22" s="25" t="e">
        <f t="shared" si="4"/>
        <v>#REF!</v>
      </c>
      <c r="L22" s="83"/>
      <c r="M22" s="22"/>
    </row>
    <row r="23" spans="1:13" x14ac:dyDescent="0.25">
      <c r="A23" s="22" t="s">
        <v>19</v>
      </c>
      <c r="B23" s="71"/>
      <c r="C23" s="23" t="s">
        <v>11</v>
      </c>
      <c r="D23" s="71"/>
      <c r="E23" s="26">
        <v>6.6500000000000004E-2</v>
      </c>
      <c r="F23" s="71"/>
      <c r="G23" s="25" t="e">
        <f t="shared" si="5"/>
        <v>#REF!</v>
      </c>
      <c r="H23" s="25" t="e">
        <f t="shared" si="4"/>
        <v>#REF!</v>
      </c>
      <c r="I23" s="71"/>
      <c r="J23" s="25" t="e">
        <f t="shared" si="4"/>
        <v>#REF!</v>
      </c>
      <c r="K23" s="25" t="e">
        <f t="shared" si="4"/>
        <v>#REF!</v>
      </c>
      <c r="L23" s="83"/>
      <c r="M23" s="22"/>
    </row>
    <row r="24" spans="1:13" x14ac:dyDescent="0.25">
      <c r="A24" s="22" t="s">
        <v>20</v>
      </c>
      <c r="B24" s="71"/>
      <c r="C24" s="23" t="s">
        <v>21</v>
      </c>
      <c r="D24" s="71"/>
      <c r="E24" s="59">
        <v>9.1000000000000004E-3</v>
      </c>
      <c r="F24" s="71"/>
      <c r="G24" s="25" t="e">
        <f>G$14*$E24</f>
        <v>#REF!</v>
      </c>
      <c r="H24" s="25" t="e">
        <f>H$14*$E24</f>
        <v>#REF!</v>
      </c>
      <c r="I24" s="71"/>
      <c r="J24" s="25" t="e">
        <f>J$14*$E24</f>
        <v>#REF!</v>
      </c>
      <c r="K24" s="25" t="e">
        <f>K$14*$E24</f>
        <v>#REF!</v>
      </c>
      <c r="L24" s="83"/>
      <c r="M24" s="58" t="s">
        <v>40</v>
      </c>
    </row>
    <row r="25" spans="1:13" x14ac:dyDescent="0.25">
      <c r="A25" s="22" t="s">
        <v>22</v>
      </c>
      <c r="B25" s="71"/>
      <c r="C25" s="23" t="s">
        <v>21</v>
      </c>
      <c r="D25" s="71"/>
      <c r="E25" s="59">
        <v>0</v>
      </c>
      <c r="F25" s="71"/>
      <c r="G25" s="25" t="e">
        <f>G$14*$E25</f>
        <v>#REF!</v>
      </c>
      <c r="H25" s="25" t="e">
        <f>H$14*$E25</f>
        <v>#REF!</v>
      </c>
      <c r="I25" s="71"/>
      <c r="J25" s="25" t="e">
        <f>J$14*$E25</f>
        <v>#REF!</v>
      </c>
      <c r="K25" s="25" t="e">
        <f>K$14*$E25</f>
        <v>#REF!</v>
      </c>
      <c r="L25" s="83"/>
      <c r="M25" s="58" t="s">
        <v>41</v>
      </c>
    </row>
    <row r="26" spans="1:13" x14ac:dyDescent="0.25">
      <c r="A26" s="30" t="s">
        <v>23</v>
      </c>
      <c r="B26" s="72"/>
      <c r="C26" s="31"/>
      <c r="D26" s="72"/>
      <c r="E26" s="32">
        <f>SUM(E20:E25)</f>
        <v>0.17799999999999999</v>
      </c>
      <c r="F26" s="72"/>
      <c r="G26" s="33" t="e">
        <f>SUM(G20:G25)</f>
        <v>#REF!</v>
      </c>
      <c r="H26" s="33" t="e">
        <f t="shared" ref="H26:K26" si="6">SUM(H20:H25)</f>
        <v>#REF!</v>
      </c>
      <c r="I26" s="72"/>
      <c r="J26" s="33" t="e">
        <f t="shared" si="6"/>
        <v>#REF!</v>
      </c>
      <c r="K26" s="33" t="e">
        <f t="shared" si="6"/>
        <v>#REF!</v>
      </c>
      <c r="L26" s="84"/>
      <c r="M26" s="34"/>
    </row>
    <row r="27" spans="1:13" ht="8.25" customHeight="1" x14ac:dyDescent="0.25">
      <c r="B27" s="3"/>
      <c r="D27" s="3"/>
      <c r="F27" s="3"/>
      <c r="I27" s="3"/>
      <c r="L27" s="1"/>
    </row>
    <row r="28" spans="1:13" x14ac:dyDescent="0.25">
      <c r="A28" s="9" t="s">
        <v>24</v>
      </c>
      <c r="B28" s="73"/>
      <c r="C28" s="13"/>
      <c r="D28" s="73"/>
      <c r="F28" s="73"/>
      <c r="G28" s="10" t="e">
        <f>G14+G18+G26</f>
        <v>#REF!</v>
      </c>
      <c r="H28" s="10" t="e">
        <f t="shared" ref="H28:K28" si="7">H14+H18+H26</f>
        <v>#REF!</v>
      </c>
      <c r="I28" s="73"/>
      <c r="J28" s="10" t="e">
        <f t="shared" si="7"/>
        <v>#REF!</v>
      </c>
      <c r="K28" s="10" t="e">
        <f t="shared" si="7"/>
        <v>#REF!</v>
      </c>
      <c r="L28" s="1"/>
    </row>
    <row r="29" spans="1:13" x14ac:dyDescent="0.25">
      <c r="B29" s="3"/>
      <c r="D29" s="3"/>
      <c r="F29" s="3"/>
      <c r="I29" s="3"/>
      <c r="L29" s="1"/>
    </row>
    <row r="30" spans="1:13" x14ac:dyDescent="0.25">
      <c r="A30" s="2" t="s">
        <v>42</v>
      </c>
      <c r="B30" s="3"/>
      <c r="C30" s="4"/>
      <c r="D30" s="3"/>
      <c r="E30" s="1"/>
      <c r="F30" s="3"/>
      <c r="G30" s="3"/>
      <c r="H30" s="3"/>
      <c r="I30" s="3"/>
      <c r="J30" s="3"/>
      <c r="K30" s="3"/>
      <c r="L30" s="1"/>
      <c r="M30" s="1"/>
    </row>
    <row r="31" spans="1:13" ht="8.25" customHeight="1" x14ac:dyDescent="0.25">
      <c r="B31" s="3"/>
      <c r="D31" s="3"/>
      <c r="F31" s="3"/>
      <c r="I31" s="3"/>
      <c r="L31" s="1"/>
    </row>
    <row r="32" spans="1:13" x14ac:dyDescent="0.25">
      <c r="A32" s="19" t="s">
        <v>25</v>
      </c>
      <c r="B32" s="70"/>
      <c r="C32" s="20" t="s">
        <v>11</v>
      </c>
      <c r="D32" s="70"/>
      <c r="E32" s="28">
        <v>0.13589999999999999</v>
      </c>
      <c r="F32" s="70"/>
      <c r="G32" s="21" t="e">
        <f>G$28*$E32</f>
        <v>#REF!</v>
      </c>
      <c r="H32" s="21" t="e">
        <f t="shared" ref="H32:K32" si="8">H$28*$E32</f>
        <v>#REF!</v>
      </c>
      <c r="I32" s="70"/>
      <c r="J32" s="21" t="e">
        <f t="shared" si="8"/>
        <v>#REF!</v>
      </c>
      <c r="K32" s="21" t="e">
        <f t="shared" si="8"/>
        <v>#REF!</v>
      </c>
      <c r="L32" s="82"/>
      <c r="M32" s="19"/>
    </row>
    <row r="33" spans="1:13" x14ac:dyDescent="0.25">
      <c r="A33" s="22" t="s">
        <v>27</v>
      </c>
      <c r="B33" s="71"/>
      <c r="C33" s="23" t="s">
        <v>21</v>
      </c>
      <c r="D33" s="71"/>
      <c r="E33" s="60">
        <v>6.3399999999999998E-2</v>
      </c>
      <c r="F33" s="71"/>
      <c r="G33" s="25" t="e">
        <f>G$28*$E33</f>
        <v>#REF!</v>
      </c>
      <c r="H33" s="25" t="e">
        <f>H$28*$E33</f>
        <v>#REF!</v>
      </c>
      <c r="I33" s="71"/>
      <c r="J33" s="25" t="e">
        <f>J$28*$E33</f>
        <v>#REF!</v>
      </c>
      <c r="K33" s="25" t="e">
        <f>K$28*$E33</f>
        <v>#REF!</v>
      </c>
      <c r="L33" s="83"/>
      <c r="M33" s="58" t="s">
        <v>43</v>
      </c>
    </row>
    <row r="34" spans="1:13" x14ac:dyDescent="0.25">
      <c r="A34" s="22" t="s">
        <v>26</v>
      </c>
      <c r="B34" s="71"/>
      <c r="C34" s="23" t="s">
        <v>11</v>
      </c>
      <c r="D34" s="71"/>
      <c r="E34" s="26">
        <v>0.02</v>
      </c>
      <c r="F34" s="71"/>
      <c r="G34" s="25" t="e">
        <f t="shared" ref="G34:K34" si="9">G$28*$E34</f>
        <v>#REF!</v>
      </c>
      <c r="H34" s="25" t="e">
        <f t="shared" si="9"/>
        <v>#REF!</v>
      </c>
      <c r="I34" s="71"/>
      <c r="J34" s="25" t="e">
        <f t="shared" si="9"/>
        <v>#REF!</v>
      </c>
      <c r="K34" s="25" t="e">
        <f t="shared" si="9"/>
        <v>#REF!</v>
      </c>
      <c r="L34" s="83"/>
      <c r="M34" s="22"/>
    </row>
    <row r="35" spans="1:13" ht="31.5" x14ac:dyDescent="0.25">
      <c r="A35" s="91" t="s">
        <v>44</v>
      </c>
      <c r="B35" s="74"/>
      <c r="C35" s="13"/>
      <c r="D35" s="74"/>
      <c r="E35" s="14">
        <f>SUM(E32:E34)</f>
        <v>0.21929999999999997</v>
      </c>
      <c r="F35" s="74"/>
      <c r="G35" s="15" t="e">
        <f t="shared" ref="G35:K35" si="10">SUM(G32:G34)</f>
        <v>#REF!</v>
      </c>
      <c r="H35" s="15" t="e">
        <f t="shared" si="10"/>
        <v>#REF!</v>
      </c>
      <c r="I35" s="74"/>
      <c r="J35" s="15" t="e">
        <f t="shared" si="10"/>
        <v>#REF!</v>
      </c>
      <c r="K35" s="15" t="e">
        <f t="shared" si="10"/>
        <v>#REF!</v>
      </c>
      <c r="L35" s="1"/>
    </row>
    <row r="36" spans="1:13" x14ac:dyDescent="0.25">
      <c r="B36" s="3"/>
      <c r="D36" s="3"/>
      <c r="F36" s="3"/>
      <c r="I36" s="3"/>
      <c r="L36" s="1"/>
    </row>
    <row r="37" spans="1:13" x14ac:dyDescent="0.25">
      <c r="A37" s="2" t="s">
        <v>45</v>
      </c>
      <c r="B37" s="3"/>
      <c r="C37" s="4"/>
      <c r="D37" s="3"/>
      <c r="E37" s="1"/>
      <c r="F37" s="3"/>
      <c r="G37" s="3"/>
      <c r="H37" s="3"/>
      <c r="I37" s="3"/>
      <c r="J37" s="3"/>
      <c r="K37" s="3"/>
      <c r="L37" s="1"/>
      <c r="M37" s="1"/>
    </row>
    <row r="38" spans="1:13" ht="8.25" customHeight="1" x14ac:dyDescent="0.25">
      <c r="B38" s="3"/>
      <c r="D38" s="3"/>
      <c r="F38" s="3"/>
      <c r="I38" s="3"/>
      <c r="L38" s="1"/>
    </row>
    <row r="39" spans="1:13" x14ac:dyDescent="0.25">
      <c r="A39" s="19" t="s">
        <v>46</v>
      </c>
      <c r="B39" s="75"/>
      <c r="C39" s="20" t="s">
        <v>21</v>
      </c>
      <c r="D39" s="75"/>
      <c r="E39" s="61">
        <v>2.5000000000000001E-2</v>
      </c>
      <c r="F39" s="75"/>
      <c r="G39" s="42" t="e">
        <f>$E39*G$28</f>
        <v>#REF!</v>
      </c>
      <c r="H39" s="42" t="e">
        <f t="shared" ref="H39:K41" si="11">$E39*H$28</f>
        <v>#REF!</v>
      </c>
      <c r="I39" s="75"/>
      <c r="J39" s="42" t="e">
        <f t="shared" si="11"/>
        <v>#REF!</v>
      </c>
      <c r="K39" s="42" t="e">
        <f t="shared" si="11"/>
        <v>#REF!</v>
      </c>
      <c r="L39" s="82"/>
      <c r="M39" s="62"/>
    </row>
    <row r="40" spans="1:13" x14ac:dyDescent="0.25">
      <c r="A40" s="22" t="s">
        <v>47</v>
      </c>
      <c r="B40" s="76"/>
      <c r="C40" s="23" t="s">
        <v>21</v>
      </c>
      <c r="D40" s="76"/>
      <c r="E40" s="59">
        <v>2.5000000000000001E-2</v>
      </c>
      <c r="F40" s="76"/>
      <c r="G40" s="43" t="e">
        <f>$E40*G$28</f>
        <v>#REF!</v>
      </c>
      <c r="H40" s="43" t="e">
        <f t="shared" si="11"/>
        <v>#REF!</v>
      </c>
      <c r="I40" s="76"/>
      <c r="J40" s="43" t="e">
        <f t="shared" si="11"/>
        <v>#REF!</v>
      </c>
      <c r="K40" s="43" t="e">
        <f t="shared" si="11"/>
        <v>#REF!</v>
      </c>
      <c r="L40" s="83"/>
      <c r="M40" s="58" t="s">
        <v>48</v>
      </c>
    </row>
    <row r="41" spans="1:13" x14ac:dyDescent="0.25">
      <c r="A41" s="22" t="s">
        <v>49</v>
      </c>
      <c r="B41" s="76"/>
      <c r="C41" s="23" t="s">
        <v>21</v>
      </c>
      <c r="D41" s="76"/>
      <c r="E41" s="59">
        <v>2.5000000000000001E-2</v>
      </c>
      <c r="F41" s="76"/>
      <c r="G41" s="43" t="e">
        <f>$E41*G$28</f>
        <v>#REF!</v>
      </c>
      <c r="H41" s="43" t="e">
        <f t="shared" si="11"/>
        <v>#REF!</v>
      </c>
      <c r="I41" s="76"/>
      <c r="J41" s="43" t="e">
        <f t="shared" si="11"/>
        <v>#REF!</v>
      </c>
      <c r="K41" s="43" t="e">
        <f t="shared" si="11"/>
        <v>#REF!</v>
      </c>
      <c r="L41" s="83"/>
      <c r="M41" s="58" t="s">
        <v>50</v>
      </c>
    </row>
    <row r="42" spans="1:13" ht="8.25" customHeight="1" x14ac:dyDescent="0.25">
      <c r="B42" s="77"/>
      <c r="D42" s="77"/>
      <c r="E42" s="7"/>
      <c r="F42" s="77"/>
      <c r="G42" s="8"/>
      <c r="H42" s="8"/>
      <c r="I42" s="77"/>
      <c r="J42" s="8"/>
      <c r="K42" s="8"/>
      <c r="L42" s="1"/>
    </row>
    <row r="43" spans="1:13" ht="31.5" x14ac:dyDescent="0.25">
      <c r="A43" s="19" t="s">
        <v>51</v>
      </c>
      <c r="B43" s="78"/>
      <c r="C43" s="20" t="s">
        <v>21</v>
      </c>
      <c r="D43" s="78"/>
      <c r="E43" s="19"/>
      <c r="F43" s="78"/>
      <c r="G43" s="63">
        <v>0.28000000000000003</v>
      </c>
      <c r="H43" s="63">
        <v>0.28000000000000003</v>
      </c>
      <c r="I43" s="78"/>
      <c r="J43" s="63">
        <v>0.28000000000000003</v>
      </c>
      <c r="K43" s="63">
        <v>0.28000000000000003</v>
      </c>
      <c r="L43" s="82"/>
      <c r="M43" s="64" t="s">
        <v>52</v>
      </c>
    </row>
    <row r="44" spans="1:13" x14ac:dyDescent="0.25">
      <c r="A44" s="22" t="s">
        <v>28</v>
      </c>
      <c r="B44" s="79"/>
      <c r="C44" s="23" t="s">
        <v>21</v>
      </c>
      <c r="D44" s="79"/>
      <c r="E44" s="22"/>
      <c r="F44" s="79"/>
      <c r="G44" s="65">
        <v>0.2</v>
      </c>
      <c r="H44" s="65">
        <v>0.2</v>
      </c>
      <c r="I44" s="79"/>
      <c r="J44" s="65">
        <v>0.2</v>
      </c>
      <c r="K44" s="65">
        <v>0.2</v>
      </c>
      <c r="L44" s="83"/>
      <c r="M44" s="58"/>
    </row>
    <row r="45" spans="1:13" x14ac:dyDescent="0.25">
      <c r="A45" s="9" t="s">
        <v>53</v>
      </c>
      <c r="B45" s="80"/>
      <c r="D45" s="80"/>
      <c r="F45" s="80"/>
      <c r="G45" s="11">
        <f>SUM(G43:G44)</f>
        <v>0.48000000000000004</v>
      </c>
      <c r="H45" s="11">
        <f t="shared" ref="H45:K45" si="12">SUM(H43:H44)</f>
        <v>0.48000000000000004</v>
      </c>
      <c r="I45" s="80"/>
      <c r="J45" s="11">
        <f t="shared" si="12"/>
        <v>0.48000000000000004</v>
      </c>
      <c r="K45" s="11">
        <f t="shared" si="12"/>
        <v>0.48000000000000004</v>
      </c>
      <c r="L45" s="1"/>
    </row>
    <row r="46" spans="1:13" ht="8.25" customHeight="1" x14ac:dyDescent="0.25">
      <c r="B46" s="80"/>
      <c r="D46" s="80"/>
      <c r="F46" s="80"/>
      <c r="G46" s="11"/>
      <c r="H46" s="11"/>
      <c r="I46" s="80"/>
      <c r="J46" s="11"/>
      <c r="K46" s="11"/>
      <c r="L46" s="1"/>
    </row>
    <row r="47" spans="1:13" x14ac:dyDescent="0.25">
      <c r="A47" s="19" t="s">
        <v>54</v>
      </c>
      <c r="B47" s="75"/>
      <c r="C47" s="20" t="s">
        <v>21</v>
      </c>
      <c r="D47" s="75"/>
      <c r="E47" s="61">
        <v>0.15</v>
      </c>
      <c r="F47" s="75"/>
      <c r="G47" s="42" t="e">
        <f>$E47*(G$28+G$35+G$39+G$40+G$45)</f>
        <v>#REF!</v>
      </c>
      <c r="H47" s="42" t="e">
        <f>$E47*(H$28+H$35+H$39+H$40+H$45)</f>
        <v>#REF!</v>
      </c>
      <c r="I47" s="75"/>
      <c r="J47" s="42" t="e">
        <f>$E47*(J$28+J$35+J$39+J$40+J$45)</f>
        <v>#REF!</v>
      </c>
      <c r="K47" s="42" t="e">
        <f>$E47*(K$28+K$35+K$39+K$40+K$45)</f>
        <v>#REF!</v>
      </c>
      <c r="L47" s="82"/>
      <c r="M47" s="66" t="s">
        <v>4</v>
      </c>
    </row>
    <row r="48" spans="1:13" x14ac:dyDescent="0.25">
      <c r="A48" s="9" t="s">
        <v>55</v>
      </c>
      <c r="B48" s="73"/>
      <c r="D48" s="73"/>
      <c r="F48" s="73"/>
      <c r="G48" s="10" t="e">
        <f>G$28+G$35+G$39+G$40+G$45+G$47</f>
        <v>#REF!</v>
      </c>
      <c r="H48" s="10" t="e">
        <f t="shared" ref="H48:K48" si="13">H$28+H$35+H$39+H$40+H$45+H$47</f>
        <v>#REF!</v>
      </c>
      <c r="I48" s="73"/>
      <c r="J48" s="10" t="e">
        <f t="shared" si="13"/>
        <v>#REF!</v>
      </c>
      <c r="K48" s="10" t="e">
        <f t="shared" si="13"/>
        <v>#REF!</v>
      </c>
      <c r="L48" s="1"/>
    </row>
    <row r="49" spans="1:13" ht="8.25" customHeight="1" x14ac:dyDescent="0.25">
      <c r="A49" s="9"/>
      <c r="B49" s="73"/>
      <c r="D49" s="73"/>
      <c r="F49" s="73"/>
      <c r="G49" s="10"/>
      <c r="H49" s="10"/>
      <c r="I49" s="73"/>
      <c r="J49" s="10"/>
      <c r="K49" s="10"/>
      <c r="L49" s="1"/>
    </row>
    <row r="50" spans="1:13" x14ac:dyDescent="0.25">
      <c r="A50" s="44" t="s">
        <v>56</v>
      </c>
      <c r="B50" s="75"/>
      <c r="C50" s="20" t="s">
        <v>21</v>
      </c>
      <c r="D50" s="75"/>
      <c r="E50" s="61">
        <v>0</v>
      </c>
      <c r="F50" s="75"/>
      <c r="G50" s="42" t="e">
        <f>$E50*G$48</f>
        <v>#REF!</v>
      </c>
      <c r="H50" s="42" t="e">
        <f t="shared" ref="H50:K50" si="14">$E50*H$48</f>
        <v>#REF!</v>
      </c>
      <c r="I50" s="75"/>
      <c r="J50" s="42" t="e">
        <f t="shared" si="14"/>
        <v>#REF!</v>
      </c>
      <c r="K50" s="42" t="e">
        <f t="shared" si="14"/>
        <v>#REF!</v>
      </c>
      <c r="L50" s="82"/>
      <c r="M50" s="62" t="s">
        <v>57</v>
      </c>
    </row>
    <row r="51" spans="1:13" x14ac:dyDescent="0.25">
      <c r="A51" s="22" t="s">
        <v>58</v>
      </c>
      <c r="B51" s="76"/>
      <c r="C51" s="23" t="s">
        <v>21</v>
      </c>
      <c r="D51" s="76"/>
      <c r="E51" s="59">
        <v>0.05</v>
      </c>
      <c r="F51" s="76"/>
      <c r="G51" s="43" t="e">
        <f>$E51*G$48</f>
        <v>#REF!</v>
      </c>
      <c r="H51" s="43" t="e">
        <f t="shared" ref="H51:K51" si="15">$E51*H$48</f>
        <v>#REF!</v>
      </c>
      <c r="I51" s="76"/>
      <c r="J51" s="43" t="e">
        <f t="shared" si="15"/>
        <v>#REF!</v>
      </c>
      <c r="K51" s="43" t="e">
        <f t="shared" si="15"/>
        <v>#REF!</v>
      </c>
      <c r="L51" s="83"/>
      <c r="M51" s="58"/>
    </row>
    <row r="52" spans="1:13" ht="8.25" customHeight="1" x14ac:dyDescent="0.25">
      <c r="B52" s="3"/>
      <c r="D52" s="3"/>
      <c r="F52" s="3"/>
      <c r="I52" s="3"/>
      <c r="L52" s="1"/>
    </row>
    <row r="53" spans="1:13" x14ac:dyDescent="0.25">
      <c r="A53" s="9" t="s">
        <v>59</v>
      </c>
      <c r="B53" s="73"/>
      <c r="D53" s="73"/>
      <c r="F53" s="73"/>
      <c r="G53" s="10" t="e">
        <f>G$48+G$51</f>
        <v>#REF!</v>
      </c>
      <c r="H53" s="10" t="e">
        <f t="shared" ref="H53:K53" si="16">H$48+H$51</f>
        <v>#REF!</v>
      </c>
      <c r="I53" s="73"/>
      <c r="J53" s="10" t="e">
        <f t="shared" si="16"/>
        <v>#REF!</v>
      </c>
      <c r="K53" s="10" t="e">
        <f t="shared" si="16"/>
        <v>#REF!</v>
      </c>
      <c r="L53" s="1"/>
    </row>
    <row r="54" spans="1:13" x14ac:dyDescent="0.25">
      <c r="B54" s="3"/>
      <c r="D54" s="3"/>
      <c r="F54" s="3"/>
      <c r="I54" s="3"/>
      <c r="L54" s="1"/>
    </row>
    <row r="55" spans="1:13" ht="18.75" x14ac:dyDescent="0.3">
      <c r="A55" s="37" t="s">
        <v>60</v>
      </c>
      <c r="B55" s="103"/>
      <c r="C55" s="41"/>
      <c r="D55" s="103"/>
      <c r="E55" s="39"/>
      <c r="F55" s="103"/>
      <c r="G55" s="436" t="e">
        <f>(G53*G7)+(H53*H7)</f>
        <v>#REF!</v>
      </c>
      <c r="H55" s="436"/>
      <c r="I55" s="103"/>
      <c r="J55" s="436" t="e">
        <f>(J53*J7)+(K53*K7)</f>
        <v>#REF!</v>
      </c>
      <c r="K55" s="436"/>
      <c r="L55" s="40"/>
      <c r="M55" s="37" t="s">
        <v>61</v>
      </c>
    </row>
  </sheetData>
  <mergeCells count="6">
    <mergeCell ref="J3:K3"/>
    <mergeCell ref="G3:H3"/>
    <mergeCell ref="G4:H4"/>
    <mergeCell ref="J4:K4"/>
    <mergeCell ref="G55:H55"/>
    <mergeCell ref="J55:K55"/>
  </mergeCells>
  <phoneticPr fontId="16" type="noConversion"/>
  <dataValidations count="6">
    <dataValidation type="list" showInputMessage="1" showErrorMessage="1" sqref="J5:K5 H5">
      <formula1>"FWG10,FWG15,FWG20,FWG25,FWG30"</formula1>
    </dataValidation>
    <dataValidation type="list" showInputMessage="1" showErrorMessage="1" sqref="G5">
      <formula1>",FWG10,FWG15,FWG20,FWG25,FWG30"</formula1>
    </dataValidation>
    <dataValidation type="list" showInputMessage="1" showErrorMessage="1" sqref="G6">
      <formula1>INDIRECT($G$4&amp;$G$5)</formula1>
    </dataValidation>
    <dataValidation type="list" allowBlank="1" showInputMessage="1" showErrorMessage="1" sqref="H6">
      <formula1>INDIRECT($G$4&amp;$H$5)</formula1>
    </dataValidation>
    <dataValidation type="list" allowBlank="1" showInputMessage="1" showErrorMessage="1" sqref="J6">
      <formula1>INDIRECT($J$4&amp;$J$5)</formula1>
    </dataValidation>
    <dataValidation type="list" allowBlank="1" showInputMessage="1" showErrorMessage="1" sqref="K6">
      <formula1>INDIRECT($J$4&amp;$K$5)</formula1>
    </dataValidation>
  </dataValidations>
  <hyperlinks>
    <hyperlink ref="M47" location="Toelichting!A1" display="Toelichting"/>
  </hyperlinks>
  <pageMargins left="0.7" right="0.7" top="0.75" bottom="0.75" header="0.3" footer="0.3"/>
  <pageSetup paperSize="9" scale="66" fitToHeight="2" orientation="landscape" horizontalDpi="0" verticalDpi="0"/>
  <ignoredErrors>
    <ignoredError sqref="H11" formula="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6"/>
  <sheetViews>
    <sheetView workbookViewId="0">
      <selection activeCell="B7" sqref="B7"/>
    </sheetView>
  </sheetViews>
  <sheetFormatPr defaultColWidth="10.5" defaultRowHeight="15.75" x14ac:dyDescent="0.25"/>
  <cols>
    <col min="1" max="1" width="45.5" style="5" customWidth="1"/>
    <col min="2" max="2" width="11.5" style="5" bestFit="1" customWidth="1"/>
    <col min="3" max="3" width="11.5" style="5" customWidth="1"/>
    <col min="4" max="4" width="14" style="5" customWidth="1"/>
    <col min="5" max="5" width="14.5" style="5" customWidth="1"/>
    <col min="6" max="16384" width="10.5" style="5"/>
  </cols>
  <sheetData>
    <row r="1" spans="1:5" x14ac:dyDescent="0.25">
      <c r="A1" s="437" t="s">
        <v>75</v>
      </c>
      <c r="B1" s="437"/>
      <c r="C1" s="437"/>
      <c r="D1" s="437"/>
      <c r="E1" s="437"/>
    </row>
    <row r="2" spans="1:5" x14ac:dyDescent="0.25">
      <c r="A2" s="45"/>
    </row>
    <row r="3" spans="1:5" x14ac:dyDescent="0.25">
      <c r="A3" s="53" t="s">
        <v>62</v>
      </c>
      <c r="B3" s="4" t="str">
        <f>'Invulblad CAO'!G3</f>
        <v>HH-1</v>
      </c>
      <c r="C3" s="4" t="str">
        <f>'Invulblad CAO'!G3</f>
        <v>HH-1</v>
      </c>
      <c r="D3" s="4" t="str">
        <f>'Invulblad CAO'!J3</f>
        <v>HH-2</v>
      </c>
      <c r="E3" s="4" t="str">
        <f>'Invulblad CAO'!J3</f>
        <v>HH-2</v>
      </c>
    </row>
    <row r="4" spans="1:5" x14ac:dyDescent="0.25">
      <c r="A4" s="52" t="s">
        <v>76</v>
      </c>
      <c r="B4" s="27" t="str">
        <f>'Invulblad CAO'!G4</f>
        <v>VVT</v>
      </c>
      <c r="C4" s="27" t="str">
        <f>'Invulblad CAO'!G4</f>
        <v>VVT</v>
      </c>
      <c r="D4" s="27" t="str">
        <f>'Invulblad CAO'!J4</f>
        <v>VVT</v>
      </c>
      <c r="E4" s="27" t="str">
        <f>'Invulblad CAO'!J4</f>
        <v>VVT</v>
      </c>
    </row>
    <row r="5" spans="1:5" x14ac:dyDescent="0.25">
      <c r="A5" s="106" t="s">
        <v>77</v>
      </c>
      <c r="B5" s="23" t="str">
        <f>'Invulblad CAO'!G5</f>
        <v>FWG10</v>
      </c>
      <c r="C5" s="23" t="str">
        <f>'Invulblad CAO'!H5</f>
        <v>FWG15</v>
      </c>
      <c r="D5" s="23" t="str">
        <f>'Invulblad CAO'!J5</f>
        <v>FWG15</v>
      </c>
      <c r="E5" s="23" t="str">
        <f>'Invulblad CAO'!K5</f>
        <v>FWG20</v>
      </c>
    </row>
    <row r="6" spans="1:5" x14ac:dyDescent="0.25">
      <c r="A6" s="45"/>
    </row>
    <row r="7" spans="1:5" x14ac:dyDescent="0.25">
      <c r="A7" s="104" t="s">
        <v>78</v>
      </c>
      <c r="B7" s="51" t="e">
        <f>'Invulblad CAO'!G14</f>
        <v>#REF!</v>
      </c>
      <c r="C7" s="51" t="e">
        <f>'Invulblad CAO'!H14</f>
        <v>#REF!</v>
      </c>
      <c r="D7" s="51" t="e">
        <f>'Invulblad CAO'!J14</f>
        <v>#REF!</v>
      </c>
      <c r="E7" s="51" t="e">
        <f>'Invulblad CAO'!K14</f>
        <v>#REF!</v>
      </c>
    </row>
    <row r="8" spans="1:5" x14ac:dyDescent="0.25">
      <c r="A8" s="106" t="s">
        <v>64</v>
      </c>
      <c r="B8" s="50" t="e">
        <f>B7*1878</f>
        <v>#REF!</v>
      </c>
      <c r="C8" s="50" t="e">
        <f t="shared" ref="C8:E8" si="0">C7*1878</f>
        <v>#REF!</v>
      </c>
      <c r="D8" s="50" t="e">
        <f t="shared" si="0"/>
        <v>#REF!</v>
      </c>
      <c r="E8" s="50" t="e">
        <f t="shared" si="0"/>
        <v>#REF!</v>
      </c>
    </row>
    <row r="9" spans="1:5" x14ac:dyDescent="0.25">
      <c r="A9" s="45"/>
    </row>
    <row r="10" spans="1:5" x14ac:dyDescent="0.25">
      <c r="A10" s="46" t="s">
        <v>65</v>
      </c>
    </row>
    <row r="11" spans="1:5" x14ac:dyDescent="0.25">
      <c r="A11" s="105" t="s">
        <v>66</v>
      </c>
      <c r="B11" s="29">
        <v>0.23499999999999999</v>
      </c>
      <c r="C11" s="29">
        <v>0.23499999999999999</v>
      </c>
      <c r="D11" s="29">
        <v>0.23499999999999999</v>
      </c>
      <c r="E11" s="29">
        <v>0.23499999999999999</v>
      </c>
    </row>
    <row r="12" spans="1:5" x14ac:dyDescent="0.25">
      <c r="A12" s="106" t="s">
        <v>67</v>
      </c>
      <c r="B12" s="49">
        <v>11829</v>
      </c>
      <c r="C12" s="49">
        <v>11829</v>
      </c>
      <c r="D12" s="49">
        <v>11829</v>
      </c>
      <c r="E12" s="49">
        <v>11829</v>
      </c>
    </row>
    <row r="13" spans="1:5" x14ac:dyDescent="0.25">
      <c r="A13" s="106" t="s">
        <v>68</v>
      </c>
      <c r="B13" s="50" t="e">
        <f>B8-B12</f>
        <v>#REF!</v>
      </c>
      <c r="C13" s="50" t="e">
        <f>C8-C12</f>
        <v>#REF!</v>
      </c>
      <c r="D13" s="50" t="e">
        <f>D8-D12</f>
        <v>#REF!</v>
      </c>
      <c r="E13" s="50" t="e">
        <f>E8-E12</f>
        <v>#REF!</v>
      </c>
    </row>
    <row r="14" spans="1:5" x14ac:dyDescent="0.25">
      <c r="A14" s="106" t="s">
        <v>69</v>
      </c>
      <c r="B14" s="50" t="e">
        <f>B13*B11</f>
        <v>#REF!</v>
      </c>
      <c r="C14" s="50" t="e">
        <f>C13*C11</f>
        <v>#REF!</v>
      </c>
      <c r="D14" s="50" t="e">
        <f>D13*D11</f>
        <v>#REF!</v>
      </c>
      <c r="E14" s="50" t="e">
        <f>E13*E11</f>
        <v>#REF!</v>
      </c>
    </row>
    <row r="15" spans="1:5" x14ac:dyDescent="0.25">
      <c r="A15" s="45"/>
    </row>
    <row r="16" spans="1:5" x14ac:dyDescent="0.25">
      <c r="A16" s="53" t="s">
        <v>70</v>
      </c>
      <c r="B16" s="54" t="e">
        <f>(B14/B8)*0.5</f>
        <v>#REF!</v>
      </c>
      <c r="C16" s="54" t="e">
        <f>(C14/C8)*0.5</f>
        <v>#REF!</v>
      </c>
      <c r="D16" s="54" t="e">
        <f>(D14/D8)*0.5</f>
        <v>#REF!</v>
      </c>
      <c r="E16" s="54" t="e">
        <f>(E14/E8)*0.5</f>
        <v>#REF!</v>
      </c>
    </row>
    <row r="17" spans="1:5" x14ac:dyDescent="0.25">
      <c r="A17" s="45"/>
    </row>
    <row r="18" spans="1:5" x14ac:dyDescent="0.25">
      <c r="A18" s="46" t="s">
        <v>71</v>
      </c>
    </row>
    <row r="19" spans="1:5" x14ac:dyDescent="0.25">
      <c r="A19" s="105" t="s">
        <v>66</v>
      </c>
      <c r="B19" s="28">
        <v>5.0000000000000001E-3</v>
      </c>
      <c r="C19" s="28">
        <v>5.0000000000000001E-3</v>
      </c>
      <c r="D19" s="28">
        <v>5.0000000000000001E-3</v>
      </c>
      <c r="E19" s="28">
        <v>5.0000000000000001E-3</v>
      </c>
    </row>
    <row r="20" spans="1:5" x14ac:dyDescent="0.25">
      <c r="A20" s="106" t="s">
        <v>72</v>
      </c>
      <c r="B20" s="49">
        <v>20108</v>
      </c>
      <c r="C20" s="49">
        <v>20108</v>
      </c>
      <c r="D20" s="49">
        <v>20108</v>
      </c>
      <c r="E20" s="49">
        <v>20108</v>
      </c>
    </row>
    <row r="21" spans="1:5" x14ac:dyDescent="0.25">
      <c r="A21" s="106" t="s">
        <v>68</v>
      </c>
      <c r="B21" s="50" t="e">
        <f>B8-B20</f>
        <v>#REF!</v>
      </c>
      <c r="C21" s="50" t="e">
        <f>C8-C20</f>
        <v>#REF!</v>
      </c>
      <c r="D21" s="50" t="e">
        <f>D8-D20</f>
        <v>#REF!</v>
      </c>
      <c r="E21" s="50" t="e">
        <f>E8-E20</f>
        <v>#REF!</v>
      </c>
    </row>
    <row r="22" spans="1:5" x14ac:dyDescent="0.25">
      <c r="A22" s="106" t="s">
        <v>69</v>
      </c>
      <c r="B22" s="49" t="e">
        <f>B19*B21</f>
        <v>#REF!</v>
      </c>
      <c r="C22" s="49" t="e">
        <f>C19*C21</f>
        <v>#REF!</v>
      </c>
      <c r="D22" s="49" t="e">
        <f>D19*D21</f>
        <v>#REF!</v>
      </c>
      <c r="E22" s="49" t="e">
        <f>E19*E21</f>
        <v>#REF!</v>
      </c>
    </row>
    <row r="23" spans="1:5" x14ac:dyDescent="0.25">
      <c r="A23" s="45"/>
    </row>
    <row r="24" spans="1:5" x14ac:dyDescent="0.25">
      <c r="A24" s="53" t="s">
        <v>73</v>
      </c>
      <c r="B24" s="54" t="e">
        <f>(B22/B8)*0.5</f>
        <v>#REF!</v>
      </c>
      <c r="C24" s="54" t="e">
        <f>(C22/C8)*0.5</f>
        <v>#REF!</v>
      </c>
      <c r="D24" s="54" t="e">
        <f>(D22/D8)*0.5</f>
        <v>#REF!</v>
      </c>
      <c r="E24" s="54" t="e">
        <f>(E22/E8)*0.5</f>
        <v>#REF!</v>
      </c>
    </row>
    <row r="25" spans="1:5" x14ac:dyDescent="0.25">
      <c r="A25" s="45"/>
    </row>
    <row r="26" spans="1:5" x14ac:dyDescent="0.25">
      <c r="A26" s="47" t="s">
        <v>74</v>
      </c>
      <c r="B26" s="48" t="e">
        <f>B16+B24</f>
        <v>#REF!</v>
      </c>
      <c r="C26" s="48" t="e">
        <f t="shared" ref="C26:E26" si="1">C16+C24</f>
        <v>#REF!</v>
      </c>
      <c r="D26" s="48" t="e">
        <f t="shared" si="1"/>
        <v>#REF!</v>
      </c>
      <c r="E26" s="48" t="e">
        <f t="shared" si="1"/>
        <v>#REF!</v>
      </c>
    </row>
  </sheetData>
  <mergeCells count="1">
    <mergeCell ref="A1:E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79B33BD0CC0724ABF6308BD383A022A" ma:contentTypeVersion="6" ma:contentTypeDescription="Een nieuw document maken." ma:contentTypeScope="" ma:versionID="508ff57d96e86cb07207ff1120f20fae">
  <xsd:schema xmlns:xsd="http://www.w3.org/2001/XMLSchema" xmlns:xs="http://www.w3.org/2001/XMLSchema" xmlns:p="http://schemas.microsoft.com/office/2006/metadata/properties" xmlns:ns2="e250c9e9-d5bb-4360-b606-548097e09e86" targetNamespace="http://schemas.microsoft.com/office/2006/metadata/properties" ma:root="true" ma:fieldsID="97df44da58a9b5951352760dfad24631" ns2:_="">
    <xsd:import namespace="e250c9e9-d5bb-4360-b606-548097e09e8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250c9e9-d5bb-4360-b606-548097e09e8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MediaServiceAutoTags" ma:internalName="MediaServiceAutoTags" ma:readOnly="true">
      <xsd:simpleType>
        <xsd:restriction base="dms:Text"/>
      </xsd:simpleType>
    </xsd:element>
    <xsd:element name="MediaServiceLocation" ma:index="12" nillable="true" ma:displayName="MediaServiceLocation" ma:internalName="MediaServiceLocation"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FEF857E-CBFB-4133-A2C2-21832F4C09BE}">
  <ds:schemaRefs>
    <ds:schemaRef ds:uri="http://schemas.microsoft.com/sharepoint/v3/contenttype/forms"/>
  </ds:schemaRefs>
</ds:datastoreItem>
</file>

<file path=customXml/itemProps2.xml><?xml version="1.0" encoding="utf-8"?>
<ds:datastoreItem xmlns:ds="http://schemas.openxmlformats.org/officeDocument/2006/customXml" ds:itemID="{0693739D-41DD-4569-9219-5C530665A4E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250c9e9-d5bb-4360-b606-548097e09e8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4B36ABF-BDD9-46BE-973A-9F15D2B87F01}">
  <ds:schemaRefs>
    <ds:schemaRef ds:uri="http://purl.org/dc/elements/1.1/"/>
    <ds:schemaRef ds:uri="http://purl.org/dc/terms/"/>
    <ds:schemaRef ds:uri="http://schemas.openxmlformats.org/package/2006/metadata/core-properties"/>
    <ds:schemaRef ds:uri="http://schemas.microsoft.com/office/infopath/2007/PartnerControls"/>
    <ds:schemaRef ds:uri="http://schemas.microsoft.com/office/2006/metadata/properties"/>
    <ds:schemaRef ds:uri="http://purl.org/dc/dcmitype/"/>
    <ds:schemaRef ds:uri="http://schemas.microsoft.com/office/2006/documentManagement/types"/>
    <ds:schemaRef ds:uri="e250c9e9-d5bb-4360-b606-548097e09e86"/>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9</vt:i4>
      </vt:variant>
    </vt:vector>
  </HeadingPairs>
  <TitlesOfParts>
    <vt:vector size="9" baseType="lpstr">
      <vt:lpstr>Basisgegevens</vt:lpstr>
      <vt:lpstr>BEHANDELVORM 1</vt:lpstr>
      <vt:lpstr>BEHANDELVORM 2</vt:lpstr>
      <vt:lpstr>BEHANDELVORM 3</vt:lpstr>
      <vt:lpstr>BEHANDELVORM 4</vt:lpstr>
      <vt:lpstr>Toelichting</vt:lpstr>
      <vt:lpstr>hulpsheet2</vt:lpstr>
      <vt:lpstr>Invulblad CAO</vt:lpstr>
      <vt:lpstr>Pensioenpremie CAO</vt:lpstr>
    </vt:vector>
  </TitlesOfParts>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Office-gebruiker</dc:creator>
  <cp:lastModifiedBy>Reinier Meints</cp:lastModifiedBy>
  <cp:revision/>
  <cp:lastPrinted>2019-03-18T13:53:42Z</cp:lastPrinted>
  <dcterms:created xsi:type="dcterms:W3CDTF">2017-08-15T08:53:09Z</dcterms:created>
  <dcterms:modified xsi:type="dcterms:W3CDTF">2019-11-25T13:16:12Z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0x010100679B33BD0CC0724ABF6308BD383A022A</vt:lpwstr>
  </property>
</Properties>
</file>