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Meppel\Aanbesteding 2023\Uitlever\"/>
    </mc:Choice>
  </mc:AlternateContent>
  <xr:revisionPtr revIDLastSave="0" documentId="13_ncr:1_{C4F3072B-AC3F-45C0-9F7E-466A0D24EAB3}" xr6:coauthVersionLast="47" xr6:coauthVersionMax="47" xr10:uidLastSave="{00000000-0000-0000-0000-000000000000}"/>
  <bookViews>
    <workbookView xWindow="-120" yWindow="-120" windowWidth="29040" windowHeight="15720" activeTab="2" xr2:uid="{D302042E-7C81-440E-8724-6F38459C0814}"/>
  </bookViews>
  <sheets>
    <sheet name="Voorblad" sheetId="1" r:id="rId1"/>
    <sheet name="Omreken" sheetId="2" r:id="rId2"/>
    <sheet name="Categorienormen" sheetId="3" r:id="rId3"/>
    <sheet name="Regulier werk" sheetId="4" r:id="rId4"/>
    <sheet name="Ruimten werkdag" sheetId="5" r:id="rId5"/>
    <sheet name="Ruimten werkdag Feest" sheetId="6" r:id="rId6"/>
    <sheet name="Ruimten weekenddag" sheetId="7" r:id="rId7"/>
    <sheet name="Objectinformatie" sheetId="8" r:id="rId8"/>
    <sheet name="Objecten" sheetId="9" r:id="rId9"/>
    <sheet name="Niet-meewerkende objectleiding" sheetId="10" r:id="rId10"/>
    <sheet name="Totaalblad Objecten" sheetId="11" r:id="rId11"/>
    <sheet name="Afroep" sheetId="12" r:id="rId12"/>
    <sheet name="Afroep incidenteel" sheetId="13" r:id="rId13"/>
    <sheet name="Regiewerk" sheetId="14" r:id="rId14"/>
    <sheet name="Glas" sheetId="15" r:id="rId15"/>
    <sheet name="Totaal" sheetId="17" r:id="rId16"/>
  </sheets>
  <definedNames>
    <definedName name="_xlnm._FilterDatabase" localSheetId="6" hidden="1">'Ruimten weekenddag'!$A$3:$U$183</definedName>
    <definedName name="_xlnm._FilterDatabase" localSheetId="4" hidden="1">'Ruimten werkdag'!$A$3:$U$236</definedName>
    <definedName name="_xlnm._FilterDatabase" localSheetId="5" hidden="1">'Ruimten werkdag Feest'!$A$3:$U$181</definedName>
    <definedName name="_xlnm.Print_Titles" localSheetId="11">Afroep!$1:$3</definedName>
    <definedName name="_xlnm.Print_Titles" localSheetId="12">'Afroep incidenteel'!$1:$3</definedName>
    <definedName name="_xlnm.Print_Titles" localSheetId="2">Categorienormen!$1:$3</definedName>
    <definedName name="_xlnm.Print_Titles" localSheetId="14">Glas!$1:$3</definedName>
    <definedName name="_xlnm.Print_Titles" localSheetId="9">'Niet-meewerkende objectleiding'!$1:$3</definedName>
    <definedName name="_xlnm.Print_Titles" localSheetId="8">Objecten!$1:$3</definedName>
    <definedName name="_xlnm.Print_Titles" localSheetId="7">Objectinformatie!$A:$D,Objectinformatie!$1:$4</definedName>
    <definedName name="_xlnm.Print_Titles" localSheetId="13">Regiewerk!$1:$3</definedName>
    <definedName name="_xlnm.Print_Titles" localSheetId="3">'Regulier werk'!$1:$3</definedName>
    <definedName name="_xlnm.Print_Titles" localSheetId="6">'Ruimten weekenddag'!$1:$3</definedName>
    <definedName name="_xlnm.Print_Titles" localSheetId="4">'Ruimten werkdag'!$1:$3</definedName>
    <definedName name="_xlnm.Print_Titles" localSheetId="5">'Ruimten werkdag Feest'!$1:$3</definedName>
    <definedName name="_xlnm.Print_Titles" localSheetId="15">Totaal!$1:$3</definedName>
    <definedName name="_xlnm.Print_Titles" localSheetId="10">'Totaalblad Objecten'!$1:$3</definedName>
    <definedName name="catdw_1_AHB_1">Categorienormen!$F$20</definedName>
    <definedName name="catdw_1_AHV_12">Categorienormen!$F$21</definedName>
    <definedName name="catdw_1_AHV_51">Categorienormen!$F$22</definedName>
    <definedName name="catdw_1_BHB_1">Categorienormen!$F$6</definedName>
    <definedName name="catdw_1_BHV_51">Categorienormen!$F$7</definedName>
    <definedName name="catdw_1_BZB_1">Categorienormen!$F$8</definedName>
    <definedName name="catdw_1_BZV_51">Categorienormen!$F$9</definedName>
    <definedName name="catdw_1_DHB_1">Categorienormen!$F$16</definedName>
    <definedName name="catdw_1_DHV_51">Categorienormen!$F$17</definedName>
    <definedName name="catdw_1_EHB_1">Categorienormen!$F$23</definedName>
    <definedName name="catdw_1_EHV_51">Categorienormen!$F$24</definedName>
    <definedName name="catdw_1_IHB_1">Categorienormen!$F$25</definedName>
    <definedName name="catdw_1_IHV_51">Categorienormen!$F$26</definedName>
    <definedName name="catdw_1_LHB_1">Categorienormen!$F$14</definedName>
    <definedName name="catdw_1_LHV_51">Categorienormen!$F$15</definedName>
    <definedName name="catdw_1_MHB_1">Categorienormen!$F$10</definedName>
    <definedName name="catdw_1_MHV_51">Categorienormen!$F$11</definedName>
    <definedName name="catdw_1_OHB_1">Categorienormen!$F$12</definedName>
    <definedName name="catdw_1_OHV_12">Categorienormen!$F$13</definedName>
    <definedName name="catdw_1_PHB_1">Categorienormen!$F$27</definedName>
    <definedName name="catdw_1_PHV_51">Categorienormen!$F$28</definedName>
    <definedName name="catdw_1_RHB_1">Categorienormen!$F$29</definedName>
    <definedName name="catdw_1_RHV_51">Categorienormen!$F$30</definedName>
    <definedName name="catdw_1_RZB_1">Categorienormen!$F$31</definedName>
    <definedName name="catdw_1_RZV_51">Categorienormen!$F$32</definedName>
    <definedName name="catdw_1_SHB_1">Categorienormen!$F$18</definedName>
    <definedName name="catdw_1_SHV_51">Categorienormen!$F$19</definedName>
    <definedName name="catdw_1_THB_1">Categorienormen!$F$33</definedName>
    <definedName name="catdw_1_THV_51">Categorienormen!$F$34</definedName>
    <definedName name="catdw_1_VHB_1">Categorienormen!$F$35</definedName>
    <definedName name="catdw_1_VHV_51">Categorienormen!$F$36</definedName>
    <definedName name="catdw_2_FBHB_1">Categorienormen!$F$39</definedName>
    <definedName name="catdw_2_FDHB_1">Categorienormen!$F$41</definedName>
    <definedName name="catdw_2_FEHB_1">Categorienormen!$F$43</definedName>
    <definedName name="catdw_2_FIHB_1">Categorienormen!$F$44</definedName>
    <definedName name="catdw_2_FMHB_1">Categorienormen!$F$40</definedName>
    <definedName name="catdw_2_FPHB_1">Categorienormen!$F$45</definedName>
    <definedName name="catdw_2_FRHB_1">Categorienormen!$F$46</definedName>
    <definedName name="catdw_2_FSHB_1">Categorienormen!$F$42</definedName>
    <definedName name="catdw_2_FTHB_1">Categorienormen!$F$47</definedName>
    <definedName name="catdw_2_FVHB_1">Categorienormen!$F$48</definedName>
    <definedName name="catdw_4_WBHB_1">Categorienormen!$F$51</definedName>
    <definedName name="catdw_4_WDHB_1">Categorienormen!$F$53</definedName>
    <definedName name="catdw_4_WEHB_1">Categorienormen!$F$55</definedName>
    <definedName name="catdw_4_WIHB_1">Categorienormen!$F$56</definedName>
    <definedName name="catdw_4_WMHB_1">Categorienormen!$F$52</definedName>
    <definedName name="catdw_4_WPHB_1">Categorienormen!$F$57</definedName>
    <definedName name="catdw_4_WRHB_1">Categorienormen!$F$58</definedName>
    <definedName name="catdw_4_WSHB_1">Categorienormen!$F$54</definedName>
    <definedName name="catdw_4_WTHB_1">Categorienormen!$F$59</definedName>
    <definedName name="catdw_4_WVHB_1">Categorienormen!$F$60</definedName>
    <definedName name="catfd_1_AHB_1">Categorienormen!$C$20</definedName>
    <definedName name="catfd_1_AHV_12">Categorienormen!$C$21</definedName>
    <definedName name="catfd_1_AHV_51">Categorienormen!$C$22</definedName>
    <definedName name="catfd_1_BHB_1">Categorienormen!$C$6</definedName>
    <definedName name="catfd_1_BHV_51">Categorienormen!$C$7</definedName>
    <definedName name="catfd_1_BZB_1">Categorienormen!$C$8</definedName>
    <definedName name="catfd_1_BZV_51">Categorienormen!$C$9</definedName>
    <definedName name="catfd_1_DHB_1">Categorienormen!$C$16</definedName>
    <definedName name="catfd_1_DHV_51">Categorienormen!$C$17</definedName>
    <definedName name="catfd_1_EHB_1">Categorienormen!$C$23</definedName>
    <definedName name="catfd_1_EHV_51">Categorienormen!$C$24</definedName>
    <definedName name="catfd_1_IHB_1">Categorienormen!$C$25</definedName>
    <definedName name="catfd_1_IHV_51">Categorienormen!$C$26</definedName>
    <definedName name="catfd_1_LHB_1">Categorienormen!$C$14</definedName>
    <definedName name="catfd_1_LHV_51">Categorienormen!$C$15</definedName>
    <definedName name="catfd_1_MHB_1">Categorienormen!$C$10</definedName>
    <definedName name="catfd_1_MHV_51">Categorienormen!$C$11</definedName>
    <definedName name="catfd_1_OHB_1">Categorienormen!$C$12</definedName>
    <definedName name="catfd_1_OHV_12">Categorienormen!$C$13</definedName>
    <definedName name="catfd_1_PHB_1">Categorienormen!$C$27</definedName>
    <definedName name="catfd_1_PHV_51">Categorienormen!$C$28</definedName>
    <definedName name="catfd_1_RHB_1">Categorienormen!$C$29</definedName>
    <definedName name="catfd_1_RHV_51">Categorienormen!$C$30</definedName>
    <definedName name="catfd_1_RZB_1">Categorienormen!$C$31</definedName>
    <definedName name="catfd_1_RZV_51">Categorienormen!$C$32</definedName>
    <definedName name="catfd_1_SHB_1">Categorienormen!$C$18</definedName>
    <definedName name="catfd_1_SHV_51">Categorienormen!$C$19</definedName>
    <definedName name="catfd_1_THB_1">Categorienormen!$C$33</definedName>
    <definedName name="catfd_1_THV_51">Categorienormen!$C$34</definedName>
    <definedName name="catfd_1_VHB_1">Categorienormen!$C$35</definedName>
    <definedName name="catfd_1_VHV_51">Categorienormen!$C$36</definedName>
    <definedName name="catfd_2_FBHB_1">Categorienormen!$C$39</definedName>
    <definedName name="catfd_2_FDHB_1">Categorienormen!$C$41</definedName>
    <definedName name="catfd_2_FEHB_1">Categorienormen!$C$43</definedName>
    <definedName name="catfd_2_FIHB_1">Categorienormen!$C$44</definedName>
    <definedName name="catfd_2_FMHB_1">Categorienormen!$C$40</definedName>
    <definedName name="catfd_2_FPHB_1">Categorienormen!$C$45</definedName>
    <definedName name="catfd_2_FRHB_1">Categorienormen!$C$46</definedName>
    <definedName name="catfd_2_FSHB_1">Categorienormen!$C$42</definedName>
    <definedName name="catfd_2_FTHB_1">Categorienormen!$C$47</definedName>
    <definedName name="catfd_2_FVHB_1">Categorienormen!$C$48</definedName>
    <definedName name="catfd_4_WBHB_1">Categorienormen!$C$51</definedName>
    <definedName name="catfd_4_WDHB_1">Categorienormen!$C$53</definedName>
    <definedName name="catfd_4_WEHB_1">Categorienormen!$C$55</definedName>
    <definedName name="catfd_4_WIHB_1">Categorienormen!$C$56</definedName>
    <definedName name="catfd_4_WMHB_1">Categorienormen!$C$52</definedName>
    <definedName name="catfd_4_WPHB_1">Categorienormen!$C$57</definedName>
    <definedName name="catfd_4_WRHB_1">Categorienormen!$C$58</definedName>
    <definedName name="catfd_4_WSHB_1">Categorienormen!$C$54</definedName>
    <definedName name="catfd_4_WTHB_1">Categorienormen!$C$59</definedName>
    <definedName name="catfd_4_WVHB_1">Categorienormen!$C$60</definedName>
    <definedName name="catpn_1_AHB_1">Categorienormen!$E$20</definedName>
    <definedName name="catpn_1_AHV_12">Categorienormen!$E$21</definedName>
    <definedName name="catpn_1_AHV_51">Categorienormen!$E$22</definedName>
    <definedName name="catpn_1_BHB_1">Categorienormen!$E$6</definedName>
    <definedName name="catpn_1_BHV_51">Categorienormen!$E$7</definedName>
    <definedName name="catpn_1_BZB_1">Categorienormen!$E$8</definedName>
    <definedName name="catpn_1_BZV_51">Categorienormen!$E$9</definedName>
    <definedName name="catpn_1_DHB_1">Categorienormen!$E$16</definedName>
    <definedName name="catpn_1_DHV_51">Categorienormen!$E$17</definedName>
    <definedName name="catpn_1_EHB_1">Categorienormen!$E$23</definedName>
    <definedName name="catpn_1_EHV_51">Categorienormen!$E$24</definedName>
    <definedName name="catpn_1_IHB_1">Categorienormen!$E$25</definedName>
    <definedName name="catpn_1_IHV_51">Categorienormen!$E$26</definedName>
    <definedName name="catpn_1_LHB_1">Categorienormen!$E$14</definedName>
    <definedName name="catpn_1_LHV_51">Categorienormen!$E$15</definedName>
    <definedName name="catpn_1_MHB_1">Categorienormen!$E$10</definedName>
    <definedName name="catpn_1_MHV_51">Categorienormen!$E$11</definedName>
    <definedName name="catpn_1_OHB_1">Categorienormen!$E$12</definedName>
    <definedName name="catpn_1_OHV_12">Categorienormen!$E$13</definedName>
    <definedName name="catpn_1_PHB_1">Categorienormen!$E$27</definedName>
    <definedName name="catpn_1_PHV_51">Categorienormen!$E$28</definedName>
    <definedName name="catpn_1_RHB_1">Categorienormen!$E$29</definedName>
    <definedName name="catpn_1_RHV_51">Categorienormen!$E$30</definedName>
    <definedName name="catpn_1_RZB_1">Categorienormen!$E$31</definedName>
    <definedName name="catpn_1_RZV_51">Categorienormen!$E$32</definedName>
    <definedName name="catpn_1_SHB_1">Categorienormen!$E$18</definedName>
    <definedName name="catpn_1_SHV_51">Categorienormen!$E$19</definedName>
    <definedName name="catpn_1_THB_1">Categorienormen!$E$33</definedName>
    <definedName name="catpn_1_THV_51">Categorienormen!$E$34</definedName>
    <definedName name="catpn_1_VHB_1">Categorienormen!$E$35</definedName>
    <definedName name="catpn_1_VHV_51">Categorienormen!$E$36</definedName>
    <definedName name="catpn_2_FBHB_1">Categorienormen!$E$39</definedName>
    <definedName name="catpn_2_FDHB_1">Categorienormen!$E$41</definedName>
    <definedName name="catpn_2_FEHB_1">Categorienormen!$E$43</definedName>
    <definedName name="catpn_2_FIHB_1">Categorienormen!$E$44</definedName>
    <definedName name="catpn_2_FMHB_1">Categorienormen!$E$40</definedName>
    <definedName name="catpn_2_FPHB_1">Categorienormen!$E$45</definedName>
    <definedName name="catpn_2_FRHB_1">Categorienormen!$E$46</definedName>
    <definedName name="catpn_2_FSHB_1">Categorienormen!$E$42</definedName>
    <definedName name="catpn_2_FTHB_1">Categorienormen!$E$47</definedName>
    <definedName name="catpn_2_FVHB_1">Categorienormen!$E$48</definedName>
    <definedName name="catpn_4_WBHB_1">Categorienormen!$E$51</definedName>
    <definedName name="catpn_4_WDHB_1">Categorienormen!$E$53</definedName>
    <definedName name="catpn_4_WEHB_1">Categorienormen!$E$55</definedName>
    <definedName name="catpn_4_WIHB_1">Categorienormen!$E$56</definedName>
    <definedName name="catpn_4_WMHB_1">Categorienormen!$E$52</definedName>
    <definedName name="catpn_4_WPHB_1">Categorienormen!$E$57</definedName>
    <definedName name="catpn_4_WRHB_1">Categorienormen!$E$58</definedName>
    <definedName name="catpn_4_WSHB_1">Categorienormen!$E$54</definedName>
    <definedName name="catpn_4_WTHB_1">Categorienormen!$E$59</definedName>
    <definedName name="catpn_4_WVHB_1">Categorienormen!$E$60</definedName>
    <definedName name="cattf_1_AHB_1">Categorienormen!$H$20</definedName>
    <definedName name="cattf_1_AHV_12">Categorienormen!$H$21</definedName>
    <definedName name="cattf_1_AHV_51">Categorienormen!$H$22</definedName>
    <definedName name="cattf_1_BHB_1">Categorienormen!$H$6</definedName>
    <definedName name="cattf_1_BHV_51">Categorienormen!$H$7</definedName>
    <definedName name="cattf_1_BZB_1">Categorienormen!$H$8</definedName>
    <definedName name="cattf_1_BZV_51">Categorienormen!$H$9</definedName>
    <definedName name="cattf_1_DHB_1">Categorienormen!$H$16</definedName>
    <definedName name="cattf_1_DHV_51">Categorienormen!$H$17</definedName>
    <definedName name="cattf_1_EHB_1">Categorienormen!$H$23</definedName>
    <definedName name="cattf_1_EHV_51">Categorienormen!$H$24</definedName>
    <definedName name="cattf_1_IHB_1">Categorienormen!$H$25</definedName>
    <definedName name="cattf_1_IHV_51">Categorienormen!$H$26</definedName>
    <definedName name="cattf_1_LHB_1">Categorienormen!$H$14</definedName>
    <definedName name="cattf_1_LHV_51">Categorienormen!$H$15</definedName>
    <definedName name="cattf_1_MHB_1">Categorienormen!$H$10</definedName>
    <definedName name="cattf_1_MHV_51">Categorienormen!$H$11</definedName>
    <definedName name="cattf_1_OHB_1">Categorienormen!$H$12</definedName>
    <definedName name="cattf_1_OHV_12">Categorienormen!$H$13</definedName>
    <definedName name="cattf_1_PHB_1">Categorienormen!$H$27</definedName>
    <definedName name="cattf_1_PHV_51">Categorienormen!$H$28</definedName>
    <definedName name="cattf_1_RHB_1">Categorienormen!$H$29</definedName>
    <definedName name="cattf_1_RHV_51">Categorienormen!$H$30</definedName>
    <definedName name="cattf_1_RZB_1">Categorienormen!$H$31</definedName>
    <definedName name="cattf_1_RZV_51">Categorienormen!$H$32</definedName>
    <definedName name="cattf_1_SHB_1">Categorienormen!$H$18</definedName>
    <definedName name="cattf_1_SHV_51">Categorienormen!$H$19</definedName>
    <definedName name="cattf_1_THB_1">Categorienormen!$H$33</definedName>
    <definedName name="cattf_1_THV_51">Categorienormen!$H$34</definedName>
    <definedName name="cattf_1_VHB_1">Categorienormen!$H$35</definedName>
    <definedName name="cattf_1_VHV_51">Categorienormen!$H$36</definedName>
    <definedName name="cattf_2_FBHB_1">Categorienormen!$H$39</definedName>
    <definedName name="cattf_2_FDHB_1">Categorienormen!$H$41</definedName>
    <definedName name="cattf_2_FEHB_1">Categorienormen!$H$43</definedName>
    <definedName name="cattf_2_FIHB_1">Categorienormen!$H$44</definedName>
    <definedName name="cattf_2_FMHB_1">Categorienormen!$H$40</definedName>
    <definedName name="cattf_2_FPHB_1">Categorienormen!$H$45</definedName>
    <definedName name="cattf_2_FRHB_1">Categorienormen!$H$46</definedName>
    <definedName name="cattf_2_FSHB_1">Categorienormen!$H$42</definedName>
    <definedName name="cattf_2_FTHB_1">Categorienormen!$H$47</definedName>
    <definedName name="cattf_2_FVHB_1">Categorienormen!$H$48</definedName>
    <definedName name="cattf_4_WBHB_1">Categorienormen!$H$51</definedName>
    <definedName name="cattf_4_WDHB_1">Categorienormen!$H$53</definedName>
    <definedName name="cattf_4_WEHB_1">Categorienormen!$H$55</definedName>
    <definedName name="cattf_4_WIHB_1">Categorienormen!$H$56</definedName>
    <definedName name="cattf_4_WMHB_1">Categorienormen!$H$52</definedName>
    <definedName name="cattf_4_WPHB_1">Categorienormen!$H$57</definedName>
    <definedName name="cattf_4_WRHB_1">Categorienormen!$H$58</definedName>
    <definedName name="cattf_4_WSHB_1">Categorienormen!$H$54</definedName>
    <definedName name="cattf_4_WTHB_1">Categorienormen!$H$59</definedName>
    <definedName name="cattf_4_WVHB_1">Categorienormen!$H$60</definedName>
    <definedName name="dagenperjaar1">Omreken!$B$9</definedName>
    <definedName name="dagenperweek1">Omreken!$B$10</definedName>
    <definedName name="dagsoorttabel1">Omreken!$A$13:$B$34</definedName>
    <definedName name="dagwerk10">'Regulier werk'!$H$13</definedName>
    <definedName name="dagwerk11">'Regulier werk'!$H$14</definedName>
    <definedName name="dagwerk12">'Regulier werk'!$H$15</definedName>
    <definedName name="dagwerk13">'Regulier werk'!$H$16</definedName>
    <definedName name="dagwerk14">'Regulier werk'!$H$17</definedName>
    <definedName name="dagwerk15">'Regulier werk'!$H$18</definedName>
    <definedName name="dagwerk16">'Regulier werk'!$H$19</definedName>
    <definedName name="dagwerk17">'Regulier werk'!$H$20</definedName>
    <definedName name="dagwerk18">'Regulier werk'!$H$21</definedName>
    <definedName name="dagwerk19">'Regulier werk'!$H$22</definedName>
    <definedName name="dagwerk2">'Regulier werk'!$H$6</definedName>
    <definedName name="dagwerk20">'Regulier werk'!$H$23</definedName>
    <definedName name="dagwerk21">'Regulier werk'!$H$24</definedName>
    <definedName name="dagwerk22">'Regulier werk'!$H$25</definedName>
    <definedName name="dagwerk23">'Regulier werk'!$H$26</definedName>
    <definedName name="dagwerk24">'Regulier werk'!$H$27</definedName>
    <definedName name="dagwerk26">'Regulier werk'!$H$34</definedName>
    <definedName name="dagwerk27">'Regulier werk'!$H$35</definedName>
    <definedName name="dagwerk28">'Regulier werk'!$H$36</definedName>
    <definedName name="dagwerk29">'Regulier werk'!$H$37</definedName>
    <definedName name="dagwerk30">'Regulier werk'!$H$38</definedName>
    <definedName name="dagwerk31">'Regulier werk'!$H$39</definedName>
    <definedName name="dagwerk32">'Regulier werk'!$H$40</definedName>
    <definedName name="dagwerk33">'Regulier werk'!$H$41</definedName>
    <definedName name="dagwerk34">'Regulier werk'!$H$42</definedName>
    <definedName name="dagwerk35">'Regulier werk'!$H$43</definedName>
    <definedName name="dagwerk37">'Regulier werk'!$H$50</definedName>
    <definedName name="dagwerk38">'Regulier werk'!$H$51</definedName>
    <definedName name="dagwerk39">'Regulier werk'!$H$52</definedName>
    <definedName name="dagwerk4">'Regulier werk'!$H$7</definedName>
    <definedName name="dagwerk40">'Regulier werk'!$H$53</definedName>
    <definedName name="dagwerk41">'Regulier werk'!$H$54</definedName>
    <definedName name="dagwerk42">'Regulier werk'!$H$55</definedName>
    <definedName name="dagwerk43">'Regulier werk'!$H$56</definedName>
    <definedName name="dagwerk44">'Regulier werk'!$H$57</definedName>
    <definedName name="dagwerk45">'Regulier werk'!$H$58</definedName>
    <definedName name="dagwerk46">'Regulier werk'!$H$59</definedName>
    <definedName name="dagwerk5">'Regulier werk'!$H$8</definedName>
    <definedName name="dagwerk6">'Regulier werk'!$H$9</definedName>
    <definedName name="dagwerk7">'Regulier werk'!$H$10</definedName>
    <definedName name="dagwerk8">'Regulier werk'!$H$11</definedName>
    <definedName name="dagwerk9">'Regulier werk'!$H$12</definedName>
    <definedName name="dagwerktabel1">Objectinformatie!$H$5:$H$26</definedName>
    <definedName name="dagwerktabel2">Objectinformatie!$H$29:$H$38</definedName>
    <definedName name="dagwerktabel4">Objectinformatie!$H$41:$H$50</definedName>
    <definedName name="gemuurtarief1">'Regulier werk'!$J$30</definedName>
    <definedName name="gemuurtarief2">'Regulier werk'!$J$46</definedName>
    <definedName name="gemuurtarief4">'Regulier werk'!$J$62</definedName>
    <definedName name="kengetaltabel1">Objectinformatie!$G$5:$G$26</definedName>
    <definedName name="kengetaltabel2">Objectinformatie!$G$29:$G$38</definedName>
    <definedName name="kengetaltabel4">Objectinformatie!$G$41:$G$50</definedName>
    <definedName name="object1_gemuurtarief1">'Ruimten werkdag'!$P$236</definedName>
    <definedName name="object1_gemuurtarief2">'Ruimten werkdag Feest'!$P$181</definedName>
    <definedName name="object1_gemuurtarief4">'Ruimten weekenddag'!$P$183</definedName>
    <definedName name="object1_opptabel1">Objectinformatie!$J$5:$J$26</definedName>
    <definedName name="object1_opptabel2">Objectinformatie!$J$29:$J$38</definedName>
    <definedName name="object1_opptabel4">Objectinformatie!$J$41:$J$50</definedName>
    <definedName name="object1_prijsdag1">'Ruimten werkdag'!$S$236</definedName>
    <definedName name="object1_prijsdag2">'Ruimten werkdag Feest'!$S$181</definedName>
    <definedName name="object1_prijsdag4">'Ruimten weekenddag'!$S$183</definedName>
    <definedName name="object1_prijsjaar1">'Ruimten werkdag'!$U$236</definedName>
    <definedName name="object1_prijsjaar2">'Ruimten werkdag Feest'!$U$181</definedName>
    <definedName name="object1_prijsjaar4">'Ruimten weekenddag'!$U$183</definedName>
    <definedName name="object1_urendag1">'Ruimten werkdag'!$Q$236</definedName>
    <definedName name="object1_urendag2">'Ruimten werkdag Feest'!$Q$181</definedName>
    <definedName name="object1_urendag4">'Ruimten weekenddag'!$Q$183</definedName>
    <definedName name="object1_urendaghf1">'Ruimten werkdag'!$R$236</definedName>
    <definedName name="object1_urendaghf2">'Ruimten werkdag Feest'!$R$181</definedName>
    <definedName name="object1_urendaghf4">'Ruimten weekenddag'!$R$183</definedName>
    <definedName name="object1_urenjaar1">'Ruimten werkdag'!$T$236</definedName>
    <definedName name="object1_urenjaar2">'Ruimten werkdag Feest'!$T$181</definedName>
    <definedName name="object1_urenjaar4">'Ruimten weekenddag'!$T$183</definedName>
    <definedName name="objectprijs1_1">Objecten!$R$6</definedName>
    <definedName name="objectprijs1_2">Objecten!$R$11</definedName>
    <definedName name="objectprijs1_4">Objecten!$R$16</definedName>
    <definedName name="objecturen1_1">Objecten!$Q$6</definedName>
    <definedName name="objecturen1_2">Objecten!$Q$11</definedName>
    <definedName name="objecturen1_4">Objecten!$Q$16</definedName>
    <definedName name="objecturenhf1_1">Objecten!$P$6</definedName>
    <definedName name="objecturenhf1_2">Objecten!$P$11</definedName>
    <definedName name="objecturenhf1_4">Objecten!$P$16</definedName>
    <definedName name="prijsdag1">'Regulier werk'!$L$28</definedName>
    <definedName name="prijsdag2">'Regulier werk'!$L$44</definedName>
    <definedName name="prijsdag4">'Regulier werk'!$L$60</definedName>
    <definedName name="prijsjaar">'Regulier werk'!$N$65</definedName>
    <definedName name="prijsjaar1">'Regulier werk'!$N$28</definedName>
    <definedName name="prijsjaar2">'Regulier werk'!$N$44</definedName>
    <definedName name="prijsjaar4">'Regulier werk'!$N$60</definedName>
    <definedName name="prijsjaarafroep">Afroep!$K$17</definedName>
    <definedName name="prijsjaarafroep1">Afroep!$K$9</definedName>
    <definedName name="prijsjaarafroep4">Afroep!$K$15</definedName>
    <definedName name="prijsjaarglas">Glas!$K$15</definedName>
    <definedName name="prijsjaarglas1">Glas!$K$13</definedName>
    <definedName name="prijsjaarnietmeewerkend">'Niet-meewerkende objectleiding'!$J$44</definedName>
    <definedName name="prijsjaarregie">Regiewerk!$K$15</definedName>
    <definedName name="prijsjaarregie1">Regiewerk!$K$9</definedName>
    <definedName name="prijsjaarregie4">Regiewerk!$K$13</definedName>
    <definedName name="prijsjaartotaal">Objecten!$R$20</definedName>
    <definedName name="prijsjaartotaal1">Objecten!$R$7</definedName>
    <definedName name="prijsjaartotaal2">Objecten!$R$12</definedName>
    <definedName name="prijsjaartotaal4">Objecten!$R$17</definedName>
    <definedName name="prijsjaartotaaloverzicht">'Totaalblad Objecten'!$G$6</definedName>
    <definedName name="prijsmaandtotaal1">Objecten!$S$7</definedName>
    <definedName name="prijsmaandtotaal2">Objecten!$S$12</definedName>
    <definedName name="prijsmaandtotaal4">Objecten!$S$17</definedName>
    <definedName name="prodnorm10">'Regulier werk'!$G$13</definedName>
    <definedName name="prodnorm11">'Regulier werk'!$G$14</definedName>
    <definedName name="prodnorm12">'Regulier werk'!$G$15</definedName>
    <definedName name="prodnorm13">'Regulier werk'!$G$16</definedName>
    <definedName name="prodnorm14">'Regulier werk'!$G$17</definedName>
    <definedName name="prodnorm15">'Regulier werk'!$G$18</definedName>
    <definedName name="prodnorm16">'Regulier werk'!$G$19</definedName>
    <definedName name="prodnorm17">'Regulier werk'!$G$20</definedName>
    <definedName name="prodnorm18">'Regulier werk'!$G$21</definedName>
    <definedName name="prodnorm19">'Regulier werk'!$G$22</definedName>
    <definedName name="prodnorm2">'Regulier werk'!$G$6</definedName>
    <definedName name="prodnorm20">'Regulier werk'!$G$23</definedName>
    <definedName name="prodnorm21">'Regulier werk'!$G$24</definedName>
    <definedName name="prodnorm22">'Regulier werk'!$G$25</definedName>
    <definedName name="prodnorm23">'Regulier werk'!$G$26</definedName>
    <definedName name="prodnorm24">'Regulier werk'!$G$27</definedName>
    <definedName name="prodnorm26">'Regulier werk'!$G$34</definedName>
    <definedName name="prodnorm27">'Regulier werk'!$G$35</definedName>
    <definedName name="prodnorm28">'Regulier werk'!$G$36</definedName>
    <definedName name="prodnorm29">'Regulier werk'!$G$37</definedName>
    <definedName name="prodnorm30">'Regulier werk'!$G$38</definedName>
    <definedName name="prodnorm31">'Regulier werk'!$G$39</definedName>
    <definedName name="prodnorm32">'Regulier werk'!$G$40</definedName>
    <definedName name="prodnorm33">'Regulier werk'!$G$41</definedName>
    <definedName name="prodnorm34">'Regulier werk'!$G$42</definedName>
    <definedName name="prodnorm35">'Regulier werk'!$G$43</definedName>
    <definedName name="prodnorm37">'Regulier werk'!$G$50</definedName>
    <definedName name="prodnorm38">'Regulier werk'!$G$51</definedName>
    <definedName name="prodnorm39">'Regulier werk'!$G$52</definedName>
    <definedName name="prodnorm4">'Regulier werk'!$G$7</definedName>
    <definedName name="prodnorm40">'Regulier werk'!$G$53</definedName>
    <definedName name="prodnorm41">'Regulier werk'!$G$54</definedName>
    <definedName name="prodnorm42">'Regulier werk'!$G$55</definedName>
    <definedName name="prodnorm43">'Regulier werk'!$G$56</definedName>
    <definedName name="prodnorm44">'Regulier werk'!$G$57</definedName>
    <definedName name="prodnorm45">'Regulier werk'!$G$58</definedName>
    <definedName name="prodnorm46">'Regulier werk'!$G$59</definedName>
    <definedName name="prodnorm5">'Regulier werk'!$G$8</definedName>
    <definedName name="prodnorm6">'Regulier werk'!$G$9</definedName>
    <definedName name="prodnorm7">'Regulier werk'!$G$10</definedName>
    <definedName name="prodnorm8">'Regulier werk'!$G$11</definedName>
    <definedName name="prodnorm9">'Regulier werk'!$G$12</definedName>
    <definedName name="taakfreqtabel1">Objectinformatie!$E$5:$E$26</definedName>
    <definedName name="taakfreqtabel2">Objectinformatie!$E$29:$E$38</definedName>
    <definedName name="taakfreqtabel4">Objectinformatie!$E$41:$E$50</definedName>
    <definedName name="tabeltype">Omreken!$B$5:$B$5</definedName>
    <definedName name="tarieftabel1">Objectinformatie!$I$5:$I$26</definedName>
    <definedName name="tarieftabel2">Objectinformatie!$I$29:$I$38</definedName>
    <definedName name="tarieftabel4">Objectinformatie!$I$41:$I$50</definedName>
    <definedName name="tzpjt1">'Niet-meewerkende objectleiding'!$J$15</definedName>
    <definedName name="tzpjt1_1">'Niet-meewerkende objectleiding'!$J$13</definedName>
    <definedName name="tzpjt1_2">'Niet-meewerkende objectleiding'!$J$26</definedName>
    <definedName name="tzpjt1_4">'Niet-meewerkende objectleiding'!$J$39</definedName>
    <definedName name="tzpjt2">'Niet-meewerkende objectleiding'!$J$28</definedName>
    <definedName name="tzpjt4">'Niet-meewerkende objectleiding'!$J$41</definedName>
    <definedName name="tzpmt1">'Niet-meewerkende objectleiding'!$K$15</definedName>
    <definedName name="tzpmt1_1">'Niet-meewerkende objectleiding'!$K$13</definedName>
    <definedName name="tzpmt1_2">'Niet-meewerkende objectleiding'!$K$26</definedName>
    <definedName name="tzpmt1_4">'Niet-meewerkende objectleiding'!$K$39</definedName>
    <definedName name="tzpmt2">'Niet-meewerkende objectleiding'!$K$28</definedName>
    <definedName name="tzpmt4">'Niet-meewerkende objectleiding'!$K$41</definedName>
    <definedName name="tzujt1">'Niet-meewerkende objectleiding'!$H$15</definedName>
    <definedName name="tzujt1_1">'Niet-meewerkende objectleiding'!$H$13</definedName>
    <definedName name="tzujt1_2">'Niet-meewerkende objectleiding'!$H$26</definedName>
    <definedName name="tzujt1_4">'Niet-meewerkende objectleiding'!$H$39</definedName>
    <definedName name="tzujt2">'Niet-meewerkende objectleiding'!$H$28</definedName>
    <definedName name="tzujt4">'Niet-meewerkende objectleiding'!$H$41</definedName>
    <definedName name="urendag1">'Regulier werk'!$K$28</definedName>
    <definedName name="urendag2">'Regulier werk'!$K$44</definedName>
    <definedName name="urendag4">'Regulier werk'!$K$60</definedName>
    <definedName name="urenjaar">'Regulier werk'!$M$65</definedName>
    <definedName name="urenjaar1">'Regulier werk'!$M$28</definedName>
    <definedName name="urenjaar2">'Regulier werk'!$M$44</definedName>
    <definedName name="urenjaar4">'Regulier werk'!$M$60</definedName>
    <definedName name="urenjaarnietmeewerkend">'Niet-meewerkende objectleiding'!$H$44</definedName>
    <definedName name="urenjaartotaal">Objecten!$Q$20</definedName>
    <definedName name="urenjaartotaal1">Objecten!$Q$7</definedName>
    <definedName name="urenjaartotaal2">Objecten!$Q$12</definedName>
    <definedName name="urenjaartotaal4">Objecten!$Q$17</definedName>
    <definedName name="urenjaartotaalhf">Objecten!$P$20</definedName>
    <definedName name="urenjaartotaalhf1">Objecten!$P$7</definedName>
    <definedName name="urenjaartotaalhf2">Objecten!$P$12</definedName>
    <definedName name="urenjaartotaalhf4">Objecten!$P$17</definedName>
    <definedName name="urenjaartotaaloverzicht">'Totaalblad Objecten'!$F$6</definedName>
    <definedName name="urenjaartotaaloverzichthf">'Totaalblad Objecten'!$E$6</definedName>
    <definedName name="uurfactortabel1">Objectinformatie!$F$5:$F$26</definedName>
    <definedName name="uurfactortabel2">Objectinformatie!$F$29:$F$38</definedName>
    <definedName name="uurfactortabel4">Objectinformatie!$F$41:$F$50</definedName>
    <definedName name="uurtarief10">'Regulier werk'!$J$13</definedName>
    <definedName name="uurtarief11">'Regulier werk'!$J$14</definedName>
    <definedName name="uurtarief12">'Regulier werk'!$J$15</definedName>
    <definedName name="uurtarief13">'Regulier werk'!$J$16</definedName>
    <definedName name="uurtarief14">'Regulier werk'!$J$17</definedName>
    <definedName name="uurtarief15">'Regulier werk'!$J$18</definedName>
    <definedName name="uurtarief16">'Regulier werk'!$J$19</definedName>
    <definedName name="uurtarief17">'Regulier werk'!$J$20</definedName>
    <definedName name="uurtarief18">'Regulier werk'!$J$21</definedName>
    <definedName name="uurtarief19">'Regulier werk'!$J$22</definedName>
    <definedName name="uurtarief2">'Regulier werk'!$J$6</definedName>
    <definedName name="uurtarief20">'Regulier werk'!$J$23</definedName>
    <definedName name="uurtarief21">'Regulier werk'!$J$24</definedName>
    <definedName name="uurtarief22">'Regulier werk'!$J$25</definedName>
    <definedName name="uurtarief23">'Regulier werk'!$J$26</definedName>
    <definedName name="uurtarief24">'Regulier werk'!$J$27</definedName>
    <definedName name="uurtarief26">'Regulier werk'!$J$34</definedName>
    <definedName name="uurtarief27">'Regulier werk'!$J$35</definedName>
    <definedName name="uurtarief28">'Regulier werk'!$J$36</definedName>
    <definedName name="uurtarief29">'Regulier werk'!$J$37</definedName>
    <definedName name="uurtarief30">'Regulier werk'!$J$38</definedName>
    <definedName name="uurtarief31">'Regulier werk'!$J$39</definedName>
    <definedName name="uurtarief32">'Regulier werk'!$J$40</definedName>
    <definedName name="uurtarief33">'Regulier werk'!$J$41</definedName>
    <definedName name="uurtarief34">'Regulier werk'!$J$42</definedName>
    <definedName name="uurtarief35">'Regulier werk'!$J$43</definedName>
    <definedName name="uurtarief37">'Regulier werk'!$J$50</definedName>
    <definedName name="uurtarief38">'Regulier werk'!$J$51</definedName>
    <definedName name="uurtarief39">'Regulier werk'!$J$52</definedName>
    <definedName name="uurtarief4">'Regulier werk'!$J$7</definedName>
    <definedName name="uurtarief40">'Regulier werk'!$J$53</definedName>
    <definedName name="uurtarief41">'Regulier werk'!$J$54</definedName>
    <definedName name="uurtarief42">'Regulier werk'!$J$55</definedName>
    <definedName name="uurtarief43">'Regulier werk'!$J$56</definedName>
    <definedName name="uurtarief44">'Regulier werk'!$J$57</definedName>
    <definedName name="uurtarief45">'Regulier werk'!$J$58</definedName>
    <definedName name="uurtarief46">'Regulier werk'!$J$59</definedName>
    <definedName name="uurtarief5">'Regulier werk'!$J$8</definedName>
    <definedName name="uurtarief6">'Regulier werk'!$J$9</definedName>
    <definedName name="uurtarief7">'Regulier werk'!$J$10</definedName>
    <definedName name="uurtarief8">'Regulier werk'!$J$11</definedName>
    <definedName name="uurtarief9">'Regulier werk'!$J$12</definedName>
    <definedName name="vu_variant">Totaal!$B$10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7" l="1"/>
  <c r="E19" i="17"/>
  <c r="E17" i="17"/>
  <c r="J12" i="15"/>
  <c r="J11" i="15"/>
  <c r="J10" i="15"/>
  <c r="J9" i="15"/>
  <c r="J8" i="15"/>
  <c r="J7" i="15"/>
  <c r="J6" i="15"/>
  <c r="A1" i="15"/>
  <c r="J12" i="14"/>
  <c r="J8" i="14"/>
  <c r="J7" i="14"/>
  <c r="J6" i="14"/>
  <c r="A1" i="14"/>
  <c r="A1" i="13"/>
  <c r="J14" i="12"/>
  <c r="J13" i="12"/>
  <c r="J12" i="12"/>
  <c r="J8" i="12"/>
  <c r="J7" i="12"/>
  <c r="J6" i="12"/>
  <c r="A1" i="12"/>
  <c r="A1" i="11"/>
  <c r="J38" i="10"/>
  <c r="K38" i="10" s="1"/>
  <c r="H38" i="10"/>
  <c r="C38" i="10"/>
  <c r="I38" i="10" s="1"/>
  <c r="J37" i="10"/>
  <c r="K37" i="10" s="1"/>
  <c r="H37" i="10"/>
  <c r="C37" i="10"/>
  <c r="I37" i="10" s="1"/>
  <c r="J36" i="10"/>
  <c r="K36" i="10" s="1"/>
  <c r="H36" i="10"/>
  <c r="C36" i="10"/>
  <c r="I36" i="10" s="1"/>
  <c r="J35" i="10"/>
  <c r="K35" i="10" s="1"/>
  <c r="H35" i="10"/>
  <c r="C35" i="10"/>
  <c r="I35" i="10" s="1"/>
  <c r="J34" i="10"/>
  <c r="H34" i="10"/>
  <c r="H39" i="10" s="1"/>
  <c r="H41" i="10" s="1"/>
  <c r="J25" i="10"/>
  <c r="K25" i="10" s="1"/>
  <c r="H25" i="10"/>
  <c r="C25" i="10"/>
  <c r="I25" i="10" s="1"/>
  <c r="J24" i="10"/>
  <c r="K24" i="10" s="1"/>
  <c r="H24" i="10"/>
  <c r="C24" i="10"/>
  <c r="I24" i="10" s="1"/>
  <c r="J23" i="10"/>
  <c r="K23" i="10" s="1"/>
  <c r="H23" i="10"/>
  <c r="C23" i="10"/>
  <c r="I23" i="10" s="1"/>
  <c r="J22" i="10"/>
  <c r="K22" i="10" s="1"/>
  <c r="H22" i="10"/>
  <c r="C22" i="10"/>
  <c r="I22" i="10" s="1"/>
  <c r="J21" i="10"/>
  <c r="H21" i="10"/>
  <c r="H26" i="10" s="1"/>
  <c r="H28" i="10" s="1"/>
  <c r="J12" i="10"/>
  <c r="K12" i="10" s="1"/>
  <c r="H12" i="10"/>
  <c r="C12" i="10"/>
  <c r="I12" i="10" s="1"/>
  <c r="J11" i="10"/>
  <c r="K11" i="10" s="1"/>
  <c r="H11" i="10"/>
  <c r="C11" i="10"/>
  <c r="I11" i="10" s="1"/>
  <c r="J10" i="10"/>
  <c r="K10" i="10" s="1"/>
  <c r="H10" i="10"/>
  <c r="C10" i="10"/>
  <c r="I10" i="10" s="1"/>
  <c r="J9" i="10"/>
  <c r="K9" i="10" s="1"/>
  <c r="H9" i="10"/>
  <c r="C9" i="10"/>
  <c r="I9" i="10" s="1"/>
  <c r="J8" i="10"/>
  <c r="H8" i="10"/>
  <c r="H13" i="10" s="1"/>
  <c r="A1" i="10"/>
  <c r="A1" i="9"/>
  <c r="A1" i="7"/>
  <c r="A1" i="6"/>
  <c r="R96" i="5"/>
  <c r="Q96" i="5"/>
  <c r="R91" i="5"/>
  <c r="Q91" i="5"/>
  <c r="A1" i="5"/>
  <c r="J59" i="4"/>
  <c r="H59" i="4"/>
  <c r="G59" i="4"/>
  <c r="J58" i="4"/>
  <c r="H58" i="4"/>
  <c r="G58" i="4"/>
  <c r="J57" i="4"/>
  <c r="H57" i="4"/>
  <c r="G57" i="4"/>
  <c r="J56" i="4"/>
  <c r="H56" i="4"/>
  <c r="G56" i="4"/>
  <c r="J55" i="4"/>
  <c r="H55" i="4"/>
  <c r="G55" i="4"/>
  <c r="J54" i="4"/>
  <c r="H54" i="4"/>
  <c r="G54" i="4"/>
  <c r="J53" i="4"/>
  <c r="H53" i="4"/>
  <c r="G53" i="4"/>
  <c r="J52" i="4"/>
  <c r="H52" i="4"/>
  <c r="G52" i="4"/>
  <c r="J51" i="4"/>
  <c r="H51" i="4"/>
  <c r="G51" i="4"/>
  <c r="J50" i="4"/>
  <c r="H50" i="4"/>
  <c r="G50" i="4"/>
  <c r="J43" i="4"/>
  <c r="H43" i="4"/>
  <c r="G43" i="4"/>
  <c r="J42" i="4"/>
  <c r="H42" i="4"/>
  <c r="G42" i="4"/>
  <c r="J41" i="4"/>
  <c r="H41" i="4"/>
  <c r="G41" i="4"/>
  <c r="J40" i="4"/>
  <c r="H40" i="4"/>
  <c r="G40" i="4"/>
  <c r="J39" i="4"/>
  <c r="H39" i="4"/>
  <c r="G39" i="4"/>
  <c r="J38" i="4"/>
  <c r="H38" i="4"/>
  <c r="G38" i="4"/>
  <c r="J37" i="4"/>
  <c r="H37" i="4"/>
  <c r="G37" i="4"/>
  <c r="J36" i="4"/>
  <c r="H36" i="4"/>
  <c r="G36" i="4"/>
  <c r="J35" i="4"/>
  <c r="H35" i="4"/>
  <c r="G35" i="4"/>
  <c r="J34" i="4"/>
  <c r="H34" i="4"/>
  <c r="G34" i="4"/>
  <c r="J27" i="4"/>
  <c r="H27" i="4"/>
  <c r="G27" i="4"/>
  <c r="J26" i="4"/>
  <c r="H26" i="4"/>
  <c r="G26" i="4"/>
  <c r="J25" i="4"/>
  <c r="H25" i="4"/>
  <c r="G25" i="4"/>
  <c r="J24" i="4"/>
  <c r="H24" i="4"/>
  <c r="G24" i="4"/>
  <c r="J23" i="4"/>
  <c r="H23" i="4"/>
  <c r="G23" i="4"/>
  <c r="J22" i="4"/>
  <c r="H22" i="4"/>
  <c r="G22" i="4"/>
  <c r="J21" i="4"/>
  <c r="H21" i="4"/>
  <c r="G21" i="4"/>
  <c r="J20" i="4"/>
  <c r="H20" i="4"/>
  <c r="G20" i="4"/>
  <c r="J19" i="4"/>
  <c r="H19" i="4"/>
  <c r="G19" i="4"/>
  <c r="J18" i="4"/>
  <c r="H18" i="4"/>
  <c r="G18" i="4"/>
  <c r="J17" i="4"/>
  <c r="H17" i="4"/>
  <c r="G17" i="4"/>
  <c r="J16" i="4"/>
  <c r="H16" i="4"/>
  <c r="G16" i="4"/>
  <c r="J15" i="4"/>
  <c r="H15" i="4"/>
  <c r="G15" i="4"/>
  <c r="J14" i="4"/>
  <c r="H14" i="4"/>
  <c r="G14" i="4"/>
  <c r="J13" i="4"/>
  <c r="H13" i="4"/>
  <c r="G13" i="4"/>
  <c r="J12" i="4"/>
  <c r="H12" i="4"/>
  <c r="G12" i="4"/>
  <c r="J11" i="4"/>
  <c r="H11" i="4"/>
  <c r="G11" i="4"/>
  <c r="J10" i="4"/>
  <c r="H10" i="4"/>
  <c r="G10" i="4"/>
  <c r="J9" i="4"/>
  <c r="H9" i="4"/>
  <c r="G9" i="4"/>
  <c r="J8" i="4"/>
  <c r="H8" i="4"/>
  <c r="G8" i="4"/>
  <c r="J7" i="4"/>
  <c r="H7" i="4"/>
  <c r="G7" i="4"/>
  <c r="J6" i="4"/>
  <c r="H6" i="4"/>
  <c r="G6" i="4"/>
  <c r="A1" i="4"/>
  <c r="A1" i="3"/>
  <c r="B34" i="2"/>
  <c r="B33" i="2"/>
  <c r="B32" i="2"/>
  <c r="B31" i="2"/>
  <c r="B30" i="2"/>
  <c r="B29" i="2"/>
  <c r="B28" i="2"/>
  <c r="B27" i="2"/>
  <c r="B26" i="2"/>
  <c r="C6" i="12" s="1"/>
  <c r="K6" i="12" s="1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C8" i="10" l="1"/>
  <c r="I8" i="10" s="1"/>
  <c r="E26" i="8"/>
  <c r="E24" i="8"/>
  <c r="E23" i="8"/>
  <c r="E20" i="8"/>
  <c r="E19" i="8"/>
  <c r="E16" i="8"/>
  <c r="E12" i="8"/>
  <c r="E11" i="8"/>
  <c r="E10" i="8"/>
  <c r="E7" i="8"/>
  <c r="L235" i="5"/>
  <c r="L234" i="5"/>
  <c r="L233" i="5"/>
  <c r="L232" i="5"/>
  <c r="L231" i="5"/>
  <c r="L230" i="5"/>
  <c r="L229" i="5"/>
  <c r="L227" i="5"/>
  <c r="L226" i="5"/>
  <c r="L224" i="5"/>
  <c r="L221" i="5"/>
  <c r="L220" i="5"/>
  <c r="L219" i="5"/>
  <c r="L218" i="5"/>
  <c r="L216" i="5"/>
  <c r="L215" i="5"/>
  <c r="L214" i="5"/>
  <c r="L213" i="5"/>
  <c r="L212" i="5"/>
  <c r="L211" i="5"/>
  <c r="L210" i="5"/>
  <c r="L209" i="5"/>
  <c r="L208" i="5"/>
  <c r="L207" i="5"/>
  <c r="L205" i="5"/>
  <c r="L204" i="5"/>
  <c r="L202" i="5"/>
  <c r="L199" i="5"/>
  <c r="L198" i="5"/>
  <c r="L196" i="5"/>
  <c r="L195" i="5"/>
  <c r="L194" i="5"/>
  <c r="L193" i="5"/>
  <c r="L192" i="5"/>
  <c r="L191" i="5"/>
  <c r="L190" i="5"/>
  <c r="L189" i="5"/>
  <c r="L188" i="5"/>
  <c r="L187" i="5"/>
  <c r="L185" i="5"/>
  <c r="L184" i="5"/>
  <c r="L182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5" i="5"/>
  <c r="L164" i="5"/>
  <c r="L162" i="5"/>
  <c r="L159" i="5"/>
  <c r="L158" i="5"/>
  <c r="L157" i="5"/>
  <c r="L155" i="5"/>
  <c r="L154" i="5"/>
  <c r="L153" i="5"/>
  <c r="L152" i="5"/>
  <c r="L151" i="5"/>
  <c r="L150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3" i="5"/>
  <c r="L132" i="5"/>
  <c r="L131" i="5"/>
  <c r="L130" i="5"/>
  <c r="L129" i="5"/>
  <c r="L127" i="5"/>
  <c r="L126" i="5"/>
  <c r="L124" i="5"/>
  <c r="L122" i="5"/>
  <c r="L121" i="5"/>
  <c r="L120" i="5"/>
  <c r="L118" i="5"/>
  <c r="L117" i="5"/>
  <c r="L109" i="5"/>
  <c r="L108" i="5"/>
  <c r="L103" i="5"/>
  <c r="L102" i="5"/>
  <c r="L101" i="5"/>
  <c r="L100" i="5"/>
  <c r="L99" i="5"/>
  <c r="L98" i="5"/>
  <c r="L97" i="5"/>
  <c r="L95" i="5"/>
  <c r="L94" i="5"/>
  <c r="L93" i="5"/>
  <c r="L92" i="5"/>
  <c r="L89" i="5"/>
  <c r="L88" i="5"/>
  <c r="L87" i="5"/>
  <c r="L86" i="5"/>
  <c r="L85" i="5"/>
  <c r="L84" i="5"/>
  <c r="L83" i="5"/>
  <c r="L81" i="5"/>
  <c r="L80" i="5"/>
  <c r="L79" i="5"/>
  <c r="L78" i="5"/>
  <c r="L77" i="5"/>
  <c r="L76" i="5"/>
  <c r="L75" i="5"/>
  <c r="L74" i="5"/>
  <c r="L73" i="5"/>
  <c r="L72" i="5"/>
  <c r="L71" i="5"/>
  <c r="L70" i="5"/>
  <c r="L68" i="5"/>
  <c r="L67" i="5"/>
  <c r="L66" i="5"/>
  <c r="L65" i="5"/>
  <c r="L64" i="5"/>
  <c r="L63" i="5"/>
  <c r="L62" i="5"/>
  <c r="L61" i="5"/>
  <c r="L60" i="5"/>
  <c r="L59" i="5"/>
  <c r="L58" i="5"/>
  <c r="L56" i="5"/>
  <c r="L55" i="5"/>
  <c r="L54" i="5"/>
  <c r="L53" i="5"/>
  <c r="L52" i="5"/>
  <c r="L51" i="5"/>
  <c r="L50" i="5"/>
  <c r="L49" i="5"/>
  <c r="L48" i="5"/>
  <c r="L47" i="5"/>
  <c r="L46" i="5"/>
  <c r="L44" i="5"/>
  <c r="L43" i="5"/>
  <c r="L42" i="5"/>
  <c r="L41" i="5"/>
  <c r="L40" i="5"/>
  <c r="L39" i="5"/>
  <c r="L38" i="5"/>
  <c r="L37" i="5"/>
  <c r="L36" i="5"/>
  <c r="L35" i="5"/>
  <c r="L34" i="5"/>
  <c r="L32" i="5"/>
  <c r="L31" i="5"/>
  <c r="L30" i="5"/>
  <c r="L29" i="5"/>
  <c r="L28" i="5"/>
  <c r="L27" i="5"/>
  <c r="L22" i="5"/>
  <c r="L21" i="5"/>
  <c r="L20" i="5"/>
  <c r="L19" i="5"/>
  <c r="L18" i="5"/>
  <c r="L17" i="5"/>
  <c r="L5" i="5"/>
  <c r="F27" i="4"/>
  <c r="F25" i="4"/>
  <c r="F24" i="4"/>
  <c r="F21" i="4"/>
  <c r="F20" i="4"/>
  <c r="F17" i="4"/>
  <c r="F13" i="4"/>
  <c r="F12" i="4"/>
  <c r="F11" i="4"/>
  <c r="F8" i="4"/>
  <c r="C34" i="10"/>
  <c r="I34" i="10" s="1"/>
  <c r="E50" i="8"/>
  <c r="E49" i="8"/>
  <c r="E48" i="8"/>
  <c r="E47" i="8"/>
  <c r="E46" i="8"/>
  <c r="E45" i="8"/>
  <c r="E44" i="8"/>
  <c r="E43" i="8"/>
  <c r="E42" i="8"/>
  <c r="E41" i="8"/>
  <c r="E15" i="8"/>
  <c r="E13" i="8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112" i="5"/>
  <c r="L25" i="5"/>
  <c r="F59" i="4"/>
  <c r="F58" i="4"/>
  <c r="F57" i="4"/>
  <c r="F56" i="4"/>
  <c r="F55" i="4"/>
  <c r="F54" i="4"/>
  <c r="F53" i="4"/>
  <c r="F52" i="4"/>
  <c r="F51" i="4"/>
  <c r="F50" i="4"/>
  <c r="F16" i="4"/>
  <c r="F14" i="4"/>
  <c r="C8" i="12"/>
  <c r="K8" i="12" s="1"/>
  <c r="L8" i="12" s="1"/>
  <c r="C7" i="12"/>
  <c r="K7" i="12" s="1"/>
  <c r="L7" i="12" s="1"/>
  <c r="E25" i="8"/>
  <c r="E22" i="8"/>
  <c r="E21" i="8"/>
  <c r="E18" i="8"/>
  <c r="E14" i="8"/>
  <c r="E9" i="8"/>
  <c r="E8" i="8"/>
  <c r="E6" i="8"/>
  <c r="L228" i="5"/>
  <c r="L225" i="5"/>
  <c r="L223" i="5"/>
  <c r="L222" i="5"/>
  <c r="L217" i="5"/>
  <c r="L206" i="5"/>
  <c r="L203" i="5"/>
  <c r="L201" i="5"/>
  <c r="L200" i="5"/>
  <c r="L197" i="5"/>
  <c r="L186" i="5"/>
  <c r="L183" i="5"/>
  <c r="L181" i="5"/>
  <c r="L180" i="5"/>
  <c r="L166" i="5"/>
  <c r="L163" i="5"/>
  <c r="L161" i="5"/>
  <c r="L160" i="5"/>
  <c r="L156" i="5"/>
  <c r="L128" i="5"/>
  <c r="L125" i="5"/>
  <c r="L123" i="5"/>
  <c r="L119" i="5"/>
  <c r="L116" i="5"/>
  <c r="L115" i="5"/>
  <c r="L114" i="5"/>
  <c r="L113" i="5"/>
  <c r="L111" i="5"/>
  <c r="L110" i="5"/>
  <c r="L107" i="5"/>
  <c r="L106" i="5"/>
  <c r="L105" i="5"/>
  <c r="L104" i="5"/>
  <c r="L96" i="5"/>
  <c r="L91" i="5"/>
  <c r="L90" i="5"/>
  <c r="L82" i="5"/>
  <c r="L69" i="5"/>
  <c r="L57" i="5"/>
  <c r="L45" i="5"/>
  <c r="L33" i="5"/>
  <c r="L26" i="5"/>
  <c r="L24" i="5"/>
  <c r="L23" i="5"/>
  <c r="L16" i="5"/>
  <c r="L15" i="5"/>
  <c r="L14" i="5"/>
  <c r="L13" i="5"/>
  <c r="L12" i="5"/>
  <c r="L8" i="5"/>
  <c r="L6" i="5"/>
  <c r="F26" i="4"/>
  <c r="F23" i="4"/>
  <c r="F22" i="4"/>
  <c r="F19" i="4"/>
  <c r="F15" i="4"/>
  <c r="F10" i="4"/>
  <c r="F9" i="4"/>
  <c r="F7" i="4"/>
  <c r="K9" i="12"/>
  <c r="L6" i="12"/>
  <c r="C8" i="14"/>
  <c r="K8" i="14" s="1"/>
  <c r="L8" i="14" s="1"/>
  <c r="C7" i="14"/>
  <c r="K7" i="14" s="1"/>
  <c r="L7" i="14" s="1"/>
  <c r="C6" i="14"/>
  <c r="K6" i="14" s="1"/>
  <c r="E17" i="8"/>
  <c r="E5" i="8"/>
  <c r="L11" i="5"/>
  <c r="L10" i="5"/>
  <c r="L9" i="5"/>
  <c r="L7" i="5"/>
  <c r="F18" i="4"/>
  <c r="F6" i="4"/>
  <c r="C21" i="10"/>
  <c r="I21" i="10" s="1"/>
  <c r="E38" i="8"/>
  <c r="E37" i="8"/>
  <c r="E36" i="8"/>
  <c r="E35" i="8"/>
  <c r="E34" i="8"/>
  <c r="E33" i="8"/>
  <c r="E32" i="8"/>
  <c r="E31" i="8"/>
  <c r="E30" i="8"/>
  <c r="E29" i="8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F43" i="4"/>
  <c r="F42" i="4"/>
  <c r="F41" i="4"/>
  <c r="F40" i="4"/>
  <c r="F39" i="4"/>
  <c r="F38" i="4"/>
  <c r="F37" i="4"/>
  <c r="F36" i="4"/>
  <c r="F35" i="4"/>
  <c r="F34" i="4"/>
  <c r="C7" i="15"/>
  <c r="K7" i="15" s="1"/>
  <c r="L7" i="15" s="1"/>
  <c r="C12" i="14"/>
  <c r="K12" i="14" s="1"/>
  <c r="C14" i="12"/>
  <c r="K14" i="12" s="1"/>
  <c r="L14" i="12" s="1"/>
  <c r="C13" i="12"/>
  <c r="K13" i="12" s="1"/>
  <c r="L13" i="12" s="1"/>
  <c r="C12" i="12"/>
  <c r="K12" i="12" s="1"/>
  <c r="C10" i="15"/>
  <c r="K10" i="15" s="1"/>
  <c r="L10" i="15" s="1"/>
  <c r="C9" i="15"/>
  <c r="K9" i="15" s="1"/>
  <c r="L9" i="15" s="1"/>
  <c r="C8" i="15"/>
  <c r="K8" i="15" s="1"/>
  <c r="L8" i="15" s="1"/>
  <c r="C6" i="15"/>
  <c r="K6" i="15" s="1"/>
  <c r="C12" i="15"/>
  <c r="K12" i="15" s="1"/>
  <c r="L12" i="15" s="1"/>
  <c r="C11" i="15"/>
  <c r="K11" i="15" s="1"/>
  <c r="L11" i="15" s="1"/>
  <c r="G5" i="8"/>
  <c r="M11" i="5"/>
  <c r="M10" i="5"/>
  <c r="M9" i="5"/>
  <c r="K6" i="4"/>
  <c r="H5" i="8"/>
  <c r="N11" i="5"/>
  <c r="N10" i="5"/>
  <c r="N9" i="5"/>
  <c r="I5" i="8"/>
  <c r="P11" i="5"/>
  <c r="P10" i="5"/>
  <c r="P9" i="5"/>
  <c r="L6" i="4"/>
  <c r="G6" i="8"/>
  <c r="M223" i="5"/>
  <c r="M222" i="5"/>
  <c r="M217" i="5"/>
  <c r="M201" i="5"/>
  <c r="M197" i="5"/>
  <c r="M181" i="5"/>
  <c r="M161" i="5"/>
  <c r="M160" i="5"/>
  <c r="M123" i="5"/>
  <c r="M119" i="5"/>
  <c r="M106" i="5"/>
  <c r="M8" i="5"/>
  <c r="K7" i="4"/>
  <c r="M7" i="4" s="1"/>
  <c r="N7" i="4" s="1"/>
  <c r="H6" i="8"/>
  <c r="N223" i="5"/>
  <c r="N222" i="5"/>
  <c r="N217" i="5"/>
  <c r="N201" i="5"/>
  <c r="N197" i="5"/>
  <c r="N181" i="5"/>
  <c r="N161" i="5"/>
  <c r="N160" i="5"/>
  <c r="N123" i="5"/>
  <c r="N119" i="5"/>
  <c r="N106" i="5"/>
  <c r="N8" i="5"/>
  <c r="I6" i="8"/>
  <c r="P223" i="5"/>
  <c r="P222" i="5"/>
  <c r="P217" i="5"/>
  <c r="P201" i="5"/>
  <c r="P197" i="5"/>
  <c r="P181" i="5"/>
  <c r="P161" i="5"/>
  <c r="P160" i="5"/>
  <c r="P123" i="5"/>
  <c r="P119" i="5"/>
  <c r="P106" i="5"/>
  <c r="P8" i="5"/>
  <c r="L7" i="4"/>
  <c r="G7" i="8"/>
  <c r="M137" i="5"/>
  <c r="M88" i="5"/>
  <c r="K8" i="4"/>
  <c r="M8" i="4" s="1"/>
  <c r="N8" i="4" s="1"/>
  <c r="H7" i="8"/>
  <c r="N137" i="5"/>
  <c r="N88" i="5"/>
  <c r="I7" i="8"/>
  <c r="P137" i="5"/>
  <c r="P88" i="5"/>
  <c r="L8" i="4"/>
  <c r="G8" i="8"/>
  <c r="M116" i="5"/>
  <c r="M115" i="5"/>
  <c r="M16" i="5"/>
  <c r="M15" i="5"/>
  <c r="M14" i="5"/>
  <c r="M13" i="5"/>
  <c r="M12" i="5"/>
  <c r="K9" i="4"/>
  <c r="M9" i="4" s="1"/>
  <c r="N9" i="4" s="1"/>
  <c r="H8" i="8"/>
  <c r="N116" i="5"/>
  <c r="N115" i="5"/>
  <c r="N16" i="5"/>
  <c r="N15" i="5"/>
  <c r="N14" i="5"/>
  <c r="N13" i="5"/>
  <c r="N12" i="5"/>
  <c r="I8" i="8"/>
  <c r="P116" i="5"/>
  <c r="P115" i="5"/>
  <c r="P16" i="5"/>
  <c r="P15" i="5"/>
  <c r="P14" i="5"/>
  <c r="P13" i="5"/>
  <c r="P12" i="5"/>
  <c r="L9" i="4"/>
  <c r="G9" i="8"/>
  <c r="M228" i="5"/>
  <c r="M206" i="5"/>
  <c r="M186" i="5"/>
  <c r="M166" i="5"/>
  <c r="M128" i="5"/>
  <c r="M82" i="5"/>
  <c r="M69" i="5"/>
  <c r="M57" i="5"/>
  <c r="M45" i="5"/>
  <c r="M33" i="5"/>
  <c r="K10" i="4"/>
  <c r="M10" i="4" s="1"/>
  <c r="N10" i="4" s="1"/>
  <c r="H9" i="8"/>
  <c r="N228" i="5"/>
  <c r="N206" i="5"/>
  <c r="N186" i="5"/>
  <c r="N166" i="5"/>
  <c r="N128" i="5"/>
  <c r="N82" i="5"/>
  <c r="N69" i="5"/>
  <c r="N57" i="5"/>
  <c r="N45" i="5"/>
  <c r="N33" i="5"/>
  <c r="I9" i="8"/>
  <c r="P228" i="5"/>
  <c r="P206" i="5"/>
  <c r="P186" i="5"/>
  <c r="P166" i="5"/>
  <c r="P128" i="5"/>
  <c r="P82" i="5"/>
  <c r="P69" i="5"/>
  <c r="P57" i="5"/>
  <c r="P45" i="5"/>
  <c r="P33" i="5"/>
  <c r="L10" i="4"/>
  <c r="G10" i="8"/>
  <c r="M234" i="5"/>
  <c r="M232" i="5"/>
  <c r="M230" i="5"/>
  <c r="M224" i="5"/>
  <c r="M219" i="5"/>
  <c r="M214" i="5"/>
  <c r="M212" i="5"/>
  <c r="M210" i="5"/>
  <c r="M208" i="5"/>
  <c r="M202" i="5"/>
  <c r="M194" i="5"/>
  <c r="M192" i="5"/>
  <c r="M190" i="5"/>
  <c r="M188" i="5"/>
  <c r="M182" i="5"/>
  <c r="M177" i="5"/>
  <c r="M174" i="5"/>
  <c r="M172" i="5"/>
  <c r="M170" i="5"/>
  <c r="M168" i="5"/>
  <c r="M162" i="5"/>
  <c r="M158" i="5"/>
  <c r="M153" i="5"/>
  <c r="M151" i="5"/>
  <c r="M149" i="5"/>
  <c r="M147" i="5"/>
  <c r="M143" i="5"/>
  <c r="M139" i="5"/>
  <c r="M134" i="5"/>
  <c r="M132" i="5"/>
  <c r="M130" i="5"/>
  <c r="M124" i="5"/>
  <c r="M120" i="5"/>
  <c r="M86" i="5"/>
  <c r="M85" i="5"/>
  <c r="M76" i="5"/>
  <c r="M73" i="5"/>
  <c r="M72" i="5"/>
  <c r="M68" i="5"/>
  <c r="M61" i="5"/>
  <c r="M60" i="5"/>
  <c r="M56" i="5"/>
  <c r="M49" i="5"/>
  <c r="M48" i="5"/>
  <c r="M44" i="5"/>
  <c r="M37" i="5"/>
  <c r="M36" i="5"/>
  <c r="M32" i="5"/>
  <c r="K11" i="4"/>
  <c r="M11" i="4" s="1"/>
  <c r="N11" i="4" s="1"/>
  <c r="H10" i="8"/>
  <c r="N234" i="5"/>
  <c r="N232" i="5"/>
  <c r="N230" i="5"/>
  <c r="N224" i="5"/>
  <c r="N219" i="5"/>
  <c r="N214" i="5"/>
  <c r="N212" i="5"/>
  <c r="N210" i="5"/>
  <c r="N208" i="5"/>
  <c r="N202" i="5"/>
  <c r="N194" i="5"/>
  <c r="N192" i="5"/>
  <c r="N190" i="5"/>
  <c r="N188" i="5"/>
  <c r="N182" i="5"/>
  <c r="N177" i="5"/>
  <c r="N174" i="5"/>
  <c r="N172" i="5"/>
  <c r="N170" i="5"/>
  <c r="N168" i="5"/>
  <c r="N162" i="5"/>
  <c r="N158" i="5"/>
  <c r="N153" i="5"/>
  <c r="N151" i="5"/>
  <c r="N149" i="5"/>
  <c r="N147" i="5"/>
  <c r="N143" i="5"/>
  <c r="N139" i="5"/>
  <c r="N134" i="5"/>
  <c r="N132" i="5"/>
  <c r="N130" i="5"/>
  <c r="N124" i="5"/>
  <c r="N120" i="5"/>
  <c r="N86" i="5"/>
  <c r="N85" i="5"/>
  <c r="N76" i="5"/>
  <c r="N73" i="5"/>
  <c r="N72" i="5"/>
  <c r="N68" i="5"/>
  <c r="N61" i="5"/>
  <c r="N60" i="5"/>
  <c r="N56" i="5"/>
  <c r="N49" i="5"/>
  <c r="N48" i="5"/>
  <c r="N44" i="5"/>
  <c r="N37" i="5"/>
  <c r="N36" i="5"/>
  <c r="N32" i="5"/>
  <c r="I10" i="8"/>
  <c r="P234" i="5"/>
  <c r="P232" i="5"/>
  <c r="P230" i="5"/>
  <c r="P224" i="5"/>
  <c r="P219" i="5"/>
  <c r="P214" i="5"/>
  <c r="P212" i="5"/>
  <c r="P210" i="5"/>
  <c r="P208" i="5"/>
  <c r="P202" i="5"/>
  <c r="P194" i="5"/>
  <c r="P192" i="5"/>
  <c r="P190" i="5"/>
  <c r="P188" i="5"/>
  <c r="P182" i="5"/>
  <c r="P177" i="5"/>
  <c r="P174" i="5"/>
  <c r="P172" i="5"/>
  <c r="P170" i="5"/>
  <c r="P168" i="5"/>
  <c r="P162" i="5"/>
  <c r="P158" i="5"/>
  <c r="P153" i="5"/>
  <c r="P151" i="5"/>
  <c r="P149" i="5"/>
  <c r="P147" i="5"/>
  <c r="P143" i="5"/>
  <c r="P139" i="5"/>
  <c r="P134" i="5"/>
  <c r="P132" i="5"/>
  <c r="P130" i="5"/>
  <c r="P124" i="5"/>
  <c r="P120" i="5"/>
  <c r="P86" i="5"/>
  <c r="P85" i="5"/>
  <c r="P76" i="5"/>
  <c r="P73" i="5"/>
  <c r="P72" i="5"/>
  <c r="P68" i="5"/>
  <c r="P61" i="5"/>
  <c r="P60" i="5"/>
  <c r="P56" i="5"/>
  <c r="P49" i="5"/>
  <c r="P48" i="5"/>
  <c r="P44" i="5"/>
  <c r="P37" i="5"/>
  <c r="P36" i="5"/>
  <c r="P32" i="5"/>
  <c r="L11" i="4"/>
  <c r="G11" i="8"/>
  <c r="M99" i="5"/>
  <c r="K12" i="4"/>
  <c r="M12" i="4" s="1"/>
  <c r="N12" i="4" s="1"/>
  <c r="H11" i="8"/>
  <c r="N99" i="5"/>
  <c r="I11" i="8"/>
  <c r="P99" i="5"/>
  <c r="L12" i="4"/>
  <c r="G12" i="8"/>
  <c r="M103" i="5"/>
  <c r="M102" i="5"/>
  <c r="M19" i="5"/>
  <c r="M18" i="5"/>
  <c r="K13" i="4"/>
  <c r="M13" i="4" s="1"/>
  <c r="N13" i="4" s="1"/>
  <c r="H12" i="8"/>
  <c r="N103" i="5"/>
  <c r="N102" i="5"/>
  <c r="N19" i="5"/>
  <c r="N18" i="5"/>
  <c r="I12" i="8"/>
  <c r="P103" i="5"/>
  <c r="P102" i="5"/>
  <c r="P19" i="5"/>
  <c r="P18" i="5"/>
  <c r="L13" i="4"/>
  <c r="G13" i="8"/>
  <c r="M25" i="5"/>
  <c r="K14" i="4"/>
  <c r="M14" i="4" s="1"/>
  <c r="N14" i="4" s="1"/>
  <c r="H13" i="8"/>
  <c r="N25" i="5"/>
  <c r="I13" i="8"/>
  <c r="P25" i="5"/>
  <c r="L14" i="4"/>
  <c r="G14" i="8"/>
  <c r="M225" i="5"/>
  <c r="M203" i="5"/>
  <c r="M200" i="5"/>
  <c r="M183" i="5"/>
  <c r="M180" i="5"/>
  <c r="M163" i="5"/>
  <c r="M156" i="5"/>
  <c r="M125" i="5"/>
  <c r="K15" i="4"/>
  <c r="M15" i="4" s="1"/>
  <c r="N15" i="4" s="1"/>
  <c r="H14" i="8"/>
  <c r="N225" i="5"/>
  <c r="N203" i="5"/>
  <c r="N200" i="5"/>
  <c r="N183" i="5"/>
  <c r="N180" i="5"/>
  <c r="N163" i="5"/>
  <c r="N156" i="5"/>
  <c r="N125" i="5"/>
  <c r="I14" i="8"/>
  <c r="P225" i="5"/>
  <c r="P203" i="5"/>
  <c r="P200" i="5"/>
  <c r="P183" i="5"/>
  <c r="P180" i="5"/>
  <c r="P163" i="5"/>
  <c r="P156" i="5"/>
  <c r="P125" i="5"/>
  <c r="L15" i="4"/>
  <c r="G15" i="8"/>
  <c r="M112" i="5"/>
  <c r="K16" i="4"/>
  <c r="M16" i="4" s="1"/>
  <c r="N16" i="4" s="1"/>
  <c r="H15" i="8"/>
  <c r="N112" i="5"/>
  <c r="I15" i="8"/>
  <c r="P112" i="5"/>
  <c r="L16" i="4"/>
  <c r="G16" i="8"/>
  <c r="M144" i="5"/>
  <c r="M142" i="5"/>
  <c r="M20" i="5"/>
  <c r="K17" i="4"/>
  <c r="M17" i="4" s="1"/>
  <c r="N17" i="4" s="1"/>
  <c r="H16" i="8"/>
  <c r="N144" i="5"/>
  <c r="N142" i="5"/>
  <c r="N20" i="5"/>
  <c r="I16" i="8"/>
  <c r="P144" i="5"/>
  <c r="P142" i="5"/>
  <c r="P20" i="5"/>
  <c r="L17" i="4"/>
  <c r="G17" i="8"/>
  <c r="M7" i="5"/>
  <c r="K18" i="4"/>
  <c r="M18" i="4" s="1"/>
  <c r="N18" i="4" s="1"/>
  <c r="H17" i="8"/>
  <c r="N7" i="5"/>
  <c r="I17" i="8"/>
  <c r="P7" i="5"/>
  <c r="L18" i="4"/>
  <c r="G18" i="8"/>
  <c r="M90" i="5"/>
  <c r="K19" i="4"/>
  <c r="M19" i="4" s="1"/>
  <c r="N19" i="4" s="1"/>
  <c r="H18" i="8"/>
  <c r="N90" i="5"/>
  <c r="I18" i="8"/>
  <c r="P90" i="5"/>
  <c r="L19" i="4"/>
  <c r="G19" i="8"/>
  <c r="M227" i="5"/>
  <c r="M205" i="5"/>
  <c r="M185" i="5"/>
  <c r="M165" i="5"/>
  <c r="M146" i="5"/>
  <c r="M127" i="5"/>
  <c r="M83" i="5"/>
  <c r="M74" i="5"/>
  <c r="M70" i="5"/>
  <c r="M62" i="5"/>
  <c r="M58" i="5"/>
  <c r="M46" i="5"/>
  <c r="M34" i="5"/>
  <c r="K20" i="4"/>
  <c r="M20" i="4" s="1"/>
  <c r="N20" i="4" s="1"/>
  <c r="H19" i="8"/>
  <c r="N227" i="5"/>
  <c r="N205" i="5"/>
  <c r="N185" i="5"/>
  <c r="N165" i="5"/>
  <c r="N146" i="5"/>
  <c r="N127" i="5"/>
  <c r="N83" i="5"/>
  <c r="N74" i="5"/>
  <c r="N70" i="5"/>
  <c r="N62" i="5"/>
  <c r="N58" i="5"/>
  <c r="N46" i="5"/>
  <c r="N34" i="5"/>
  <c r="I19" i="8"/>
  <c r="P227" i="5"/>
  <c r="P205" i="5"/>
  <c r="P185" i="5"/>
  <c r="P165" i="5"/>
  <c r="P146" i="5"/>
  <c r="P127" i="5"/>
  <c r="P83" i="5"/>
  <c r="P74" i="5"/>
  <c r="P70" i="5"/>
  <c r="P62" i="5"/>
  <c r="P58" i="5"/>
  <c r="P46" i="5"/>
  <c r="P34" i="5"/>
  <c r="L20" i="4"/>
  <c r="G20" i="8"/>
  <c r="M89" i="5"/>
  <c r="K21" i="4"/>
  <c r="M21" i="4" s="1"/>
  <c r="N21" i="4" s="1"/>
  <c r="H20" i="8"/>
  <c r="N89" i="5"/>
  <c r="I20" i="8"/>
  <c r="P89" i="5"/>
  <c r="L21" i="4"/>
  <c r="G21" i="8"/>
  <c r="M104" i="5"/>
  <c r="K22" i="4"/>
  <c r="M22" i="4" s="1"/>
  <c r="N22" i="4" s="1"/>
  <c r="H21" i="8"/>
  <c r="N104" i="5"/>
  <c r="I21" i="8"/>
  <c r="P104" i="5"/>
  <c r="L22" i="4"/>
  <c r="G22" i="8"/>
  <c r="M111" i="5"/>
  <c r="M110" i="5"/>
  <c r="M24" i="5"/>
  <c r="K23" i="4"/>
  <c r="M23" i="4" s="1"/>
  <c r="N23" i="4" s="1"/>
  <c r="H22" i="8"/>
  <c r="N111" i="5"/>
  <c r="N110" i="5"/>
  <c r="N24" i="5"/>
  <c r="I22" i="8"/>
  <c r="P111" i="5"/>
  <c r="P110" i="5"/>
  <c r="P24" i="5"/>
  <c r="L23" i="4"/>
  <c r="G23" i="8"/>
  <c r="M233" i="5"/>
  <c r="M231" i="5"/>
  <c r="M229" i="5"/>
  <c r="M226" i="5"/>
  <c r="M221" i="5"/>
  <c r="M218" i="5"/>
  <c r="M213" i="5"/>
  <c r="M211" i="5"/>
  <c r="M209" i="5"/>
  <c r="M207" i="5"/>
  <c r="M204" i="5"/>
  <c r="M198" i="5"/>
  <c r="M193" i="5"/>
  <c r="M191" i="5"/>
  <c r="M189" i="5"/>
  <c r="M187" i="5"/>
  <c r="M184" i="5"/>
  <c r="M176" i="5"/>
  <c r="M173" i="5"/>
  <c r="M171" i="5"/>
  <c r="M169" i="5"/>
  <c r="M167" i="5"/>
  <c r="M164" i="5"/>
  <c r="M157" i="5"/>
  <c r="M152" i="5"/>
  <c r="M150" i="5"/>
  <c r="M148" i="5"/>
  <c r="M145" i="5"/>
  <c r="M141" i="5"/>
  <c r="M138" i="5"/>
  <c r="M133" i="5"/>
  <c r="M131" i="5"/>
  <c r="M129" i="5"/>
  <c r="M126" i="5"/>
  <c r="M122" i="5"/>
  <c r="M109" i="5"/>
  <c r="M108" i="5"/>
  <c r="M98" i="5"/>
  <c r="M95" i="5"/>
  <c r="M94" i="5"/>
  <c r="M93" i="5"/>
  <c r="M92" i="5"/>
  <c r="M84" i="5"/>
  <c r="M81" i="5"/>
  <c r="M80" i="5"/>
  <c r="M71" i="5"/>
  <c r="M67" i="5"/>
  <c r="M66" i="5"/>
  <c r="M59" i="5"/>
  <c r="M55" i="5"/>
  <c r="M54" i="5"/>
  <c r="M47" i="5"/>
  <c r="M43" i="5"/>
  <c r="M42" i="5"/>
  <c r="M35" i="5"/>
  <c r="M31" i="5"/>
  <c r="M30" i="5"/>
  <c r="M22" i="5"/>
  <c r="M17" i="5"/>
  <c r="K24" i="4"/>
  <c r="M24" i="4" s="1"/>
  <c r="N24" i="4" s="1"/>
  <c r="H23" i="8"/>
  <c r="N233" i="5"/>
  <c r="N231" i="5"/>
  <c r="N229" i="5"/>
  <c r="N226" i="5"/>
  <c r="N221" i="5"/>
  <c r="N218" i="5"/>
  <c r="N213" i="5"/>
  <c r="N211" i="5"/>
  <c r="N209" i="5"/>
  <c r="N207" i="5"/>
  <c r="N204" i="5"/>
  <c r="N198" i="5"/>
  <c r="N193" i="5"/>
  <c r="N191" i="5"/>
  <c r="N189" i="5"/>
  <c r="N187" i="5"/>
  <c r="N184" i="5"/>
  <c r="N176" i="5"/>
  <c r="N173" i="5"/>
  <c r="N171" i="5"/>
  <c r="N169" i="5"/>
  <c r="N167" i="5"/>
  <c r="N164" i="5"/>
  <c r="N157" i="5"/>
  <c r="N152" i="5"/>
  <c r="N150" i="5"/>
  <c r="N148" i="5"/>
  <c r="N145" i="5"/>
  <c r="N141" i="5"/>
  <c r="N138" i="5"/>
  <c r="N133" i="5"/>
  <c r="N131" i="5"/>
  <c r="N129" i="5"/>
  <c r="N126" i="5"/>
  <c r="N122" i="5"/>
  <c r="N109" i="5"/>
  <c r="N108" i="5"/>
  <c r="N98" i="5"/>
  <c r="N95" i="5"/>
  <c r="N94" i="5"/>
  <c r="N93" i="5"/>
  <c r="N92" i="5"/>
  <c r="N84" i="5"/>
  <c r="N81" i="5"/>
  <c r="N80" i="5"/>
  <c r="N71" i="5"/>
  <c r="N67" i="5"/>
  <c r="N66" i="5"/>
  <c r="N59" i="5"/>
  <c r="N55" i="5"/>
  <c r="N54" i="5"/>
  <c r="N47" i="5"/>
  <c r="N43" i="5"/>
  <c r="N42" i="5"/>
  <c r="N35" i="5"/>
  <c r="N31" i="5"/>
  <c r="N30" i="5"/>
  <c r="N22" i="5"/>
  <c r="N17" i="5"/>
  <c r="I23" i="8"/>
  <c r="P233" i="5"/>
  <c r="P231" i="5"/>
  <c r="P229" i="5"/>
  <c r="P226" i="5"/>
  <c r="P221" i="5"/>
  <c r="P218" i="5"/>
  <c r="P213" i="5"/>
  <c r="P211" i="5"/>
  <c r="P209" i="5"/>
  <c r="P207" i="5"/>
  <c r="P204" i="5"/>
  <c r="P198" i="5"/>
  <c r="P193" i="5"/>
  <c r="P191" i="5"/>
  <c r="P189" i="5"/>
  <c r="P187" i="5"/>
  <c r="P184" i="5"/>
  <c r="P176" i="5"/>
  <c r="P173" i="5"/>
  <c r="P171" i="5"/>
  <c r="P169" i="5"/>
  <c r="P167" i="5"/>
  <c r="P164" i="5"/>
  <c r="P157" i="5"/>
  <c r="P152" i="5"/>
  <c r="P150" i="5"/>
  <c r="P148" i="5"/>
  <c r="P145" i="5"/>
  <c r="P141" i="5"/>
  <c r="P138" i="5"/>
  <c r="P133" i="5"/>
  <c r="P131" i="5"/>
  <c r="P129" i="5"/>
  <c r="P126" i="5"/>
  <c r="P122" i="5"/>
  <c r="P109" i="5"/>
  <c r="P108" i="5"/>
  <c r="P98" i="5"/>
  <c r="P95" i="5"/>
  <c r="P94" i="5"/>
  <c r="P93" i="5"/>
  <c r="P92" i="5"/>
  <c r="P84" i="5"/>
  <c r="P81" i="5"/>
  <c r="P80" i="5"/>
  <c r="P71" i="5"/>
  <c r="P67" i="5"/>
  <c r="P66" i="5"/>
  <c r="P59" i="5"/>
  <c r="P55" i="5"/>
  <c r="P54" i="5"/>
  <c r="P47" i="5"/>
  <c r="P43" i="5"/>
  <c r="P42" i="5"/>
  <c r="P35" i="5"/>
  <c r="P31" i="5"/>
  <c r="P30" i="5"/>
  <c r="P22" i="5"/>
  <c r="P17" i="5"/>
  <c r="L24" i="4"/>
  <c r="G24" i="8"/>
  <c r="M216" i="5"/>
  <c r="M196" i="5"/>
  <c r="M178" i="5"/>
  <c r="M155" i="5"/>
  <c r="M136" i="5"/>
  <c r="M118" i="5"/>
  <c r="M101" i="5"/>
  <c r="M87" i="5"/>
  <c r="M75" i="5"/>
  <c r="M63" i="5"/>
  <c r="M50" i="5"/>
  <c r="M38" i="5"/>
  <c r="M5" i="5"/>
  <c r="K25" i="4"/>
  <c r="M25" i="4" s="1"/>
  <c r="N25" i="4" s="1"/>
  <c r="H24" i="8"/>
  <c r="N216" i="5"/>
  <c r="N196" i="5"/>
  <c r="N178" i="5"/>
  <c r="N155" i="5"/>
  <c r="N136" i="5"/>
  <c r="N118" i="5"/>
  <c r="N101" i="5"/>
  <c r="N87" i="5"/>
  <c r="N75" i="5"/>
  <c r="N63" i="5"/>
  <c r="N50" i="5"/>
  <c r="N38" i="5"/>
  <c r="N5" i="5"/>
  <c r="I24" i="8"/>
  <c r="P216" i="5"/>
  <c r="P196" i="5"/>
  <c r="P178" i="5"/>
  <c r="P155" i="5"/>
  <c r="P136" i="5"/>
  <c r="P118" i="5"/>
  <c r="P101" i="5"/>
  <c r="P87" i="5"/>
  <c r="P75" i="5"/>
  <c r="P63" i="5"/>
  <c r="P50" i="5"/>
  <c r="P38" i="5"/>
  <c r="P5" i="5"/>
  <c r="L25" i="4"/>
  <c r="G25" i="8"/>
  <c r="M114" i="5"/>
  <c r="M113" i="5"/>
  <c r="M107" i="5"/>
  <c r="M105" i="5"/>
  <c r="M26" i="5"/>
  <c r="M23" i="5"/>
  <c r="M6" i="5"/>
  <c r="K26" i="4"/>
  <c r="M26" i="4" s="1"/>
  <c r="N26" i="4" s="1"/>
  <c r="H25" i="8"/>
  <c r="N114" i="5"/>
  <c r="N113" i="5"/>
  <c r="N107" i="5"/>
  <c r="N105" i="5"/>
  <c r="N26" i="5"/>
  <c r="N23" i="5"/>
  <c r="N6" i="5"/>
  <c r="I25" i="8"/>
  <c r="P114" i="5"/>
  <c r="P113" i="5"/>
  <c r="P107" i="5"/>
  <c r="P105" i="5"/>
  <c r="P26" i="5"/>
  <c r="P23" i="5"/>
  <c r="P6" i="5"/>
  <c r="L26" i="4"/>
  <c r="G26" i="8"/>
  <c r="M235" i="5"/>
  <c r="M220" i="5"/>
  <c r="M215" i="5"/>
  <c r="M199" i="5"/>
  <c r="M195" i="5"/>
  <c r="M179" i="5"/>
  <c r="M175" i="5"/>
  <c r="M159" i="5"/>
  <c r="M154" i="5"/>
  <c r="M140" i="5"/>
  <c r="M135" i="5"/>
  <c r="M121" i="5"/>
  <c r="M117" i="5"/>
  <c r="M100" i="5"/>
  <c r="M97" i="5"/>
  <c r="M79" i="5"/>
  <c r="M78" i="5"/>
  <c r="M77" i="5"/>
  <c r="M65" i="5"/>
  <c r="M64" i="5"/>
  <c r="M53" i="5"/>
  <c r="M52" i="5"/>
  <c r="M51" i="5"/>
  <c r="M41" i="5"/>
  <c r="M40" i="5"/>
  <c r="M39" i="5"/>
  <c r="M29" i="5"/>
  <c r="M28" i="5"/>
  <c r="M27" i="5"/>
  <c r="M21" i="5"/>
  <c r="K27" i="4"/>
  <c r="M27" i="4" s="1"/>
  <c r="N27" i="4" s="1"/>
  <c r="H26" i="8"/>
  <c r="N235" i="5"/>
  <c r="N220" i="5"/>
  <c r="N215" i="5"/>
  <c r="N199" i="5"/>
  <c r="N195" i="5"/>
  <c r="N179" i="5"/>
  <c r="N175" i="5"/>
  <c r="N159" i="5"/>
  <c r="N154" i="5"/>
  <c r="N140" i="5"/>
  <c r="N135" i="5"/>
  <c r="N121" i="5"/>
  <c r="N117" i="5"/>
  <c r="N100" i="5"/>
  <c r="N97" i="5"/>
  <c r="N79" i="5"/>
  <c r="N78" i="5"/>
  <c r="N77" i="5"/>
  <c r="N65" i="5"/>
  <c r="N64" i="5"/>
  <c r="N53" i="5"/>
  <c r="N52" i="5"/>
  <c r="N51" i="5"/>
  <c r="N41" i="5"/>
  <c r="N40" i="5"/>
  <c r="N39" i="5"/>
  <c r="N29" i="5"/>
  <c r="N28" i="5"/>
  <c r="N27" i="5"/>
  <c r="N21" i="5"/>
  <c r="I26" i="8"/>
  <c r="P235" i="5"/>
  <c r="P220" i="5"/>
  <c r="P215" i="5"/>
  <c r="P199" i="5"/>
  <c r="P195" i="5"/>
  <c r="P179" i="5"/>
  <c r="P175" i="5"/>
  <c r="P159" i="5"/>
  <c r="P154" i="5"/>
  <c r="P140" i="5"/>
  <c r="P135" i="5"/>
  <c r="P121" i="5"/>
  <c r="P117" i="5"/>
  <c r="P100" i="5"/>
  <c r="P97" i="5"/>
  <c r="P79" i="5"/>
  <c r="P78" i="5"/>
  <c r="P77" i="5"/>
  <c r="P65" i="5"/>
  <c r="P64" i="5"/>
  <c r="P53" i="5"/>
  <c r="P52" i="5"/>
  <c r="P51" i="5"/>
  <c r="P41" i="5"/>
  <c r="P40" i="5"/>
  <c r="P39" i="5"/>
  <c r="P29" i="5"/>
  <c r="P28" i="5"/>
  <c r="P27" i="5"/>
  <c r="P21" i="5"/>
  <c r="L27" i="4"/>
  <c r="G29" i="8"/>
  <c r="M101" i="6"/>
  <c r="M69" i="6"/>
  <c r="K34" i="4"/>
  <c r="H29" i="8"/>
  <c r="N101" i="6"/>
  <c r="N69" i="6"/>
  <c r="I29" i="8"/>
  <c r="P101" i="6"/>
  <c r="P69" i="6"/>
  <c r="L34" i="4"/>
  <c r="G30" i="8"/>
  <c r="M179" i="6"/>
  <c r="M177" i="6"/>
  <c r="M175" i="6"/>
  <c r="M171" i="6"/>
  <c r="M168" i="6"/>
  <c r="M164" i="6"/>
  <c r="M162" i="6"/>
  <c r="M160" i="6"/>
  <c r="M158" i="6"/>
  <c r="M154" i="6"/>
  <c r="M149" i="6"/>
  <c r="M147" i="6"/>
  <c r="M145" i="6"/>
  <c r="M143" i="6"/>
  <c r="M139" i="6"/>
  <c r="M136" i="6"/>
  <c r="M133" i="6"/>
  <c r="M131" i="6"/>
  <c r="M129" i="6"/>
  <c r="M127" i="6"/>
  <c r="M123" i="6"/>
  <c r="M121" i="6"/>
  <c r="M117" i="6"/>
  <c r="M115" i="6"/>
  <c r="M113" i="6"/>
  <c r="M111" i="6"/>
  <c r="M107" i="6"/>
  <c r="M103" i="6"/>
  <c r="M98" i="6"/>
  <c r="M96" i="6"/>
  <c r="M94" i="6"/>
  <c r="M90" i="6"/>
  <c r="M87" i="6"/>
  <c r="M67" i="6"/>
  <c r="M66" i="6"/>
  <c r="M58" i="6"/>
  <c r="M55" i="6"/>
  <c r="M54" i="6"/>
  <c r="M51" i="6"/>
  <c r="M43" i="6"/>
  <c r="M42" i="6"/>
  <c r="M39" i="6"/>
  <c r="M32" i="6"/>
  <c r="M31" i="6"/>
  <c r="M28" i="6"/>
  <c r="M21" i="6"/>
  <c r="M20" i="6"/>
  <c r="M17" i="6"/>
  <c r="K35" i="4"/>
  <c r="M35" i="4" s="1"/>
  <c r="N35" i="4" s="1"/>
  <c r="H30" i="8"/>
  <c r="N179" i="6"/>
  <c r="N177" i="6"/>
  <c r="N175" i="6"/>
  <c r="N171" i="6"/>
  <c r="N168" i="6"/>
  <c r="N164" i="6"/>
  <c r="N162" i="6"/>
  <c r="N160" i="6"/>
  <c r="N158" i="6"/>
  <c r="N154" i="6"/>
  <c r="N149" i="6"/>
  <c r="N147" i="6"/>
  <c r="N145" i="6"/>
  <c r="N143" i="6"/>
  <c r="N139" i="6"/>
  <c r="N136" i="6"/>
  <c r="N133" i="6"/>
  <c r="N131" i="6"/>
  <c r="N129" i="6"/>
  <c r="N127" i="6"/>
  <c r="N123" i="6"/>
  <c r="N121" i="6"/>
  <c r="N117" i="6"/>
  <c r="N115" i="6"/>
  <c r="N113" i="6"/>
  <c r="N111" i="6"/>
  <c r="N107" i="6"/>
  <c r="N103" i="6"/>
  <c r="N98" i="6"/>
  <c r="N96" i="6"/>
  <c r="N94" i="6"/>
  <c r="N90" i="6"/>
  <c r="N87" i="6"/>
  <c r="N67" i="6"/>
  <c r="N66" i="6"/>
  <c r="N58" i="6"/>
  <c r="N55" i="6"/>
  <c r="N54" i="6"/>
  <c r="N51" i="6"/>
  <c r="N43" i="6"/>
  <c r="N42" i="6"/>
  <c r="N39" i="6"/>
  <c r="N32" i="6"/>
  <c r="N31" i="6"/>
  <c r="N28" i="6"/>
  <c r="N21" i="6"/>
  <c r="N20" i="6"/>
  <c r="N17" i="6"/>
  <c r="I30" i="8"/>
  <c r="P179" i="6"/>
  <c r="P177" i="6"/>
  <c r="P175" i="6"/>
  <c r="P171" i="6"/>
  <c r="P168" i="6"/>
  <c r="P164" i="6"/>
  <c r="P162" i="6"/>
  <c r="P160" i="6"/>
  <c r="P158" i="6"/>
  <c r="P154" i="6"/>
  <c r="P149" i="6"/>
  <c r="P147" i="6"/>
  <c r="P145" i="6"/>
  <c r="P143" i="6"/>
  <c r="P139" i="6"/>
  <c r="P136" i="6"/>
  <c r="P133" i="6"/>
  <c r="P131" i="6"/>
  <c r="P129" i="6"/>
  <c r="P127" i="6"/>
  <c r="P123" i="6"/>
  <c r="P121" i="6"/>
  <c r="P117" i="6"/>
  <c r="P115" i="6"/>
  <c r="P113" i="6"/>
  <c r="P111" i="6"/>
  <c r="P107" i="6"/>
  <c r="P103" i="6"/>
  <c r="P98" i="6"/>
  <c r="P96" i="6"/>
  <c r="P94" i="6"/>
  <c r="P90" i="6"/>
  <c r="P87" i="6"/>
  <c r="P67" i="6"/>
  <c r="P66" i="6"/>
  <c r="P58" i="6"/>
  <c r="P55" i="6"/>
  <c r="P54" i="6"/>
  <c r="P51" i="6"/>
  <c r="P43" i="6"/>
  <c r="P42" i="6"/>
  <c r="P39" i="6"/>
  <c r="P32" i="6"/>
  <c r="P31" i="6"/>
  <c r="P28" i="6"/>
  <c r="P21" i="6"/>
  <c r="P20" i="6"/>
  <c r="P17" i="6"/>
  <c r="L35" i="4"/>
  <c r="G31" i="8"/>
  <c r="M77" i="6"/>
  <c r="K36" i="4"/>
  <c r="M36" i="4" s="1"/>
  <c r="N36" i="4" s="1"/>
  <c r="H31" i="8"/>
  <c r="N77" i="6"/>
  <c r="I31" i="8"/>
  <c r="P77" i="6"/>
  <c r="L36" i="4"/>
  <c r="G32" i="8"/>
  <c r="M81" i="6"/>
  <c r="M80" i="6"/>
  <c r="M8" i="6"/>
  <c r="M7" i="6"/>
  <c r="K37" i="4"/>
  <c r="M37" i="4" s="1"/>
  <c r="N37" i="4" s="1"/>
  <c r="H32" i="8"/>
  <c r="N81" i="6"/>
  <c r="N80" i="6"/>
  <c r="N8" i="6"/>
  <c r="N7" i="6"/>
  <c r="I32" i="8"/>
  <c r="P81" i="6"/>
  <c r="P80" i="6"/>
  <c r="P8" i="6"/>
  <c r="P7" i="6"/>
  <c r="L37" i="4"/>
  <c r="G33" i="8"/>
  <c r="M108" i="6"/>
  <c r="M106" i="6"/>
  <c r="M9" i="6"/>
  <c r="K38" i="4"/>
  <c r="M38" i="4" s="1"/>
  <c r="N38" i="4" s="1"/>
  <c r="H33" i="8"/>
  <c r="N108" i="6"/>
  <c r="N106" i="6"/>
  <c r="N9" i="6"/>
  <c r="I33" i="8"/>
  <c r="P108" i="6"/>
  <c r="P106" i="6"/>
  <c r="P9" i="6"/>
  <c r="L38" i="4"/>
  <c r="G34" i="8"/>
  <c r="M173" i="6"/>
  <c r="M156" i="6"/>
  <c r="M141" i="6"/>
  <c r="M125" i="6"/>
  <c r="M110" i="6"/>
  <c r="M92" i="6"/>
  <c r="M64" i="6"/>
  <c r="M56" i="6"/>
  <c r="M52" i="6"/>
  <c r="M44" i="6"/>
  <c r="M40" i="6"/>
  <c r="M29" i="6"/>
  <c r="M18" i="6"/>
  <c r="K39" i="4"/>
  <c r="M39" i="4" s="1"/>
  <c r="N39" i="4" s="1"/>
  <c r="H34" i="8"/>
  <c r="N173" i="6"/>
  <c r="N156" i="6"/>
  <c r="N141" i="6"/>
  <c r="N125" i="6"/>
  <c r="N110" i="6"/>
  <c r="N92" i="6"/>
  <c r="N64" i="6"/>
  <c r="N56" i="6"/>
  <c r="N52" i="6"/>
  <c r="N44" i="6"/>
  <c r="N40" i="6"/>
  <c r="N29" i="6"/>
  <c r="N18" i="6"/>
  <c r="I34" i="8"/>
  <c r="P173" i="6"/>
  <c r="P156" i="6"/>
  <c r="P141" i="6"/>
  <c r="P125" i="6"/>
  <c r="P110" i="6"/>
  <c r="P92" i="6"/>
  <c r="P64" i="6"/>
  <c r="P56" i="6"/>
  <c r="P52" i="6"/>
  <c r="P44" i="6"/>
  <c r="P40" i="6"/>
  <c r="P29" i="6"/>
  <c r="P18" i="6"/>
  <c r="L39" i="4"/>
  <c r="G35" i="8"/>
  <c r="M70" i="6"/>
  <c r="K40" i="4"/>
  <c r="M40" i="4" s="1"/>
  <c r="N40" i="4" s="1"/>
  <c r="H35" i="8"/>
  <c r="N70" i="6"/>
  <c r="I35" i="8"/>
  <c r="P70" i="6"/>
  <c r="L40" i="4"/>
  <c r="G36" i="8"/>
  <c r="M178" i="6"/>
  <c r="M176" i="6"/>
  <c r="M174" i="6"/>
  <c r="M172" i="6"/>
  <c r="M170" i="6"/>
  <c r="M167" i="6"/>
  <c r="M163" i="6"/>
  <c r="M161" i="6"/>
  <c r="M159" i="6"/>
  <c r="M157" i="6"/>
  <c r="M155" i="6"/>
  <c r="M152" i="6"/>
  <c r="M148" i="6"/>
  <c r="M146" i="6"/>
  <c r="M144" i="6"/>
  <c r="M142" i="6"/>
  <c r="M140" i="6"/>
  <c r="M135" i="6"/>
  <c r="M132" i="6"/>
  <c r="M130" i="6"/>
  <c r="M128" i="6"/>
  <c r="M126" i="6"/>
  <c r="M124" i="6"/>
  <c r="M120" i="6"/>
  <c r="M116" i="6"/>
  <c r="M114" i="6"/>
  <c r="M112" i="6"/>
  <c r="M109" i="6"/>
  <c r="M105" i="6"/>
  <c r="M102" i="6"/>
  <c r="M97" i="6"/>
  <c r="M95" i="6"/>
  <c r="M93" i="6"/>
  <c r="M91" i="6"/>
  <c r="M89" i="6"/>
  <c r="M84" i="6"/>
  <c r="M83" i="6"/>
  <c r="M82" i="6"/>
  <c r="M76" i="6"/>
  <c r="M74" i="6"/>
  <c r="M73" i="6"/>
  <c r="M72" i="6"/>
  <c r="M71" i="6"/>
  <c r="M65" i="6"/>
  <c r="M63" i="6"/>
  <c r="M62" i="6"/>
  <c r="M53" i="6"/>
  <c r="M50" i="6"/>
  <c r="M49" i="6"/>
  <c r="M41" i="6"/>
  <c r="M38" i="6"/>
  <c r="M37" i="6"/>
  <c r="M30" i="6"/>
  <c r="M27" i="6"/>
  <c r="M26" i="6"/>
  <c r="M19" i="6"/>
  <c r="M16" i="6"/>
  <c r="M15" i="6"/>
  <c r="M11" i="6"/>
  <c r="M6" i="6"/>
  <c r="K41" i="4"/>
  <c r="M41" i="4" s="1"/>
  <c r="N41" i="4" s="1"/>
  <c r="H36" i="8"/>
  <c r="N178" i="6"/>
  <c r="N176" i="6"/>
  <c r="N174" i="6"/>
  <c r="N172" i="6"/>
  <c r="N170" i="6"/>
  <c r="N167" i="6"/>
  <c r="N163" i="6"/>
  <c r="N161" i="6"/>
  <c r="N159" i="6"/>
  <c r="N157" i="6"/>
  <c r="N155" i="6"/>
  <c r="N152" i="6"/>
  <c r="N148" i="6"/>
  <c r="N146" i="6"/>
  <c r="N144" i="6"/>
  <c r="N142" i="6"/>
  <c r="N140" i="6"/>
  <c r="N135" i="6"/>
  <c r="N132" i="6"/>
  <c r="N130" i="6"/>
  <c r="N128" i="6"/>
  <c r="N126" i="6"/>
  <c r="N124" i="6"/>
  <c r="N120" i="6"/>
  <c r="N116" i="6"/>
  <c r="N114" i="6"/>
  <c r="N112" i="6"/>
  <c r="N109" i="6"/>
  <c r="N105" i="6"/>
  <c r="N102" i="6"/>
  <c r="N97" i="6"/>
  <c r="N95" i="6"/>
  <c r="N93" i="6"/>
  <c r="N91" i="6"/>
  <c r="N89" i="6"/>
  <c r="N84" i="6"/>
  <c r="N83" i="6"/>
  <c r="N82" i="6"/>
  <c r="N76" i="6"/>
  <c r="N74" i="6"/>
  <c r="N73" i="6"/>
  <c r="N72" i="6"/>
  <c r="N71" i="6"/>
  <c r="N65" i="6"/>
  <c r="N63" i="6"/>
  <c r="N62" i="6"/>
  <c r="N53" i="6"/>
  <c r="N50" i="6"/>
  <c r="N49" i="6"/>
  <c r="N41" i="6"/>
  <c r="N38" i="6"/>
  <c r="N37" i="6"/>
  <c r="N30" i="6"/>
  <c r="N27" i="6"/>
  <c r="N26" i="6"/>
  <c r="N19" i="6"/>
  <c r="N16" i="6"/>
  <c r="N15" i="6"/>
  <c r="N11" i="6"/>
  <c r="N6" i="6"/>
  <c r="I36" i="8"/>
  <c r="P178" i="6"/>
  <c r="P176" i="6"/>
  <c r="P174" i="6"/>
  <c r="P172" i="6"/>
  <c r="P170" i="6"/>
  <c r="P167" i="6"/>
  <c r="P163" i="6"/>
  <c r="P161" i="6"/>
  <c r="P159" i="6"/>
  <c r="P157" i="6"/>
  <c r="P155" i="6"/>
  <c r="P152" i="6"/>
  <c r="P148" i="6"/>
  <c r="P146" i="6"/>
  <c r="P144" i="6"/>
  <c r="P142" i="6"/>
  <c r="P140" i="6"/>
  <c r="P135" i="6"/>
  <c r="P132" i="6"/>
  <c r="P130" i="6"/>
  <c r="P128" i="6"/>
  <c r="P126" i="6"/>
  <c r="P124" i="6"/>
  <c r="P120" i="6"/>
  <c r="P116" i="6"/>
  <c r="P114" i="6"/>
  <c r="P112" i="6"/>
  <c r="P109" i="6"/>
  <c r="P105" i="6"/>
  <c r="P102" i="6"/>
  <c r="P97" i="6"/>
  <c r="P95" i="6"/>
  <c r="P93" i="6"/>
  <c r="P91" i="6"/>
  <c r="P89" i="6"/>
  <c r="P84" i="6"/>
  <c r="P83" i="6"/>
  <c r="P82" i="6"/>
  <c r="P76" i="6"/>
  <c r="P74" i="6"/>
  <c r="P73" i="6"/>
  <c r="P72" i="6"/>
  <c r="P71" i="6"/>
  <c r="P65" i="6"/>
  <c r="P63" i="6"/>
  <c r="P62" i="6"/>
  <c r="P53" i="6"/>
  <c r="P50" i="6"/>
  <c r="P49" i="6"/>
  <c r="P41" i="6"/>
  <c r="P38" i="6"/>
  <c r="P37" i="6"/>
  <c r="P30" i="6"/>
  <c r="P27" i="6"/>
  <c r="P26" i="6"/>
  <c r="P19" i="6"/>
  <c r="P16" i="6"/>
  <c r="P15" i="6"/>
  <c r="P11" i="6"/>
  <c r="P6" i="6"/>
  <c r="L41" i="4"/>
  <c r="G37" i="8"/>
  <c r="M166" i="6"/>
  <c r="M151" i="6"/>
  <c r="M137" i="6"/>
  <c r="M119" i="6"/>
  <c r="M100" i="6"/>
  <c r="M86" i="6"/>
  <c r="M79" i="6"/>
  <c r="M68" i="6"/>
  <c r="M57" i="6"/>
  <c r="M45" i="6"/>
  <c r="M33" i="6"/>
  <c r="M22" i="6"/>
  <c r="M5" i="6"/>
  <c r="K42" i="4"/>
  <c r="M42" i="4" s="1"/>
  <c r="N42" i="4" s="1"/>
  <c r="H37" i="8"/>
  <c r="N166" i="6"/>
  <c r="N151" i="6"/>
  <c r="N137" i="6"/>
  <c r="N119" i="6"/>
  <c r="N100" i="6"/>
  <c r="N86" i="6"/>
  <c r="N79" i="6"/>
  <c r="N68" i="6"/>
  <c r="N57" i="6"/>
  <c r="N45" i="6"/>
  <c r="N33" i="6"/>
  <c r="N22" i="6"/>
  <c r="N5" i="6"/>
  <c r="I37" i="8"/>
  <c r="P166" i="6"/>
  <c r="P151" i="6"/>
  <c r="P137" i="6"/>
  <c r="P119" i="6"/>
  <c r="P100" i="6"/>
  <c r="P86" i="6"/>
  <c r="P79" i="6"/>
  <c r="P68" i="6"/>
  <c r="P57" i="6"/>
  <c r="P45" i="6"/>
  <c r="P33" i="6"/>
  <c r="P22" i="6"/>
  <c r="P5" i="6"/>
  <c r="L42" i="4"/>
  <c r="G38" i="8"/>
  <c r="M180" i="6"/>
  <c r="M169" i="6"/>
  <c r="M165" i="6"/>
  <c r="M153" i="6"/>
  <c r="M150" i="6"/>
  <c r="M138" i="6"/>
  <c r="M134" i="6"/>
  <c r="M122" i="6"/>
  <c r="M118" i="6"/>
  <c r="M104" i="6"/>
  <c r="M99" i="6"/>
  <c r="M88" i="6"/>
  <c r="M85" i="6"/>
  <c r="M78" i="6"/>
  <c r="M75" i="6"/>
  <c r="M61" i="6"/>
  <c r="M60" i="6"/>
  <c r="M59" i="6"/>
  <c r="M48" i="6"/>
  <c r="M47" i="6"/>
  <c r="M46" i="6"/>
  <c r="M36" i="6"/>
  <c r="M35" i="6"/>
  <c r="M34" i="6"/>
  <c r="M25" i="6"/>
  <c r="M24" i="6"/>
  <c r="M23" i="6"/>
  <c r="M14" i="6"/>
  <c r="M13" i="6"/>
  <c r="M12" i="6"/>
  <c r="M10" i="6"/>
  <c r="K43" i="4"/>
  <c r="M43" i="4" s="1"/>
  <c r="N43" i="4" s="1"/>
  <c r="H38" i="8"/>
  <c r="N180" i="6"/>
  <c r="N169" i="6"/>
  <c r="N165" i="6"/>
  <c r="N153" i="6"/>
  <c r="N150" i="6"/>
  <c r="N138" i="6"/>
  <c r="N134" i="6"/>
  <c r="N122" i="6"/>
  <c r="N118" i="6"/>
  <c r="N104" i="6"/>
  <c r="N99" i="6"/>
  <c r="N88" i="6"/>
  <c r="N85" i="6"/>
  <c r="N78" i="6"/>
  <c r="N75" i="6"/>
  <c r="N61" i="6"/>
  <c r="N60" i="6"/>
  <c r="N59" i="6"/>
  <c r="N48" i="6"/>
  <c r="N47" i="6"/>
  <c r="N46" i="6"/>
  <c r="N36" i="6"/>
  <c r="N35" i="6"/>
  <c r="N34" i="6"/>
  <c r="N25" i="6"/>
  <c r="N24" i="6"/>
  <c r="N23" i="6"/>
  <c r="N14" i="6"/>
  <c r="N13" i="6"/>
  <c r="N12" i="6"/>
  <c r="N10" i="6"/>
  <c r="I38" i="8"/>
  <c r="P180" i="6"/>
  <c r="P169" i="6"/>
  <c r="P165" i="6"/>
  <c r="P153" i="6"/>
  <c r="P150" i="6"/>
  <c r="P138" i="6"/>
  <c r="P134" i="6"/>
  <c r="P122" i="6"/>
  <c r="P118" i="6"/>
  <c r="P104" i="6"/>
  <c r="P99" i="6"/>
  <c r="P88" i="6"/>
  <c r="P85" i="6"/>
  <c r="P78" i="6"/>
  <c r="P75" i="6"/>
  <c r="P61" i="6"/>
  <c r="P60" i="6"/>
  <c r="P59" i="6"/>
  <c r="P48" i="6"/>
  <c r="P47" i="6"/>
  <c r="P46" i="6"/>
  <c r="P36" i="6"/>
  <c r="P35" i="6"/>
  <c r="P34" i="6"/>
  <c r="P25" i="6"/>
  <c r="P24" i="6"/>
  <c r="P23" i="6"/>
  <c r="P14" i="6"/>
  <c r="P13" i="6"/>
  <c r="P12" i="6"/>
  <c r="P10" i="6"/>
  <c r="L43" i="4"/>
  <c r="G41" i="8"/>
  <c r="M103" i="7"/>
  <c r="M70" i="7"/>
  <c r="K50" i="4"/>
  <c r="H41" i="8"/>
  <c r="N103" i="7"/>
  <c r="N70" i="7"/>
  <c r="I41" i="8"/>
  <c r="P103" i="7"/>
  <c r="P70" i="7"/>
  <c r="L50" i="4"/>
  <c r="G42" i="8"/>
  <c r="M181" i="7"/>
  <c r="M179" i="7"/>
  <c r="M177" i="7"/>
  <c r="M173" i="7"/>
  <c r="M170" i="7"/>
  <c r="M166" i="7"/>
  <c r="M164" i="7"/>
  <c r="M162" i="7"/>
  <c r="M160" i="7"/>
  <c r="M156" i="7"/>
  <c r="M151" i="7"/>
  <c r="M149" i="7"/>
  <c r="M147" i="7"/>
  <c r="M145" i="7"/>
  <c r="M141" i="7"/>
  <c r="M138" i="7"/>
  <c r="M135" i="7"/>
  <c r="M133" i="7"/>
  <c r="M131" i="7"/>
  <c r="M129" i="7"/>
  <c r="M125" i="7"/>
  <c r="M123" i="7"/>
  <c r="M119" i="7"/>
  <c r="M117" i="7"/>
  <c r="M115" i="7"/>
  <c r="M113" i="7"/>
  <c r="M109" i="7"/>
  <c r="M105" i="7"/>
  <c r="M100" i="7"/>
  <c r="M98" i="7"/>
  <c r="M96" i="7"/>
  <c r="M92" i="7"/>
  <c r="M89" i="7"/>
  <c r="M68" i="7"/>
  <c r="M67" i="7"/>
  <c r="M59" i="7"/>
  <c r="M56" i="7"/>
  <c r="M55" i="7"/>
  <c r="M52" i="7"/>
  <c r="M43" i="7"/>
  <c r="M42" i="7"/>
  <c r="M39" i="7"/>
  <c r="M32" i="7"/>
  <c r="M31" i="7"/>
  <c r="M28" i="7"/>
  <c r="M21" i="7"/>
  <c r="M20" i="7"/>
  <c r="M17" i="7"/>
  <c r="K51" i="4"/>
  <c r="M51" i="4" s="1"/>
  <c r="N51" i="4" s="1"/>
  <c r="H42" i="8"/>
  <c r="N181" i="7"/>
  <c r="N179" i="7"/>
  <c r="N177" i="7"/>
  <c r="N173" i="7"/>
  <c r="N170" i="7"/>
  <c r="N166" i="7"/>
  <c r="N164" i="7"/>
  <c r="N162" i="7"/>
  <c r="N160" i="7"/>
  <c r="N156" i="7"/>
  <c r="N151" i="7"/>
  <c r="N149" i="7"/>
  <c r="N147" i="7"/>
  <c r="N145" i="7"/>
  <c r="N141" i="7"/>
  <c r="N138" i="7"/>
  <c r="N135" i="7"/>
  <c r="N133" i="7"/>
  <c r="N131" i="7"/>
  <c r="N129" i="7"/>
  <c r="N125" i="7"/>
  <c r="N123" i="7"/>
  <c r="N119" i="7"/>
  <c r="N117" i="7"/>
  <c r="N115" i="7"/>
  <c r="N113" i="7"/>
  <c r="N109" i="7"/>
  <c r="N105" i="7"/>
  <c r="N100" i="7"/>
  <c r="N98" i="7"/>
  <c r="N96" i="7"/>
  <c r="N92" i="7"/>
  <c r="N89" i="7"/>
  <c r="N68" i="7"/>
  <c r="N67" i="7"/>
  <c r="N59" i="7"/>
  <c r="N56" i="7"/>
  <c r="N55" i="7"/>
  <c r="N52" i="7"/>
  <c r="N43" i="7"/>
  <c r="N42" i="7"/>
  <c r="N39" i="7"/>
  <c r="N32" i="7"/>
  <c r="N31" i="7"/>
  <c r="N28" i="7"/>
  <c r="N21" i="7"/>
  <c r="N20" i="7"/>
  <c r="N17" i="7"/>
  <c r="I42" i="8"/>
  <c r="P181" i="7"/>
  <c r="P179" i="7"/>
  <c r="P177" i="7"/>
  <c r="P173" i="7"/>
  <c r="P170" i="7"/>
  <c r="P166" i="7"/>
  <c r="P164" i="7"/>
  <c r="P162" i="7"/>
  <c r="P160" i="7"/>
  <c r="P156" i="7"/>
  <c r="P151" i="7"/>
  <c r="P149" i="7"/>
  <c r="P147" i="7"/>
  <c r="P145" i="7"/>
  <c r="P141" i="7"/>
  <c r="P138" i="7"/>
  <c r="P135" i="7"/>
  <c r="P133" i="7"/>
  <c r="P131" i="7"/>
  <c r="P129" i="7"/>
  <c r="P125" i="7"/>
  <c r="P123" i="7"/>
  <c r="P119" i="7"/>
  <c r="P117" i="7"/>
  <c r="P115" i="7"/>
  <c r="P113" i="7"/>
  <c r="P109" i="7"/>
  <c r="P105" i="7"/>
  <c r="P100" i="7"/>
  <c r="P98" i="7"/>
  <c r="P96" i="7"/>
  <c r="P92" i="7"/>
  <c r="P89" i="7"/>
  <c r="P68" i="7"/>
  <c r="P67" i="7"/>
  <c r="P59" i="7"/>
  <c r="P56" i="7"/>
  <c r="P55" i="7"/>
  <c r="P52" i="7"/>
  <c r="P43" i="7"/>
  <c r="P42" i="7"/>
  <c r="P39" i="7"/>
  <c r="P32" i="7"/>
  <c r="P31" i="7"/>
  <c r="P28" i="7"/>
  <c r="P21" i="7"/>
  <c r="P20" i="7"/>
  <c r="P17" i="7"/>
  <c r="L51" i="4"/>
  <c r="G43" i="8"/>
  <c r="M78" i="7"/>
  <c r="K52" i="4"/>
  <c r="M52" i="4" s="1"/>
  <c r="N52" i="4" s="1"/>
  <c r="H43" i="8"/>
  <c r="N78" i="7"/>
  <c r="I43" i="8"/>
  <c r="P78" i="7"/>
  <c r="L52" i="4"/>
  <c r="G44" i="8"/>
  <c r="M82" i="7"/>
  <c r="M81" i="7"/>
  <c r="M8" i="7"/>
  <c r="M7" i="7"/>
  <c r="K53" i="4"/>
  <c r="M53" i="4" s="1"/>
  <c r="N53" i="4" s="1"/>
  <c r="H44" i="8"/>
  <c r="N82" i="7"/>
  <c r="N81" i="7"/>
  <c r="N8" i="7"/>
  <c r="N7" i="7"/>
  <c r="I44" i="8"/>
  <c r="P82" i="7"/>
  <c r="P81" i="7"/>
  <c r="P8" i="7"/>
  <c r="P7" i="7"/>
  <c r="L53" i="4"/>
  <c r="G45" i="8"/>
  <c r="M110" i="7"/>
  <c r="M108" i="7"/>
  <c r="M9" i="7"/>
  <c r="K54" i="4"/>
  <c r="M54" i="4" s="1"/>
  <c r="N54" i="4" s="1"/>
  <c r="H45" i="8"/>
  <c r="N110" i="7"/>
  <c r="N108" i="7"/>
  <c r="N9" i="7"/>
  <c r="I45" i="8"/>
  <c r="P110" i="7"/>
  <c r="P108" i="7"/>
  <c r="P9" i="7"/>
  <c r="L54" i="4"/>
  <c r="G46" i="8"/>
  <c r="M175" i="7"/>
  <c r="M158" i="7"/>
  <c r="M143" i="7"/>
  <c r="M127" i="7"/>
  <c r="M112" i="7"/>
  <c r="M94" i="7"/>
  <c r="M65" i="7"/>
  <c r="M57" i="7"/>
  <c r="M53" i="7"/>
  <c r="M44" i="7"/>
  <c r="M40" i="7"/>
  <c r="M29" i="7"/>
  <c r="M18" i="7"/>
  <c r="K55" i="4"/>
  <c r="M55" i="4" s="1"/>
  <c r="N55" i="4" s="1"/>
  <c r="H46" i="8"/>
  <c r="N175" i="7"/>
  <c r="N158" i="7"/>
  <c r="N143" i="7"/>
  <c r="N127" i="7"/>
  <c r="N112" i="7"/>
  <c r="N94" i="7"/>
  <c r="N65" i="7"/>
  <c r="N57" i="7"/>
  <c r="N53" i="7"/>
  <c r="N44" i="7"/>
  <c r="N40" i="7"/>
  <c r="N29" i="7"/>
  <c r="N18" i="7"/>
  <c r="I46" i="8"/>
  <c r="P175" i="7"/>
  <c r="P158" i="7"/>
  <c r="P143" i="7"/>
  <c r="P127" i="7"/>
  <c r="P112" i="7"/>
  <c r="P94" i="7"/>
  <c r="P65" i="7"/>
  <c r="P57" i="7"/>
  <c r="P53" i="7"/>
  <c r="P44" i="7"/>
  <c r="P40" i="7"/>
  <c r="P29" i="7"/>
  <c r="P18" i="7"/>
  <c r="L55" i="4"/>
  <c r="G47" i="8"/>
  <c r="M83" i="7"/>
  <c r="M71" i="7"/>
  <c r="K56" i="4"/>
  <c r="M56" i="4" s="1"/>
  <c r="N56" i="4" s="1"/>
  <c r="H47" i="8"/>
  <c r="N83" i="7"/>
  <c r="N71" i="7"/>
  <c r="I47" i="8"/>
  <c r="P83" i="7"/>
  <c r="P71" i="7"/>
  <c r="L56" i="4"/>
  <c r="G48" i="8"/>
  <c r="M180" i="7"/>
  <c r="M178" i="7"/>
  <c r="M176" i="7"/>
  <c r="M174" i="7"/>
  <c r="M172" i="7"/>
  <c r="M169" i="7"/>
  <c r="M165" i="7"/>
  <c r="M163" i="7"/>
  <c r="M161" i="7"/>
  <c r="M159" i="7"/>
  <c r="M157" i="7"/>
  <c r="M154" i="7"/>
  <c r="M150" i="7"/>
  <c r="M148" i="7"/>
  <c r="M146" i="7"/>
  <c r="M144" i="7"/>
  <c r="M142" i="7"/>
  <c r="M137" i="7"/>
  <c r="M134" i="7"/>
  <c r="M132" i="7"/>
  <c r="M130" i="7"/>
  <c r="M128" i="7"/>
  <c r="M126" i="7"/>
  <c r="M122" i="7"/>
  <c r="M118" i="7"/>
  <c r="M116" i="7"/>
  <c r="M114" i="7"/>
  <c r="M111" i="7"/>
  <c r="M107" i="7"/>
  <c r="M104" i="7"/>
  <c r="M99" i="7"/>
  <c r="M97" i="7"/>
  <c r="M95" i="7"/>
  <c r="M93" i="7"/>
  <c r="M91" i="7"/>
  <c r="M86" i="7"/>
  <c r="M85" i="7"/>
  <c r="M84" i="7"/>
  <c r="M77" i="7"/>
  <c r="M75" i="7"/>
  <c r="M74" i="7"/>
  <c r="M73" i="7"/>
  <c r="M72" i="7"/>
  <c r="M66" i="7"/>
  <c r="M64" i="7"/>
  <c r="M63" i="7"/>
  <c r="M54" i="7"/>
  <c r="M51" i="7"/>
  <c r="M50" i="7"/>
  <c r="M41" i="7"/>
  <c r="M38" i="7"/>
  <c r="M37" i="7"/>
  <c r="M30" i="7"/>
  <c r="M27" i="7"/>
  <c r="M26" i="7"/>
  <c r="M19" i="7"/>
  <c r="M16" i="7"/>
  <c r="M15" i="7"/>
  <c r="M11" i="7"/>
  <c r="M6" i="7"/>
  <c r="K57" i="4"/>
  <c r="M57" i="4" s="1"/>
  <c r="N57" i="4" s="1"/>
  <c r="H48" i="8"/>
  <c r="N180" i="7"/>
  <c r="N178" i="7"/>
  <c r="N176" i="7"/>
  <c r="N174" i="7"/>
  <c r="N172" i="7"/>
  <c r="N169" i="7"/>
  <c r="N165" i="7"/>
  <c r="N163" i="7"/>
  <c r="N161" i="7"/>
  <c r="N159" i="7"/>
  <c r="N157" i="7"/>
  <c r="N154" i="7"/>
  <c r="N150" i="7"/>
  <c r="N148" i="7"/>
  <c r="N146" i="7"/>
  <c r="N144" i="7"/>
  <c r="N142" i="7"/>
  <c r="N137" i="7"/>
  <c r="N134" i="7"/>
  <c r="N132" i="7"/>
  <c r="N130" i="7"/>
  <c r="N128" i="7"/>
  <c r="N126" i="7"/>
  <c r="N122" i="7"/>
  <c r="N118" i="7"/>
  <c r="N116" i="7"/>
  <c r="N114" i="7"/>
  <c r="N111" i="7"/>
  <c r="N107" i="7"/>
  <c r="N104" i="7"/>
  <c r="N99" i="7"/>
  <c r="N97" i="7"/>
  <c r="N95" i="7"/>
  <c r="N93" i="7"/>
  <c r="N91" i="7"/>
  <c r="N86" i="7"/>
  <c r="N85" i="7"/>
  <c r="N84" i="7"/>
  <c r="N77" i="7"/>
  <c r="N75" i="7"/>
  <c r="N74" i="7"/>
  <c r="N73" i="7"/>
  <c r="N72" i="7"/>
  <c r="N66" i="7"/>
  <c r="N64" i="7"/>
  <c r="N63" i="7"/>
  <c r="N54" i="7"/>
  <c r="N51" i="7"/>
  <c r="N50" i="7"/>
  <c r="N41" i="7"/>
  <c r="N38" i="7"/>
  <c r="N37" i="7"/>
  <c r="N30" i="7"/>
  <c r="N27" i="7"/>
  <c r="N26" i="7"/>
  <c r="N19" i="7"/>
  <c r="N16" i="7"/>
  <c r="N15" i="7"/>
  <c r="N11" i="7"/>
  <c r="N6" i="7"/>
  <c r="I48" i="8"/>
  <c r="P180" i="7"/>
  <c r="P178" i="7"/>
  <c r="P176" i="7"/>
  <c r="P174" i="7"/>
  <c r="P172" i="7"/>
  <c r="P169" i="7"/>
  <c r="P165" i="7"/>
  <c r="P163" i="7"/>
  <c r="P161" i="7"/>
  <c r="P159" i="7"/>
  <c r="P157" i="7"/>
  <c r="P154" i="7"/>
  <c r="P150" i="7"/>
  <c r="P148" i="7"/>
  <c r="P146" i="7"/>
  <c r="P144" i="7"/>
  <c r="P142" i="7"/>
  <c r="P137" i="7"/>
  <c r="P134" i="7"/>
  <c r="P132" i="7"/>
  <c r="P130" i="7"/>
  <c r="P128" i="7"/>
  <c r="P126" i="7"/>
  <c r="P122" i="7"/>
  <c r="P118" i="7"/>
  <c r="P116" i="7"/>
  <c r="P114" i="7"/>
  <c r="P111" i="7"/>
  <c r="P107" i="7"/>
  <c r="P104" i="7"/>
  <c r="P99" i="7"/>
  <c r="P97" i="7"/>
  <c r="P95" i="7"/>
  <c r="P93" i="7"/>
  <c r="P91" i="7"/>
  <c r="P86" i="7"/>
  <c r="P85" i="7"/>
  <c r="P84" i="7"/>
  <c r="P77" i="7"/>
  <c r="P75" i="7"/>
  <c r="P74" i="7"/>
  <c r="P73" i="7"/>
  <c r="P72" i="7"/>
  <c r="P66" i="7"/>
  <c r="P64" i="7"/>
  <c r="P63" i="7"/>
  <c r="P54" i="7"/>
  <c r="P51" i="7"/>
  <c r="P50" i="7"/>
  <c r="P41" i="7"/>
  <c r="P38" i="7"/>
  <c r="P37" i="7"/>
  <c r="P30" i="7"/>
  <c r="P27" i="7"/>
  <c r="P26" i="7"/>
  <c r="P19" i="7"/>
  <c r="P16" i="7"/>
  <c r="P15" i="7"/>
  <c r="P11" i="7"/>
  <c r="P6" i="7"/>
  <c r="L57" i="4"/>
  <c r="G49" i="8"/>
  <c r="M168" i="7"/>
  <c r="M153" i="7"/>
  <c r="M139" i="7"/>
  <c r="M121" i="7"/>
  <c r="M102" i="7"/>
  <c r="M88" i="7"/>
  <c r="M80" i="7"/>
  <c r="M69" i="7"/>
  <c r="M58" i="7"/>
  <c r="M45" i="7"/>
  <c r="M33" i="7"/>
  <c r="M22" i="7"/>
  <c r="M5" i="7"/>
  <c r="K58" i="4"/>
  <c r="M58" i="4" s="1"/>
  <c r="N58" i="4" s="1"/>
  <c r="H49" i="8"/>
  <c r="N168" i="7"/>
  <c r="N153" i="7"/>
  <c r="N139" i="7"/>
  <c r="N121" i="7"/>
  <c r="N102" i="7"/>
  <c r="N88" i="7"/>
  <c r="N80" i="7"/>
  <c r="N69" i="7"/>
  <c r="N58" i="7"/>
  <c r="N45" i="7"/>
  <c r="N33" i="7"/>
  <c r="N22" i="7"/>
  <c r="N5" i="7"/>
  <c r="I49" i="8"/>
  <c r="P168" i="7"/>
  <c r="P153" i="7"/>
  <c r="P139" i="7"/>
  <c r="P121" i="7"/>
  <c r="P102" i="7"/>
  <c r="P88" i="7"/>
  <c r="P80" i="7"/>
  <c r="P69" i="7"/>
  <c r="P58" i="7"/>
  <c r="P45" i="7"/>
  <c r="P33" i="7"/>
  <c r="P22" i="7"/>
  <c r="P5" i="7"/>
  <c r="L58" i="4"/>
  <c r="G50" i="8"/>
  <c r="M182" i="7"/>
  <c r="M171" i="7"/>
  <c r="M167" i="7"/>
  <c r="M155" i="7"/>
  <c r="M152" i="7"/>
  <c r="M140" i="7"/>
  <c r="M136" i="7"/>
  <c r="M124" i="7"/>
  <c r="M120" i="7"/>
  <c r="M106" i="7"/>
  <c r="M101" i="7"/>
  <c r="M90" i="7"/>
  <c r="M87" i="7"/>
  <c r="M79" i="7"/>
  <c r="M76" i="7"/>
  <c r="M62" i="7"/>
  <c r="M61" i="7"/>
  <c r="M60" i="7"/>
  <c r="M49" i="7"/>
  <c r="M48" i="7"/>
  <c r="M47" i="7"/>
  <c r="M46" i="7"/>
  <c r="M36" i="7"/>
  <c r="M35" i="7"/>
  <c r="M34" i="7"/>
  <c r="M25" i="7"/>
  <c r="M24" i="7"/>
  <c r="M23" i="7"/>
  <c r="M14" i="7"/>
  <c r="M13" i="7"/>
  <c r="M12" i="7"/>
  <c r="M10" i="7"/>
  <c r="K59" i="4"/>
  <c r="M59" i="4" s="1"/>
  <c r="N59" i="4" s="1"/>
  <c r="H50" i="8"/>
  <c r="N182" i="7"/>
  <c r="N171" i="7"/>
  <c r="N167" i="7"/>
  <c r="N155" i="7"/>
  <c r="N152" i="7"/>
  <c r="N140" i="7"/>
  <c r="N136" i="7"/>
  <c r="N124" i="7"/>
  <c r="N120" i="7"/>
  <c r="N106" i="7"/>
  <c r="N101" i="7"/>
  <c r="N90" i="7"/>
  <c r="N87" i="7"/>
  <c r="N79" i="7"/>
  <c r="N76" i="7"/>
  <c r="N62" i="7"/>
  <c r="N61" i="7"/>
  <c r="N60" i="7"/>
  <c r="N49" i="7"/>
  <c r="N48" i="7"/>
  <c r="N47" i="7"/>
  <c r="N46" i="7"/>
  <c r="N36" i="7"/>
  <c r="N35" i="7"/>
  <c r="N34" i="7"/>
  <c r="N25" i="7"/>
  <c r="N24" i="7"/>
  <c r="N23" i="7"/>
  <c r="N14" i="7"/>
  <c r="N13" i="7"/>
  <c r="N12" i="7"/>
  <c r="N10" i="7"/>
  <c r="I50" i="8"/>
  <c r="P182" i="7"/>
  <c r="P171" i="7"/>
  <c r="P167" i="7"/>
  <c r="P155" i="7"/>
  <c r="P152" i="7"/>
  <c r="P140" i="7"/>
  <c r="P136" i="7"/>
  <c r="P124" i="7"/>
  <c r="P120" i="7"/>
  <c r="P106" i="7"/>
  <c r="P101" i="7"/>
  <c r="P90" i="7"/>
  <c r="P87" i="7"/>
  <c r="P79" i="7"/>
  <c r="P76" i="7"/>
  <c r="P62" i="7"/>
  <c r="P61" i="7"/>
  <c r="P60" i="7"/>
  <c r="P49" i="7"/>
  <c r="P48" i="7"/>
  <c r="P47" i="7"/>
  <c r="P46" i="7"/>
  <c r="P36" i="7"/>
  <c r="P35" i="7"/>
  <c r="P34" i="7"/>
  <c r="P25" i="7"/>
  <c r="P24" i="7"/>
  <c r="P23" i="7"/>
  <c r="P14" i="7"/>
  <c r="P13" i="7"/>
  <c r="P12" i="7"/>
  <c r="P10" i="7"/>
  <c r="L59" i="4"/>
  <c r="T91" i="5"/>
  <c r="U91" i="5" s="1"/>
  <c r="S91" i="5"/>
  <c r="T96" i="5"/>
  <c r="U96" i="5" s="1"/>
  <c r="S96" i="5"/>
  <c r="H4" i="11"/>
  <c r="H6" i="11" s="1"/>
  <c r="H15" i="10"/>
  <c r="H44" i="10" s="1"/>
  <c r="D5" i="17" s="1"/>
  <c r="D10" i="17" s="1"/>
  <c r="J13" i="10"/>
  <c r="K8" i="10"/>
  <c r="K13" i="10" s="1"/>
  <c r="K15" i="10" s="1"/>
  <c r="J26" i="10"/>
  <c r="J28" i="10" s="1"/>
  <c r="K21" i="10"/>
  <c r="K26" i="10" s="1"/>
  <c r="K28" i="10" s="1"/>
  <c r="J39" i="10"/>
  <c r="J41" i="10" s="1"/>
  <c r="K34" i="10"/>
  <c r="K39" i="10" s="1"/>
  <c r="K41" i="10" s="1"/>
  <c r="K44" i="10" l="1"/>
  <c r="I4" i="11"/>
  <c r="I6" i="11" s="1"/>
  <c r="J15" i="10"/>
  <c r="J44" i="10" s="1"/>
  <c r="E5" i="17" s="1"/>
  <c r="Q10" i="7"/>
  <c r="Q12" i="7"/>
  <c r="Q13" i="7"/>
  <c r="Q14" i="7"/>
  <c r="Q23" i="7"/>
  <c r="Q24" i="7"/>
  <c r="Q25" i="7"/>
  <c r="Q34" i="7"/>
  <c r="Q35" i="7"/>
  <c r="Q36" i="7"/>
  <c r="Q46" i="7"/>
  <c r="Q47" i="7"/>
  <c r="Q48" i="7"/>
  <c r="Q49" i="7"/>
  <c r="Q60" i="7"/>
  <c r="Q61" i="7"/>
  <c r="Q62" i="7"/>
  <c r="Q76" i="7"/>
  <c r="Q79" i="7"/>
  <c r="Q87" i="7"/>
  <c r="Q90" i="7"/>
  <c r="Q101" i="7"/>
  <c r="Q106" i="7"/>
  <c r="Q120" i="7"/>
  <c r="Q124" i="7"/>
  <c r="Q136" i="7"/>
  <c r="Q140" i="7"/>
  <c r="Q152" i="7"/>
  <c r="Q155" i="7"/>
  <c r="Q167" i="7"/>
  <c r="Q171" i="7"/>
  <c r="Q182" i="7"/>
  <c r="Q5" i="7"/>
  <c r="Q22" i="7"/>
  <c r="Q33" i="7"/>
  <c r="Q45" i="7"/>
  <c r="Q58" i="7"/>
  <c r="Q69" i="7"/>
  <c r="Q80" i="7"/>
  <c r="Q88" i="7"/>
  <c r="Q102" i="7"/>
  <c r="Q121" i="7"/>
  <c r="Q139" i="7"/>
  <c r="Q153" i="7"/>
  <c r="Q168" i="7"/>
  <c r="Q6" i="7"/>
  <c r="Q11" i="7"/>
  <c r="Q15" i="7"/>
  <c r="Q16" i="7"/>
  <c r="Q19" i="7"/>
  <c r="Q26" i="7"/>
  <c r="Q27" i="7"/>
  <c r="Q30" i="7"/>
  <c r="Q37" i="7"/>
  <c r="Q38" i="7"/>
  <c r="Q41" i="7"/>
  <c r="Q50" i="7"/>
  <c r="Q51" i="7"/>
  <c r="Q54" i="7"/>
  <c r="Q63" i="7"/>
  <c r="Q64" i="7"/>
  <c r="Q66" i="7"/>
  <c r="Q72" i="7"/>
  <c r="Q73" i="7"/>
  <c r="Q74" i="7"/>
  <c r="Q75" i="7"/>
  <c r="Q77" i="7"/>
  <c r="Q84" i="7"/>
  <c r="Q85" i="7"/>
  <c r="Q86" i="7"/>
  <c r="Q91" i="7"/>
  <c r="Q93" i="7"/>
  <c r="Q95" i="7"/>
  <c r="Q97" i="7"/>
  <c r="Q99" i="7"/>
  <c r="Q104" i="7"/>
  <c r="Q107" i="7"/>
  <c r="Q111" i="7"/>
  <c r="Q114" i="7"/>
  <c r="Q116" i="7"/>
  <c r="Q118" i="7"/>
  <c r="Q122" i="7"/>
  <c r="Q126" i="7"/>
  <c r="Q128" i="7"/>
  <c r="Q130" i="7"/>
  <c r="Q132" i="7"/>
  <c r="Q134" i="7"/>
  <c r="Q137" i="7"/>
  <c r="Q142" i="7"/>
  <c r="Q144" i="7"/>
  <c r="Q146" i="7"/>
  <c r="Q148" i="7"/>
  <c r="Q150" i="7"/>
  <c r="Q154" i="7"/>
  <c r="Q157" i="7"/>
  <c r="Q159" i="7"/>
  <c r="Q161" i="7"/>
  <c r="Q163" i="7"/>
  <c r="Q165" i="7"/>
  <c r="Q169" i="7"/>
  <c r="Q172" i="7"/>
  <c r="Q174" i="7"/>
  <c r="Q176" i="7"/>
  <c r="Q178" i="7"/>
  <c r="Q180" i="7"/>
  <c r="Q71" i="7"/>
  <c r="Q83" i="7"/>
  <c r="Q18" i="7"/>
  <c r="Q29" i="7"/>
  <c r="Q40" i="7"/>
  <c r="Q44" i="7"/>
  <c r="Q53" i="7"/>
  <c r="Q57" i="7"/>
  <c r="Q65" i="7"/>
  <c r="Q94" i="7"/>
  <c r="Q112" i="7"/>
  <c r="Q127" i="7"/>
  <c r="Q143" i="7"/>
  <c r="Q158" i="7"/>
  <c r="Q175" i="7"/>
  <c r="Q9" i="7"/>
  <c r="Q108" i="7"/>
  <c r="Q110" i="7"/>
  <c r="Q7" i="7"/>
  <c r="Q8" i="7"/>
  <c r="Q81" i="7"/>
  <c r="Q82" i="7"/>
  <c r="Q78" i="7"/>
  <c r="Q17" i="7"/>
  <c r="Q20" i="7"/>
  <c r="Q21" i="7"/>
  <c r="Q28" i="7"/>
  <c r="Q31" i="7"/>
  <c r="Q32" i="7"/>
  <c r="Q39" i="7"/>
  <c r="Q42" i="7"/>
  <c r="Q43" i="7"/>
  <c r="Q52" i="7"/>
  <c r="Q55" i="7"/>
  <c r="Q56" i="7"/>
  <c r="Q59" i="7"/>
  <c r="Q67" i="7"/>
  <c r="Q68" i="7"/>
  <c r="Q89" i="7"/>
  <c r="Q92" i="7"/>
  <c r="Q96" i="7"/>
  <c r="Q98" i="7"/>
  <c r="Q100" i="7"/>
  <c r="Q105" i="7"/>
  <c r="Q109" i="7"/>
  <c r="Q113" i="7"/>
  <c r="Q115" i="7"/>
  <c r="Q117" i="7"/>
  <c r="Q119" i="7"/>
  <c r="Q123" i="7"/>
  <c r="Q125" i="7"/>
  <c r="Q129" i="7"/>
  <c r="Q131" i="7"/>
  <c r="Q133" i="7"/>
  <c r="Q135" i="7"/>
  <c r="Q138" i="7"/>
  <c r="Q141" i="7"/>
  <c r="Q145" i="7"/>
  <c r="Q147" i="7"/>
  <c r="Q149" i="7"/>
  <c r="Q151" i="7"/>
  <c r="Q156" i="7"/>
  <c r="Q160" i="7"/>
  <c r="Q162" i="7"/>
  <c r="Q164" i="7"/>
  <c r="Q166" i="7"/>
  <c r="Q170" i="7"/>
  <c r="Q173" i="7"/>
  <c r="Q177" i="7"/>
  <c r="Q179" i="7"/>
  <c r="Q181" i="7"/>
  <c r="L60" i="4"/>
  <c r="K60" i="4"/>
  <c r="M50" i="4"/>
  <c r="Q70" i="7"/>
  <c r="Q103" i="7"/>
  <c r="Q10" i="6"/>
  <c r="Q12" i="6"/>
  <c r="Q13" i="6"/>
  <c r="Q14" i="6"/>
  <c r="Q23" i="6"/>
  <c r="Q24" i="6"/>
  <c r="Q25" i="6"/>
  <c r="Q34" i="6"/>
  <c r="Q35" i="6"/>
  <c r="Q36" i="6"/>
  <c r="Q46" i="6"/>
  <c r="Q47" i="6"/>
  <c r="Q48" i="6"/>
  <c r="Q59" i="6"/>
  <c r="Q60" i="6"/>
  <c r="Q61" i="6"/>
  <c r="Q75" i="6"/>
  <c r="Q78" i="6"/>
  <c r="Q85" i="6"/>
  <c r="Q88" i="6"/>
  <c r="Q99" i="6"/>
  <c r="Q104" i="6"/>
  <c r="Q118" i="6"/>
  <c r="Q122" i="6"/>
  <c r="Q134" i="6"/>
  <c r="Q138" i="6"/>
  <c r="Q150" i="6"/>
  <c r="Q153" i="6"/>
  <c r="Q165" i="6"/>
  <c r="Q169" i="6"/>
  <c r="Q180" i="6"/>
  <c r="Q5" i="6"/>
  <c r="Q22" i="6"/>
  <c r="Q33" i="6"/>
  <c r="Q45" i="6"/>
  <c r="Q57" i="6"/>
  <c r="Q68" i="6"/>
  <c r="Q79" i="6"/>
  <c r="Q86" i="6"/>
  <c r="Q100" i="6"/>
  <c r="Q119" i="6"/>
  <c r="Q137" i="6"/>
  <c r="Q151" i="6"/>
  <c r="Q166" i="6"/>
  <c r="Q6" i="6"/>
  <c r="Q11" i="6"/>
  <c r="Q15" i="6"/>
  <c r="Q16" i="6"/>
  <c r="Q19" i="6"/>
  <c r="Q26" i="6"/>
  <c r="Q27" i="6"/>
  <c r="Q30" i="6"/>
  <c r="Q37" i="6"/>
  <c r="Q38" i="6"/>
  <c r="Q41" i="6"/>
  <c r="Q49" i="6"/>
  <c r="Q50" i="6"/>
  <c r="Q53" i="6"/>
  <c r="Q62" i="6"/>
  <c r="Q63" i="6"/>
  <c r="Q65" i="6"/>
  <c r="Q71" i="6"/>
  <c r="Q72" i="6"/>
  <c r="Q73" i="6"/>
  <c r="Q74" i="6"/>
  <c r="Q76" i="6"/>
  <c r="Q82" i="6"/>
  <c r="Q83" i="6"/>
  <c r="Q84" i="6"/>
  <c r="Q89" i="6"/>
  <c r="Q91" i="6"/>
  <c r="Q93" i="6"/>
  <c r="Q95" i="6"/>
  <c r="Q97" i="6"/>
  <c r="Q102" i="6"/>
  <c r="Q105" i="6"/>
  <c r="Q109" i="6"/>
  <c r="Q112" i="6"/>
  <c r="Q114" i="6"/>
  <c r="Q116" i="6"/>
  <c r="Q120" i="6"/>
  <c r="Q124" i="6"/>
  <c r="Q126" i="6"/>
  <c r="Q128" i="6"/>
  <c r="Q130" i="6"/>
  <c r="Q132" i="6"/>
  <c r="Q135" i="6"/>
  <c r="Q140" i="6"/>
  <c r="Q142" i="6"/>
  <c r="Q144" i="6"/>
  <c r="Q146" i="6"/>
  <c r="Q148" i="6"/>
  <c r="Q152" i="6"/>
  <c r="Q155" i="6"/>
  <c r="Q157" i="6"/>
  <c r="Q159" i="6"/>
  <c r="Q161" i="6"/>
  <c r="Q163" i="6"/>
  <c r="Q167" i="6"/>
  <c r="Q170" i="6"/>
  <c r="Q172" i="6"/>
  <c r="Q174" i="6"/>
  <c r="Q176" i="6"/>
  <c r="Q178" i="6"/>
  <c r="Q70" i="6"/>
  <c r="Q18" i="6"/>
  <c r="Q29" i="6"/>
  <c r="Q40" i="6"/>
  <c r="Q44" i="6"/>
  <c r="Q52" i="6"/>
  <c r="Q56" i="6"/>
  <c r="Q64" i="6"/>
  <c r="Q92" i="6"/>
  <c r="Q110" i="6"/>
  <c r="Q125" i="6"/>
  <c r="Q141" i="6"/>
  <c r="Q156" i="6"/>
  <c r="Q173" i="6"/>
  <c r="Q9" i="6"/>
  <c r="Q106" i="6"/>
  <c r="Q108" i="6"/>
  <c r="Q7" i="6"/>
  <c r="Q8" i="6"/>
  <c r="Q80" i="6"/>
  <c r="Q81" i="6"/>
  <c r="Q77" i="6"/>
  <c r="Q17" i="6"/>
  <c r="Q20" i="6"/>
  <c r="Q21" i="6"/>
  <c r="Q28" i="6"/>
  <c r="Q31" i="6"/>
  <c r="Q32" i="6"/>
  <c r="Q39" i="6"/>
  <c r="Q42" i="6"/>
  <c r="Q43" i="6"/>
  <c r="Q51" i="6"/>
  <c r="Q54" i="6"/>
  <c r="Q55" i="6"/>
  <c r="Q58" i="6"/>
  <c r="Q66" i="6"/>
  <c r="Q67" i="6"/>
  <c r="Q87" i="6"/>
  <c r="Q90" i="6"/>
  <c r="Q94" i="6"/>
  <c r="Q96" i="6"/>
  <c r="Q98" i="6"/>
  <c r="Q103" i="6"/>
  <c r="Q107" i="6"/>
  <c r="Q111" i="6"/>
  <c r="Q113" i="6"/>
  <c r="Q115" i="6"/>
  <c r="Q117" i="6"/>
  <c r="Q121" i="6"/>
  <c r="Q123" i="6"/>
  <c r="Q127" i="6"/>
  <c r="Q129" i="6"/>
  <c r="Q131" i="6"/>
  <c r="Q133" i="6"/>
  <c r="Q136" i="6"/>
  <c r="Q139" i="6"/>
  <c r="Q143" i="6"/>
  <c r="Q145" i="6"/>
  <c r="Q147" i="6"/>
  <c r="Q149" i="6"/>
  <c r="Q154" i="6"/>
  <c r="Q158" i="6"/>
  <c r="Q160" i="6"/>
  <c r="Q162" i="6"/>
  <c r="Q164" i="6"/>
  <c r="Q168" i="6"/>
  <c r="Q171" i="6"/>
  <c r="Q175" i="6"/>
  <c r="Q177" i="6"/>
  <c r="Q179" i="6"/>
  <c r="L44" i="4"/>
  <c r="K44" i="4"/>
  <c r="M34" i="4"/>
  <c r="Q69" i="6"/>
  <c r="Q101" i="6"/>
  <c r="Q21" i="5"/>
  <c r="Q27" i="5"/>
  <c r="Q28" i="5"/>
  <c r="Q29" i="5"/>
  <c r="Q39" i="5"/>
  <c r="Q40" i="5"/>
  <c r="Q41" i="5"/>
  <c r="Q51" i="5"/>
  <c r="Q52" i="5"/>
  <c r="Q53" i="5"/>
  <c r="Q64" i="5"/>
  <c r="Q65" i="5"/>
  <c r="Q77" i="5"/>
  <c r="Q78" i="5"/>
  <c r="Q79" i="5"/>
  <c r="Q97" i="5"/>
  <c r="Q100" i="5"/>
  <c r="Q117" i="5"/>
  <c r="Q121" i="5"/>
  <c r="Q135" i="5"/>
  <c r="Q140" i="5"/>
  <c r="Q154" i="5"/>
  <c r="Q159" i="5"/>
  <c r="Q175" i="5"/>
  <c r="Q179" i="5"/>
  <c r="Q195" i="5"/>
  <c r="Q199" i="5"/>
  <c r="Q215" i="5"/>
  <c r="Q220" i="5"/>
  <c r="Q235" i="5"/>
  <c r="Q6" i="5"/>
  <c r="Q23" i="5"/>
  <c r="Q26" i="5"/>
  <c r="Q105" i="5"/>
  <c r="Q107" i="5"/>
  <c r="Q113" i="5"/>
  <c r="Q114" i="5"/>
  <c r="Q5" i="5"/>
  <c r="Q38" i="5"/>
  <c r="Q50" i="5"/>
  <c r="Q63" i="5"/>
  <c r="Q75" i="5"/>
  <c r="Q87" i="5"/>
  <c r="Q101" i="5"/>
  <c r="Q118" i="5"/>
  <c r="Q136" i="5"/>
  <c r="Q155" i="5"/>
  <c r="Q178" i="5"/>
  <c r="Q196" i="5"/>
  <c r="Q216" i="5"/>
  <c r="Q17" i="5"/>
  <c r="Q22" i="5"/>
  <c r="Q30" i="5"/>
  <c r="Q31" i="5"/>
  <c r="Q35" i="5"/>
  <c r="Q42" i="5"/>
  <c r="Q43" i="5"/>
  <c r="Q47" i="5"/>
  <c r="Q54" i="5"/>
  <c r="Q55" i="5"/>
  <c r="Q59" i="5"/>
  <c r="Q66" i="5"/>
  <c r="Q67" i="5"/>
  <c r="Q71" i="5"/>
  <c r="Q80" i="5"/>
  <c r="Q81" i="5"/>
  <c r="Q84" i="5"/>
  <c r="Q92" i="5"/>
  <c r="Q93" i="5"/>
  <c r="Q94" i="5"/>
  <c r="Q95" i="5"/>
  <c r="Q98" i="5"/>
  <c r="Q108" i="5"/>
  <c r="Q109" i="5"/>
  <c r="Q122" i="5"/>
  <c r="Q126" i="5"/>
  <c r="Q129" i="5"/>
  <c r="Q131" i="5"/>
  <c r="Q133" i="5"/>
  <c r="Q138" i="5"/>
  <c r="Q141" i="5"/>
  <c r="Q145" i="5"/>
  <c r="Q148" i="5"/>
  <c r="Q150" i="5"/>
  <c r="Q152" i="5"/>
  <c r="Q157" i="5"/>
  <c r="Q164" i="5"/>
  <c r="Q167" i="5"/>
  <c r="Q169" i="5"/>
  <c r="Q171" i="5"/>
  <c r="Q173" i="5"/>
  <c r="Q176" i="5"/>
  <c r="Q184" i="5"/>
  <c r="Q187" i="5"/>
  <c r="Q189" i="5"/>
  <c r="Q191" i="5"/>
  <c r="Q193" i="5"/>
  <c r="Q198" i="5"/>
  <c r="Q204" i="5"/>
  <c r="Q207" i="5"/>
  <c r="Q209" i="5"/>
  <c r="Q211" i="5"/>
  <c r="Q213" i="5"/>
  <c r="Q218" i="5"/>
  <c r="Q221" i="5"/>
  <c r="Q226" i="5"/>
  <c r="Q229" i="5"/>
  <c r="Q231" i="5"/>
  <c r="Q233" i="5"/>
  <c r="Q24" i="5"/>
  <c r="Q110" i="5"/>
  <c r="Q111" i="5"/>
  <c r="Q104" i="5"/>
  <c r="Q89" i="5"/>
  <c r="Q34" i="5"/>
  <c r="Q46" i="5"/>
  <c r="Q58" i="5"/>
  <c r="Q62" i="5"/>
  <c r="Q70" i="5"/>
  <c r="Q74" i="5"/>
  <c r="Q83" i="5"/>
  <c r="Q127" i="5"/>
  <c r="Q146" i="5"/>
  <c r="Q165" i="5"/>
  <c r="Q185" i="5"/>
  <c r="Q205" i="5"/>
  <c r="Q227" i="5"/>
  <c r="Q90" i="5"/>
  <c r="Q7" i="5"/>
  <c r="Q20" i="5"/>
  <c r="Q142" i="5"/>
  <c r="Q144" i="5"/>
  <c r="Q112" i="5"/>
  <c r="Q125" i="5"/>
  <c r="Q156" i="5"/>
  <c r="Q163" i="5"/>
  <c r="Q180" i="5"/>
  <c r="Q183" i="5"/>
  <c r="Q200" i="5"/>
  <c r="Q203" i="5"/>
  <c r="Q225" i="5"/>
  <c r="Q25" i="5"/>
  <c r="Q18" i="5"/>
  <c r="Q19" i="5"/>
  <c r="Q102" i="5"/>
  <c r="Q103" i="5"/>
  <c r="Q99" i="5"/>
  <c r="Q32" i="5"/>
  <c r="Q36" i="5"/>
  <c r="Q37" i="5"/>
  <c r="Q44" i="5"/>
  <c r="Q48" i="5"/>
  <c r="Q49" i="5"/>
  <c r="Q56" i="5"/>
  <c r="Q60" i="5"/>
  <c r="Q61" i="5"/>
  <c r="Q68" i="5"/>
  <c r="Q72" i="5"/>
  <c r="Q73" i="5"/>
  <c r="Q76" i="5"/>
  <c r="Q85" i="5"/>
  <c r="Q86" i="5"/>
  <c r="Q120" i="5"/>
  <c r="Q124" i="5"/>
  <c r="Q130" i="5"/>
  <c r="Q132" i="5"/>
  <c r="Q134" i="5"/>
  <c r="Q139" i="5"/>
  <c r="Q143" i="5"/>
  <c r="Q147" i="5"/>
  <c r="Q149" i="5"/>
  <c r="Q151" i="5"/>
  <c r="Q153" i="5"/>
  <c r="Q158" i="5"/>
  <c r="Q162" i="5"/>
  <c r="Q168" i="5"/>
  <c r="Q170" i="5"/>
  <c r="Q172" i="5"/>
  <c r="Q174" i="5"/>
  <c r="Q177" i="5"/>
  <c r="Q182" i="5"/>
  <c r="Q188" i="5"/>
  <c r="Q190" i="5"/>
  <c r="Q192" i="5"/>
  <c r="Q194" i="5"/>
  <c r="Q202" i="5"/>
  <c r="Q208" i="5"/>
  <c r="Q210" i="5"/>
  <c r="Q212" i="5"/>
  <c r="Q214" i="5"/>
  <c r="Q219" i="5"/>
  <c r="Q224" i="5"/>
  <c r="Q230" i="5"/>
  <c r="Q232" i="5"/>
  <c r="Q234" i="5"/>
  <c r="Q33" i="5"/>
  <c r="Q45" i="5"/>
  <c r="Q57" i="5"/>
  <c r="Q69" i="5"/>
  <c r="Q82" i="5"/>
  <c r="Q128" i="5"/>
  <c r="Q166" i="5"/>
  <c r="Q186" i="5"/>
  <c r="Q206" i="5"/>
  <c r="Q228" i="5"/>
  <c r="Q12" i="5"/>
  <c r="Q13" i="5"/>
  <c r="Q14" i="5"/>
  <c r="Q15" i="5"/>
  <c r="Q16" i="5"/>
  <c r="Q115" i="5"/>
  <c r="Q116" i="5"/>
  <c r="Q88" i="5"/>
  <c r="Q137" i="5"/>
  <c r="Q8" i="5"/>
  <c r="Q106" i="5"/>
  <c r="Q119" i="5"/>
  <c r="Q123" i="5"/>
  <c r="Q160" i="5"/>
  <c r="Q161" i="5"/>
  <c r="Q181" i="5"/>
  <c r="Q197" i="5"/>
  <c r="Q201" i="5"/>
  <c r="Q217" i="5"/>
  <c r="Q222" i="5"/>
  <c r="Q223" i="5"/>
  <c r="L28" i="4"/>
  <c r="K28" i="4"/>
  <c r="M6" i="4"/>
  <c r="Q9" i="5"/>
  <c r="Q10" i="5"/>
  <c r="Q11" i="5"/>
  <c r="K13" i="15"/>
  <c r="L6" i="15"/>
  <c r="K15" i="12"/>
  <c r="L15" i="12" s="1"/>
  <c r="L12" i="12"/>
  <c r="K13" i="14"/>
  <c r="L13" i="14" s="1"/>
  <c r="L12" i="14"/>
  <c r="K9" i="14"/>
  <c r="L6" i="14"/>
  <c r="K17" i="12"/>
  <c r="L9" i="12"/>
  <c r="E6" i="17" l="1"/>
  <c r="L17" i="12"/>
  <c r="K15" i="14"/>
  <c r="L9" i="14"/>
  <c r="K15" i="15"/>
  <c r="L13" i="15"/>
  <c r="T11" i="5"/>
  <c r="U11" i="5" s="1"/>
  <c r="S11" i="5"/>
  <c r="R11" i="5"/>
  <c r="T10" i="5"/>
  <c r="U10" i="5" s="1"/>
  <c r="S10" i="5"/>
  <c r="R10" i="5"/>
  <c r="T9" i="5"/>
  <c r="U9" i="5" s="1"/>
  <c r="S9" i="5"/>
  <c r="R9" i="5"/>
  <c r="M28" i="4"/>
  <c r="N6" i="4"/>
  <c r="N28" i="4" s="1"/>
  <c r="T223" i="5"/>
  <c r="U223" i="5" s="1"/>
  <c r="S223" i="5"/>
  <c r="R223" i="5"/>
  <c r="T222" i="5"/>
  <c r="U222" i="5" s="1"/>
  <c r="S222" i="5"/>
  <c r="R222" i="5"/>
  <c r="T217" i="5"/>
  <c r="U217" i="5" s="1"/>
  <c r="S217" i="5"/>
  <c r="R217" i="5"/>
  <c r="T201" i="5"/>
  <c r="U201" i="5" s="1"/>
  <c r="S201" i="5"/>
  <c r="R201" i="5"/>
  <c r="T197" i="5"/>
  <c r="U197" i="5" s="1"/>
  <c r="S197" i="5"/>
  <c r="R197" i="5"/>
  <c r="T181" i="5"/>
  <c r="U181" i="5" s="1"/>
  <c r="S181" i="5"/>
  <c r="R181" i="5"/>
  <c r="T161" i="5"/>
  <c r="U161" i="5" s="1"/>
  <c r="S161" i="5"/>
  <c r="R161" i="5"/>
  <c r="T160" i="5"/>
  <c r="U160" i="5" s="1"/>
  <c r="S160" i="5"/>
  <c r="R160" i="5"/>
  <c r="T123" i="5"/>
  <c r="U123" i="5" s="1"/>
  <c r="S123" i="5"/>
  <c r="R123" i="5"/>
  <c r="T119" i="5"/>
  <c r="U119" i="5" s="1"/>
  <c r="S119" i="5"/>
  <c r="R119" i="5"/>
  <c r="T106" i="5"/>
  <c r="U106" i="5" s="1"/>
  <c r="S106" i="5"/>
  <c r="R106" i="5"/>
  <c r="T8" i="5"/>
  <c r="U8" i="5" s="1"/>
  <c r="S8" i="5"/>
  <c r="R8" i="5"/>
  <c r="T137" i="5"/>
  <c r="U137" i="5" s="1"/>
  <c r="S137" i="5"/>
  <c r="R137" i="5"/>
  <c r="T88" i="5"/>
  <c r="U88" i="5" s="1"/>
  <c r="S88" i="5"/>
  <c r="R88" i="5"/>
  <c r="T116" i="5"/>
  <c r="U116" i="5" s="1"/>
  <c r="S116" i="5"/>
  <c r="R116" i="5"/>
  <c r="T115" i="5"/>
  <c r="U115" i="5" s="1"/>
  <c r="S115" i="5"/>
  <c r="R115" i="5"/>
  <c r="T16" i="5"/>
  <c r="U16" i="5" s="1"/>
  <c r="S16" i="5"/>
  <c r="R16" i="5"/>
  <c r="T15" i="5"/>
  <c r="U15" i="5" s="1"/>
  <c r="S15" i="5"/>
  <c r="R15" i="5"/>
  <c r="T14" i="5"/>
  <c r="U14" i="5" s="1"/>
  <c r="S14" i="5"/>
  <c r="R14" i="5"/>
  <c r="T13" i="5"/>
  <c r="U13" i="5" s="1"/>
  <c r="S13" i="5"/>
  <c r="R13" i="5"/>
  <c r="T12" i="5"/>
  <c r="U12" i="5" s="1"/>
  <c r="S12" i="5"/>
  <c r="R12" i="5"/>
  <c r="T228" i="5"/>
  <c r="U228" i="5" s="1"/>
  <c r="S228" i="5"/>
  <c r="R228" i="5"/>
  <c r="T206" i="5"/>
  <c r="U206" i="5" s="1"/>
  <c r="S206" i="5"/>
  <c r="R206" i="5"/>
  <c r="T186" i="5"/>
  <c r="U186" i="5" s="1"/>
  <c r="S186" i="5"/>
  <c r="R186" i="5"/>
  <c r="T166" i="5"/>
  <c r="U166" i="5" s="1"/>
  <c r="S166" i="5"/>
  <c r="R166" i="5"/>
  <c r="T128" i="5"/>
  <c r="U128" i="5" s="1"/>
  <c r="S128" i="5"/>
  <c r="R128" i="5"/>
  <c r="T82" i="5"/>
  <c r="U82" i="5" s="1"/>
  <c r="S82" i="5"/>
  <c r="R82" i="5"/>
  <c r="T69" i="5"/>
  <c r="U69" i="5" s="1"/>
  <c r="S69" i="5"/>
  <c r="R69" i="5"/>
  <c r="T57" i="5"/>
  <c r="U57" i="5" s="1"/>
  <c r="S57" i="5"/>
  <c r="R57" i="5"/>
  <c r="T45" i="5"/>
  <c r="U45" i="5" s="1"/>
  <c r="S45" i="5"/>
  <c r="R45" i="5"/>
  <c r="T33" i="5"/>
  <c r="U33" i="5" s="1"/>
  <c r="S33" i="5"/>
  <c r="R33" i="5"/>
  <c r="T234" i="5"/>
  <c r="U234" i="5" s="1"/>
  <c r="S234" i="5"/>
  <c r="R234" i="5"/>
  <c r="T232" i="5"/>
  <c r="U232" i="5" s="1"/>
  <c r="S232" i="5"/>
  <c r="R232" i="5"/>
  <c r="T230" i="5"/>
  <c r="U230" i="5" s="1"/>
  <c r="S230" i="5"/>
  <c r="R230" i="5"/>
  <c r="T224" i="5"/>
  <c r="U224" i="5" s="1"/>
  <c r="S224" i="5"/>
  <c r="R224" i="5"/>
  <c r="T219" i="5"/>
  <c r="U219" i="5" s="1"/>
  <c r="S219" i="5"/>
  <c r="R219" i="5"/>
  <c r="T214" i="5"/>
  <c r="U214" i="5" s="1"/>
  <c r="S214" i="5"/>
  <c r="R214" i="5"/>
  <c r="T212" i="5"/>
  <c r="U212" i="5" s="1"/>
  <c r="S212" i="5"/>
  <c r="R212" i="5"/>
  <c r="T210" i="5"/>
  <c r="U210" i="5" s="1"/>
  <c r="S210" i="5"/>
  <c r="R210" i="5"/>
  <c r="T208" i="5"/>
  <c r="U208" i="5" s="1"/>
  <c r="S208" i="5"/>
  <c r="R208" i="5"/>
  <c r="T202" i="5"/>
  <c r="U202" i="5" s="1"/>
  <c r="S202" i="5"/>
  <c r="R202" i="5"/>
  <c r="T194" i="5"/>
  <c r="U194" i="5" s="1"/>
  <c r="S194" i="5"/>
  <c r="R194" i="5"/>
  <c r="T192" i="5"/>
  <c r="U192" i="5" s="1"/>
  <c r="S192" i="5"/>
  <c r="R192" i="5"/>
  <c r="T190" i="5"/>
  <c r="U190" i="5" s="1"/>
  <c r="S190" i="5"/>
  <c r="R190" i="5"/>
  <c r="T188" i="5"/>
  <c r="U188" i="5" s="1"/>
  <c r="S188" i="5"/>
  <c r="R188" i="5"/>
  <c r="T182" i="5"/>
  <c r="U182" i="5" s="1"/>
  <c r="S182" i="5"/>
  <c r="R182" i="5"/>
  <c r="T177" i="5"/>
  <c r="U177" i="5" s="1"/>
  <c r="S177" i="5"/>
  <c r="R177" i="5"/>
  <c r="T174" i="5"/>
  <c r="U174" i="5" s="1"/>
  <c r="S174" i="5"/>
  <c r="R174" i="5"/>
  <c r="T172" i="5"/>
  <c r="U172" i="5" s="1"/>
  <c r="S172" i="5"/>
  <c r="R172" i="5"/>
  <c r="T170" i="5"/>
  <c r="U170" i="5" s="1"/>
  <c r="S170" i="5"/>
  <c r="R170" i="5"/>
  <c r="T168" i="5"/>
  <c r="U168" i="5" s="1"/>
  <c r="S168" i="5"/>
  <c r="R168" i="5"/>
  <c r="T162" i="5"/>
  <c r="U162" i="5" s="1"/>
  <c r="S162" i="5"/>
  <c r="R162" i="5"/>
  <c r="T158" i="5"/>
  <c r="U158" i="5" s="1"/>
  <c r="S158" i="5"/>
  <c r="R158" i="5"/>
  <c r="T153" i="5"/>
  <c r="U153" i="5" s="1"/>
  <c r="S153" i="5"/>
  <c r="R153" i="5"/>
  <c r="T151" i="5"/>
  <c r="U151" i="5" s="1"/>
  <c r="S151" i="5"/>
  <c r="R151" i="5"/>
  <c r="T149" i="5"/>
  <c r="U149" i="5" s="1"/>
  <c r="S149" i="5"/>
  <c r="R149" i="5"/>
  <c r="T147" i="5"/>
  <c r="U147" i="5" s="1"/>
  <c r="S147" i="5"/>
  <c r="R147" i="5"/>
  <c r="T143" i="5"/>
  <c r="U143" i="5" s="1"/>
  <c r="S143" i="5"/>
  <c r="R143" i="5"/>
  <c r="T139" i="5"/>
  <c r="U139" i="5" s="1"/>
  <c r="S139" i="5"/>
  <c r="R139" i="5"/>
  <c r="T134" i="5"/>
  <c r="U134" i="5" s="1"/>
  <c r="S134" i="5"/>
  <c r="R134" i="5"/>
  <c r="T132" i="5"/>
  <c r="U132" i="5" s="1"/>
  <c r="S132" i="5"/>
  <c r="R132" i="5"/>
  <c r="T130" i="5"/>
  <c r="U130" i="5" s="1"/>
  <c r="S130" i="5"/>
  <c r="R130" i="5"/>
  <c r="T124" i="5"/>
  <c r="U124" i="5" s="1"/>
  <c r="S124" i="5"/>
  <c r="R124" i="5"/>
  <c r="T120" i="5"/>
  <c r="U120" i="5" s="1"/>
  <c r="S120" i="5"/>
  <c r="R120" i="5"/>
  <c r="T86" i="5"/>
  <c r="U86" i="5" s="1"/>
  <c r="S86" i="5"/>
  <c r="R86" i="5"/>
  <c r="T85" i="5"/>
  <c r="U85" i="5" s="1"/>
  <c r="S85" i="5"/>
  <c r="R85" i="5"/>
  <c r="T76" i="5"/>
  <c r="U76" i="5" s="1"/>
  <c r="S76" i="5"/>
  <c r="R76" i="5"/>
  <c r="T73" i="5"/>
  <c r="U73" i="5" s="1"/>
  <c r="S73" i="5"/>
  <c r="R73" i="5"/>
  <c r="T72" i="5"/>
  <c r="U72" i="5" s="1"/>
  <c r="S72" i="5"/>
  <c r="R72" i="5"/>
  <c r="T68" i="5"/>
  <c r="U68" i="5" s="1"/>
  <c r="S68" i="5"/>
  <c r="R68" i="5"/>
  <c r="T61" i="5"/>
  <c r="U61" i="5" s="1"/>
  <c r="S61" i="5"/>
  <c r="R61" i="5"/>
  <c r="T60" i="5"/>
  <c r="U60" i="5" s="1"/>
  <c r="S60" i="5"/>
  <c r="R60" i="5"/>
  <c r="T56" i="5"/>
  <c r="U56" i="5" s="1"/>
  <c r="S56" i="5"/>
  <c r="R56" i="5"/>
  <c r="T49" i="5"/>
  <c r="U49" i="5" s="1"/>
  <c r="S49" i="5"/>
  <c r="R49" i="5"/>
  <c r="T48" i="5"/>
  <c r="U48" i="5" s="1"/>
  <c r="S48" i="5"/>
  <c r="R48" i="5"/>
  <c r="T44" i="5"/>
  <c r="U44" i="5" s="1"/>
  <c r="S44" i="5"/>
  <c r="R44" i="5"/>
  <c r="T37" i="5"/>
  <c r="U37" i="5" s="1"/>
  <c r="S37" i="5"/>
  <c r="R37" i="5"/>
  <c r="T36" i="5"/>
  <c r="U36" i="5" s="1"/>
  <c r="S36" i="5"/>
  <c r="R36" i="5"/>
  <c r="T32" i="5"/>
  <c r="U32" i="5" s="1"/>
  <c r="S32" i="5"/>
  <c r="R32" i="5"/>
  <c r="T99" i="5"/>
  <c r="U99" i="5" s="1"/>
  <c r="S99" i="5"/>
  <c r="R99" i="5"/>
  <c r="T103" i="5"/>
  <c r="U103" i="5" s="1"/>
  <c r="S103" i="5"/>
  <c r="R103" i="5"/>
  <c r="T102" i="5"/>
  <c r="U102" i="5" s="1"/>
  <c r="S102" i="5"/>
  <c r="R102" i="5"/>
  <c r="T19" i="5"/>
  <c r="U19" i="5" s="1"/>
  <c r="S19" i="5"/>
  <c r="R19" i="5"/>
  <c r="T18" i="5"/>
  <c r="U18" i="5" s="1"/>
  <c r="S18" i="5"/>
  <c r="R18" i="5"/>
  <c r="T25" i="5"/>
  <c r="U25" i="5" s="1"/>
  <c r="S25" i="5"/>
  <c r="R25" i="5"/>
  <c r="T225" i="5"/>
  <c r="U225" i="5" s="1"/>
  <c r="S225" i="5"/>
  <c r="R225" i="5"/>
  <c r="T203" i="5"/>
  <c r="U203" i="5" s="1"/>
  <c r="S203" i="5"/>
  <c r="R203" i="5"/>
  <c r="T200" i="5"/>
  <c r="U200" i="5" s="1"/>
  <c r="S200" i="5"/>
  <c r="R200" i="5"/>
  <c r="T183" i="5"/>
  <c r="U183" i="5" s="1"/>
  <c r="S183" i="5"/>
  <c r="R183" i="5"/>
  <c r="T180" i="5"/>
  <c r="U180" i="5" s="1"/>
  <c r="S180" i="5"/>
  <c r="R180" i="5"/>
  <c r="T163" i="5"/>
  <c r="U163" i="5" s="1"/>
  <c r="S163" i="5"/>
  <c r="R163" i="5"/>
  <c r="T156" i="5"/>
  <c r="U156" i="5" s="1"/>
  <c r="S156" i="5"/>
  <c r="R156" i="5"/>
  <c r="T125" i="5"/>
  <c r="U125" i="5" s="1"/>
  <c r="S125" i="5"/>
  <c r="R125" i="5"/>
  <c r="T112" i="5"/>
  <c r="U112" i="5" s="1"/>
  <c r="S112" i="5"/>
  <c r="R112" i="5"/>
  <c r="T144" i="5"/>
  <c r="U144" i="5" s="1"/>
  <c r="S144" i="5"/>
  <c r="R144" i="5"/>
  <c r="T142" i="5"/>
  <c r="U142" i="5" s="1"/>
  <c r="S142" i="5"/>
  <c r="R142" i="5"/>
  <c r="T20" i="5"/>
  <c r="U20" i="5" s="1"/>
  <c r="S20" i="5"/>
  <c r="R20" i="5"/>
  <c r="T7" i="5"/>
  <c r="U7" i="5" s="1"/>
  <c r="S7" i="5"/>
  <c r="R7" i="5"/>
  <c r="T90" i="5"/>
  <c r="U90" i="5" s="1"/>
  <c r="S90" i="5"/>
  <c r="R90" i="5"/>
  <c r="T227" i="5"/>
  <c r="U227" i="5" s="1"/>
  <c r="S227" i="5"/>
  <c r="R227" i="5"/>
  <c r="T205" i="5"/>
  <c r="U205" i="5" s="1"/>
  <c r="S205" i="5"/>
  <c r="R205" i="5"/>
  <c r="T185" i="5"/>
  <c r="U185" i="5" s="1"/>
  <c r="S185" i="5"/>
  <c r="R185" i="5"/>
  <c r="T165" i="5"/>
  <c r="U165" i="5" s="1"/>
  <c r="S165" i="5"/>
  <c r="R165" i="5"/>
  <c r="T146" i="5"/>
  <c r="U146" i="5" s="1"/>
  <c r="S146" i="5"/>
  <c r="R146" i="5"/>
  <c r="T127" i="5"/>
  <c r="U127" i="5" s="1"/>
  <c r="S127" i="5"/>
  <c r="R127" i="5"/>
  <c r="T83" i="5"/>
  <c r="U83" i="5" s="1"/>
  <c r="S83" i="5"/>
  <c r="R83" i="5"/>
  <c r="T74" i="5"/>
  <c r="U74" i="5" s="1"/>
  <c r="S74" i="5"/>
  <c r="R74" i="5"/>
  <c r="T70" i="5"/>
  <c r="U70" i="5" s="1"/>
  <c r="S70" i="5"/>
  <c r="R70" i="5"/>
  <c r="T62" i="5"/>
  <c r="U62" i="5" s="1"/>
  <c r="S62" i="5"/>
  <c r="R62" i="5"/>
  <c r="T58" i="5"/>
  <c r="U58" i="5" s="1"/>
  <c r="S58" i="5"/>
  <c r="R58" i="5"/>
  <c r="T46" i="5"/>
  <c r="U46" i="5" s="1"/>
  <c r="S46" i="5"/>
  <c r="R46" i="5"/>
  <c r="T34" i="5"/>
  <c r="U34" i="5" s="1"/>
  <c r="S34" i="5"/>
  <c r="R34" i="5"/>
  <c r="T89" i="5"/>
  <c r="U89" i="5" s="1"/>
  <c r="S89" i="5"/>
  <c r="R89" i="5"/>
  <c r="T104" i="5"/>
  <c r="U104" i="5" s="1"/>
  <c r="S104" i="5"/>
  <c r="R104" i="5"/>
  <c r="T111" i="5"/>
  <c r="U111" i="5" s="1"/>
  <c r="S111" i="5"/>
  <c r="R111" i="5"/>
  <c r="T110" i="5"/>
  <c r="U110" i="5" s="1"/>
  <c r="S110" i="5"/>
  <c r="R110" i="5"/>
  <c r="T24" i="5"/>
  <c r="U24" i="5" s="1"/>
  <c r="S24" i="5"/>
  <c r="R24" i="5"/>
  <c r="T233" i="5"/>
  <c r="U233" i="5" s="1"/>
  <c r="S233" i="5"/>
  <c r="R233" i="5"/>
  <c r="T231" i="5"/>
  <c r="U231" i="5" s="1"/>
  <c r="S231" i="5"/>
  <c r="R231" i="5"/>
  <c r="T229" i="5"/>
  <c r="U229" i="5" s="1"/>
  <c r="S229" i="5"/>
  <c r="R229" i="5"/>
  <c r="T226" i="5"/>
  <c r="U226" i="5" s="1"/>
  <c r="S226" i="5"/>
  <c r="R226" i="5"/>
  <c r="T221" i="5"/>
  <c r="U221" i="5" s="1"/>
  <c r="S221" i="5"/>
  <c r="R221" i="5"/>
  <c r="T218" i="5"/>
  <c r="U218" i="5" s="1"/>
  <c r="S218" i="5"/>
  <c r="R218" i="5"/>
  <c r="T213" i="5"/>
  <c r="U213" i="5" s="1"/>
  <c r="S213" i="5"/>
  <c r="R213" i="5"/>
  <c r="T211" i="5"/>
  <c r="U211" i="5" s="1"/>
  <c r="S211" i="5"/>
  <c r="R211" i="5"/>
  <c r="T209" i="5"/>
  <c r="U209" i="5" s="1"/>
  <c r="S209" i="5"/>
  <c r="R209" i="5"/>
  <c r="T207" i="5"/>
  <c r="U207" i="5" s="1"/>
  <c r="S207" i="5"/>
  <c r="R207" i="5"/>
  <c r="T204" i="5"/>
  <c r="U204" i="5" s="1"/>
  <c r="S204" i="5"/>
  <c r="R204" i="5"/>
  <c r="T198" i="5"/>
  <c r="U198" i="5" s="1"/>
  <c r="S198" i="5"/>
  <c r="R198" i="5"/>
  <c r="T193" i="5"/>
  <c r="U193" i="5" s="1"/>
  <c r="S193" i="5"/>
  <c r="R193" i="5"/>
  <c r="T191" i="5"/>
  <c r="U191" i="5" s="1"/>
  <c r="S191" i="5"/>
  <c r="R191" i="5"/>
  <c r="T189" i="5"/>
  <c r="U189" i="5" s="1"/>
  <c r="S189" i="5"/>
  <c r="R189" i="5"/>
  <c r="T187" i="5"/>
  <c r="U187" i="5" s="1"/>
  <c r="S187" i="5"/>
  <c r="R187" i="5"/>
  <c r="T184" i="5"/>
  <c r="U184" i="5" s="1"/>
  <c r="S184" i="5"/>
  <c r="R184" i="5"/>
  <c r="T176" i="5"/>
  <c r="U176" i="5" s="1"/>
  <c r="S176" i="5"/>
  <c r="R176" i="5"/>
  <c r="T173" i="5"/>
  <c r="U173" i="5" s="1"/>
  <c r="S173" i="5"/>
  <c r="R173" i="5"/>
  <c r="T171" i="5"/>
  <c r="U171" i="5" s="1"/>
  <c r="S171" i="5"/>
  <c r="R171" i="5"/>
  <c r="T169" i="5"/>
  <c r="U169" i="5" s="1"/>
  <c r="S169" i="5"/>
  <c r="R169" i="5"/>
  <c r="T167" i="5"/>
  <c r="U167" i="5" s="1"/>
  <c r="S167" i="5"/>
  <c r="R167" i="5"/>
  <c r="T164" i="5"/>
  <c r="U164" i="5" s="1"/>
  <c r="S164" i="5"/>
  <c r="R164" i="5"/>
  <c r="T157" i="5"/>
  <c r="U157" i="5" s="1"/>
  <c r="S157" i="5"/>
  <c r="R157" i="5"/>
  <c r="T152" i="5"/>
  <c r="U152" i="5" s="1"/>
  <c r="S152" i="5"/>
  <c r="R152" i="5"/>
  <c r="T150" i="5"/>
  <c r="U150" i="5" s="1"/>
  <c r="S150" i="5"/>
  <c r="R150" i="5"/>
  <c r="T148" i="5"/>
  <c r="U148" i="5" s="1"/>
  <c r="S148" i="5"/>
  <c r="R148" i="5"/>
  <c r="T145" i="5"/>
  <c r="U145" i="5" s="1"/>
  <c r="S145" i="5"/>
  <c r="R145" i="5"/>
  <c r="T141" i="5"/>
  <c r="U141" i="5" s="1"/>
  <c r="S141" i="5"/>
  <c r="R141" i="5"/>
  <c r="T138" i="5"/>
  <c r="U138" i="5" s="1"/>
  <c r="S138" i="5"/>
  <c r="R138" i="5"/>
  <c r="T133" i="5"/>
  <c r="U133" i="5" s="1"/>
  <c r="S133" i="5"/>
  <c r="R133" i="5"/>
  <c r="T131" i="5"/>
  <c r="U131" i="5" s="1"/>
  <c r="S131" i="5"/>
  <c r="R131" i="5"/>
  <c r="T129" i="5"/>
  <c r="U129" i="5" s="1"/>
  <c r="S129" i="5"/>
  <c r="R129" i="5"/>
  <c r="T126" i="5"/>
  <c r="U126" i="5" s="1"/>
  <c r="S126" i="5"/>
  <c r="R126" i="5"/>
  <c r="T122" i="5"/>
  <c r="U122" i="5" s="1"/>
  <c r="S122" i="5"/>
  <c r="R122" i="5"/>
  <c r="T109" i="5"/>
  <c r="U109" i="5" s="1"/>
  <c r="S109" i="5"/>
  <c r="R109" i="5"/>
  <c r="T108" i="5"/>
  <c r="U108" i="5" s="1"/>
  <c r="S108" i="5"/>
  <c r="R108" i="5"/>
  <c r="T98" i="5"/>
  <c r="U98" i="5" s="1"/>
  <c r="S98" i="5"/>
  <c r="R98" i="5"/>
  <c r="T95" i="5"/>
  <c r="U95" i="5" s="1"/>
  <c r="S95" i="5"/>
  <c r="R95" i="5"/>
  <c r="T94" i="5"/>
  <c r="U94" i="5" s="1"/>
  <c r="S94" i="5"/>
  <c r="R94" i="5"/>
  <c r="T93" i="5"/>
  <c r="U93" i="5" s="1"/>
  <c r="S93" i="5"/>
  <c r="R93" i="5"/>
  <c r="T92" i="5"/>
  <c r="U92" i="5" s="1"/>
  <c r="S92" i="5"/>
  <c r="R92" i="5"/>
  <c r="T84" i="5"/>
  <c r="U84" i="5" s="1"/>
  <c r="S84" i="5"/>
  <c r="R84" i="5"/>
  <c r="T81" i="5"/>
  <c r="U81" i="5" s="1"/>
  <c r="S81" i="5"/>
  <c r="R81" i="5"/>
  <c r="T80" i="5"/>
  <c r="U80" i="5" s="1"/>
  <c r="S80" i="5"/>
  <c r="R80" i="5"/>
  <c r="T71" i="5"/>
  <c r="U71" i="5" s="1"/>
  <c r="S71" i="5"/>
  <c r="R71" i="5"/>
  <c r="T67" i="5"/>
  <c r="U67" i="5" s="1"/>
  <c r="S67" i="5"/>
  <c r="R67" i="5"/>
  <c r="T66" i="5"/>
  <c r="U66" i="5" s="1"/>
  <c r="S66" i="5"/>
  <c r="R66" i="5"/>
  <c r="T59" i="5"/>
  <c r="U59" i="5" s="1"/>
  <c r="S59" i="5"/>
  <c r="R59" i="5"/>
  <c r="T55" i="5"/>
  <c r="U55" i="5" s="1"/>
  <c r="S55" i="5"/>
  <c r="R55" i="5"/>
  <c r="T54" i="5"/>
  <c r="U54" i="5" s="1"/>
  <c r="S54" i="5"/>
  <c r="R54" i="5"/>
  <c r="T47" i="5"/>
  <c r="U47" i="5" s="1"/>
  <c r="S47" i="5"/>
  <c r="R47" i="5"/>
  <c r="T43" i="5"/>
  <c r="U43" i="5" s="1"/>
  <c r="S43" i="5"/>
  <c r="R43" i="5"/>
  <c r="T42" i="5"/>
  <c r="U42" i="5" s="1"/>
  <c r="S42" i="5"/>
  <c r="R42" i="5"/>
  <c r="T35" i="5"/>
  <c r="U35" i="5" s="1"/>
  <c r="S35" i="5"/>
  <c r="R35" i="5"/>
  <c r="T31" i="5"/>
  <c r="U31" i="5" s="1"/>
  <c r="S31" i="5"/>
  <c r="R31" i="5"/>
  <c r="T30" i="5"/>
  <c r="U30" i="5" s="1"/>
  <c r="S30" i="5"/>
  <c r="R30" i="5"/>
  <c r="T22" i="5"/>
  <c r="U22" i="5" s="1"/>
  <c r="S22" i="5"/>
  <c r="R22" i="5"/>
  <c r="T17" i="5"/>
  <c r="U17" i="5" s="1"/>
  <c r="S17" i="5"/>
  <c r="R17" i="5"/>
  <c r="T216" i="5"/>
  <c r="U216" i="5" s="1"/>
  <c r="S216" i="5"/>
  <c r="R216" i="5"/>
  <c r="T196" i="5"/>
  <c r="U196" i="5" s="1"/>
  <c r="S196" i="5"/>
  <c r="R196" i="5"/>
  <c r="T178" i="5"/>
  <c r="U178" i="5" s="1"/>
  <c r="S178" i="5"/>
  <c r="R178" i="5"/>
  <c r="T155" i="5"/>
  <c r="U155" i="5" s="1"/>
  <c r="S155" i="5"/>
  <c r="R155" i="5"/>
  <c r="T136" i="5"/>
  <c r="U136" i="5" s="1"/>
  <c r="S136" i="5"/>
  <c r="R136" i="5"/>
  <c r="T118" i="5"/>
  <c r="U118" i="5" s="1"/>
  <c r="S118" i="5"/>
  <c r="R118" i="5"/>
  <c r="T101" i="5"/>
  <c r="U101" i="5" s="1"/>
  <c r="S101" i="5"/>
  <c r="R101" i="5"/>
  <c r="T87" i="5"/>
  <c r="U87" i="5" s="1"/>
  <c r="S87" i="5"/>
  <c r="R87" i="5"/>
  <c r="T75" i="5"/>
  <c r="U75" i="5" s="1"/>
  <c r="S75" i="5"/>
  <c r="R75" i="5"/>
  <c r="T63" i="5"/>
  <c r="U63" i="5" s="1"/>
  <c r="S63" i="5"/>
  <c r="R63" i="5"/>
  <c r="T50" i="5"/>
  <c r="U50" i="5" s="1"/>
  <c r="S50" i="5"/>
  <c r="R50" i="5"/>
  <c r="T38" i="5"/>
  <c r="U38" i="5" s="1"/>
  <c r="S38" i="5"/>
  <c r="R38" i="5"/>
  <c r="Q236" i="5"/>
  <c r="T5" i="5"/>
  <c r="S5" i="5"/>
  <c r="S236" i="5" s="1"/>
  <c r="R5" i="5"/>
  <c r="R236" i="5" s="1"/>
  <c r="T114" i="5"/>
  <c r="U114" i="5" s="1"/>
  <c r="S114" i="5"/>
  <c r="R114" i="5"/>
  <c r="T113" i="5"/>
  <c r="U113" i="5" s="1"/>
  <c r="S113" i="5"/>
  <c r="R113" i="5"/>
  <c r="T107" i="5"/>
  <c r="U107" i="5" s="1"/>
  <c r="S107" i="5"/>
  <c r="R107" i="5"/>
  <c r="T105" i="5"/>
  <c r="U105" i="5" s="1"/>
  <c r="S105" i="5"/>
  <c r="R105" i="5"/>
  <c r="T26" i="5"/>
  <c r="U26" i="5" s="1"/>
  <c r="S26" i="5"/>
  <c r="R26" i="5"/>
  <c r="T23" i="5"/>
  <c r="U23" i="5" s="1"/>
  <c r="S23" i="5"/>
  <c r="R23" i="5"/>
  <c r="T6" i="5"/>
  <c r="U6" i="5" s="1"/>
  <c r="S6" i="5"/>
  <c r="R6" i="5"/>
  <c r="T235" i="5"/>
  <c r="U235" i="5" s="1"/>
  <c r="S235" i="5"/>
  <c r="R235" i="5"/>
  <c r="T220" i="5"/>
  <c r="U220" i="5" s="1"/>
  <c r="S220" i="5"/>
  <c r="R220" i="5"/>
  <c r="T215" i="5"/>
  <c r="U215" i="5" s="1"/>
  <c r="S215" i="5"/>
  <c r="R215" i="5"/>
  <c r="T199" i="5"/>
  <c r="U199" i="5" s="1"/>
  <c r="S199" i="5"/>
  <c r="R199" i="5"/>
  <c r="T195" i="5"/>
  <c r="U195" i="5" s="1"/>
  <c r="S195" i="5"/>
  <c r="R195" i="5"/>
  <c r="T179" i="5"/>
  <c r="U179" i="5" s="1"/>
  <c r="S179" i="5"/>
  <c r="R179" i="5"/>
  <c r="T175" i="5"/>
  <c r="U175" i="5" s="1"/>
  <c r="S175" i="5"/>
  <c r="R175" i="5"/>
  <c r="T159" i="5"/>
  <c r="U159" i="5" s="1"/>
  <c r="S159" i="5"/>
  <c r="R159" i="5"/>
  <c r="T154" i="5"/>
  <c r="U154" i="5" s="1"/>
  <c r="S154" i="5"/>
  <c r="R154" i="5"/>
  <c r="T140" i="5"/>
  <c r="U140" i="5" s="1"/>
  <c r="S140" i="5"/>
  <c r="R140" i="5"/>
  <c r="T135" i="5"/>
  <c r="U135" i="5" s="1"/>
  <c r="S135" i="5"/>
  <c r="R135" i="5"/>
  <c r="T121" i="5"/>
  <c r="U121" i="5" s="1"/>
  <c r="S121" i="5"/>
  <c r="R121" i="5"/>
  <c r="T117" i="5"/>
  <c r="U117" i="5" s="1"/>
  <c r="S117" i="5"/>
  <c r="R117" i="5"/>
  <c r="T100" i="5"/>
  <c r="U100" i="5" s="1"/>
  <c r="S100" i="5"/>
  <c r="R100" i="5"/>
  <c r="T97" i="5"/>
  <c r="U97" i="5" s="1"/>
  <c r="S97" i="5"/>
  <c r="R97" i="5"/>
  <c r="T79" i="5"/>
  <c r="U79" i="5" s="1"/>
  <c r="S79" i="5"/>
  <c r="R79" i="5"/>
  <c r="T78" i="5"/>
  <c r="U78" i="5" s="1"/>
  <c r="S78" i="5"/>
  <c r="R78" i="5"/>
  <c r="T77" i="5"/>
  <c r="U77" i="5" s="1"/>
  <c r="S77" i="5"/>
  <c r="R77" i="5"/>
  <c r="T65" i="5"/>
  <c r="U65" i="5" s="1"/>
  <c r="S65" i="5"/>
  <c r="R65" i="5"/>
  <c r="T64" i="5"/>
  <c r="U64" i="5" s="1"/>
  <c r="S64" i="5"/>
  <c r="R64" i="5"/>
  <c r="T53" i="5"/>
  <c r="U53" i="5" s="1"/>
  <c r="S53" i="5"/>
  <c r="R53" i="5"/>
  <c r="T52" i="5"/>
  <c r="U52" i="5" s="1"/>
  <c r="S52" i="5"/>
  <c r="R52" i="5"/>
  <c r="T51" i="5"/>
  <c r="U51" i="5" s="1"/>
  <c r="S51" i="5"/>
  <c r="R51" i="5"/>
  <c r="T41" i="5"/>
  <c r="U41" i="5" s="1"/>
  <c r="S41" i="5"/>
  <c r="R41" i="5"/>
  <c r="T40" i="5"/>
  <c r="U40" i="5" s="1"/>
  <c r="S40" i="5"/>
  <c r="R40" i="5"/>
  <c r="T39" i="5"/>
  <c r="U39" i="5" s="1"/>
  <c r="S39" i="5"/>
  <c r="R39" i="5"/>
  <c r="T29" i="5"/>
  <c r="U29" i="5" s="1"/>
  <c r="S29" i="5"/>
  <c r="R29" i="5"/>
  <c r="T28" i="5"/>
  <c r="U28" i="5" s="1"/>
  <c r="S28" i="5"/>
  <c r="R28" i="5"/>
  <c r="T27" i="5"/>
  <c r="U27" i="5" s="1"/>
  <c r="S27" i="5"/>
  <c r="R27" i="5"/>
  <c r="T21" i="5"/>
  <c r="U21" i="5" s="1"/>
  <c r="S21" i="5"/>
  <c r="R21" i="5"/>
  <c r="T101" i="6"/>
  <c r="U101" i="6" s="1"/>
  <c r="S101" i="6"/>
  <c r="R101" i="6"/>
  <c r="T69" i="6"/>
  <c r="U69" i="6" s="1"/>
  <c r="S69" i="6"/>
  <c r="R69" i="6"/>
  <c r="M44" i="4"/>
  <c r="J46" i="4" s="1"/>
  <c r="F11" i="9" s="1"/>
  <c r="N11" i="9" s="1"/>
  <c r="N34" i="4"/>
  <c r="N44" i="4" s="1"/>
  <c r="T179" i="6"/>
  <c r="U179" i="6" s="1"/>
  <c r="S179" i="6"/>
  <c r="R179" i="6"/>
  <c r="T177" i="6"/>
  <c r="U177" i="6" s="1"/>
  <c r="S177" i="6"/>
  <c r="R177" i="6"/>
  <c r="T175" i="6"/>
  <c r="U175" i="6" s="1"/>
  <c r="S175" i="6"/>
  <c r="R175" i="6"/>
  <c r="T171" i="6"/>
  <c r="U171" i="6" s="1"/>
  <c r="S171" i="6"/>
  <c r="R171" i="6"/>
  <c r="T168" i="6"/>
  <c r="U168" i="6" s="1"/>
  <c r="S168" i="6"/>
  <c r="R168" i="6"/>
  <c r="T164" i="6"/>
  <c r="U164" i="6" s="1"/>
  <c r="S164" i="6"/>
  <c r="R164" i="6"/>
  <c r="T162" i="6"/>
  <c r="U162" i="6" s="1"/>
  <c r="S162" i="6"/>
  <c r="R162" i="6"/>
  <c r="T160" i="6"/>
  <c r="U160" i="6" s="1"/>
  <c r="S160" i="6"/>
  <c r="R160" i="6"/>
  <c r="T158" i="6"/>
  <c r="U158" i="6" s="1"/>
  <c r="S158" i="6"/>
  <c r="R158" i="6"/>
  <c r="T154" i="6"/>
  <c r="U154" i="6" s="1"/>
  <c r="S154" i="6"/>
  <c r="R154" i="6"/>
  <c r="T149" i="6"/>
  <c r="U149" i="6" s="1"/>
  <c r="S149" i="6"/>
  <c r="R149" i="6"/>
  <c r="T147" i="6"/>
  <c r="U147" i="6" s="1"/>
  <c r="S147" i="6"/>
  <c r="R147" i="6"/>
  <c r="T145" i="6"/>
  <c r="U145" i="6" s="1"/>
  <c r="S145" i="6"/>
  <c r="R145" i="6"/>
  <c r="T143" i="6"/>
  <c r="U143" i="6" s="1"/>
  <c r="S143" i="6"/>
  <c r="R143" i="6"/>
  <c r="T139" i="6"/>
  <c r="U139" i="6" s="1"/>
  <c r="S139" i="6"/>
  <c r="R139" i="6"/>
  <c r="T136" i="6"/>
  <c r="U136" i="6" s="1"/>
  <c r="S136" i="6"/>
  <c r="R136" i="6"/>
  <c r="T133" i="6"/>
  <c r="U133" i="6" s="1"/>
  <c r="S133" i="6"/>
  <c r="R133" i="6"/>
  <c r="T131" i="6"/>
  <c r="U131" i="6" s="1"/>
  <c r="S131" i="6"/>
  <c r="R131" i="6"/>
  <c r="T129" i="6"/>
  <c r="U129" i="6" s="1"/>
  <c r="S129" i="6"/>
  <c r="R129" i="6"/>
  <c r="T127" i="6"/>
  <c r="U127" i="6" s="1"/>
  <c r="S127" i="6"/>
  <c r="R127" i="6"/>
  <c r="T123" i="6"/>
  <c r="U123" i="6" s="1"/>
  <c r="S123" i="6"/>
  <c r="R123" i="6"/>
  <c r="T121" i="6"/>
  <c r="U121" i="6" s="1"/>
  <c r="S121" i="6"/>
  <c r="R121" i="6"/>
  <c r="T117" i="6"/>
  <c r="U117" i="6" s="1"/>
  <c r="S117" i="6"/>
  <c r="R117" i="6"/>
  <c r="T115" i="6"/>
  <c r="U115" i="6" s="1"/>
  <c r="S115" i="6"/>
  <c r="R115" i="6"/>
  <c r="T113" i="6"/>
  <c r="U113" i="6" s="1"/>
  <c r="S113" i="6"/>
  <c r="R113" i="6"/>
  <c r="T111" i="6"/>
  <c r="U111" i="6" s="1"/>
  <c r="S111" i="6"/>
  <c r="R111" i="6"/>
  <c r="T107" i="6"/>
  <c r="U107" i="6" s="1"/>
  <c r="S107" i="6"/>
  <c r="R107" i="6"/>
  <c r="T103" i="6"/>
  <c r="U103" i="6" s="1"/>
  <c r="S103" i="6"/>
  <c r="R103" i="6"/>
  <c r="T98" i="6"/>
  <c r="U98" i="6" s="1"/>
  <c r="S98" i="6"/>
  <c r="R98" i="6"/>
  <c r="T96" i="6"/>
  <c r="U96" i="6" s="1"/>
  <c r="S96" i="6"/>
  <c r="R96" i="6"/>
  <c r="T94" i="6"/>
  <c r="U94" i="6" s="1"/>
  <c r="S94" i="6"/>
  <c r="R94" i="6"/>
  <c r="T90" i="6"/>
  <c r="U90" i="6" s="1"/>
  <c r="S90" i="6"/>
  <c r="R90" i="6"/>
  <c r="T87" i="6"/>
  <c r="U87" i="6" s="1"/>
  <c r="S87" i="6"/>
  <c r="R87" i="6"/>
  <c r="T67" i="6"/>
  <c r="U67" i="6" s="1"/>
  <c r="S67" i="6"/>
  <c r="R67" i="6"/>
  <c r="T66" i="6"/>
  <c r="U66" i="6" s="1"/>
  <c r="S66" i="6"/>
  <c r="R66" i="6"/>
  <c r="T58" i="6"/>
  <c r="U58" i="6" s="1"/>
  <c r="S58" i="6"/>
  <c r="R58" i="6"/>
  <c r="T55" i="6"/>
  <c r="U55" i="6" s="1"/>
  <c r="S55" i="6"/>
  <c r="R55" i="6"/>
  <c r="T54" i="6"/>
  <c r="U54" i="6" s="1"/>
  <c r="S54" i="6"/>
  <c r="R54" i="6"/>
  <c r="T51" i="6"/>
  <c r="U51" i="6" s="1"/>
  <c r="S51" i="6"/>
  <c r="R51" i="6"/>
  <c r="T43" i="6"/>
  <c r="U43" i="6" s="1"/>
  <c r="S43" i="6"/>
  <c r="R43" i="6"/>
  <c r="T42" i="6"/>
  <c r="U42" i="6" s="1"/>
  <c r="S42" i="6"/>
  <c r="R42" i="6"/>
  <c r="T39" i="6"/>
  <c r="U39" i="6" s="1"/>
  <c r="S39" i="6"/>
  <c r="R39" i="6"/>
  <c r="T32" i="6"/>
  <c r="U32" i="6" s="1"/>
  <c r="S32" i="6"/>
  <c r="R32" i="6"/>
  <c r="T31" i="6"/>
  <c r="U31" i="6" s="1"/>
  <c r="S31" i="6"/>
  <c r="R31" i="6"/>
  <c r="T28" i="6"/>
  <c r="U28" i="6" s="1"/>
  <c r="S28" i="6"/>
  <c r="R28" i="6"/>
  <c r="T21" i="6"/>
  <c r="U21" i="6" s="1"/>
  <c r="S21" i="6"/>
  <c r="R21" i="6"/>
  <c r="T20" i="6"/>
  <c r="U20" i="6" s="1"/>
  <c r="S20" i="6"/>
  <c r="R20" i="6"/>
  <c r="T17" i="6"/>
  <c r="U17" i="6" s="1"/>
  <c r="S17" i="6"/>
  <c r="R17" i="6"/>
  <c r="T77" i="6"/>
  <c r="U77" i="6" s="1"/>
  <c r="S77" i="6"/>
  <c r="R77" i="6"/>
  <c r="T81" i="6"/>
  <c r="U81" i="6" s="1"/>
  <c r="S81" i="6"/>
  <c r="R81" i="6"/>
  <c r="T80" i="6"/>
  <c r="U80" i="6" s="1"/>
  <c r="S80" i="6"/>
  <c r="R80" i="6"/>
  <c r="T8" i="6"/>
  <c r="U8" i="6" s="1"/>
  <c r="S8" i="6"/>
  <c r="R8" i="6"/>
  <c r="T7" i="6"/>
  <c r="U7" i="6" s="1"/>
  <c r="S7" i="6"/>
  <c r="R7" i="6"/>
  <c r="T108" i="6"/>
  <c r="U108" i="6" s="1"/>
  <c r="S108" i="6"/>
  <c r="R108" i="6"/>
  <c r="T106" i="6"/>
  <c r="U106" i="6" s="1"/>
  <c r="S106" i="6"/>
  <c r="R106" i="6"/>
  <c r="T9" i="6"/>
  <c r="U9" i="6" s="1"/>
  <c r="S9" i="6"/>
  <c r="R9" i="6"/>
  <c r="T173" i="6"/>
  <c r="U173" i="6" s="1"/>
  <c r="S173" i="6"/>
  <c r="R173" i="6"/>
  <c r="T156" i="6"/>
  <c r="U156" i="6" s="1"/>
  <c r="S156" i="6"/>
  <c r="R156" i="6"/>
  <c r="T141" i="6"/>
  <c r="U141" i="6" s="1"/>
  <c r="S141" i="6"/>
  <c r="R141" i="6"/>
  <c r="T125" i="6"/>
  <c r="U125" i="6" s="1"/>
  <c r="S125" i="6"/>
  <c r="R125" i="6"/>
  <c r="T110" i="6"/>
  <c r="U110" i="6" s="1"/>
  <c r="S110" i="6"/>
  <c r="R110" i="6"/>
  <c r="T92" i="6"/>
  <c r="U92" i="6" s="1"/>
  <c r="S92" i="6"/>
  <c r="R92" i="6"/>
  <c r="T64" i="6"/>
  <c r="U64" i="6" s="1"/>
  <c r="S64" i="6"/>
  <c r="R64" i="6"/>
  <c r="T56" i="6"/>
  <c r="U56" i="6" s="1"/>
  <c r="S56" i="6"/>
  <c r="R56" i="6"/>
  <c r="T52" i="6"/>
  <c r="U52" i="6" s="1"/>
  <c r="S52" i="6"/>
  <c r="R52" i="6"/>
  <c r="T44" i="6"/>
  <c r="U44" i="6" s="1"/>
  <c r="S44" i="6"/>
  <c r="R44" i="6"/>
  <c r="T40" i="6"/>
  <c r="U40" i="6" s="1"/>
  <c r="S40" i="6"/>
  <c r="R40" i="6"/>
  <c r="T29" i="6"/>
  <c r="U29" i="6" s="1"/>
  <c r="S29" i="6"/>
  <c r="R29" i="6"/>
  <c r="T18" i="6"/>
  <c r="U18" i="6" s="1"/>
  <c r="S18" i="6"/>
  <c r="R18" i="6"/>
  <c r="T70" i="6"/>
  <c r="U70" i="6" s="1"/>
  <c r="S70" i="6"/>
  <c r="R70" i="6"/>
  <c r="T178" i="6"/>
  <c r="U178" i="6" s="1"/>
  <c r="S178" i="6"/>
  <c r="R178" i="6"/>
  <c r="T176" i="6"/>
  <c r="U176" i="6" s="1"/>
  <c r="S176" i="6"/>
  <c r="R176" i="6"/>
  <c r="T174" i="6"/>
  <c r="U174" i="6" s="1"/>
  <c r="S174" i="6"/>
  <c r="R174" i="6"/>
  <c r="T172" i="6"/>
  <c r="U172" i="6" s="1"/>
  <c r="S172" i="6"/>
  <c r="R172" i="6"/>
  <c r="T170" i="6"/>
  <c r="U170" i="6" s="1"/>
  <c r="S170" i="6"/>
  <c r="R170" i="6"/>
  <c r="T167" i="6"/>
  <c r="U167" i="6" s="1"/>
  <c r="S167" i="6"/>
  <c r="R167" i="6"/>
  <c r="T163" i="6"/>
  <c r="U163" i="6" s="1"/>
  <c r="S163" i="6"/>
  <c r="R163" i="6"/>
  <c r="T161" i="6"/>
  <c r="U161" i="6" s="1"/>
  <c r="S161" i="6"/>
  <c r="R161" i="6"/>
  <c r="T159" i="6"/>
  <c r="U159" i="6" s="1"/>
  <c r="S159" i="6"/>
  <c r="R159" i="6"/>
  <c r="T157" i="6"/>
  <c r="U157" i="6" s="1"/>
  <c r="S157" i="6"/>
  <c r="R157" i="6"/>
  <c r="T155" i="6"/>
  <c r="U155" i="6" s="1"/>
  <c r="S155" i="6"/>
  <c r="R155" i="6"/>
  <c r="T152" i="6"/>
  <c r="U152" i="6" s="1"/>
  <c r="S152" i="6"/>
  <c r="R152" i="6"/>
  <c r="T148" i="6"/>
  <c r="U148" i="6" s="1"/>
  <c r="S148" i="6"/>
  <c r="R148" i="6"/>
  <c r="T146" i="6"/>
  <c r="U146" i="6" s="1"/>
  <c r="S146" i="6"/>
  <c r="R146" i="6"/>
  <c r="T144" i="6"/>
  <c r="U144" i="6" s="1"/>
  <c r="S144" i="6"/>
  <c r="R144" i="6"/>
  <c r="T142" i="6"/>
  <c r="U142" i="6" s="1"/>
  <c r="S142" i="6"/>
  <c r="R142" i="6"/>
  <c r="T140" i="6"/>
  <c r="U140" i="6" s="1"/>
  <c r="S140" i="6"/>
  <c r="R140" i="6"/>
  <c r="T135" i="6"/>
  <c r="U135" i="6" s="1"/>
  <c r="S135" i="6"/>
  <c r="R135" i="6"/>
  <c r="T132" i="6"/>
  <c r="U132" i="6" s="1"/>
  <c r="S132" i="6"/>
  <c r="R132" i="6"/>
  <c r="T130" i="6"/>
  <c r="U130" i="6" s="1"/>
  <c r="S130" i="6"/>
  <c r="R130" i="6"/>
  <c r="T128" i="6"/>
  <c r="U128" i="6" s="1"/>
  <c r="S128" i="6"/>
  <c r="R128" i="6"/>
  <c r="T126" i="6"/>
  <c r="U126" i="6" s="1"/>
  <c r="S126" i="6"/>
  <c r="R126" i="6"/>
  <c r="T124" i="6"/>
  <c r="U124" i="6" s="1"/>
  <c r="S124" i="6"/>
  <c r="R124" i="6"/>
  <c r="T120" i="6"/>
  <c r="U120" i="6" s="1"/>
  <c r="S120" i="6"/>
  <c r="R120" i="6"/>
  <c r="T116" i="6"/>
  <c r="U116" i="6" s="1"/>
  <c r="S116" i="6"/>
  <c r="R116" i="6"/>
  <c r="T114" i="6"/>
  <c r="U114" i="6" s="1"/>
  <c r="S114" i="6"/>
  <c r="R114" i="6"/>
  <c r="T112" i="6"/>
  <c r="U112" i="6" s="1"/>
  <c r="S112" i="6"/>
  <c r="R112" i="6"/>
  <c r="T109" i="6"/>
  <c r="U109" i="6" s="1"/>
  <c r="S109" i="6"/>
  <c r="R109" i="6"/>
  <c r="T105" i="6"/>
  <c r="U105" i="6" s="1"/>
  <c r="S105" i="6"/>
  <c r="R105" i="6"/>
  <c r="T102" i="6"/>
  <c r="U102" i="6" s="1"/>
  <c r="S102" i="6"/>
  <c r="R102" i="6"/>
  <c r="T97" i="6"/>
  <c r="U97" i="6" s="1"/>
  <c r="S97" i="6"/>
  <c r="R97" i="6"/>
  <c r="T95" i="6"/>
  <c r="U95" i="6" s="1"/>
  <c r="S95" i="6"/>
  <c r="R95" i="6"/>
  <c r="T93" i="6"/>
  <c r="U93" i="6" s="1"/>
  <c r="S93" i="6"/>
  <c r="R93" i="6"/>
  <c r="T91" i="6"/>
  <c r="U91" i="6" s="1"/>
  <c r="S91" i="6"/>
  <c r="R91" i="6"/>
  <c r="T89" i="6"/>
  <c r="U89" i="6" s="1"/>
  <c r="S89" i="6"/>
  <c r="R89" i="6"/>
  <c r="T84" i="6"/>
  <c r="U84" i="6" s="1"/>
  <c r="S84" i="6"/>
  <c r="R84" i="6"/>
  <c r="T83" i="6"/>
  <c r="U83" i="6" s="1"/>
  <c r="S83" i="6"/>
  <c r="R83" i="6"/>
  <c r="T82" i="6"/>
  <c r="U82" i="6" s="1"/>
  <c r="S82" i="6"/>
  <c r="R82" i="6"/>
  <c r="T76" i="6"/>
  <c r="U76" i="6" s="1"/>
  <c r="S76" i="6"/>
  <c r="R76" i="6"/>
  <c r="T74" i="6"/>
  <c r="U74" i="6" s="1"/>
  <c r="S74" i="6"/>
  <c r="R74" i="6"/>
  <c r="T73" i="6"/>
  <c r="U73" i="6" s="1"/>
  <c r="S73" i="6"/>
  <c r="R73" i="6"/>
  <c r="T72" i="6"/>
  <c r="U72" i="6" s="1"/>
  <c r="S72" i="6"/>
  <c r="R72" i="6"/>
  <c r="T71" i="6"/>
  <c r="U71" i="6" s="1"/>
  <c r="S71" i="6"/>
  <c r="R71" i="6"/>
  <c r="T65" i="6"/>
  <c r="U65" i="6" s="1"/>
  <c r="S65" i="6"/>
  <c r="R65" i="6"/>
  <c r="T63" i="6"/>
  <c r="U63" i="6" s="1"/>
  <c r="S63" i="6"/>
  <c r="R63" i="6"/>
  <c r="T62" i="6"/>
  <c r="U62" i="6" s="1"/>
  <c r="S62" i="6"/>
  <c r="R62" i="6"/>
  <c r="T53" i="6"/>
  <c r="U53" i="6" s="1"/>
  <c r="S53" i="6"/>
  <c r="R53" i="6"/>
  <c r="T50" i="6"/>
  <c r="U50" i="6" s="1"/>
  <c r="S50" i="6"/>
  <c r="R50" i="6"/>
  <c r="T49" i="6"/>
  <c r="U49" i="6" s="1"/>
  <c r="S49" i="6"/>
  <c r="R49" i="6"/>
  <c r="T41" i="6"/>
  <c r="U41" i="6" s="1"/>
  <c r="S41" i="6"/>
  <c r="R41" i="6"/>
  <c r="T38" i="6"/>
  <c r="U38" i="6" s="1"/>
  <c r="S38" i="6"/>
  <c r="R38" i="6"/>
  <c r="T37" i="6"/>
  <c r="U37" i="6" s="1"/>
  <c r="S37" i="6"/>
  <c r="R37" i="6"/>
  <c r="T30" i="6"/>
  <c r="U30" i="6" s="1"/>
  <c r="S30" i="6"/>
  <c r="R30" i="6"/>
  <c r="T27" i="6"/>
  <c r="U27" i="6" s="1"/>
  <c r="S27" i="6"/>
  <c r="R27" i="6"/>
  <c r="T26" i="6"/>
  <c r="U26" i="6" s="1"/>
  <c r="S26" i="6"/>
  <c r="R26" i="6"/>
  <c r="T19" i="6"/>
  <c r="U19" i="6" s="1"/>
  <c r="S19" i="6"/>
  <c r="R19" i="6"/>
  <c r="T16" i="6"/>
  <c r="U16" i="6" s="1"/>
  <c r="S16" i="6"/>
  <c r="R16" i="6"/>
  <c r="T15" i="6"/>
  <c r="U15" i="6" s="1"/>
  <c r="S15" i="6"/>
  <c r="R15" i="6"/>
  <c r="T11" i="6"/>
  <c r="U11" i="6" s="1"/>
  <c r="S11" i="6"/>
  <c r="R11" i="6"/>
  <c r="T6" i="6"/>
  <c r="U6" i="6" s="1"/>
  <c r="S6" i="6"/>
  <c r="R6" i="6"/>
  <c r="T166" i="6"/>
  <c r="U166" i="6" s="1"/>
  <c r="S166" i="6"/>
  <c r="R166" i="6"/>
  <c r="T151" i="6"/>
  <c r="U151" i="6" s="1"/>
  <c r="S151" i="6"/>
  <c r="R151" i="6"/>
  <c r="T137" i="6"/>
  <c r="U137" i="6" s="1"/>
  <c r="S137" i="6"/>
  <c r="R137" i="6"/>
  <c r="T119" i="6"/>
  <c r="U119" i="6" s="1"/>
  <c r="S119" i="6"/>
  <c r="R119" i="6"/>
  <c r="T100" i="6"/>
  <c r="U100" i="6" s="1"/>
  <c r="S100" i="6"/>
  <c r="R100" i="6"/>
  <c r="T86" i="6"/>
  <c r="U86" i="6" s="1"/>
  <c r="S86" i="6"/>
  <c r="R86" i="6"/>
  <c r="T79" i="6"/>
  <c r="U79" i="6" s="1"/>
  <c r="S79" i="6"/>
  <c r="R79" i="6"/>
  <c r="T68" i="6"/>
  <c r="U68" i="6" s="1"/>
  <c r="S68" i="6"/>
  <c r="R68" i="6"/>
  <c r="T57" i="6"/>
  <c r="U57" i="6" s="1"/>
  <c r="S57" i="6"/>
  <c r="R57" i="6"/>
  <c r="T45" i="6"/>
  <c r="U45" i="6" s="1"/>
  <c r="S45" i="6"/>
  <c r="R45" i="6"/>
  <c r="T33" i="6"/>
  <c r="U33" i="6" s="1"/>
  <c r="S33" i="6"/>
  <c r="R33" i="6"/>
  <c r="T22" i="6"/>
  <c r="U22" i="6" s="1"/>
  <c r="S22" i="6"/>
  <c r="R22" i="6"/>
  <c r="Q181" i="6"/>
  <c r="T5" i="6"/>
  <c r="S5" i="6"/>
  <c r="S181" i="6" s="1"/>
  <c r="R5" i="6"/>
  <c r="R181" i="6" s="1"/>
  <c r="T180" i="6"/>
  <c r="U180" i="6" s="1"/>
  <c r="S180" i="6"/>
  <c r="R180" i="6"/>
  <c r="T169" i="6"/>
  <c r="U169" i="6" s="1"/>
  <c r="S169" i="6"/>
  <c r="R169" i="6"/>
  <c r="T165" i="6"/>
  <c r="U165" i="6" s="1"/>
  <c r="S165" i="6"/>
  <c r="R165" i="6"/>
  <c r="T153" i="6"/>
  <c r="U153" i="6" s="1"/>
  <c r="S153" i="6"/>
  <c r="R153" i="6"/>
  <c r="T150" i="6"/>
  <c r="U150" i="6" s="1"/>
  <c r="S150" i="6"/>
  <c r="R150" i="6"/>
  <c r="T138" i="6"/>
  <c r="U138" i="6" s="1"/>
  <c r="S138" i="6"/>
  <c r="R138" i="6"/>
  <c r="T134" i="6"/>
  <c r="U134" i="6" s="1"/>
  <c r="S134" i="6"/>
  <c r="R134" i="6"/>
  <c r="T122" i="6"/>
  <c r="U122" i="6" s="1"/>
  <c r="S122" i="6"/>
  <c r="R122" i="6"/>
  <c r="T118" i="6"/>
  <c r="U118" i="6" s="1"/>
  <c r="S118" i="6"/>
  <c r="R118" i="6"/>
  <c r="T104" i="6"/>
  <c r="U104" i="6" s="1"/>
  <c r="S104" i="6"/>
  <c r="R104" i="6"/>
  <c r="T99" i="6"/>
  <c r="U99" i="6" s="1"/>
  <c r="S99" i="6"/>
  <c r="R99" i="6"/>
  <c r="T88" i="6"/>
  <c r="U88" i="6" s="1"/>
  <c r="S88" i="6"/>
  <c r="R88" i="6"/>
  <c r="T85" i="6"/>
  <c r="U85" i="6" s="1"/>
  <c r="S85" i="6"/>
  <c r="R85" i="6"/>
  <c r="T78" i="6"/>
  <c r="U78" i="6" s="1"/>
  <c r="S78" i="6"/>
  <c r="R78" i="6"/>
  <c r="T75" i="6"/>
  <c r="U75" i="6" s="1"/>
  <c r="S75" i="6"/>
  <c r="R75" i="6"/>
  <c r="T61" i="6"/>
  <c r="U61" i="6" s="1"/>
  <c r="S61" i="6"/>
  <c r="R61" i="6"/>
  <c r="T60" i="6"/>
  <c r="U60" i="6" s="1"/>
  <c r="S60" i="6"/>
  <c r="R60" i="6"/>
  <c r="T59" i="6"/>
  <c r="U59" i="6" s="1"/>
  <c r="S59" i="6"/>
  <c r="R59" i="6"/>
  <c r="T48" i="6"/>
  <c r="U48" i="6" s="1"/>
  <c r="S48" i="6"/>
  <c r="R48" i="6"/>
  <c r="T47" i="6"/>
  <c r="U47" i="6" s="1"/>
  <c r="S47" i="6"/>
  <c r="R47" i="6"/>
  <c r="T46" i="6"/>
  <c r="U46" i="6" s="1"/>
  <c r="S46" i="6"/>
  <c r="R46" i="6"/>
  <c r="T36" i="6"/>
  <c r="U36" i="6" s="1"/>
  <c r="S36" i="6"/>
  <c r="R36" i="6"/>
  <c r="T35" i="6"/>
  <c r="U35" i="6" s="1"/>
  <c r="S35" i="6"/>
  <c r="R35" i="6"/>
  <c r="T34" i="6"/>
  <c r="U34" i="6" s="1"/>
  <c r="S34" i="6"/>
  <c r="R34" i="6"/>
  <c r="T25" i="6"/>
  <c r="U25" i="6" s="1"/>
  <c r="S25" i="6"/>
  <c r="R25" i="6"/>
  <c r="T24" i="6"/>
  <c r="U24" i="6" s="1"/>
  <c r="S24" i="6"/>
  <c r="R24" i="6"/>
  <c r="T23" i="6"/>
  <c r="U23" i="6" s="1"/>
  <c r="S23" i="6"/>
  <c r="R23" i="6"/>
  <c r="T14" i="6"/>
  <c r="U14" i="6" s="1"/>
  <c r="S14" i="6"/>
  <c r="R14" i="6"/>
  <c r="T13" i="6"/>
  <c r="U13" i="6" s="1"/>
  <c r="S13" i="6"/>
  <c r="R13" i="6"/>
  <c r="T12" i="6"/>
  <c r="U12" i="6" s="1"/>
  <c r="S12" i="6"/>
  <c r="R12" i="6"/>
  <c r="T10" i="6"/>
  <c r="U10" i="6" s="1"/>
  <c r="S10" i="6"/>
  <c r="R10" i="6"/>
  <c r="T103" i="7"/>
  <c r="U103" i="7" s="1"/>
  <c r="S103" i="7"/>
  <c r="R103" i="7"/>
  <c r="T70" i="7"/>
  <c r="U70" i="7" s="1"/>
  <c r="S70" i="7"/>
  <c r="R70" i="7"/>
  <c r="M60" i="4"/>
  <c r="J62" i="4" s="1"/>
  <c r="F16" i="9" s="1"/>
  <c r="N16" i="9" s="1"/>
  <c r="N50" i="4"/>
  <c r="N60" i="4" s="1"/>
  <c r="T181" i="7"/>
  <c r="U181" i="7" s="1"/>
  <c r="S181" i="7"/>
  <c r="R181" i="7"/>
  <c r="T179" i="7"/>
  <c r="U179" i="7" s="1"/>
  <c r="S179" i="7"/>
  <c r="R179" i="7"/>
  <c r="T177" i="7"/>
  <c r="U177" i="7" s="1"/>
  <c r="S177" i="7"/>
  <c r="R177" i="7"/>
  <c r="T173" i="7"/>
  <c r="U173" i="7" s="1"/>
  <c r="S173" i="7"/>
  <c r="R173" i="7"/>
  <c r="T170" i="7"/>
  <c r="U170" i="7" s="1"/>
  <c r="S170" i="7"/>
  <c r="R170" i="7"/>
  <c r="T166" i="7"/>
  <c r="U166" i="7" s="1"/>
  <c r="S166" i="7"/>
  <c r="R166" i="7"/>
  <c r="T164" i="7"/>
  <c r="U164" i="7" s="1"/>
  <c r="S164" i="7"/>
  <c r="R164" i="7"/>
  <c r="T162" i="7"/>
  <c r="U162" i="7" s="1"/>
  <c r="S162" i="7"/>
  <c r="R162" i="7"/>
  <c r="T160" i="7"/>
  <c r="U160" i="7" s="1"/>
  <c r="S160" i="7"/>
  <c r="R160" i="7"/>
  <c r="T156" i="7"/>
  <c r="U156" i="7" s="1"/>
  <c r="S156" i="7"/>
  <c r="R156" i="7"/>
  <c r="T151" i="7"/>
  <c r="U151" i="7" s="1"/>
  <c r="S151" i="7"/>
  <c r="R151" i="7"/>
  <c r="T149" i="7"/>
  <c r="U149" i="7" s="1"/>
  <c r="S149" i="7"/>
  <c r="R149" i="7"/>
  <c r="T147" i="7"/>
  <c r="U147" i="7" s="1"/>
  <c r="S147" i="7"/>
  <c r="R147" i="7"/>
  <c r="T145" i="7"/>
  <c r="U145" i="7" s="1"/>
  <c r="S145" i="7"/>
  <c r="R145" i="7"/>
  <c r="T141" i="7"/>
  <c r="U141" i="7" s="1"/>
  <c r="S141" i="7"/>
  <c r="R141" i="7"/>
  <c r="T138" i="7"/>
  <c r="U138" i="7" s="1"/>
  <c r="S138" i="7"/>
  <c r="R138" i="7"/>
  <c r="T135" i="7"/>
  <c r="U135" i="7" s="1"/>
  <c r="S135" i="7"/>
  <c r="R135" i="7"/>
  <c r="T133" i="7"/>
  <c r="U133" i="7" s="1"/>
  <c r="S133" i="7"/>
  <c r="R133" i="7"/>
  <c r="T131" i="7"/>
  <c r="U131" i="7" s="1"/>
  <c r="S131" i="7"/>
  <c r="R131" i="7"/>
  <c r="T129" i="7"/>
  <c r="U129" i="7" s="1"/>
  <c r="S129" i="7"/>
  <c r="R129" i="7"/>
  <c r="T125" i="7"/>
  <c r="U125" i="7" s="1"/>
  <c r="S125" i="7"/>
  <c r="R125" i="7"/>
  <c r="T123" i="7"/>
  <c r="U123" i="7" s="1"/>
  <c r="S123" i="7"/>
  <c r="R123" i="7"/>
  <c r="T119" i="7"/>
  <c r="U119" i="7" s="1"/>
  <c r="S119" i="7"/>
  <c r="R119" i="7"/>
  <c r="T117" i="7"/>
  <c r="U117" i="7" s="1"/>
  <c r="S117" i="7"/>
  <c r="R117" i="7"/>
  <c r="T115" i="7"/>
  <c r="U115" i="7" s="1"/>
  <c r="S115" i="7"/>
  <c r="R115" i="7"/>
  <c r="T113" i="7"/>
  <c r="U113" i="7" s="1"/>
  <c r="S113" i="7"/>
  <c r="R113" i="7"/>
  <c r="T109" i="7"/>
  <c r="U109" i="7" s="1"/>
  <c r="S109" i="7"/>
  <c r="R109" i="7"/>
  <c r="T105" i="7"/>
  <c r="U105" i="7" s="1"/>
  <c r="S105" i="7"/>
  <c r="R105" i="7"/>
  <c r="T100" i="7"/>
  <c r="U100" i="7" s="1"/>
  <c r="S100" i="7"/>
  <c r="R100" i="7"/>
  <c r="T98" i="7"/>
  <c r="U98" i="7" s="1"/>
  <c r="S98" i="7"/>
  <c r="R98" i="7"/>
  <c r="T96" i="7"/>
  <c r="U96" i="7" s="1"/>
  <c r="S96" i="7"/>
  <c r="R96" i="7"/>
  <c r="T92" i="7"/>
  <c r="U92" i="7" s="1"/>
  <c r="S92" i="7"/>
  <c r="R92" i="7"/>
  <c r="T89" i="7"/>
  <c r="U89" i="7" s="1"/>
  <c r="S89" i="7"/>
  <c r="R89" i="7"/>
  <c r="T68" i="7"/>
  <c r="U68" i="7" s="1"/>
  <c r="S68" i="7"/>
  <c r="R68" i="7"/>
  <c r="T67" i="7"/>
  <c r="U67" i="7" s="1"/>
  <c r="S67" i="7"/>
  <c r="R67" i="7"/>
  <c r="T59" i="7"/>
  <c r="U59" i="7" s="1"/>
  <c r="S59" i="7"/>
  <c r="R59" i="7"/>
  <c r="T56" i="7"/>
  <c r="U56" i="7" s="1"/>
  <c r="S56" i="7"/>
  <c r="R56" i="7"/>
  <c r="T55" i="7"/>
  <c r="U55" i="7" s="1"/>
  <c r="S55" i="7"/>
  <c r="R55" i="7"/>
  <c r="T52" i="7"/>
  <c r="U52" i="7" s="1"/>
  <c r="S52" i="7"/>
  <c r="R52" i="7"/>
  <c r="T43" i="7"/>
  <c r="U43" i="7" s="1"/>
  <c r="S43" i="7"/>
  <c r="R43" i="7"/>
  <c r="T42" i="7"/>
  <c r="U42" i="7" s="1"/>
  <c r="S42" i="7"/>
  <c r="R42" i="7"/>
  <c r="T39" i="7"/>
  <c r="U39" i="7" s="1"/>
  <c r="S39" i="7"/>
  <c r="R39" i="7"/>
  <c r="T32" i="7"/>
  <c r="U32" i="7" s="1"/>
  <c r="S32" i="7"/>
  <c r="R32" i="7"/>
  <c r="T31" i="7"/>
  <c r="U31" i="7" s="1"/>
  <c r="S31" i="7"/>
  <c r="R31" i="7"/>
  <c r="T28" i="7"/>
  <c r="U28" i="7" s="1"/>
  <c r="S28" i="7"/>
  <c r="R28" i="7"/>
  <c r="T21" i="7"/>
  <c r="U21" i="7" s="1"/>
  <c r="S21" i="7"/>
  <c r="R21" i="7"/>
  <c r="T20" i="7"/>
  <c r="U20" i="7" s="1"/>
  <c r="S20" i="7"/>
  <c r="R20" i="7"/>
  <c r="T17" i="7"/>
  <c r="U17" i="7" s="1"/>
  <c r="S17" i="7"/>
  <c r="R17" i="7"/>
  <c r="T78" i="7"/>
  <c r="U78" i="7" s="1"/>
  <c r="S78" i="7"/>
  <c r="R78" i="7"/>
  <c r="T82" i="7"/>
  <c r="U82" i="7" s="1"/>
  <c r="S82" i="7"/>
  <c r="R82" i="7"/>
  <c r="T81" i="7"/>
  <c r="U81" i="7" s="1"/>
  <c r="S81" i="7"/>
  <c r="R81" i="7"/>
  <c r="T8" i="7"/>
  <c r="U8" i="7" s="1"/>
  <c r="S8" i="7"/>
  <c r="R8" i="7"/>
  <c r="T7" i="7"/>
  <c r="U7" i="7" s="1"/>
  <c r="S7" i="7"/>
  <c r="R7" i="7"/>
  <c r="T110" i="7"/>
  <c r="U110" i="7" s="1"/>
  <c r="S110" i="7"/>
  <c r="R110" i="7"/>
  <c r="T108" i="7"/>
  <c r="U108" i="7" s="1"/>
  <c r="S108" i="7"/>
  <c r="R108" i="7"/>
  <c r="T9" i="7"/>
  <c r="U9" i="7" s="1"/>
  <c r="S9" i="7"/>
  <c r="R9" i="7"/>
  <c r="T175" i="7"/>
  <c r="U175" i="7" s="1"/>
  <c r="S175" i="7"/>
  <c r="R175" i="7"/>
  <c r="T158" i="7"/>
  <c r="U158" i="7" s="1"/>
  <c r="S158" i="7"/>
  <c r="R158" i="7"/>
  <c r="T143" i="7"/>
  <c r="U143" i="7" s="1"/>
  <c r="S143" i="7"/>
  <c r="R143" i="7"/>
  <c r="T127" i="7"/>
  <c r="U127" i="7" s="1"/>
  <c r="S127" i="7"/>
  <c r="R127" i="7"/>
  <c r="T112" i="7"/>
  <c r="U112" i="7" s="1"/>
  <c r="S112" i="7"/>
  <c r="R112" i="7"/>
  <c r="T94" i="7"/>
  <c r="U94" i="7" s="1"/>
  <c r="S94" i="7"/>
  <c r="R94" i="7"/>
  <c r="T65" i="7"/>
  <c r="U65" i="7" s="1"/>
  <c r="S65" i="7"/>
  <c r="R65" i="7"/>
  <c r="T57" i="7"/>
  <c r="U57" i="7" s="1"/>
  <c r="S57" i="7"/>
  <c r="R57" i="7"/>
  <c r="T53" i="7"/>
  <c r="U53" i="7" s="1"/>
  <c r="S53" i="7"/>
  <c r="R53" i="7"/>
  <c r="T44" i="7"/>
  <c r="U44" i="7" s="1"/>
  <c r="S44" i="7"/>
  <c r="R44" i="7"/>
  <c r="T40" i="7"/>
  <c r="U40" i="7" s="1"/>
  <c r="S40" i="7"/>
  <c r="R40" i="7"/>
  <c r="T29" i="7"/>
  <c r="U29" i="7" s="1"/>
  <c r="S29" i="7"/>
  <c r="R29" i="7"/>
  <c r="T18" i="7"/>
  <c r="U18" i="7" s="1"/>
  <c r="S18" i="7"/>
  <c r="R18" i="7"/>
  <c r="T83" i="7"/>
  <c r="U83" i="7" s="1"/>
  <c r="S83" i="7"/>
  <c r="R83" i="7"/>
  <c r="T71" i="7"/>
  <c r="U71" i="7" s="1"/>
  <c r="S71" i="7"/>
  <c r="R71" i="7"/>
  <c r="T180" i="7"/>
  <c r="U180" i="7" s="1"/>
  <c r="S180" i="7"/>
  <c r="R180" i="7"/>
  <c r="T178" i="7"/>
  <c r="U178" i="7" s="1"/>
  <c r="S178" i="7"/>
  <c r="R178" i="7"/>
  <c r="T176" i="7"/>
  <c r="U176" i="7" s="1"/>
  <c r="S176" i="7"/>
  <c r="R176" i="7"/>
  <c r="T174" i="7"/>
  <c r="U174" i="7" s="1"/>
  <c r="S174" i="7"/>
  <c r="R174" i="7"/>
  <c r="T172" i="7"/>
  <c r="U172" i="7" s="1"/>
  <c r="S172" i="7"/>
  <c r="R172" i="7"/>
  <c r="T169" i="7"/>
  <c r="U169" i="7" s="1"/>
  <c r="S169" i="7"/>
  <c r="R169" i="7"/>
  <c r="T165" i="7"/>
  <c r="U165" i="7" s="1"/>
  <c r="S165" i="7"/>
  <c r="R165" i="7"/>
  <c r="T163" i="7"/>
  <c r="U163" i="7" s="1"/>
  <c r="S163" i="7"/>
  <c r="R163" i="7"/>
  <c r="T161" i="7"/>
  <c r="U161" i="7" s="1"/>
  <c r="S161" i="7"/>
  <c r="R161" i="7"/>
  <c r="T159" i="7"/>
  <c r="U159" i="7" s="1"/>
  <c r="S159" i="7"/>
  <c r="R159" i="7"/>
  <c r="T157" i="7"/>
  <c r="U157" i="7" s="1"/>
  <c r="S157" i="7"/>
  <c r="R157" i="7"/>
  <c r="T154" i="7"/>
  <c r="U154" i="7" s="1"/>
  <c r="S154" i="7"/>
  <c r="R154" i="7"/>
  <c r="T150" i="7"/>
  <c r="U150" i="7" s="1"/>
  <c r="S150" i="7"/>
  <c r="R150" i="7"/>
  <c r="T148" i="7"/>
  <c r="U148" i="7" s="1"/>
  <c r="S148" i="7"/>
  <c r="R148" i="7"/>
  <c r="T146" i="7"/>
  <c r="U146" i="7" s="1"/>
  <c r="S146" i="7"/>
  <c r="R146" i="7"/>
  <c r="T144" i="7"/>
  <c r="U144" i="7" s="1"/>
  <c r="S144" i="7"/>
  <c r="R144" i="7"/>
  <c r="T142" i="7"/>
  <c r="U142" i="7" s="1"/>
  <c r="S142" i="7"/>
  <c r="R142" i="7"/>
  <c r="T137" i="7"/>
  <c r="U137" i="7" s="1"/>
  <c r="S137" i="7"/>
  <c r="R137" i="7"/>
  <c r="T134" i="7"/>
  <c r="U134" i="7" s="1"/>
  <c r="S134" i="7"/>
  <c r="R134" i="7"/>
  <c r="T132" i="7"/>
  <c r="U132" i="7" s="1"/>
  <c r="S132" i="7"/>
  <c r="R132" i="7"/>
  <c r="T130" i="7"/>
  <c r="U130" i="7" s="1"/>
  <c r="S130" i="7"/>
  <c r="R130" i="7"/>
  <c r="T128" i="7"/>
  <c r="U128" i="7" s="1"/>
  <c r="S128" i="7"/>
  <c r="R128" i="7"/>
  <c r="T126" i="7"/>
  <c r="U126" i="7" s="1"/>
  <c r="S126" i="7"/>
  <c r="R126" i="7"/>
  <c r="T122" i="7"/>
  <c r="U122" i="7" s="1"/>
  <c r="S122" i="7"/>
  <c r="R122" i="7"/>
  <c r="T118" i="7"/>
  <c r="U118" i="7" s="1"/>
  <c r="S118" i="7"/>
  <c r="R118" i="7"/>
  <c r="T116" i="7"/>
  <c r="U116" i="7" s="1"/>
  <c r="S116" i="7"/>
  <c r="R116" i="7"/>
  <c r="T114" i="7"/>
  <c r="U114" i="7" s="1"/>
  <c r="S114" i="7"/>
  <c r="R114" i="7"/>
  <c r="T111" i="7"/>
  <c r="U111" i="7" s="1"/>
  <c r="S111" i="7"/>
  <c r="R111" i="7"/>
  <c r="T107" i="7"/>
  <c r="U107" i="7" s="1"/>
  <c r="S107" i="7"/>
  <c r="R107" i="7"/>
  <c r="T104" i="7"/>
  <c r="U104" i="7" s="1"/>
  <c r="S104" i="7"/>
  <c r="R104" i="7"/>
  <c r="T99" i="7"/>
  <c r="U99" i="7" s="1"/>
  <c r="S99" i="7"/>
  <c r="R99" i="7"/>
  <c r="T97" i="7"/>
  <c r="U97" i="7" s="1"/>
  <c r="S97" i="7"/>
  <c r="R97" i="7"/>
  <c r="T95" i="7"/>
  <c r="U95" i="7" s="1"/>
  <c r="S95" i="7"/>
  <c r="R95" i="7"/>
  <c r="T93" i="7"/>
  <c r="U93" i="7" s="1"/>
  <c r="S93" i="7"/>
  <c r="R93" i="7"/>
  <c r="T91" i="7"/>
  <c r="U91" i="7" s="1"/>
  <c r="S91" i="7"/>
  <c r="R91" i="7"/>
  <c r="T86" i="7"/>
  <c r="U86" i="7" s="1"/>
  <c r="S86" i="7"/>
  <c r="R86" i="7"/>
  <c r="T85" i="7"/>
  <c r="U85" i="7" s="1"/>
  <c r="S85" i="7"/>
  <c r="R85" i="7"/>
  <c r="T84" i="7"/>
  <c r="U84" i="7" s="1"/>
  <c r="S84" i="7"/>
  <c r="R84" i="7"/>
  <c r="T77" i="7"/>
  <c r="U77" i="7" s="1"/>
  <c r="S77" i="7"/>
  <c r="R77" i="7"/>
  <c r="T75" i="7"/>
  <c r="U75" i="7" s="1"/>
  <c r="S75" i="7"/>
  <c r="R75" i="7"/>
  <c r="T74" i="7"/>
  <c r="U74" i="7" s="1"/>
  <c r="S74" i="7"/>
  <c r="R74" i="7"/>
  <c r="T73" i="7"/>
  <c r="U73" i="7" s="1"/>
  <c r="S73" i="7"/>
  <c r="R73" i="7"/>
  <c r="T72" i="7"/>
  <c r="U72" i="7" s="1"/>
  <c r="S72" i="7"/>
  <c r="R72" i="7"/>
  <c r="T66" i="7"/>
  <c r="U66" i="7" s="1"/>
  <c r="S66" i="7"/>
  <c r="R66" i="7"/>
  <c r="T64" i="7"/>
  <c r="U64" i="7" s="1"/>
  <c r="S64" i="7"/>
  <c r="R64" i="7"/>
  <c r="T63" i="7"/>
  <c r="U63" i="7" s="1"/>
  <c r="S63" i="7"/>
  <c r="R63" i="7"/>
  <c r="T54" i="7"/>
  <c r="U54" i="7" s="1"/>
  <c r="S54" i="7"/>
  <c r="R54" i="7"/>
  <c r="T51" i="7"/>
  <c r="U51" i="7" s="1"/>
  <c r="S51" i="7"/>
  <c r="R51" i="7"/>
  <c r="T50" i="7"/>
  <c r="U50" i="7" s="1"/>
  <c r="S50" i="7"/>
  <c r="R50" i="7"/>
  <c r="T41" i="7"/>
  <c r="U41" i="7" s="1"/>
  <c r="S41" i="7"/>
  <c r="R41" i="7"/>
  <c r="T38" i="7"/>
  <c r="U38" i="7" s="1"/>
  <c r="S38" i="7"/>
  <c r="R38" i="7"/>
  <c r="T37" i="7"/>
  <c r="U37" i="7" s="1"/>
  <c r="S37" i="7"/>
  <c r="R37" i="7"/>
  <c r="T30" i="7"/>
  <c r="U30" i="7" s="1"/>
  <c r="S30" i="7"/>
  <c r="R30" i="7"/>
  <c r="T27" i="7"/>
  <c r="U27" i="7" s="1"/>
  <c r="S27" i="7"/>
  <c r="R27" i="7"/>
  <c r="T26" i="7"/>
  <c r="U26" i="7" s="1"/>
  <c r="S26" i="7"/>
  <c r="R26" i="7"/>
  <c r="T19" i="7"/>
  <c r="U19" i="7" s="1"/>
  <c r="S19" i="7"/>
  <c r="R19" i="7"/>
  <c r="T16" i="7"/>
  <c r="U16" i="7" s="1"/>
  <c r="S16" i="7"/>
  <c r="R16" i="7"/>
  <c r="T15" i="7"/>
  <c r="U15" i="7" s="1"/>
  <c r="S15" i="7"/>
  <c r="R15" i="7"/>
  <c r="T11" i="7"/>
  <c r="U11" i="7" s="1"/>
  <c r="S11" i="7"/>
  <c r="R11" i="7"/>
  <c r="T6" i="7"/>
  <c r="U6" i="7" s="1"/>
  <c r="S6" i="7"/>
  <c r="R6" i="7"/>
  <c r="T168" i="7"/>
  <c r="U168" i="7" s="1"/>
  <c r="S168" i="7"/>
  <c r="R168" i="7"/>
  <c r="T153" i="7"/>
  <c r="U153" i="7" s="1"/>
  <c r="S153" i="7"/>
  <c r="R153" i="7"/>
  <c r="T139" i="7"/>
  <c r="U139" i="7" s="1"/>
  <c r="S139" i="7"/>
  <c r="R139" i="7"/>
  <c r="T121" i="7"/>
  <c r="U121" i="7" s="1"/>
  <c r="S121" i="7"/>
  <c r="R121" i="7"/>
  <c r="T102" i="7"/>
  <c r="U102" i="7" s="1"/>
  <c r="S102" i="7"/>
  <c r="R102" i="7"/>
  <c r="T88" i="7"/>
  <c r="U88" i="7" s="1"/>
  <c r="S88" i="7"/>
  <c r="R88" i="7"/>
  <c r="T80" i="7"/>
  <c r="U80" i="7" s="1"/>
  <c r="S80" i="7"/>
  <c r="R80" i="7"/>
  <c r="T69" i="7"/>
  <c r="U69" i="7" s="1"/>
  <c r="S69" i="7"/>
  <c r="R69" i="7"/>
  <c r="T58" i="7"/>
  <c r="U58" i="7" s="1"/>
  <c r="S58" i="7"/>
  <c r="R58" i="7"/>
  <c r="T45" i="7"/>
  <c r="U45" i="7" s="1"/>
  <c r="S45" i="7"/>
  <c r="R45" i="7"/>
  <c r="T33" i="7"/>
  <c r="U33" i="7" s="1"/>
  <c r="S33" i="7"/>
  <c r="R33" i="7"/>
  <c r="T22" i="7"/>
  <c r="U22" i="7" s="1"/>
  <c r="S22" i="7"/>
  <c r="R22" i="7"/>
  <c r="Q183" i="7"/>
  <c r="T5" i="7"/>
  <c r="S5" i="7"/>
  <c r="S183" i="7" s="1"/>
  <c r="R5" i="7"/>
  <c r="R183" i="7" s="1"/>
  <c r="T182" i="7"/>
  <c r="U182" i="7" s="1"/>
  <c r="S182" i="7"/>
  <c r="R182" i="7"/>
  <c r="T171" i="7"/>
  <c r="U171" i="7" s="1"/>
  <c r="S171" i="7"/>
  <c r="R171" i="7"/>
  <c r="T167" i="7"/>
  <c r="U167" i="7" s="1"/>
  <c r="S167" i="7"/>
  <c r="R167" i="7"/>
  <c r="T155" i="7"/>
  <c r="U155" i="7" s="1"/>
  <c r="S155" i="7"/>
  <c r="R155" i="7"/>
  <c r="T152" i="7"/>
  <c r="U152" i="7" s="1"/>
  <c r="S152" i="7"/>
  <c r="R152" i="7"/>
  <c r="T140" i="7"/>
  <c r="U140" i="7" s="1"/>
  <c r="S140" i="7"/>
  <c r="R140" i="7"/>
  <c r="T136" i="7"/>
  <c r="U136" i="7" s="1"/>
  <c r="S136" i="7"/>
  <c r="R136" i="7"/>
  <c r="T124" i="7"/>
  <c r="U124" i="7" s="1"/>
  <c r="S124" i="7"/>
  <c r="R124" i="7"/>
  <c r="T120" i="7"/>
  <c r="U120" i="7" s="1"/>
  <c r="S120" i="7"/>
  <c r="R120" i="7"/>
  <c r="T106" i="7"/>
  <c r="U106" i="7" s="1"/>
  <c r="S106" i="7"/>
  <c r="R106" i="7"/>
  <c r="T101" i="7"/>
  <c r="U101" i="7" s="1"/>
  <c r="S101" i="7"/>
  <c r="R101" i="7"/>
  <c r="T90" i="7"/>
  <c r="U90" i="7" s="1"/>
  <c r="S90" i="7"/>
  <c r="R90" i="7"/>
  <c r="T87" i="7"/>
  <c r="U87" i="7" s="1"/>
  <c r="S87" i="7"/>
  <c r="R87" i="7"/>
  <c r="T79" i="7"/>
  <c r="U79" i="7" s="1"/>
  <c r="S79" i="7"/>
  <c r="R79" i="7"/>
  <c r="T76" i="7"/>
  <c r="U76" i="7" s="1"/>
  <c r="S76" i="7"/>
  <c r="R76" i="7"/>
  <c r="T62" i="7"/>
  <c r="U62" i="7" s="1"/>
  <c r="S62" i="7"/>
  <c r="R62" i="7"/>
  <c r="T61" i="7"/>
  <c r="U61" i="7" s="1"/>
  <c r="S61" i="7"/>
  <c r="R61" i="7"/>
  <c r="T60" i="7"/>
  <c r="U60" i="7" s="1"/>
  <c r="S60" i="7"/>
  <c r="R60" i="7"/>
  <c r="T49" i="7"/>
  <c r="U49" i="7" s="1"/>
  <c r="S49" i="7"/>
  <c r="R49" i="7"/>
  <c r="T48" i="7"/>
  <c r="U48" i="7" s="1"/>
  <c r="S48" i="7"/>
  <c r="R48" i="7"/>
  <c r="T47" i="7"/>
  <c r="U47" i="7" s="1"/>
  <c r="S47" i="7"/>
  <c r="R47" i="7"/>
  <c r="T46" i="7"/>
  <c r="U46" i="7" s="1"/>
  <c r="S46" i="7"/>
  <c r="R46" i="7"/>
  <c r="T36" i="7"/>
  <c r="U36" i="7" s="1"/>
  <c r="S36" i="7"/>
  <c r="R36" i="7"/>
  <c r="T35" i="7"/>
  <c r="U35" i="7" s="1"/>
  <c r="S35" i="7"/>
  <c r="R35" i="7"/>
  <c r="T34" i="7"/>
  <c r="U34" i="7" s="1"/>
  <c r="S34" i="7"/>
  <c r="R34" i="7"/>
  <c r="T25" i="7"/>
  <c r="U25" i="7" s="1"/>
  <c r="S25" i="7"/>
  <c r="R25" i="7"/>
  <c r="T24" i="7"/>
  <c r="U24" i="7" s="1"/>
  <c r="S24" i="7"/>
  <c r="R24" i="7"/>
  <c r="T23" i="7"/>
  <c r="U23" i="7" s="1"/>
  <c r="S23" i="7"/>
  <c r="R23" i="7"/>
  <c r="T14" i="7"/>
  <c r="U14" i="7" s="1"/>
  <c r="S14" i="7"/>
  <c r="R14" i="7"/>
  <c r="T13" i="7"/>
  <c r="U13" i="7" s="1"/>
  <c r="S13" i="7"/>
  <c r="R13" i="7"/>
  <c r="T12" i="7"/>
  <c r="U12" i="7" s="1"/>
  <c r="S12" i="7"/>
  <c r="R12" i="7"/>
  <c r="T10" i="7"/>
  <c r="U10" i="7" s="1"/>
  <c r="S10" i="7"/>
  <c r="R10" i="7"/>
  <c r="T183" i="7" l="1"/>
  <c r="P183" i="7" s="1"/>
  <c r="U5" i="7"/>
  <c r="U183" i="7" s="1"/>
  <c r="T181" i="6"/>
  <c r="P181" i="6" s="1"/>
  <c r="U5" i="6"/>
  <c r="U181" i="6" s="1"/>
  <c r="T236" i="5"/>
  <c r="P236" i="5" s="1"/>
  <c r="U5" i="5"/>
  <c r="U236" i="5" s="1"/>
  <c r="N65" i="4"/>
  <c r="M65" i="4"/>
  <c r="J30" i="4"/>
  <c r="F6" i="9" s="1"/>
  <c r="N6" i="9" s="1"/>
  <c r="E8" i="17"/>
  <c r="L15" i="15"/>
  <c r="E7" i="17"/>
  <c r="L15" i="14"/>
  <c r="M16" i="9"/>
  <c r="O16" i="9"/>
  <c r="R16" i="9"/>
  <c r="S16" i="9"/>
  <c r="S17" i="9"/>
  <c r="R17" i="9"/>
  <c r="I16" i="9"/>
  <c r="K16" i="9"/>
  <c r="P16" i="9"/>
  <c r="P17" i="9"/>
  <c r="G16" i="9"/>
  <c r="H16" i="9"/>
  <c r="L16" i="9"/>
  <c r="Q16" i="9"/>
  <c r="Q17" i="9"/>
  <c r="M11" i="9"/>
  <c r="O11" i="9"/>
  <c r="R11" i="9"/>
  <c r="S11" i="9"/>
  <c r="S12" i="9"/>
  <c r="R12" i="9"/>
  <c r="I11" i="9"/>
  <c r="K11" i="9"/>
  <c r="P11" i="9"/>
  <c r="P12" i="9"/>
  <c r="G11" i="9"/>
  <c r="H11" i="9"/>
  <c r="L11" i="9"/>
  <c r="Q11" i="9"/>
  <c r="Q12" i="9"/>
  <c r="M6" i="9"/>
  <c r="O6" i="9"/>
  <c r="R6" i="9"/>
  <c r="S6" i="9"/>
  <c r="S7" i="9"/>
  <c r="S20" i="9"/>
  <c r="R7" i="9"/>
  <c r="R20" i="9"/>
  <c r="G4" i="11"/>
  <c r="J4" i="11"/>
  <c r="K4" i="11"/>
  <c r="K6" i="11"/>
  <c r="J6" i="11"/>
  <c r="G6" i="11"/>
  <c r="E4" i="17"/>
  <c r="E10" i="17"/>
  <c r="I6" i="9"/>
  <c r="K6" i="9"/>
  <c r="P6" i="9"/>
  <c r="P7" i="9"/>
  <c r="P20" i="9"/>
  <c r="E4" i="11"/>
  <c r="E6" i="11"/>
  <c r="C4" i="17"/>
  <c r="C10" i="17"/>
  <c r="G6" i="9"/>
  <c r="H6" i="9"/>
  <c r="L6" i="9"/>
  <c r="Q6" i="9"/>
  <c r="Q7" i="9"/>
  <c r="Q20" i="9"/>
  <c r="F4" i="11"/>
  <c r="F6" i="11"/>
  <c r="B4" i="17"/>
  <c r="B10" i="17"/>
  <c r="B12" i="17"/>
</calcChain>
</file>

<file path=xl/sharedStrings.xml><?xml version="1.0" encoding="utf-8"?>
<sst xmlns="http://schemas.openxmlformats.org/spreadsheetml/2006/main" count="7725" uniqueCount="717">
  <si>
    <t>Voorblad informatie</t>
  </si>
  <si>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</si>
  <si>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</si>
  <si>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</si>
  <si>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</si>
  <si>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</si>
  <si>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</si>
  <si>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</si>
  <si>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</si>
  <si>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</si>
  <si>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</si>
  <si>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237J</t>
  </si>
  <si>
    <t>225J</t>
  </si>
  <si>
    <t>4W</t>
  </si>
  <si>
    <t>200J</t>
  </si>
  <si>
    <t>3W</t>
  </si>
  <si>
    <t>2W</t>
  </si>
  <si>
    <t>100J</t>
  </si>
  <si>
    <t>85J</t>
  </si>
  <si>
    <t>1W</t>
  </si>
  <si>
    <t>26J</t>
  </si>
  <si>
    <t>24J</t>
  </si>
  <si>
    <t>19J</t>
  </si>
  <si>
    <t>16J</t>
  </si>
  <si>
    <t>14J</t>
  </si>
  <si>
    <t>12J</t>
  </si>
  <si>
    <t>8J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</si>
  <si>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</si>
  <si>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</si>
  <si>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</si>
  <si>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</si>
  <si>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</si>
  <si>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</si>
  <si>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</si>
  <si>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</si>
  <si>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</si>
  <si>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</si>
  <si>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</si>
  <si>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</si>
  <si>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</si>
  <si>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</si>
  <si>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</si>
  <si>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</si>
  <si>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</si>
  <si>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</si>
  <si>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</si>
  <si>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</si>
  <si>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</si>
  <si>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</si>
  <si>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</si>
  <si>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</si>
  <si>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MHB</t>
  </si>
  <si>
    <t>Muktifunctionele -/recreatieruimte - harde vloeren (basis)</t>
  </si>
  <si>
    <t>MHV</t>
  </si>
  <si>
    <t>Multifunctionele -/recreatieruimte - harde vloeren (volledig)</t>
  </si>
  <si>
    <t>OHB</t>
  </si>
  <si>
    <t>Vergader-/spreek-/overlegruimte harde vloeren basis</t>
  </si>
  <si>
    <t>OHV</t>
  </si>
  <si>
    <t>Vergader-/spreek-/overlegruimte harde vloeren (volledig)</t>
  </si>
  <si>
    <t>LHB</t>
  </si>
  <si>
    <t xml:space="preserve">L    </t>
  </si>
  <si>
    <t>Leslokalen/studieruimte hard (basis)</t>
  </si>
  <si>
    <t>LHV</t>
  </si>
  <si>
    <t>Leslokalen/studieruimte hard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</si>
  <si>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</si>
  <si>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</si>
  <si>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</si>
  <si>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</si>
  <si>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</si>
  <si>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SHB</t>
  </si>
  <si>
    <t>Sanitaire ruimte basis</t>
  </si>
  <si>
    <t>SHV</t>
  </si>
  <si>
    <t>Sanitaire ruimte (volledig)</t>
  </si>
  <si>
    <t>AHB</t>
  </si>
  <si>
    <t xml:space="preserve">V    </t>
  </si>
  <si>
    <t>Archief/bergruimte/magazijn- harde basis</t>
  </si>
  <si>
    <t>AHV</t>
  </si>
  <si>
    <t>Archief/bergruimte/magazijn - harde vloeren (volledig)</t>
  </si>
  <si>
    <t>EHB</t>
  </si>
  <si>
    <t>Entree - harde vloeren basis</t>
  </si>
  <si>
    <t>EHV</t>
  </si>
  <si>
    <t>Entree - harde vloeren (volledig)</t>
  </si>
  <si>
    <t>IHB</t>
  </si>
  <si>
    <t>Lift - harde vloeren (basis)</t>
  </si>
  <si>
    <t>IHV</t>
  </si>
  <si>
    <t>Lift - harde vloeren (volledig)</t>
  </si>
  <si>
    <t>PHB</t>
  </si>
  <si>
    <t>Pantry/keuken - harde vloeren (basis)</t>
  </si>
  <si>
    <t>PHV</t>
  </si>
  <si>
    <t>Pantry/keuken - harde vloeren (volledig)</t>
  </si>
  <si>
    <t>RHB</t>
  </si>
  <si>
    <t>Personeelsrestaurant/kantine harde vloeren basis</t>
  </si>
  <si>
    <t>RHV</t>
  </si>
  <si>
    <t>Personeelsrestaurant/kantine harde vloeren (volledig)</t>
  </si>
  <si>
    <t>RZB</t>
  </si>
  <si>
    <t>Personeelsrestaurant/kantine zachte voeren (basis)</t>
  </si>
  <si>
    <t>RZV</t>
  </si>
  <si>
    <t>Personeelsrestaurant/kantine zachte voeren (volledig)</t>
  </si>
  <si>
    <t>THB</t>
  </si>
  <si>
    <t>Trappenhuis harde vloeren basis</t>
  </si>
  <si>
    <t>THV</t>
  </si>
  <si>
    <t>Trappenhuis harde vloeren (volledig)</t>
  </si>
  <si>
    <t>VHB</t>
  </si>
  <si>
    <t>Verkeersruimte harde vloeren basis</t>
  </si>
  <si>
    <t>VHV</t>
  </si>
  <si>
    <t>Verkeersruimte harde vloeren (volledig)</t>
  </si>
  <si>
    <t xml:space="preserve">WERKDAG FEEST       </t>
  </si>
  <si>
    <t>FBHB</t>
  </si>
  <si>
    <t>kantoorruime- harde vloeren basis</t>
  </si>
  <si>
    <t>FMHB</t>
  </si>
  <si>
    <t>FDHB</t>
  </si>
  <si>
    <t>FSHB</t>
  </si>
  <si>
    <t>FEHB</t>
  </si>
  <si>
    <t>FIHB</t>
  </si>
  <si>
    <t>Lift -  harde vloeren basis</t>
  </si>
  <si>
    <t>FPHB</t>
  </si>
  <si>
    <t>FRHB</t>
  </si>
  <si>
    <t>Personeelsrestaurant/kantine harde vloeren (basis)</t>
  </si>
  <si>
    <t>FTHB</t>
  </si>
  <si>
    <t>FVHB</t>
  </si>
  <si>
    <t xml:space="preserve">WEEKENDDAG          </t>
  </si>
  <si>
    <t>WBHB</t>
  </si>
  <si>
    <t>WMHB</t>
  </si>
  <si>
    <t>WDHB</t>
  </si>
  <si>
    <t>WSHB</t>
  </si>
  <si>
    <t>WEHB</t>
  </si>
  <si>
    <t>WIHB</t>
  </si>
  <si>
    <t>WPHB</t>
  </si>
  <si>
    <t>WRHB</t>
  </si>
  <si>
    <t>WTHB</t>
  </si>
  <si>
    <t>WVHB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</si>
  <si>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</si>
  <si>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</si>
  <si>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</si>
  <si>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</si>
  <si>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</si>
  <si>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</si>
  <si>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</si>
  <si>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</si>
  <si>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</si>
  <si>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</si>
  <si>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</si>
  <si>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BH</t>
  </si>
  <si>
    <t>Kantoorruimte harde vloeren</t>
  </si>
  <si>
    <t>BZ</t>
  </si>
  <si>
    <t>Kantoorruimte zachte vloeren</t>
  </si>
  <si>
    <t>DH</t>
  </si>
  <si>
    <t>Douche/wasruimte harde vloeren</t>
  </si>
  <si>
    <t>EH</t>
  </si>
  <si>
    <t>Entree harde vloeren</t>
  </si>
  <si>
    <t>IH</t>
  </si>
  <si>
    <t>Lift harde vloeren</t>
  </si>
  <si>
    <t>LH</t>
  </si>
  <si>
    <t>Leslokaal/studieruimte hardev loer</t>
  </si>
  <si>
    <t>MH</t>
  </si>
  <si>
    <t>Multifuncitonele - /recreatieruimte</t>
  </si>
  <si>
    <t>OH</t>
  </si>
  <si>
    <t>Vergader-/spreek-/overlegruimte harde vloeren</t>
  </si>
  <si>
    <t>PH</t>
  </si>
  <si>
    <t>Pantry/keuken harde vloeren</t>
  </si>
  <si>
    <t>RH</t>
  </si>
  <si>
    <t>Personeelsrestaurant/kantine harde vloeren</t>
  </si>
  <si>
    <t>RZ</t>
  </si>
  <si>
    <t>Personeelsrestaurant/kantine zachte vloeren</t>
  </si>
  <si>
    <t>SH</t>
  </si>
  <si>
    <t>Sanitaire ruimte/toiletten harde vloer</t>
  </si>
  <si>
    <t>TH</t>
  </si>
  <si>
    <t>Trap(penhuis) harde vloeren</t>
  </si>
  <si>
    <t>VH</t>
  </si>
  <si>
    <t>Verkeersruimte/garderobe harde vloeren</t>
  </si>
  <si>
    <t xml:space="preserve">Totaal werkdag             </t>
  </si>
  <si>
    <t xml:space="preserve">Gemiddeld uurtarief werkdag             </t>
  </si>
  <si>
    <t>FBH</t>
  </si>
  <si>
    <t>Kantoor harde vloeren</t>
  </si>
  <si>
    <t>FDH</t>
  </si>
  <si>
    <t>FEH</t>
  </si>
  <si>
    <t>FIH</t>
  </si>
  <si>
    <t>FMH</t>
  </si>
  <si>
    <t>FPH</t>
  </si>
  <si>
    <t>FRH</t>
  </si>
  <si>
    <t>FSH</t>
  </si>
  <si>
    <t>FTH</t>
  </si>
  <si>
    <t>FVH</t>
  </si>
  <si>
    <t xml:space="preserve">Totaal werkdag Feest       </t>
  </si>
  <si>
    <t xml:space="preserve">Gemiddeld uurtarief werkdag Feest       </t>
  </si>
  <si>
    <t>WBH</t>
  </si>
  <si>
    <t>WDH</t>
  </si>
  <si>
    <t>WEH</t>
  </si>
  <si>
    <t>WIH</t>
  </si>
  <si>
    <t>WMH</t>
  </si>
  <si>
    <t>WPH</t>
  </si>
  <si>
    <t>WRH</t>
  </si>
  <si>
    <t>WSH</t>
  </si>
  <si>
    <t>WTH</t>
  </si>
  <si>
    <t>WVH</t>
  </si>
  <si>
    <t xml:space="preserve">Totaal weekenddag          </t>
  </si>
  <si>
    <t xml:space="preserve">Gemiddeld uurtarief weekenddag      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</si>
  <si>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</si>
  <si>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</si>
  <si>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</si>
  <si>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</si>
  <si>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</si>
  <si>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</si>
  <si>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</si>
  <si>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</si>
  <si>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</si>
  <si>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UREN HOOG-FREQUENT/ DAG</t>
  </si>
  <si>
    <t>100 - Opvang Oekrainers, Meppel</t>
  </si>
  <si>
    <t>100</t>
  </si>
  <si>
    <t/>
  </si>
  <si>
    <t>00</t>
  </si>
  <si>
    <t>R00.002</t>
  </si>
  <si>
    <t>Hoofdtrappenhuis</t>
  </si>
  <si>
    <t>linoleum</t>
  </si>
  <si>
    <t>R00.002A/B/C</t>
  </si>
  <si>
    <t>Gang</t>
  </si>
  <si>
    <t>R00.006</t>
  </si>
  <si>
    <t>Speelruimte</t>
  </si>
  <si>
    <t>R00.007</t>
  </si>
  <si>
    <t>Kantoor</t>
  </si>
  <si>
    <t>R00.010</t>
  </si>
  <si>
    <t>Voorraad</t>
  </si>
  <si>
    <t>R00.011</t>
  </si>
  <si>
    <t>Vooraad</t>
  </si>
  <si>
    <t>R00.012</t>
  </si>
  <si>
    <t>Opslag zh bedden</t>
  </si>
  <si>
    <t>R00.021021/A</t>
  </si>
  <si>
    <t>vloerbedekking</t>
  </si>
  <si>
    <t>R00.022</t>
  </si>
  <si>
    <t>R00.023</t>
  </si>
  <si>
    <t>R00.024</t>
  </si>
  <si>
    <t>R00.025</t>
  </si>
  <si>
    <t>R00.026/027</t>
  </si>
  <si>
    <t>Toiletgroep</t>
  </si>
  <si>
    <t>tegels</t>
  </si>
  <si>
    <t>R00.034</t>
  </si>
  <si>
    <t>Lift</t>
  </si>
  <si>
    <t>R00.035</t>
  </si>
  <si>
    <t>R00.040</t>
  </si>
  <si>
    <t>Recreatieruimte</t>
  </si>
  <si>
    <t>R00.052</t>
  </si>
  <si>
    <t>R00.052A</t>
  </si>
  <si>
    <t>Toilet personeel</t>
  </si>
  <si>
    <t>RF00.020</t>
  </si>
  <si>
    <t>RF00.023</t>
  </si>
  <si>
    <t>RF00.040</t>
  </si>
  <si>
    <t>Cursusruimte</t>
  </si>
  <si>
    <t>RF00.042</t>
  </si>
  <si>
    <t>01</t>
  </si>
  <si>
    <t>R01.001</t>
  </si>
  <si>
    <t>Hal</t>
  </si>
  <si>
    <t>R01.002</t>
  </si>
  <si>
    <t>R01.002A</t>
  </si>
  <si>
    <t>R01.005</t>
  </si>
  <si>
    <t>Toilet</t>
  </si>
  <si>
    <t>R01.008</t>
  </si>
  <si>
    <t>R01.008A</t>
  </si>
  <si>
    <t>Douche</t>
  </si>
  <si>
    <t>R01.009</t>
  </si>
  <si>
    <t>Wasruimte</t>
  </si>
  <si>
    <t>R01.011</t>
  </si>
  <si>
    <t>Keuken</t>
  </si>
  <si>
    <t>R01.016</t>
  </si>
  <si>
    <t>R01.016a</t>
  </si>
  <si>
    <t>R01.017</t>
  </si>
  <si>
    <t>R01.029</t>
  </si>
  <si>
    <t>Trappenhuis</t>
  </si>
  <si>
    <t>02</t>
  </si>
  <si>
    <t>R02.001</t>
  </si>
  <si>
    <t>R02.002</t>
  </si>
  <si>
    <t>R02.002A</t>
  </si>
  <si>
    <t>R02.005</t>
  </si>
  <si>
    <t>R02.008</t>
  </si>
  <si>
    <t>R02.008A</t>
  </si>
  <si>
    <t>R02.009</t>
  </si>
  <si>
    <t>R02.011</t>
  </si>
  <si>
    <t>R02.016</t>
  </si>
  <si>
    <t>R02.016A</t>
  </si>
  <si>
    <t>R02.017</t>
  </si>
  <si>
    <t>R02.029</t>
  </si>
  <si>
    <t>03</t>
  </si>
  <si>
    <t>R03.001</t>
  </si>
  <si>
    <t>R03.002</t>
  </si>
  <si>
    <t>R03.002A</t>
  </si>
  <si>
    <t>R03.005</t>
  </si>
  <si>
    <t>R03.008</t>
  </si>
  <si>
    <t>R03.008A</t>
  </si>
  <si>
    <t>R03.009</t>
  </si>
  <si>
    <t>R03.011</t>
  </si>
  <si>
    <t>R03.016</t>
  </si>
  <si>
    <t>R03.016A</t>
  </si>
  <si>
    <t>R03.017</t>
  </si>
  <si>
    <t>R03.028</t>
  </si>
  <si>
    <t>R03.029</t>
  </si>
  <si>
    <t>04</t>
  </si>
  <si>
    <t>R04.001</t>
  </si>
  <si>
    <t>R04.002A</t>
  </si>
  <si>
    <t>R04.005</t>
  </si>
  <si>
    <t>R04.008</t>
  </si>
  <si>
    <t>R04.008a</t>
  </si>
  <si>
    <t>R04.009</t>
  </si>
  <si>
    <t>R04.011</t>
  </si>
  <si>
    <t>R04.016</t>
  </si>
  <si>
    <t>R04.016a</t>
  </si>
  <si>
    <t>R04.017</t>
  </si>
  <si>
    <t>R04.028</t>
  </si>
  <si>
    <t>R04.029</t>
  </si>
  <si>
    <t>05</t>
  </si>
  <si>
    <t>R0454.008a</t>
  </si>
  <si>
    <t>R05.001</t>
  </si>
  <si>
    <t>R05.002</t>
  </si>
  <si>
    <t>R05.002A</t>
  </si>
  <si>
    <t>R05.005</t>
  </si>
  <si>
    <t>R05.008</t>
  </si>
  <si>
    <t>R05.009</t>
  </si>
  <si>
    <t>R05.011</t>
  </si>
  <si>
    <t>R05.016</t>
  </si>
  <si>
    <t>R05.016a</t>
  </si>
  <si>
    <t>R05.017</t>
  </si>
  <si>
    <t>R05.029</t>
  </si>
  <si>
    <t>B</t>
  </si>
  <si>
    <t>A00.003</t>
  </si>
  <si>
    <t>Receptie</t>
  </si>
  <si>
    <t>A00.005</t>
  </si>
  <si>
    <t>Bezoekersrestaurant</t>
  </si>
  <si>
    <t>A00.006</t>
  </si>
  <si>
    <t>Keuken (leeg)</t>
  </si>
  <si>
    <t>A00.007</t>
  </si>
  <si>
    <t>A00.010</t>
  </si>
  <si>
    <t>Portaal Toilet</t>
  </si>
  <si>
    <t>A00.011</t>
  </si>
  <si>
    <t>A00.012</t>
  </si>
  <si>
    <t>A00.013</t>
  </si>
  <si>
    <t>A00.015</t>
  </si>
  <si>
    <t>Opbergruimte</t>
  </si>
  <si>
    <t>A00.016</t>
  </si>
  <si>
    <t>Postkamer</t>
  </si>
  <si>
    <t>A00.017</t>
  </si>
  <si>
    <t>A00.019</t>
  </si>
  <si>
    <t>Entree Kliniek</t>
  </si>
  <si>
    <t>A00002</t>
  </si>
  <si>
    <t>Centrale hal</t>
  </si>
  <si>
    <t>B00.001</t>
  </si>
  <si>
    <t>B00.002</t>
  </si>
  <si>
    <t>B00.002A</t>
  </si>
  <si>
    <t>C00-041</t>
  </si>
  <si>
    <t>Personeelsruimte</t>
  </si>
  <si>
    <t>C00.001</t>
  </si>
  <si>
    <t>C00.002</t>
  </si>
  <si>
    <t>C00.004</t>
  </si>
  <si>
    <t>C00.008</t>
  </si>
  <si>
    <t>Portaal toilet</t>
  </si>
  <si>
    <t>C00.010</t>
  </si>
  <si>
    <t>C00.012</t>
  </si>
  <si>
    <t>C00.013</t>
  </si>
  <si>
    <t>C00.015</t>
  </si>
  <si>
    <t>Ontmoetingsruimte</t>
  </si>
  <si>
    <t>C00.039</t>
  </si>
  <si>
    <t>Portaal</t>
  </si>
  <si>
    <t>C00.050</t>
  </si>
  <si>
    <t>C00.052</t>
  </si>
  <si>
    <t>Directiekamer</t>
  </si>
  <si>
    <t>C00.053</t>
  </si>
  <si>
    <t>E00.001</t>
  </si>
  <si>
    <t>B01.101</t>
  </si>
  <si>
    <t>B01.105</t>
  </si>
  <si>
    <t>Studeerkamer</t>
  </si>
  <si>
    <t>B01.108/106</t>
  </si>
  <si>
    <t>B01.110</t>
  </si>
  <si>
    <t>B01.115</t>
  </si>
  <si>
    <t>B01.117</t>
  </si>
  <si>
    <t>B01.119</t>
  </si>
  <si>
    <t>B01.122</t>
  </si>
  <si>
    <t>Woonruimte</t>
  </si>
  <si>
    <t>B01.123</t>
  </si>
  <si>
    <t>B01.124</t>
  </si>
  <si>
    <t>B01.130</t>
  </si>
  <si>
    <t>B01.132</t>
  </si>
  <si>
    <t>B01.133</t>
  </si>
  <si>
    <t>B01.140</t>
  </si>
  <si>
    <t>B01.140A</t>
  </si>
  <si>
    <t>B01.144</t>
  </si>
  <si>
    <t>B01.144A</t>
  </si>
  <si>
    <t>B01.147</t>
  </si>
  <si>
    <t>B02.201</t>
  </si>
  <si>
    <t>B02.205</t>
  </si>
  <si>
    <t>B02.206/7/8</t>
  </si>
  <si>
    <t>Portaal toilet + toilet</t>
  </si>
  <si>
    <t>B02.206/7/8A</t>
  </si>
  <si>
    <t>B02.21</t>
  </si>
  <si>
    <t>B02.215</t>
  </si>
  <si>
    <t>B02.216</t>
  </si>
  <si>
    <t>Vrije ruimte</t>
  </si>
  <si>
    <t>B02.219</t>
  </si>
  <si>
    <t>B02.222</t>
  </si>
  <si>
    <t>B02.223</t>
  </si>
  <si>
    <t>B02.224</t>
  </si>
  <si>
    <t>B02.230</t>
  </si>
  <si>
    <t>B02.232</t>
  </si>
  <si>
    <t>B02.233</t>
  </si>
  <si>
    <t>B02.240</t>
  </si>
  <si>
    <t>B02.240a</t>
  </si>
  <si>
    <t>B02.244</t>
  </si>
  <si>
    <t>B02.244a</t>
  </si>
  <si>
    <t>B02.247</t>
  </si>
  <si>
    <t>B03.301</t>
  </si>
  <si>
    <t>B03.305</t>
  </si>
  <si>
    <t>B03.306/7/8</t>
  </si>
  <si>
    <t>B03.306/7/8a</t>
  </si>
  <si>
    <t>B03.310</t>
  </si>
  <si>
    <t>B03.316</t>
  </si>
  <si>
    <t>B03.318</t>
  </si>
  <si>
    <t>B03.319</t>
  </si>
  <si>
    <t>B03.322</t>
  </si>
  <si>
    <t>B03.323</t>
  </si>
  <si>
    <t>B03.324</t>
  </si>
  <si>
    <t>B03.330</t>
  </si>
  <si>
    <t>B03.331</t>
  </si>
  <si>
    <t>B03.331a</t>
  </si>
  <si>
    <t>B03.332</t>
  </si>
  <si>
    <t>B03.333</t>
  </si>
  <si>
    <t>B03.340</t>
  </si>
  <si>
    <t>B03.340a</t>
  </si>
  <si>
    <t>B03.344</t>
  </si>
  <si>
    <t>B03.344a</t>
  </si>
  <si>
    <t>B03.347</t>
  </si>
  <si>
    <t>B04-408</t>
  </si>
  <si>
    <t>B04-408a</t>
  </si>
  <si>
    <t>B04.401</t>
  </si>
  <si>
    <t>B04.410</t>
  </si>
  <si>
    <t>B04.416</t>
  </si>
  <si>
    <t>B04.418</t>
  </si>
  <si>
    <t>B04.419</t>
  </si>
  <si>
    <t>B04.422</t>
  </si>
  <si>
    <t>B04.423</t>
  </si>
  <si>
    <t>B04.424</t>
  </si>
  <si>
    <t>B04.430</t>
  </si>
  <si>
    <t>B04.431</t>
  </si>
  <si>
    <t>B04.431a</t>
  </si>
  <si>
    <t>B04.432</t>
  </si>
  <si>
    <t>B04.433</t>
  </si>
  <si>
    <t>B04.440</t>
  </si>
  <si>
    <t>B04.440a</t>
  </si>
  <si>
    <t>B04.444</t>
  </si>
  <si>
    <t>B04.444a</t>
  </si>
  <si>
    <t>B04.447</t>
  </si>
  <si>
    <t>B05.501</t>
  </si>
  <si>
    <t>B05.505</t>
  </si>
  <si>
    <t>B05.506/7/8</t>
  </si>
  <si>
    <t>Portaal toilet + toilet/douche</t>
  </si>
  <si>
    <t>B05.510</t>
  </si>
  <si>
    <t>B05.516</t>
  </si>
  <si>
    <t>B05.518</t>
  </si>
  <si>
    <t>B05.519</t>
  </si>
  <si>
    <t>B05.522</t>
  </si>
  <si>
    <t>B05.523</t>
  </si>
  <si>
    <t>B05.524</t>
  </si>
  <si>
    <t>B05.530</t>
  </si>
  <si>
    <t>B05.531</t>
  </si>
  <si>
    <t>B05.531a</t>
  </si>
  <si>
    <t>B05.532</t>
  </si>
  <si>
    <t>B05.533</t>
  </si>
  <si>
    <t>B05.540</t>
  </si>
  <si>
    <t>B05.540a</t>
  </si>
  <si>
    <t>B05.544</t>
  </si>
  <si>
    <t>B05.544a</t>
  </si>
  <si>
    <t>B05.547</t>
  </si>
  <si>
    <t>06</t>
  </si>
  <si>
    <t>B06.601</t>
  </si>
  <si>
    <t>B06.605</t>
  </si>
  <si>
    <t>B06.606/7/8</t>
  </si>
  <si>
    <t>B06.606/7/8a</t>
  </si>
  <si>
    <t>B06.610</t>
  </si>
  <si>
    <t>B06.615</t>
  </si>
  <si>
    <t>B06.616</t>
  </si>
  <si>
    <t>B06.618</t>
  </si>
  <si>
    <t>B06.619</t>
  </si>
  <si>
    <t>B06.622</t>
  </si>
  <si>
    <t>B06.623</t>
  </si>
  <si>
    <t>B06.624</t>
  </si>
  <si>
    <t>B06.630</t>
  </si>
  <si>
    <t>B06.631</t>
  </si>
  <si>
    <t>B06.631a</t>
  </si>
  <si>
    <t>B06.632</t>
  </si>
  <si>
    <t>B06.633</t>
  </si>
  <si>
    <t>B06.644</t>
  </si>
  <si>
    <t>B06.647</t>
  </si>
  <si>
    <t>Totaal werkdag</t>
  </si>
  <si>
    <t>R04.002</t>
  </si>
  <si>
    <t>C00.009</t>
  </si>
  <si>
    <t>Totaal werkdag Feest</t>
  </si>
  <si>
    <t>Totaal weekenddag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</si>
  <si>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</si>
  <si>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</si>
  <si>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</si>
  <si>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</si>
  <si>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</si>
  <si>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</si>
  <si>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 xml:space="preserve">% HOOG-FREQUENT </t>
  </si>
  <si>
    <t>TARIEF</t>
  </si>
  <si>
    <t xml:space="preserve">     100</t>
  </si>
  <si>
    <t>werkdag</t>
  </si>
  <si>
    <t>werkdag Feest</t>
  </si>
  <si>
    <t>weekenddag</t>
  </si>
  <si>
    <t>NAAM</t>
  </si>
  <si>
    <t>ADRES</t>
  </si>
  <si>
    <t>PLAATS</t>
  </si>
  <si>
    <t>BASIS UURTARIEF</t>
  </si>
  <si>
    <t>UREN/ UITVOERING</t>
  </si>
  <si>
    <t>UREN HOOG-FREQUENT/ UITVOERING</t>
  </si>
  <si>
    <t>UREN HOOG-FREQUENT SUPPLETIE/ UITVOERING</t>
  </si>
  <si>
    <t>UREN HOOG-FREQUENT TOTAAL/ UITVOERING</t>
  </si>
  <si>
    <t>UREN TOTAAL/ DAG</t>
  </si>
  <si>
    <t>PRIJS SUPPLETIE/ DAG</t>
  </si>
  <si>
    <t>PRIJS TOTAAL/ DAG</t>
  </si>
  <si>
    <t>UREN HOOG-FREQUENT/ JAAR</t>
  </si>
  <si>
    <t>PRIJS/ MAAND (EURO)</t>
  </si>
  <si>
    <t>Opvang Oekrainers</t>
  </si>
  <si>
    <t>Meppel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</si>
  <si>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</si>
  <si>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</si>
  <si>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</si>
  <si>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</si>
  <si>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</si>
  <si>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</si>
  <si>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</si>
  <si>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</si>
  <si>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 (euro)</t>
  </si>
  <si>
    <t>PRIJS/ MAAND  (euro)</t>
  </si>
  <si>
    <t>1000</t>
  </si>
  <si>
    <t>Niet-meewerkende objectleiding</t>
  </si>
  <si>
    <t>&lt;invullen functie afh. van uren uitvoering per jaar&gt;</t>
  </si>
  <si>
    <t>&lt;invullen functie met vaste uren per dag&gt;</t>
  </si>
  <si>
    <t>Totaal 100 - Opvang Oekrainers, , Meppel</t>
  </si>
  <si>
    <t>F1000</t>
  </si>
  <si>
    <t>W1000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</si>
  <si>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</si>
  <si>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</si>
  <si>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</si>
  <si>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</si>
  <si>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</si>
  <si>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</si>
  <si>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</si>
  <si>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</si>
  <si>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</si>
  <si>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</si>
  <si>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</si>
  <si>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</si>
  <si>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</si>
  <si>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</si>
  <si>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1030</t>
  </si>
  <si>
    <t>Evenementenschoonmaak gem. Meppel</t>
  </si>
  <si>
    <t>prijs per uur</t>
  </si>
  <si>
    <t>1040</t>
  </si>
  <si>
    <t>Kleine beurt Stadsschouwburg Ogterop</t>
  </si>
  <si>
    <t>1050</t>
  </si>
  <si>
    <t>Grote beurt Stadsschouwburg Ogterop</t>
  </si>
  <si>
    <t>W1030</t>
  </si>
  <si>
    <t>Evenementen schoonmaak gem. Meppel</t>
  </si>
  <si>
    <t>W1040</t>
  </si>
  <si>
    <t>Kleine beurt Ogterop weekend</t>
  </si>
  <si>
    <t>W1050</t>
  </si>
  <si>
    <t>Grote beurt Ogterop weekend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</si>
  <si>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</si>
  <si>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</si>
  <si>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</si>
  <si>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</si>
  <si>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</si>
  <si>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</si>
  <si>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</si>
  <si>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</si>
  <si>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</si>
  <si>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</si>
  <si>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</si>
  <si>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</si>
  <si>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</si>
  <si>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</si>
  <si>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</si>
  <si>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</si>
  <si>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</si>
  <si>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</si>
  <si>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</si>
  <si>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</si>
  <si>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</si>
  <si>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</si>
  <si>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</si>
  <si>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</si>
  <si>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</si>
  <si>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</si>
  <si>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</si>
  <si>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</si>
  <si>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</si>
  <si>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</si>
  <si>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</si>
  <si>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</si>
  <si>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</si>
  <si>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</si>
  <si>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</si>
  <si>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</si>
  <si>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</si>
  <si>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</si>
  <si>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</si>
  <si>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</si>
  <si>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</si>
  <si>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</si>
  <si>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</si>
  <si>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</si>
  <si>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</si>
  <si>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</si>
  <si>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</si>
  <si>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</si>
  <si>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</si>
  <si>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</si>
  <si>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</si>
  <si>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</si>
  <si>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</si>
  <si>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</si>
  <si>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</si>
  <si>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</si>
  <si>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</si>
  <si>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</si>
  <si>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</si>
  <si>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</si>
  <si>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</si>
  <si>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</si>
  <si>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</si>
  <si>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</si>
  <si>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</si>
  <si>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</si>
  <si>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</si>
  <si>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</si>
  <si>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</si>
  <si>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</si>
  <si>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</si>
  <si>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</si>
  <si>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</si>
  <si>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</si>
  <si>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</si>
  <si>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</si>
  <si>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</si>
  <si>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</si>
  <si>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</si>
  <si>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</si>
  <si>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</si>
  <si>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</si>
  <si>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</si>
  <si>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</si>
  <si>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</si>
  <si>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</si>
  <si>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</si>
  <si>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</si>
  <si>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</si>
  <si>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</si>
  <si>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</si>
  <si>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</si>
  <si>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koolzuurbasis</t>
  </si>
  <si>
    <t>4050B</t>
  </si>
  <si>
    <t>4050C</t>
  </si>
  <si>
    <t>4050D</t>
  </si>
  <si>
    <t>4060A</t>
  </si>
  <si>
    <t>Tapijt reinigen sproei-/extractiemethode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</si>
  <si>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</si>
  <si>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</si>
  <si>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</si>
  <si>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</si>
  <si>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</si>
  <si>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</si>
  <si>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</si>
  <si>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</si>
  <si>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</si>
  <si>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</si>
  <si>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</si>
  <si>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</si>
  <si>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</si>
  <si>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</si>
  <si>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</si>
  <si>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</si>
  <si>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</si>
  <si>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</si>
  <si>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</si>
  <si>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</si>
  <si>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</si>
  <si>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</si>
  <si>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regiewerkzaamheden (specialistisch)</t>
  </si>
  <si>
    <t>9200</t>
  </si>
  <si>
    <t>Medewerker graffiti verwijdering (specialistisch)</t>
  </si>
  <si>
    <t>W9000</t>
  </si>
  <si>
    <t>Medewerker regiewerkzaamheden weekend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</si>
  <si>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</si>
  <si>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</si>
  <si>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</si>
  <si>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</si>
  <si>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</si>
  <si>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</si>
  <si>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</si>
  <si>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8030</t>
  </si>
  <si>
    <t>Divers glas</t>
  </si>
  <si>
    <t>8100</t>
  </si>
  <si>
    <t>Inzet hoogwerker stadhuis Meppel</t>
  </si>
  <si>
    <t>totaalprijs</t>
  </si>
  <si>
    <t>8200</t>
  </si>
  <si>
    <t>Inzet kraan stadhuis Meppel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</si>
  <si>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</si>
  <si>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</si>
  <si>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</si>
  <si>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</si>
  <si>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</si>
  <si>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</si>
  <si>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 xml:space="preserve">Regulier werk </t>
  </si>
  <si>
    <t xml:space="preserve">Objectleiding </t>
  </si>
  <si>
    <t>Afroepwerk (geschatte frequenties)</t>
  </si>
  <si>
    <t>Regie (geschat)</t>
  </si>
  <si>
    <t>Glas</t>
  </si>
  <si>
    <t>Totaal generaal</t>
  </si>
  <si>
    <t>Percentage objectleiding</t>
  </si>
  <si>
    <t>BEGROOT BEDRAG REGULIERE WERKZAAMHEDEN E (NIET HOGER DAN BUDGET)</t>
  </si>
  <si>
    <t>VERGELIJKINGSBEDRAG ADITIONEEL/AFROEP/REGIE/GLASBEWASSING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</si>
</sst>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4" borderId="16" xfId="0" applyNumberFormat="1" applyFill="1" applyBorder="1"/>
    <xf numFmtId="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2" xfId="0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0" borderId="6" xfId="0" applyNumberFormat="1" applyBorder="1" applyProtection="1">
      <protection locked="0"/>
    </xf>
    <xf numFmtId="4" fontId="0" fillId="3" borderId="6" xfId="0" applyNumberFormat="1" applyFill="1" applyBorder="1" applyProtection="1"/>
    <xf numFmtId="4" fontId="0" fillId="0" borderId="14" xfId="0" applyNumberFormat="1" applyBorder="1"/>
    <xf numFmtId="4" fontId="0" fillId="0" borderId="15" xfId="0" applyNumberFormat="1" applyBorder="1"/>
    <xf numFmtId="4" fontId="0" fillId="0" borderId="16" xfId="0" applyNumberFormat="1" applyBorder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3" fillId="5" borderId="20" xfId="1" applyFont="1" applyFill="1" applyBorder="1"/>
    <xf numFmtId="0" fontId="4" fillId="5" borderId="20" xfId="1" applyFont="1" applyFill="1" applyBorder="1"/>
    <xf numFmtId="164" fontId="3" fillId="6" borderId="20" xfId="1" applyNumberFormat="1" applyFont="1" applyFill="1" applyBorder="1"/>
  </cellXfs>
  <cellStyles count="2">
    <cellStyle name="Standaard" xfId="0" builtinId="0"/>
    <cellStyle name="Standaard 2" xfId="1" xr:uid="{BF30BC82-B1B7-4FDA-BAE5-0325278332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856F-9D77-46E3-8ECA-2D7672B09359}">
  <dimension ref="A1"/>
  <sheetViews>
    <sheetView workbookViewId="0"/>
  </sheetViews>
  <sheetFormatPr defaultRowHeight="12.75" x14ac:dyDescent="0.2"/>
  <sheetData>
    <row r="1" spans="1:1" x14ac:dyDescent="0.2">
      <c r="A1" s="1" t="s">
        <v>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8643-CD72-4948-8D22-24BB8E8FEEA8}">
  <dimension ref="A1:K44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I.2.7: ",tabeltype," niet-meewerkende objectleiding")</f>
        <v>Bijlage I.2.7: Invultabel niet-meewerkende objectleiding</v>
      </c>
    </row>
    <row r="3" spans="1:11" ht="38.25" x14ac:dyDescent="0.2">
      <c r="A3" s="8" t="s">
        <v>520</v>
      </c>
      <c r="B3" s="8" t="s">
        <v>8</v>
      </c>
      <c r="C3" s="8" t="s">
        <v>521</v>
      </c>
      <c r="D3" s="8" t="s">
        <v>522</v>
      </c>
      <c r="E3" s="8" t="s">
        <v>523</v>
      </c>
      <c r="F3" s="8" t="s">
        <v>524</v>
      </c>
      <c r="G3" s="8" t="s">
        <v>525</v>
      </c>
      <c r="H3" s="8" t="s">
        <v>137</v>
      </c>
      <c r="I3" s="8" t="s">
        <v>526</v>
      </c>
      <c r="J3" s="8" t="s">
        <v>527</v>
      </c>
      <c r="K3" s="8" t="s">
        <v>528</v>
      </c>
    </row>
    <row r="4" spans="1:11" x14ac:dyDescent="0.2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1" t="s">
        <v>207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529</v>
      </c>
      <c r="B8" s="15" t="s">
        <v>10</v>
      </c>
      <c r="C8" s="16">
        <f>IF(ISBLANK(B8),0,IF(ISERROR(VALUE(B8)),VLOOKUP(B8,dagsoorttabel1,2,FALSE)*dagenperjaar1,VALUE(B8)))</f>
        <v>255</v>
      </c>
      <c r="D8" s="15" t="s">
        <v>530</v>
      </c>
      <c r="E8" s="19"/>
      <c r="F8" s="18"/>
      <c r="G8" s="92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3">
        <f>dagenperjaar1</f>
        <v>255</v>
      </c>
      <c r="D9" s="94" t="s">
        <v>531</v>
      </c>
      <c r="E9" s="24"/>
      <c r="F9" s="23"/>
      <c r="G9" s="95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3">
        <f>dagenperjaar1</f>
        <v>255</v>
      </c>
      <c r="D10" s="94" t="s">
        <v>531</v>
      </c>
      <c r="E10" s="24"/>
      <c r="F10" s="23"/>
      <c r="G10" s="95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93">
        <f>dagenperjaar1</f>
        <v>255</v>
      </c>
      <c r="D11" s="94" t="s">
        <v>532</v>
      </c>
      <c r="E11" s="24"/>
      <c r="F11" s="96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97">
        <f>dagenperjaar1</f>
        <v>255</v>
      </c>
      <c r="D12" s="98" t="s">
        <v>532</v>
      </c>
      <c r="E12" s="29"/>
      <c r="F12" s="99"/>
      <c r="G12" s="27"/>
      <c r="H12" s="38">
        <f>IF(ISBLANK(G12),0,G12*C12)+IF(ISBLANK(F12),0,F12*objecturen1_1)</f>
        <v>0</v>
      </c>
      <c r="I12" s="38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0" t="s">
        <v>533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43" t="s">
        <v>170</v>
      </c>
      <c r="B15" s="44"/>
      <c r="C15" s="44"/>
      <c r="D15" s="44"/>
      <c r="E15" s="44"/>
      <c r="F15" s="44"/>
      <c r="G15" s="44"/>
      <c r="H15" s="45">
        <f>tzujt1_1</f>
        <v>0</v>
      </c>
      <c r="I15" s="44"/>
      <c r="J15" s="46">
        <f>tzpjt1_1</f>
        <v>0</v>
      </c>
      <c r="K15" s="47">
        <f>tzpmt1_1</f>
        <v>0</v>
      </c>
    </row>
    <row r="16" spans="1:11" x14ac:dyDescent="0.2">
      <c r="A16" s="48"/>
      <c r="B16" s="44"/>
      <c r="C16" s="44"/>
      <c r="D16" s="44"/>
      <c r="E16" s="44"/>
      <c r="F16" s="44"/>
      <c r="G16" s="44"/>
      <c r="H16" s="44"/>
      <c r="I16" s="44"/>
      <c r="J16" s="44"/>
      <c r="K16" s="49"/>
    </row>
    <row r="17" spans="1:11" x14ac:dyDescent="0.2">
      <c r="A17" s="88"/>
      <c r="B17" s="89"/>
      <c r="C17" s="89"/>
      <c r="D17" s="89"/>
      <c r="E17" s="89"/>
      <c r="F17" s="89"/>
      <c r="G17" s="89"/>
      <c r="H17" s="89"/>
      <c r="I17" s="89"/>
      <c r="J17" s="89"/>
      <c r="K17" s="90"/>
    </row>
    <row r="18" spans="1:11" x14ac:dyDescent="0.2">
      <c r="A18" s="12" t="s">
        <v>106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</row>
    <row r="19" spans="1:11" x14ac:dyDescent="0.2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1"/>
    </row>
    <row r="20" spans="1:11" x14ac:dyDescent="0.2">
      <c r="A20" s="91" t="s">
        <v>207</v>
      </c>
      <c r="B20" s="13"/>
      <c r="C20" s="13"/>
      <c r="D20" s="13"/>
      <c r="E20" s="13"/>
      <c r="F20" s="13"/>
      <c r="G20" s="13"/>
      <c r="H20" s="13"/>
      <c r="I20" s="13"/>
      <c r="J20" s="13"/>
      <c r="K20" s="14"/>
    </row>
    <row r="21" spans="1:11" x14ac:dyDescent="0.2">
      <c r="A21" s="15" t="s">
        <v>534</v>
      </c>
      <c r="B21" s="15" t="s">
        <v>26</v>
      </c>
      <c r="C21" s="16">
        <f>IF(ISBLANK(B21),0,IF(ISERROR(VALUE(B21)),VLOOKUP(B21,dagsoorttabel1,2,FALSE)*dagenperjaar1,VALUE(B21)))</f>
        <v>8</v>
      </c>
      <c r="D21" s="15" t="s">
        <v>530</v>
      </c>
      <c r="E21" s="19"/>
      <c r="F21" s="18"/>
      <c r="G21" s="92"/>
      <c r="H21" s="30">
        <f>IF(ISBLANK(G21),0,G21*C21)+IF(ISBLANK(F21),0,F21*objecturen1_2)</f>
        <v>0</v>
      </c>
      <c r="I21" s="30">
        <f>IF(C21=0,0,H21/C21)</f>
        <v>0</v>
      </c>
      <c r="J21" s="33">
        <f>IF(ISBLANK(E21),0,ROUND(E21,2)*H21)</f>
        <v>0</v>
      </c>
      <c r="K21" s="33">
        <f>J21/12</f>
        <v>0</v>
      </c>
    </row>
    <row r="22" spans="1:11" x14ac:dyDescent="0.2">
      <c r="A22" s="20"/>
      <c r="B22" s="20"/>
      <c r="C22" s="93">
        <f>dagenperjaar1</f>
        <v>255</v>
      </c>
      <c r="D22" s="94" t="s">
        <v>531</v>
      </c>
      <c r="E22" s="24"/>
      <c r="F22" s="23"/>
      <c r="G22" s="95"/>
      <c r="H22" s="34">
        <f>IF(ISBLANK(G22),0,G22*C22)+IF(ISBLANK(F22),0,F22*objecturen1_2)</f>
        <v>0</v>
      </c>
      <c r="I22" s="34">
        <f>IF(C22=0,0,H22/C22)</f>
        <v>0</v>
      </c>
      <c r="J22" s="37">
        <f>IF(ISBLANK(E22),0,ROUND(E22,2)*H22)</f>
        <v>0</v>
      </c>
      <c r="K22" s="37">
        <f>J22/12</f>
        <v>0</v>
      </c>
    </row>
    <row r="23" spans="1:11" x14ac:dyDescent="0.2">
      <c r="A23" s="20"/>
      <c r="B23" s="20"/>
      <c r="C23" s="93">
        <f>dagenperjaar1</f>
        <v>255</v>
      </c>
      <c r="D23" s="94" t="s">
        <v>531</v>
      </c>
      <c r="E23" s="24"/>
      <c r="F23" s="23"/>
      <c r="G23" s="95"/>
      <c r="H23" s="34">
        <f>IF(ISBLANK(G23),0,G23*C23)+IF(ISBLANK(F23),0,F23*objecturen1_2)</f>
        <v>0</v>
      </c>
      <c r="I23" s="34">
        <f>IF(C23=0,0,H23/C23)</f>
        <v>0</v>
      </c>
      <c r="J23" s="37">
        <f>IF(ISBLANK(E23),0,ROUND(E23,2)*H23)</f>
        <v>0</v>
      </c>
      <c r="K23" s="37">
        <f>J23/12</f>
        <v>0</v>
      </c>
    </row>
    <row r="24" spans="1:11" x14ac:dyDescent="0.2">
      <c r="A24" s="20"/>
      <c r="B24" s="20"/>
      <c r="C24" s="93">
        <f>dagenperjaar1</f>
        <v>255</v>
      </c>
      <c r="D24" s="94" t="s">
        <v>532</v>
      </c>
      <c r="E24" s="24"/>
      <c r="F24" s="96"/>
      <c r="G24" s="22"/>
      <c r="H24" s="34">
        <f>IF(ISBLANK(G24),0,G24*C24)+IF(ISBLANK(F24),0,F24*objecturen1_2)</f>
        <v>0</v>
      </c>
      <c r="I24" s="34">
        <f>IF(C24=0,0,H24/C24)</f>
        <v>0</v>
      </c>
      <c r="J24" s="37">
        <f>IF(ISBLANK(E24),0,ROUND(E24,2)*H24)</f>
        <v>0</v>
      </c>
      <c r="K24" s="37">
        <f>J24/12</f>
        <v>0</v>
      </c>
    </row>
    <row r="25" spans="1:11" x14ac:dyDescent="0.2">
      <c r="A25" s="25"/>
      <c r="B25" s="25"/>
      <c r="C25" s="97">
        <f>dagenperjaar1</f>
        <v>255</v>
      </c>
      <c r="D25" s="98" t="s">
        <v>532</v>
      </c>
      <c r="E25" s="29"/>
      <c r="F25" s="99"/>
      <c r="G25" s="27"/>
      <c r="H25" s="38">
        <f>IF(ISBLANK(G25),0,G25*C25)+IF(ISBLANK(F25),0,F25*objecturen1_2)</f>
        <v>0</v>
      </c>
      <c r="I25" s="38">
        <f>IF(C25=0,0,H25/C25)</f>
        <v>0</v>
      </c>
      <c r="J25" s="41">
        <f>IF(ISBLANK(E25),0,ROUND(E25,2)*H25)</f>
        <v>0</v>
      </c>
      <c r="K25" s="41">
        <f>J25/12</f>
        <v>0</v>
      </c>
    </row>
    <row r="26" spans="1:11" x14ac:dyDescent="0.2">
      <c r="A26" s="100" t="s">
        <v>533</v>
      </c>
      <c r="B26" s="44"/>
      <c r="C26" s="44"/>
      <c r="D26" s="44"/>
      <c r="E26" s="44"/>
      <c r="F26" s="44"/>
      <c r="G26" s="44"/>
      <c r="H26" s="45">
        <f>SUM(H21:H25)</f>
        <v>0</v>
      </c>
      <c r="I26" s="44"/>
      <c r="J26" s="46">
        <f>SUM(J21:J25)</f>
        <v>0</v>
      </c>
      <c r="K26" s="47">
        <f>SUM(K21:K25)</f>
        <v>0</v>
      </c>
    </row>
    <row r="27" spans="1:11" x14ac:dyDescent="0.2">
      <c r="A27" s="48"/>
      <c r="B27" s="44"/>
      <c r="C27" s="44"/>
      <c r="D27" s="44"/>
      <c r="E27" s="44"/>
      <c r="F27" s="44"/>
      <c r="G27" s="44"/>
      <c r="H27" s="44"/>
      <c r="I27" s="44"/>
      <c r="J27" s="44"/>
      <c r="K27" s="49"/>
    </row>
    <row r="28" spans="1:11" x14ac:dyDescent="0.2">
      <c r="A28" s="43" t="s">
        <v>183</v>
      </c>
      <c r="B28" s="44"/>
      <c r="C28" s="44"/>
      <c r="D28" s="44"/>
      <c r="E28" s="44"/>
      <c r="F28" s="44"/>
      <c r="G28" s="44"/>
      <c r="H28" s="45">
        <f>tzujt1_2</f>
        <v>0</v>
      </c>
      <c r="I28" s="44"/>
      <c r="J28" s="46">
        <f>tzpjt1_2</f>
        <v>0</v>
      </c>
      <c r="K28" s="47">
        <f>tzpmt1_2</f>
        <v>0</v>
      </c>
    </row>
    <row r="29" spans="1:11" x14ac:dyDescent="0.2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9"/>
    </row>
    <row r="30" spans="1:11" x14ac:dyDescent="0.2">
      <c r="A30" s="88"/>
      <c r="B30" s="89"/>
      <c r="C30" s="89"/>
      <c r="D30" s="89"/>
      <c r="E30" s="89"/>
      <c r="F30" s="89"/>
      <c r="G30" s="89"/>
      <c r="H30" s="89"/>
      <c r="I30" s="89"/>
      <c r="J30" s="89"/>
      <c r="K30" s="90"/>
    </row>
    <row r="31" spans="1:11" x14ac:dyDescent="0.2">
      <c r="A31" s="12" t="s">
        <v>120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1"/>
    </row>
    <row r="33" spans="1:11" x14ac:dyDescent="0.2">
      <c r="A33" s="91" t="s">
        <v>207</v>
      </c>
      <c r="B33" s="13"/>
      <c r="C33" s="13"/>
      <c r="D33" s="13"/>
      <c r="E33" s="13"/>
      <c r="F33" s="13"/>
      <c r="G33" s="13"/>
      <c r="H33" s="13"/>
      <c r="I33" s="13"/>
      <c r="J33" s="13"/>
      <c r="K33" s="14"/>
    </row>
    <row r="34" spans="1:11" x14ac:dyDescent="0.2">
      <c r="A34" s="15" t="s">
        <v>535</v>
      </c>
      <c r="B34" s="15" t="s">
        <v>16</v>
      </c>
      <c r="C34" s="16">
        <f>IF(ISBLANK(B34),0,IF(ISERROR(VALUE(B34)),VLOOKUP(B34,dagsoorttabel1,2,FALSE)*dagenperjaar1,VALUE(B34)))</f>
        <v>102</v>
      </c>
      <c r="D34" s="15" t="s">
        <v>530</v>
      </c>
      <c r="E34" s="19"/>
      <c r="F34" s="18"/>
      <c r="G34" s="92"/>
      <c r="H34" s="30">
        <f>IF(ISBLANK(G34),0,G34*C34)+IF(ISBLANK(F34),0,F34*objecturen1_4)</f>
        <v>0</v>
      </c>
      <c r="I34" s="30">
        <f>IF(C34=0,0,H34/C34)</f>
        <v>0</v>
      </c>
      <c r="J34" s="33">
        <f>IF(ISBLANK(E34),0,ROUND(E34,2)*H34)</f>
        <v>0</v>
      </c>
      <c r="K34" s="33">
        <f>J34/12</f>
        <v>0</v>
      </c>
    </row>
    <row r="35" spans="1:11" x14ac:dyDescent="0.2">
      <c r="A35" s="20"/>
      <c r="B35" s="20"/>
      <c r="C35" s="93">
        <f>dagenperjaar1</f>
        <v>255</v>
      </c>
      <c r="D35" s="94" t="s">
        <v>531</v>
      </c>
      <c r="E35" s="24"/>
      <c r="F35" s="23"/>
      <c r="G35" s="95"/>
      <c r="H35" s="34">
        <f>IF(ISBLANK(G35),0,G35*C35)+IF(ISBLANK(F35),0,F35*objecturen1_4)</f>
        <v>0</v>
      </c>
      <c r="I35" s="34">
        <f>IF(C35=0,0,H35/C35)</f>
        <v>0</v>
      </c>
      <c r="J35" s="37">
        <f>IF(ISBLANK(E35),0,ROUND(E35,2)*H35)</f>
        <v>0</v>
      </c>
      <c r="K35" s="37">
        <f>J35/12</f>
        <v>0</v>
      </c>
    </row>
    <row r="36" spans="1:11" x14ac:dyDescent="0.2">
      <c r="A36" s="20"/>
      <c r="B36" s="20"/>
      <c r="C36" s="93">
        <f>dagenperjaar1</f>
        <v>255</v>
      </c>
      <c r="D36" s="94" t="s">
        <v>531</v>
      </c>
      <c r="E36" s="24"/>
      <c r="F36" s="23"/>
      <c r="G36" s="95"/>
      <c r="H36" s="34">
        <f>IF(ISBLANK(G36),0,G36*C36)+IF(ISBLANK(F36),0,F36*objecturen1_4)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93">
        <f>dagenperjaar1</f>
        <v>255</v>
      </c>
      <c r="D37" s="94" t="s">
        <v>532</v>
      </c>
      <c r="E37" s="24"/>
      <c r="F37" s="96"/>
      <c r="G37" s="22"/>
      <c r="H37" s="34">
        <f>IF(ISBLANK(G37),0,G37*C37)+IF(ISBLANK(F37),0,F37*objecturen1_4)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5"/>
      <c r="B38" s="25"/>
      <c r="C38" s="97">
        <f>dagenperjaar1</f>
        <v>255</v>
      </c>
      <c r="D38" s="98" t="s">
        <v>532</v>
      </c>
      <c r="E38" s="29"/>
      <c r="F38" s="99"/>
      <c r="G38" s="27"/>
      <c r="H38" s="38">
        <f>IF(ISBLANK(G38),0,G38*C38)+IF(ISBLANK(F38),0,F38*objecturen1_4)</f>
        <v>0</v>
      </c>
      <c r="I38" s="38">
        <f>IF(C38=0,0,H38/C38)</f>
        <v>0</v>
      </c>
      <c r="J38" s="41">
        <f>IF(ISBLANK(E38),0,ROUND(E38,2)*H38)</f>
        <v>0</v>
      </c>
      <c r="K38" s="41">
        <f>J38/12</f>
        <v>0</v>
      </c>
    </row>
    <row r="39" spans="1:11" x14ac:dyDescent="0.2">
      <c r="A39" s="100" t="s">
        <v>533</v>
      </c>
      <c r="B39" s="44"/>
      <c r="C39" s="44"/>
      <c r="D39" s="44"/>
      <c r="E39" s="44"/>
      <c r="F39" s="44"/>
      <c r="G39" s="44"/>
      <c r="H39" s="45">
        <f>SUM(H34:H38)</f>
        <v>0</v>
      </c>
      <c r="I39" s="44"/>
      <c r="J39" s="46">
        <f>SUM(J34:J38)</f>
        <v>0</v>
      </c>
      <c r="K39" s="47">
        <f>SUM(K34:K38)</f>
        <v>0</v>
      </c>
    </row>
    <row r="40" spans="1:11" x14ac:dyDescent="0.2">
      <c r="A40" s="48"/>
      <c r="B40" s="44"/>
      <c r="C40" s="44"/>
      <c r="D40" s="44"/>
      <c r="E40" s="44"/>
      <c r="F40" s="44"/>
      <c r="G40" s="44"/>
      <c r="H40" s="44"/>
      <c r="I40" s="44"/>
      <c r="J40" s="44"/>
      <c r="K40" s="49"/>
    </row>
    <row r="41" spans="1:11" x14ac:dyDescent="0.2">
      <c r="A41" s="43" t="s">
        <v>195</v>
      </c>
      <c r="B41" s="44"/>
      <c r="C41" s="44"/>
      <c r="D41" s="44"/>
      <c r="E41" s="44"/>
      <c r="F41" s="44"/>
      <c r="G41" s="44"/>
      <c r="H41" s="45">
        <f>tzujt1_4</f>
        <v>0</v>
      </c>
      <c r="I41" s="44"/>
      <c r="J41" s="46">
        <f>tzpjt1_4</f>
        <v>0</v>
      </c>
      <c r="K41" s="47">
        <f>tzpmt1_4</f>
        <v>0</v>
      </c>
    </row>
    <row r="42" spans="1:11" x14ac:dyDescent="0.2">
      <c r="A42" s="48"/>
      <c r="B42" s="44"/>
      <c r="C42" s="44"/>
      <c r="D42" s="44"/>
      <c r="E42" s="44"/>
      <c r="F42" s="44"/>
      <c r="G42" s="44"/>
      <c r="H42" s="44"/>
      <c r="I42" s="44"/>
      <c r="J42" s="44"/>
      <c r="K42" s="49"/>
    </row>
    <row r="44" spans="1:11" x14ac:dyDescent="0.2">
      <c r="A44" s="43" t="s">
        <v>536</v>
      </c>
      <c r="B44" s="44"/>
      <c r="C44" s="44"/>
      <c r="D44" s="44"/>
      <c r="E44" s="44"/>
      <c r="F44" s="44"/>
      <c r="G44" s="44"/>
      <c r="H44" s="45">
        <f>tzujt1+tzujt2+tzujt4</f>
        <v>0</v>
      </c>
      <c r="I44" s="44"/>
      <c r="J44" s="46">
        <f>tzpjt1+tzpjt2+tzpjt4</f>
        <v>0</v>
      </c>
      <c r="K44" s="46">
        <f>tzpmt1+tzpmt2+tzpmt4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4BB-87E6-4783-A5BA-B00A364D611C}">
  <dimension ref="A1:K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I.2.8: ",tabeltype," totaalblad objecten")</f>
        <v>Bijlage I.2.8: Invultabel totaalblad objecten</v>
      </c>
    </row>
    <row r="3" spans="1:11" ht="51" x14ac:dyDescent="0.2">
      <c r="A3" s="8" t="s">
        <v>198</v>
      </c>
      <c r="B3" s="8" t="s">
        <v>504</v>
      </c>
      <c r="C3" s="8" t="s">
        <v>505</v>
      </c>
      <c r="D3" s="8" t="s">
        <v>506</v>
      </c>
      <c r="E3" s="8" t="s">
        <v>515</v>
      </c>
      <c r="F3" s="8" t="s">
        <v>137</v>
      </c>
      <c r="G3" s="8" t="s">
        <v>537</v>
      </c>
      <c r="H3" s="8" t="s">
        <v>538</v>
      </c>
      <c r="I3" s="8" t="s">
        <v>539</v>
      </c>
      <c r="J3" s="8" t="s">
        <v>540</v>
      </c>
      <c r="K3" s="8" t="s">
        <v>541</v>
      </c>
    </row>
    <row r="4" spans="1:11" x14ac:dyDescent="0.2">
      <c r="A4" s="82" t="s">
        <v>208</v>
      </c>
      <c r="B4" s="82" t="s">
        <v>517</v>
      </c>
      <c r="C4" s="82"/>
      <c r="D4" s="82" t="s">
        <v>518</v>
      </c>
      <c r="E4" s="85">
        <f>objecturenhf1_1+objecturenhf1_2+objecturenhf1_4</f>
        <v>0</v>
      </c>
      <c r="F4" s="85">
        <f>objecturen1_1+objecturen1_2+objecturen1_4</f>
        <v>0</v>
      </c>
      <c r="G4" s="87">
        <f>objectprijs1_1+objectprijs1_2+objectprijs1_4</f>
        <v>0</v>
      </c>
      <c r="H4" s="85">
        <f>tzujt1_1+tzujt1_2+tzujt1_4</f>
        <v>0</v>
      </c>
      <c r="I4" s="87">
        <f>tzpjt1_1+tzpjt1_2+tzpjt1_4</f>
        <v>0</v>
      </c>
      <c r="J4" s="87">
        <f>G4+I4</f>
        <v>0</v>
      </c>
      <c r="K4" s="87">
        <f>J4/12</f>
        <v>0</v>
      </c>
    </row>
    <row r="6" spans="1:11" x14ac:dyDescent="0.2">
      <c r="A6" s="43" t="s">
        <v>542</v>
      </c>
      <c r="B6" s="44"/>
      <c r="C6" s="44"/>
      <c r="D6" s="44"/>
      <c r="E6" s="45">
        <f t="shared" ref="E6:K6" si="0">SUM(E4:E4)</f>
        <v>0</v>
      </c>
      <c r="F6" s="45">
        <f t="shared" si="0"/>
        <v>0</v>
      </c>
      <c r="G6" s="46">
        <f t="shared" si="0"/>
        <v>0</v>
      </c>
      <c r="H6" s="45">
        <f t="shared" si="0"/>
        <v>0</v>
      </c>
      <c r="I6" s="46">
        <f t="shared" si="0"/>
        <v>0</v>
      </c>
      <c r="J6" s="46">
        <f t="shared" si="0"/>
        <v>0</v>
      </c>
      <c r="K6" s="46">
        <f t="shared" si="0"/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6862C-612D-44FF-8D1B-5A3CF4F68091}">
  <dimension ref="A1:L1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I.2.9: ",tabeltype," afroep")</f>
        <v>Bijlage I.2.9: Invultabel afroep</v>
      </c>
    </row>
    <row r="3" spans="1:12" ht="38.25" x14ac:dyDescent="0.2">
      <c r="A3" s="8" t="s">
        <v>543</v>
      </c>
      <c r="B3" s="8" t="s">
        <v>8</v>
      </c>
      <c r="C3" s="8" t="s">
        <v>544</v>
      </c>
      <c r="D3" s="8" t="s">
        <v>35</v>
      </c>
      <c r="E3" s="8" t="s">
        <v>38</v>
      </c>
      <c r="F3" s="8" t="s">
        <v>545</v>
      </c>
      <c r="G3" s="8" t="s">
        <v>546</v>
      </c>
      <c r="H3" s="8" t="s">
        <v>547</v>
      </c>
      <c r="I3" s="8" t="s">
        <v>548</v>
      </c>
      <c r="J3" s="8" t="s">
        <v>549</v>
      </c>
      <c r="K3" s="8" t="s">
        <v>138</v>
      </c>
      <c r="L3" s="8" t="s">
        <v>516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550</v>
      </c>
      <c r="B6" s="15" t="s">
        <v>23</v>
      </c>
      <c r="C6" s="16">
        <f>IF(ISBLANK(B6),0,IF(ISERROR(VALUE(B6)),VLOOKUP(B6,dagsoorttabel1,2,FALSE)*dagenperjaar1,VALUE(B6)))</f>
        <v>16</v>
      </c>
      <c r="D6" s="15" t="s">
        <v>551</v>
      </c>
      <c r="E6" s="15" t="s">
        <v>552</v>
      </c>
      <c r="F6" s="101">
        <v>2.5</v>
      </c>
      <c r="G6" s="19"/>
      <c r="H6" s="102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553</v>
      </c>
      <c r="B7" s="20" t="s">
        <v>17</v>
      </c>
      <c r="C7" s="21">
        <f>IF(ISBLANK(B7),0,IF(ISERROR(VALUE(B7)),VLOOKUP(B7,dagsoorttabel1,2,FALSE)*dagenperjaar1,VALUE(B7)))</f>
        <v>100</v>
      </c>
      <c r="D7" s="20" t="s">
        <v>554</v>
      </c>
      <c r="E7" s="20" t="s">
        <v>552</v>
      </c>
      <c r="F7" s="103">
        <v>2</v>
      </c>
      <c r="G7" s="24"/>
      <c r="H7" s="104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555</v>
      </c>
      <c r="B8" s="25" t="s">
        <v>17</v>
      </c>
      <c r="C8" s="26">
        <f>IF(ISBLANK(B8),0,IF(ISERROR(VALUE(B8)),VLOOKUP(B8,dagsoorttabel1,2,FALSE)*dagenperjaar1,VALUE(B8)))</f>
        <v>100</v>
      </c>
      <c r="D8" s="25" t="s">
        <v>556</v>
      </c>
      <c r="E8" s="25" t="s">
        <v>552</v>
      </c>
      <c r="F8" s="105">
        <v>4</v>
      </c>
      <c r="G8" s="29"/>
      <c r="H8" s="106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170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7">
        <f>K9/12</f>
        <v>0</v>
      </c>
    </row>
    <row r="10" spans="1:12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x14ac:dyDescent="0.2">
      <c r="A11" s="12" t="s">
        <v>120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x14ac:dyDescent="0.2">
      <c r="A12" s="15" t="s">
        <v>557</v>
      </c>
      <c r="B12" s="15" t="s">
        <v>28</v>
      </c>
      <c r="C12" s="16">
        <f>IF(ISBLANK(B12),0,IF(ISERROR(VALUE(B12)),VLOOKUP(B12,dagsoorttabel1,2,FALSE)*dagenperjaar1,VALUE(B12)))</f>
        <v>4</v>
      </c>
      <c r="D12" s="15" t="s">
        <v>558</v>
      </c>
      <c r="E12" s="15" t="s">
        <v>552</v>
      </c>
      <c r="F12" s="101">
        <v>4</v>
      </c>
      <c r="G12" s="19"/>
      <c r="H12" s="102"/>
      <c r="I12" s="19"/>
      <c r="J12" s="33">
        <f>IF(ISBLANK(F12),0,F12)*I12</f>
        <v>0</v>
      </c>
      <c r="K12" s="33">
        <f>C12*J12</f>
        <v>0</v>
      </c>
      <c r="L12" s="33">
        <f>K12/12</f>
        <v>0</v>
      </c>
    </row>
    <row r="13" spans="1:12" x14ac:dyDescent="0.2">
      <c r="A13" s="20" t="s">
        <v>559</v>
      </c>
      <c r="B13" s="20" t="s">
        <v>28</v>
      </c>
      <c r="C13" s="21">
        <f>IF(ISBLANK(B13),0,IF(ISERROR(VALUE(B13)),VLOOKUP(B13,dagsoorttabel1,2,FALSE)*dagenperjaar1,VALUE(B13)))</f>
        <v>4</v>
      </c>
      <c r="D13" s="20" t="s">
        <v>560</v>
      </c>
      <c r="E13" s="20" t="s">
        <v>552</v>
      </c>
      <c r="F13" s="103">
        <v>2</v>
      </c>
      <c r="G13" s="24"/>
      <c r="H13" s="104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5" t="s">
        <v>561</v>
      </c>
      <c r="B14" s="25" t="s">
        <v>28</v>
      </c>
      <c r="C14" s="26">
        <f>IF(ISBLANK(B14),0,IF(ISERROR(VALUE(B14)),VLOOKUP(B14,dagsoorttabel1,2,FALSE)*dagenperjaar1,VALUE(B14)))</f>
        <v>4</v>
      </c>
      <c r="D14" s="25" t="s">
        <v>562</v>
      </c>
      <c r="E14" s="25" t="s">
        <v>552</v>
      </c>
      <c r="F14" s="105">
        <v>4</v>
      </c>
      <c r="G14" s="29"/>
      <c r="H14" s="106"/>
      <c r="I14" s="29"/>
      <c r="J14" s="41">
        <f>IF(ISBLANK(F14),0,F14)*I14</f>
        <v>0</v>
      </c>
      <c r="K14" s="41">
        <f>C14*J14</f>
        <v>0</v>
      </c>
      <c r="L14" s="41">
        <f>K14/12</f>
        <v>0</v>
      </c>
    </row>
    <row r="15" spans="1:12" x14ac:dyDescent="0.2">
      <c r="A15" s="43" t="s">
        <v>195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SUM(K12:K14)</f>
        <v>0</v>
      </c>
      <c r="L15" s="107">
        <f>K15/12</f>
        <v>0</v>
      </c>
    </row>
    <row r="17" spans="1:12" x14ac:dyDescent="0.2">
      <c r="A17" s="43" t="s">
        <v>563</v>
      </c>
      <c r="B17" s="44"/>
      <c r="C17" s="44"/>
      <c r="D17" s="44"/>
      <c r="E17" s="44"/>
      <c r="F17" s="44"/>
      <c r="G17" s="44"/>
      <c r="H17" s="44"/>
      <c r="I17" s="44"/>
      <c r="J17" s="44"/>
      <c r="K17" s="46">
        <f>prijsjaarafroep1+prijsjaarafroep4</f>
        <v>0</v>
      </c>
      <c r="L17" s="107">
        <f>K17/12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E286-42E8-4F56-912E-4B3735ED9C0A}">
  <dimension ref="A1:E8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I.2.10: ",tabeltype," afroep incidenteel")</f>
        <v>Bijlage I.2.10: Invultabel afroep incidenteel</v>
      </c>
    </row>
    <row r="3" spans="1:5" ht="38.25" x14ac:dyDescent="0.2">
      <c r="A3" s="8" t="s">
        <v>543</v>
      </c>
      <c r="B3" s="8" t="s">
        <v>35</v>
      </c>
      <c r="C3" s="8" t="s">
        <v>38</v>
      </c>
      <c r="D3" s="8" t="s">
        <v>564</v>
      </c>
      <c r="E3" s="8" t="s">
        <v>548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40</v>
      </c>
      <c r="B5" s="13"/>
      <c r="C5" s="13"/>
      <c r="D5" s="13"/>
      <c r="E5" s="14"/>
    </row>
    <row r="6" spans="1:5" x14ac:dyDescent="0.2">
      <c r="A6" s="15" t="s">
        <v>565</v>
      </c>
      <c r="B6" s="15" t="s">
        <v>566</v>
      </c>
      <c r="C6" s="15" t="s">
        <v>567</v>
      </c>
      <c r="D6" s="15" t="s">
        <v>568</v>
      </c>
      <c r="E6" s="19"/>
    </row>
    <row r="7" spans="1:5" x14ac:dyDescent="0.2">
      <c r="A7" s="20" t="s">
        <v>569</v>
      </c>
      <c r="B7" s="20" t="s">
        <v>566</v>
      </c>
      <c r="C7" s="20" t="s">
        <v>567</v>
      </c>
      <c r="D7" s="20" t="s">
        <v>570</v>
      </c>
      <c r="E7" s="24"/>
    </row>
    <row r="8" spans="1:5" x14ac:dyDescent="0.2">
      <c r="A8" s="20" t="s">
        <v>571</v>
      </c>
      <c r="B8" s="20" t="s">
        <v>566</v>
      </c>
      <c r="C8" s="20" t="s">
        <v>567</v>
      </c>
      <c r="D8" s="20" t="s">
        <v>572</v>
      </c>
      <c r="E8" s="24"/>
    </row>
    <row r="9" spans="1:5" x14ac:dyDescent="0.2">
      <c r="A9" s="20" t="s">
        <v>573</v>
      </c>
      <c r="B9" s="20" t="s">
        <v>566</v>
      </c>
      <c r="C9" s="20" t="s">
        <v>567</v>
      </c>
      <c r="D9" s="20" t="s">
        <v>574</v>
      </c>
      <c r="E9" s="24"/>
    </row>
    <row r="10" spans="1:5" x14ac:dyDescent="0.2">
      <c r="A10" s="20" t="s">
        <v>575</v>
      </c>
      <c r="B10" s="20" t="s">
        <v>576</v>
      </c>
      <c r="C10" s="20" t="s">
        <v>567</v>
      </c>
      <c r="D10" s="20" t="s">
        <v>568</v>
      </c>
      <c r="E10" s="24"/>
    </row>
    <row r="11" spans="1:5" x14ac:dyDescent="0.2">
      <c r="A11" s="20" t="s">
        <v>577</v>
      </c>
      <c r="B11" s="20" t="s">
        <v>576</v>
      </c>
      <c r="C11" s="20" t="s">
        <v>567</v>
      </c>
      <c r="D11" s="20" t="s">
        <v>570</v>
      </c>
      <c r="E11" s="24"/>
    </row>
    <row r="12" spans="1:5" x14ac:dyDescent="0.2">
      <c r="A12" s="20" t="s">
        <v>578</v>
      </c>
      <c r="B12" s="20" t="s">
        <v>576</v>
      </c>
      <c r="C12" s="20" t="s">
        <v>567</v>
      </c>
      <c r="D12" s="20" t="s">
        <v>572</v>
      </c>
      <c r="E12" s="24"/>
    </row>
    <row r="13" spans="1:5" x14ac:dyDescent="0.2">
      <c r="A13" s="20" t="s">
        <v>579</v>
      </c>
      <c r="B13" s="20" t="s">
        <v>576</v>
      </c>
      <c r="C13" s="20" t="s">
        <v>567</v>
      </c>
      <c r="D13" s="20" t="s">
        <v>574</v>
      </c>
      <c r="E13" s="24"/>
    </row>
    <row r="14" spans="1:5" x14ac:dyDescent="0.2">
      <c r="A14" s="20" t="s">
        <v>580</v>
      </c>
      <c r="B14" s="20" t="s">
        <v>581</v>
      </c>
      <c r="C14" s="20" t="s">
        <v>567</v>
      </c>
      <c r="D14" s="20" t="s">
        <v>568</v>
      </c>
      <c r="E14" s="24"/>
    </row>
    <row r="15" spans="1:5" x14ac:dyDescent="0.2">
      <c r="A15" s="20" t="s">
        <v>582</v>
      </c>
      <c r="B15" s="20" t="s">
        <v>581</v>
      </c>
      <c r="C15" s="20" t="s">
        <v>567</v>
      </c>
      <c r="D15" s="20" t="s">
        <v>570</v>
      </c>
      <c r="E15" s="24"/>
    </row>
    <row r="16" spans="1:5" x14ac:dyDescent="0.2">
      <c r="A16" s="20" t="s">
        <v>583</v>
      </c>
      <c r="B16" s="20" t="s">
        <v>581</v>
      </c>
      <c r="C16" s="20" t="s">
        <v>567</v>
      </c>
      <c r="D16" s="20" t="s">
        <v>572</v>
      </c>
      <c r="E16" s="24"/>
    </row>
    <row r="17" spans="1:5" x14ac:dyDescent="0.2">
      <c r="A17" s="20" t="s">
        <v>584</v>
      </c>
      <c r="B17" s="20" t="s">
        <v>581</v>
      </c>
      <c r="C17" s="20" t="s">
        <v>567</v>
      </c>
      <c r="D17" s="20" t="s">
        <v>574</v>
      </c>
      <c r="E17" s="24"/>
    </row>
    <row r="18" spans="1:5" x14ac:dyDescent="0.2">
      <c r="A18" s="20" t="s">
        <v>585</v>
      </c>
      <c r="B18" s="20" t="s">
        <v>586</v>
      </c>
      <c r="C18" s="20" t="s">
        <v>587</v>
      </c>
      <c r="D18" s="20" t="s">
        <v>588</v>
      </c>
      <c r="E18" s="24"/>
    </row>
    <row r="19" spans="1:5" x14ac:dyDescent="0.2">
      <c r="A19" s="20" t="s">
        <v>589</v>
      </c>
      <c r="B19" s="20" t="s">
        <v>586</v>
      </c>
      <c r="C19" s="20" t="s">
        <v>587</v>
      </c>
      <c r="D19" s="20" t="s">
        <v>590</v>
      </c>
      <c r="E19" s="24"/>
    </row>
    <row r="20" spans="1:5" x14ac:dyDescent="0.2">
      <c r="A20" s="20" t="s">
        <v>591</v>
      </c>
      <c r="B20" s="20" t="s">
        <v>586</v>
      </c>
      <c r="C20" s="20" t="s">
        <v>587</v>
      </c>
      <c r="D20" s="20" t="s">
        <v>592</v>
      </c>
      <c r="E20" s="24"/>
    </row>
    <row r="21" spans="1:5" x14ac:dyDescent="0.2">
      <c r="A21" s="20" t="s">
        <v>593</v>
      </c>
      <c r="B21" s="20" t="s">
        <v>586</v>
      </c>
      <c r="C21" s="20" t="s">
        <v>587</v>
      </c>
      <c r="D21" s="20" t="s">
        <v>594</v>
      </c>
      <c r="E21" s="24"/>
    </row>
    <row r="22" spans="1:5" x14ac:dyDescent="0.2">
      <c r="A22" s="20" t="s">
        <v>595</v>
      </c>
      <c r="B22" s="20" t="s">
        <v>596</v>
      </c>
      <c r="C22" s="20" t="s">
        <v>587</v>
      </c>
      <c r="D22" s="20" t="s">
        <v>588</v>
      </c>
      <c r="E22" s="24"/>
    </row>
    <row r="23" spans="1:5" x14ac:dyDescent="0.2">
      <c r="A23" s="20" t="s">
        <v>597</v>
      </c>
      <c r="B23" s="20" t="s">
        <v>596</v>
      </c>
      <c r="C23" s="20" t="s">
        <v>587</v>
      </c>
      <c r="D23" s="20" t="s">
        <v>590</v>
      </c>
      <c r="E23" s="24"/>
    </row>
    <row r="24" spans="1:5" x14ac:dyDescent="0.2">
      <c r="A24" s="20" t="s">
        <v>598</v>
      </c>
      <c r="B24" s="20" t="s">
        <v>596</v>
      </c>
      <c r="C24" s="20" t="s">
        <v>587</v>
      </c>
      <c r="D24" s="20" t="s">
        <v>592</v>
      </c>
      <c r="E24" s="24"/>
    </row>
    <row r="25" spans="1:5" x14ac:dyDescent="0.2">
      <c r="A25" s="20" t="s">
        <v>599</v>
      </c>
      <c r="B25" s="20" t="s">
        <v>596</v>
      </c>
      <c r="C25" s="20" t="s">
        <v>587</v>
      </c>
      <c r="D25" s="20" t="s">
        <v>594</v>
      </c>
      <c r="E25" s="24"/>
    </row>
    <row r="26" spans="1:5" x14ac:dyDescent="0.2">
      <c r="A26" s="20" t="s">
        <v>600</v>
      </c>
      <c r="B26" s="20" t="s">
        <v>601</v>
      </c>
      <c r="C26" s="20" t="s">
        <v>587</v>
      </c>
      <c r="D26" s="20" t="s">
        <v>588</v>
      </c>
      <c r="E26" s="24"/>
    </row>
    <row r="27" spans="1:5" x14ac:dyDescent="0.2">
      <c r="A27" s="20" t="s">
        <v>602</v>
      </c>
      <c r="B27" s="20" t="s">
        <v>601</v>
      </c>
      <c r="C27" s="20" t="s">
        <v>587</v>
      </c>
      <c r="D27" s="20" t="s">
        <v>590</v>
      </c>
      <c r="E27" s="24"/>
    </row>
    <row r="28" spans="1:5" x14ac:dyDescent="0.2">
      <c r="A28" s="20" t="s">
        <v>603</v>
      </c>
      <c r="B28" s="20" t="s">
        <v>601</v>
      </c>
      <c r="C28" s="20" t="s">
        <v>587</v>
      </c>
      <c r="D28" s="20" t="s">
        <v>592</v>
      </c>
      <c r="E28" s="24"/>
    </row>
    <row r="29" spans="1:5" x14ac:dyDescent="0.2">
      <c r="A29" s="20" t="s">
        <v>604</v>
      </c>
      <c r="B29" s="20" t="s">
        <v>601</v>
      </c>
      <c r="C29" s="20" t="s">
        <v>587</v>
      </c>
      <c r="D29" s="20" t="s">
        <v>594</v>
      </c>
      <c r="E29" s="24"/>
    </row>
    <row r="30" spans="1:5" x14ac:dyDescent="0.2">
      <c r="A30" s="20" t="s">
        <v>605</v>
      </c>
      <c r="B30" s="20" t="s">
        <v>606</v>
      </c>
      <c r="C30" s="20" t="s">
        <v>587</v>
      </c>
      <c r="D30" s="20" t="s">
        <v>588</v>
      </c>
      <c r="E30" s="24"/>
    </row>
    <row r="31" spans="1:5" x14ac:dyDescent="0.2">
      <c r="A31" s="20" t="s">
        <v>607</v>
      </c>
      <c r="B31" s="20" t="s">
        <v>606</v>
      </c>
      <c r="C31" s="20" t="s">
        <v>587</v>
      </c>
      <c r="D31" s="20" t="s">
        <v>590</v>
      </c>
      <c r="E31" s="24"/>
    </row>
    <row r="32" spans="1:5" x14ac:dyDescent="0.2">
      <c r="A32" s="20" t="s">
        <v>608</v>
      </c>
      <c r="B32" s="20" t="s">
        <v>606</v>
      </c>
      <c r="C32" s="20" t="s">
        <v>587</v>
      </c>
      <c r="D32" s="20" t="s">
        <v>592</v>
      </c>
      <c r="E32" s="24"/>
    </row>
    <row r="33" spans="1:5" x14ac:dyDescent="0.2">
      <c r="A33" s="20" t="s">
        <v>609</v>
      </c>
      <c r="B33" s="20" t="s">
        <v>606</v>
      </c>
      <c r="C33" s="20" t="s">
        <v>587</v>
      </c>
      <c r="D33" s="20" t="s">
        <v>594</v>
      </c>
      <c r="E33" s="24"/>
    </row>
    <row r="34" spans="1:5" x14ac:dyDescent="0.2">
      <c r="A34" s="20" t="s">
        <v>610</v>
      </c>
      <c r="B34" s="20" t="s">
        <v>611</v>
      </c>
      <c r="C34" s="20" t="s">
        <v>587</v>
      </c>
      <c r="D34" s="20" t="s">
        <v>588</v>
      </c>
      <c r="E34" s="24"/>
    </row>
    <row r="35" spans="1:5" x14ac:dyDescent="0.2">
      <c r="A35" s="20" t="s">
        <v>612</v>
      </c>
      <c r="B35" s="20" t="s">
        <v>611</v>
      </c>
      <c r="C35" s="20" t="s">
        <v>587</v>
      </c>
      <c r="D35" s="20" t="s">
        <v>590</v>
      </c>
      <c r="E35" s="24"/>
    </row>
    <row r="36" spans="1:5" x14ac:dyDescent="0.2">
      <c r="A36" s="20" t="s">
        <v>613</v>
      </c>
      <c r="B36" s="20" t="s">
        <v>611</v>
      </c>
      <c r="C36" s="20" t="s">
        <v>587</v>
      </c>
      <c r="D36" s="20" t="s">
        <v>592</v>
      </c>
      <c r="E36" s="24"/>
    </row>
    <row r="37" spans="1:5" x14ac:dyDescent="0.2">
      <c r="A37" s="20" t="s">
        <v>614</v>
      </c>
      <c r="B37" s="20" t="s">
        <v>611</v>
      </c>
      <c r="C37" s="20" t="s">
        <v>587</v>
      </c>
      <c r="D37" s="20" t="s">
        <v>594</v>
      </c>
      <c r="E37" s="24"/>
    </row>
    <row r="38" spans="1:5" x14ac:dyDescent="0.2">
      <c r="A38" s="20" t="s">
        <v>615</v>
      </c>
      <c r="B38" s="20" t="s">
        <v>616</v>
      </c>
      <c r="C38" s="20" t="s">
        <v>587</v>
      </c>
      <c r="D38" s="20" t="s">
        <v>588</v>
      </c>
      <c r="E38" s="24"/>
    </row>
    <row r="39" spans="1:5" x14ac:dyDescent="0.2">
      <c r="A39" s="20" t="s">
        <v>617</v>
      </c>
      <c r="B39" s="20" t="s">
        <v>616</v>
      </c>
      <c r="C39" s="20" t="s">
        <v>587</v>
      </c>
      <c r="D39" s="20" t="s">
        <v>590</v>
      </c>
      <c r="E39" s="24"/>
    </row>
    <row r="40" spans="1:5" x14ac:dyDescent="0.2">
      <c r="A40" s="20" t="s">
        <v>618</v>
      </c>
      <c r="B40" s="20" t="s">
        <v>616</v>
      </c>
      <c r="C40" s="20" t="s">
        <v>587</v>
      </c>
      <c r="D40" s="20" t="s">
        <v>592</v>
      </c>
      <c r="E40" s="24"/>
    </row>
    <row r="41" spans="1:5" x14ac:dyDescent="0.2">
      <c r="A41" s="20" t="s">
        <v>619</v>
      </c>
      <c r="B41" s="20" t="s">
        <v>616</v>
      </c>
      <c r="C41" s="20" t="s">
        <v>587</v>
      </c>
      <c r="D41" s="20" t="s">
        <v>594</v>
      </c>
      <c r="E41" s="24"/>
    </row>
    <row r="42" spans="1:5" x14ac:dyDescent="0.2">
      <c r="A42" s="20" t="s">
        <v>620</v>
      </c>
      <c r="B42" s="20" t="s">
        <v>621</v>
      </c>
      <c r="C42" s="20" t="s">
        <v>587</v>
      </c>
      <c r="D42" s="20" t="s">
        <v>588</v>
      </c>
      <c r="E42" s="24"/>
    </row>
    <row r="43" spans="1:5" x14ac:dyDescent="0.2">
      <c r="A43" s="20" t="s">
        <v>622</v>
      </c>
      <c r="B43" s="20" t="s">
        <v>621</v>
      </c>
      <c r="C43" s="20" t="s">
        <v>587</v>
      </c>
      <c r="D43" s="20" t="s">
        <v>590</v>
      </c>
      <c r="E43" s="24"/>
    </row>
    <row r="44" spans="1:5" x14ac:dyDescent="0.2">
      <c r="A44" s="20" t="s">
        <v>623</v>
      </c>
      <c r="B44" s="20" t="s">
        <v>621</v>
      </c>
      <c r="C44" s="20" t="s">
        <v>587</v>
      </c>
      <c r="D44" s="20" t="s">
        <v>592</v>
      </c>
      <c r="E44" s="24"/>
    </row>
    <row r="45" spans="1:5" x14ac:dyDescent="0.2">
      <c r="A45" s="20" t="s">
        <v>624</v>
      </c>
      <c r="B45" s="20" t="s">
        <v>621</v>
      </c>
      <c r="C45" s="20" t="s">
        <v>587</v>
      </c>
      <c r="D45" s="20" t="s">
        <v>594</v>
      </c>
      <c r="E45" s="24"/>
    </row>
    <row r="46" spans="1:5" x14ac:dyDescent="0.2">
      <c r="A46" s="20" t="s">
        <v>625</v>
      </c>
      <c r="B46" s="20" t="s">
        <v>626</v>
      </c>
      <c r="C46" s="20" t="s">
        <v>587</v>
      </c>
      <c r="D46" s="20" t="s">
        <v>627</v>
      </c>
      <c r="E46" s="24"/>
    </row>
    <row r="47" spans="1:5" x14ac:dyDescent="0.2">
      <c r="A47" s="20" t="s">
        <v>628</v>
      </c>
      <c r="B47" s="20" t="s">
        <v>626</v>
      </c>
      <c r="C47" s="20" t="s">
        <v>587</v>
      </c>
      <c r="D47" s="20" t="s">
        <v>629</v>
      </c>
      <c r="E47" s="24"/>
    </row>
    <row r="48" spans="1:5" x14ac:dyDescent="0.2">
      <c r="A48" s="20" t="s">
        <v>630</v>
      </c>
      <c r="B48" s="20" t="s">
        <v>626</v>
      </c>
      <c r="C48" s="20" t="s">
        <v>587</v>
      </c>
      <c r="D48" s="20" t="s">
        <v>631</v>
      </c>
      <c r="E48" s="24"/>
    </row>
    <row r="49" spans="1:5" x14ac:dyDescent="0.2">
      <c r="A49" s="20" t="s">
        <v>632</v>
      </c>
      <c r="B49" s="20" t="s">
        <v>626</v>
      </c>
      <c r="C49" s="20" t="s">
        <v>587</v>
      </c>
      <c r="D49" s="20" t="s">
        <v>633</v>
      </c>
      <c r="E49" s="24"/>
    </row>
    <row r="50" spans="1:5" x14ac:dyDescent="0.2">
      <c r="A50" s="20" t="s">
        <v>634</v>
      </c>
      <c r="B50" s="20" t="s">
        <v>635</v>
      </c>
      <c r="C50" s="20" t="s">
        <v>587</v>
      </c>
      <c r="D50" s="20" t="s">
        <v>627</v>
      </c>
      <c r="E50" s="24"/>
    </row>
    <row r="51" spans="1:5" x14ac:dyDescent="0.2">
      <c r="A51" s="20" t="s">
        <v>636</v>
      </c>
      <c r="B51" s="20" t="s">
        <v>635</v>
      </c>
      <c r="C51" s="20" t="s">
        <v>587</v>
      </c>
      <c r="D51" s="20" t="s">
        <v>629</v>
      </c>
      <c r="E51" s="24"/>
    </row>
    <row r="52" spans="1:5" x14ac:dyDescent="0.2">
      <c r="A52" s="20" t="s">
        <v>637</v>
      </c>
      <c r="B52" s="20" t="s">
        <v>635</v>
      </c>
      <c r="C52" s="20" t="s">
        <v>587</v>
      </c>
      <c r="D52" s="20" t="s">
        <v>631</v>
      </c>
      <c r="E52" s="24"/>
    </row>
    <row r="53" spans="1:5" x14ac:dyDescent="0.2">
      <c r="A53" s="20" t="s">
        <v>638</v>
      </c>
      <c r="B53" s="20" t="s">
        <v>635</v>
      </c>
      <c r="C53" s="20" t="s">
        <v>587</v>
      </c>
      <c r="D53" s="20" t="s">
        <v>633</v>
      </c>
      <c r="E53" s="24"/>
    </row>
    <row r="54" spans="1:5" x14ac:dyDescent="0.2">
      <c r="A54" s="20" t="s">
        <v>639</v>
      </c>
      <c r="B54" s="20" t="s">
        <v>640</v>
      </c>
      <c r="C54" s="20" t="s">
        <v>587</v>
      </c>
      <c r="D54" s="20" t="s">
        <v>627</v>
      </c>
      <c r="E54" s="24"/>
    </row>
    <row r="55" spans="1:5" x14ac:dyDescent="0.2">
      <c r="A55" s="20" t="s">
        <v>641</v>
      </c>
      <c r="B55" s="20" t="s">
        <v>640</v>
      </c>
      <c r="C55" s="20" t="s">
        <v>587</v>
      </c>
      <c r="D55" s="20" t="s">
        <v>629</v>
      </c>
      <c r="E55" s="24"/>
    </row>
    <row r="56" spans="1:5" x14ac:dyDescent="0.2">
      <c r="A56" s="20" t="s">
        <v>642</v>
      </c>
      <c r="B56" s="20" t="s">
        <v>640</v>
      </c>
      <c r="C56" s="20" t="s">
        <v>587</v>
      </c>
      <c r="D56" s="20" t="s">
        <v>631</v>
      </c>
      <c r="E56" s="24"/>
    </row>
    <row r="57" spans="1:5" x14ac:dyDescent="0.2">
      <c r="A57" s="20" t="s">
        <v>643</v>
      </c>
      <c r="B57" s="20" t="s">
        <v>640</v>
      </c>
      <c r="C57" s="20" t="s">
        <v>587</v>
      </c>
      <c r="D57" s="20" t="s">
        <v>633</v>
      </c>
      <c r="E57" s="24"/>
    </row>
    <row r="58" spans="1:5" x14ac:dyDescent="0.2">
      <c r="A58" s="20" t="s">
        <v>644</v>
      </c>
      <c r="B58" s="20" t="s">
        <v>645</v>
      </c>
      <c r="C58" s="20" t="s">
        <v>587</v>
      </c>
      <c r="D58" s="20" t="s">
        <v>627</v>
      </c>
      <c r="E58" s="24"/>
    </row>
    <row r="59" spans="1:5" x14ac:dyDescent="0.2">
      <c r="A59" s="20" t="s">
        <v>646</v>
      </c>
      <c r="B59" s="20" t="s">
        <v>645</v>
      </c>
      <c r="C59" s="20" t="s">
        <v>587</v>
      </c>
      <c r="D59" s="20" t="s">
        <v>629</v>
      </c>
      <c r="E59" s="24"/>
    </row>
    <row r="60" spans="1:5" x14ac:dyDescent="0.2">
      <c r="A60" s="20" t="s">
        <v>647</v>
      </c>
      <c r="B60" s="20" t="s">
        <v>645</v>
      </c>
      <c r="C60" s="20" t="s">
        <v>587</v>
      </c>
      <c r="D60" s="20" t="s">
        <v>631</v>
      </c>
      <c r="E60" s="24"/>
    </row>
    <row r="61" spans="1:5" x14ac:dyDescent="0.2">
      <c r="A61" s="20" t="s">
        <v>648</v>
      </c>
      <c r="B61" s="20" t="s">
        <v>645</v>
      </c>
      <c r="C61" s="20" t="s">
        <v>587</v>
      </c>
      <c r="D61" s="20" t="s">
        <v>633</v>
      </c>
      <c r="E61" s="24"/>
    </row>
    <row r="62" spans="1:5" x14ac:dyDescent="0.2">
      <c r="A62" s="20" t="s">
        <v>649</v>
      </c>
      <c r="B62" s="20" t="s">
        <v>650</v>
      </c>
      <c r="C62" s="20" t="s">
        <v>587</v>
      </c>
      <c r="D62" s="20" t="s">
        <v>627</v>
      </c>
      <c r="E62" s="24"/>
    </row>
    <row r="63" spans="1:5" x14ac:dyDescent="0.2">
      <c r="A63" s="20" t="s">
        <v>651</v>
      </c>
      <c r="B63" s="20" t="s">
        <v>650</v>
      </c>
      <c r="C63" s="20" t="s">
        <v>587</v>
      </c>
      <c r="D63" s="20" t="s">
        <v>629</v>
      </c>
      <c r="E63" s="24"/>
    </row>
    <row r="64" spans="1:5" x14ac:dyDescent="0.2">
      <c r="A64" s="20" t="s">
        <v>652</v>
      </c>
      <c r="B64" s="20" t="s">
        <v>650</v>
      </c>
      <c r="C64" s="20" t="s">
        <v>587</v>
      </c>
      <c r="D64" s="20" t="s">
        <v>631</v>
      </c>
      <c r="E64" s="24"/>
    </row>
    <row r="65" spans="1:5" x14ac:dyDescent="0.2">
      <c r="A65" s="20" t="s">
        <v>653</v>
      </c>
      <c r="B65" s="20" t="s">
        <v>650</v>
      </c>
      <c r="C65" s="20" t="s">
        <v>587</v>
      </c>
      <c r="D65" s="20" t="s">
        <v>633</v>
      </c>
      <c r="E65" s="24"/>
    </row>
    <row r="66" spans="1:5" x14ac:dyDescent="0.2">
      <c r="A66" s="20" t="s">
        <v>654</v>
      </c>
      <c r="B66" s="20" t="s">
        <v>655</v>
      </c>
      <c r="C66" s="20" t="s">
        <v>587</v>
      </c>
      <c r="D66" s="20" t="s">
        <v>627</v>
      </c>
      <c r="E66" s="24"/>
    </row>
    <row r="67" spans="1:5" x14ac:dyDescent="0.2">
      <c r="A67" s="20" t="s">
        <v>656</v>
      </c>
      <c r="B67" s="20" t="s">
        <v>655</v>
      </c>
      <c r="C67" s="20" t="s">
        <v>587</v>
      </c>
      <c r="D67" s="20" t="s">
        <v>629</v>
      </c>
      <c r="E67" s="24"/>
    </row>
    <row r="68" spans="1:5" x14ac:dyDescent="0.2">
      <c r="A68" s="20" t="s">
        <v>657</v>
      </c>
      <c r="B68" s="20" t="s">
        <v>655</v>
      </c>
      <c r="C68" s="20" t="s">
        <v>587</v>
      </c>
      <c r="D68" s="20" t="s">
        <v>631</v>
      </c>
      <c r="E68" s="24"/>
    </row>
    <row r="69" spans="1:5" x14ac:dyDescent="0.2">
      <c r="A69" s="20" t="s">
        <v>658</v>
      </c>
      <c r="B69" s="20" t="s">
        <v>655</v>
      </c>
      <c r="C69" s="20" t="s">
        <v>587</v>
      </c>
      <c r="D69" s="20" t="s">
        <v>633</v>
      </c>
      <c r="E69" s="24"/>
    </row>
    <row r="70" spans="1:5" x14ac:dyDescent="0.2">
      <c r="A70" s="20" t="s">
        <v>659</v>
      </c>
      <c r="B70" s="20" t="s">
        <v>660</v>
      </c>
      <c r="C70" s="20" t="s">
        <v>587</v>
      </c>
      <c r="D70" s="20" t="s">
        <v>627</v>
      </c>
      <c r="E70" s="24"/>
    </row>
    <row r="71" spans="1:5" x14ac:dyDescent="0.2">
      <c r="A71" s="20" t="s">
        <v>661</v>
      </c>
      <c r="B71" s="20" t="s">
        <v>660</v>
      </c>
      <c r="C71" s="20" t="s">
        <v>587</v>
      </c>
      <c r="D71" s="20" t="s">
        <v>629</v>
      </c>
      <c r="E71" s="24"/>
    </row>
    <row r="72" spans="1:5" x14ac:dyDescent="0.2">
      <c r="A72" s="20" t="s">
        <v>662</v>
      </c>
      <c r="B72" s="20" t="s">
        <v>660</v>
      </c>
      <c r="C72" s="20" t="s">
        <v>587</v>
      </c>
      <c r="D72" s="20" t="s">
        <v>631</v>
      </c>
      <c r="E72" s="24"/>
    </row>
    <row r="73" spans="1:5" x14ac:dyDescent="0.2">
      <c r="A73" s="20" t="s">
        <v>663</v>
      </c>
      <c r="B73" s="20" t="s">
        <v>660</v>
      </c>
      <c r="C73" s="20" t="s">
        <v>587</v>
      </c>
      <c r="D73" s="20" t="s">
        <v>633</v>
      </c>
      <c r="E73" s="24"/>
    </row>
    <row r="74" spans="1:5" x14ac:dyDescent="0.2">
      <c r="A74" s="20" t="s">
        <v>664</v>
      </c>
      <c r="B74" s="20" t="s">
        <v>665</v>
      </c>
      <c r="C74" s="20" t="s">
        <v>587</v>
      </c>
      <c r="D74" s="20" t="s">
        <v>627</v>
      </c>
      <c r="E74" s="24"/>
    </row>
    <row r="75" spans="1:5" x14ac:dyDescent="0.2">
      <c r="A75" s="20" t="s">
        <v>666</v>
      </c>
      <c r="B75" s="20" t="s">
        <v>665</v>
      </c>
      <c r="C75" s="20" t="s">
        <v>587</v>
      </c>
      <c r="D75" s="20" t="s">
        <v>629</v>
      </c>
      <c r="E75" s="24"/>
    </row>
    <row r="76" spans="1:5" x14ac:dyDescent="0.2">
      <c r="A76" s="20" t="s">
        <v>667</v>
      </c>
      <c r="B76" s="20" t="s">
        <v>665</v>
      </c>
      <c r="C76" s="20" t="s">
        <v>587</v>
      </c>
      <c r="D76" s="20" t="s">
        <v>631</v>
      </c>
      <c r="E76" s="24"/>
    </row>
    <row r="77" spans="1:5" x14ac:dyDescent="0.2">
      <c r="A77" s="20" t="s">
        <v>668</v>
      </c>
      <c r="B77" s="20" t="s">
        <v>665</v>
      </c>
      <c r="C77" s="20" t="s">
        <v>587</v>
      </c>
      <c r="D77" s="20" t="s">
        <v>633</v>
      </c>
      <c r="E77" s="24"/>
    </row>
    <row r="78" spans="1:5" x14ac:dyDescent="0.2">
      <c r="A78" s="20" t="s">
        <v>669</v>
      </c>
      <c r="B78" s="20" t="s">
        <v>670</v>
      </c>
      <c r="C78" s="20" t="s">
        <v>587</v>
      </c>
      <c r="D78" s="20" t="s">
        <v>627</v>
      </c>
      <c r="E78" s="24"/>
    </row>
    <row r="79" spans="1:5" x14ac:dyDescent="0.2">
      <c r="A79" s="20" t="s">
        <v>671</v>
      </c>
      <c r="B79" s="20" t="s">
        <v>670</v>
      </c>
      <c r="C79" s="20" t="s">
        <v>587</v>
      </c>
      <c r="D79" s="20" t="s">
        <v>629</v>
      </c>
      <c r="E79" s="24"/>
    </row>
    <row r="80" spans="1:5" x14ac:dyDescent="0.2">
      <c r="A80" s="20" t="s">
        <v>672</v>
      </c>
      <c r="B80" s="20" t="s">
        <v>670</v>
      </c>
      <c r="C80" s="20" t="s">
        <v>587</v>
      </c>
      <c r="D80" s="20" t="s">
        <v>631</v>
      </c>
      <c r="E80" s="24"/>
    </row>
    <row r="81" spans="1:5" x14ac:dyDescent="0.2">
      <c r="A81" s="20" t="s">
        <v>673</v>
      </c>
      <c r="B81" s="20" t="s">
        <v>670</v>
      </c>
      <c r="C81" s="20" t="s">
        <v>587</v>
      </c>
      <c r="D81" s="20" t="s">
        <v>633</v>
      </c>
      <c r="E81" s="24"/>
    </row>
    <row r="82" spans="1:5" x14ac:dyDescent="0.2">
      <c r="A82" s="20" t="s">
        <v>674</v>
      </c>
      <c r="B82" s="20" t="s">
        <v>675</v>
      </c>
      <c r="C82" s="20" t="s">
        <v>567</v>
      </c>
      <c r="D82" s="20" t="s">
        <v>568</v>
      </c>
      <c r="E82" s="24"/>
    </row>
    <row r="83" spans="1:5" x14ac:dyDescent="0.2">
      <c r="A83" s="20" t="s">
        <v>676</v>
      </c>
      <c r="B83" s="20" t="s">
        <v>675</v>
      </c>
      <c r="C83" s="20" t="s">
        <v>567</v>
      </c>
      <c r="D83" s="20" t="s">
        <v>570</v>
      </c>
      <c r="E83" s="24"/>
    </row>
    <row r="84" spans="1:5" x14ac:dyDescent="0.2">
      <c r="A84" s="20" t="s">
        <v>677</v>
      </c>
      <c r="B84" s="20" t="s">
        <v>675</v>
      </c>
      <c r="C84" s="20" t="s">
        <v>567</v>
      </c>
      <c r="D84" s="20" t="s">
        <v>572</v>
      </c>
      <c r="E84" s="24"/>
    </row>
    <row r="85" spans="1:5" x14ac:dyDescent="0.2">
      <c r="A85" s="25" t="s">
        <v>678</v>
      </c>
      <c r="B85" s="25" t="s">
        <v>675</v>
      </c>
      <c r="C85" s="25" t="s">
        <v>567</v>
      </c>
      <c r="D85" s="25" t="s">
        <v>574</v>
      </c>
      <c r="E85" s="29"/>
    </row>
    <row r="86" spans="1:5" x14ac:dyDescent="0.2">
      <c r="A86" s="43" t="s">
        <v>170</v>
      </c>
      <c r="B86" s="44"/>
      <c r="C86" s="44"/>
      <c r="D86" s="44"/>
      <c r="E86" s="108"/>
    </row>
    <row r="88" spans="1:5" x14ac:dyDescent="0.2">
      <c r="A88" s="43" t="s">
        <v>679</v>
      </c>
      <c r="B88" s="44"/>
      <c r="C88" s="44"/>
      <c r="D88" s="44"/>
      <c r="E88" s="108"/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2F92D-8FED-4605-A480-782165802247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I.2.11: ",tabeltype," regiewerk")</f>
        <v>Bijlage I.2.11: Invultabel regiewerk</v>
      </c>
    </row>
    <row r="3" spans="1:12" ht="38.25" x14ac:dyDescent="0.2">
      <c r="A3" s="8" t="s">
        <v>543</v>
      </c>
      <c r="B3" s="8" t="s">
        <v>8</v>
      </c>
      <c r="C3" s="8" t="s">
        <v>544</v>
      </c>
      <c r="D3" s="8" t="s">
        <v>35</v>
      </c>
      <c r="E3" s="8" t="s">
        <v>38</v>
      </c>
      <c r="F3" s="8" t="s">
        <v>545</v>
      </c>
      <c r="G3" s="8" t="s">
        <v>546</v>
      </c>
      <c r="H3" s="8" t="s">
        <v>547</v>
      </c>
      <c r="I3" s="8" t="s">
        <v>548</v>
      </c>
      <c r="J3" s="8" t="s">
        <v>549</v>
      </c>
      <c r="K3" s="8" t="s">
        <v>138</v>
      </c>
      <c r="L3" s="8" t="s">
        <v>516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680</v>
      </c>
      <c r="B6" s="15" t="s">
        <v>25</v>
      </c>
      <c r="C6" s="16">
        <f>IF(ISBLANK(B6),0,IF(ISERROR(VALUE(B6)),VLOOKUP(B6,dagsoorttabel1,2,FALSE)*dagenperjaar1,VALUE(B6)))</f>
        <v>12</v>
      </c>
      <c r="D6" s="15" t="s">
        <v>681</v>
      </c>
      <c r="E6" s="15" t="s">
        <v>552</v>
      </c>
      <c r="F6" s="101">
        <v>20</v>
      </c>
      <c r="G6" s="19"/>
      <c r="H6" s="102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682</v>
      </c>
      <c r="B7" s="20" t="s">
        <v>25</v>
      </c>
      <c r="C7" s="21">
        <f>IF(ISBLANK(B7),0,IF(ISERROR(VALUE(B7)),VLOOKUP(B7,dagsoorttabel1,2,FALSE)*dagenperjaar1,VALUE(B7)))</f>
        <v>12</v>
      </c>
      <c r="D7" s="20" t="s">
        <v>683</v>
      </c>
      <c r="E7" s="20" t="s">
        <v>552</v>
      </c>
      <c r="F7" s="103">
        <v>4</v>
      </c>
      <c r="G7" s="24"/>
      <c r="H7" s="104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684</v>
      </c>
      <c r="B8" s="25" t="s">
        <v>25</v>
      </c>
      <c r="C8" s="26">
        <f>IF(ISBLANK(B8),0,IF(ISERROR(VALUE(B8)),VLOOKUP(B8,dagsoorttabel1,2,FALSE)*dagenperjaar1,VALUE(B8)))</f>
        <v>12</v>
      </c>
      <c r="D8" s="25" t="s">
        <v>685</v>
      </c>
      <c r="E8" s="25" t="s">
        <v>552</v>
      </c>
      <c r="F8" s="105">
        <v>2</v>
      </c>
      <c r="G8" s="29"/>
      <c r="H8" s="106"/>
      <c r="I8" s="29"/>
      <c r="J8" s="41">
        <f>IF(ISBLANK(F8),0,F8)*I8</f>
        <v>0</v>
      </c>
      <c r="K8" s="41">
        <f>C8*J8</f>
        <v>0</v>
      </c>
      <c r="L8" s="41">
        <f>K8/12</f>
        <v>0</v>
      </c>
    </row>
    <row r="9" spans="1:12" x14ac:dyDescent="0.2">
      <c r="A9" s="43" t="s">
        <v>170</v>
      </c>
      <c r="B9" s="44"/>
      <c r="C9" s="44"/>
      <c r="D9" s="44"/>
      <c r="E9" s="44"/>
      <c r="F9" s="44"/>
      <c r="G9" s="44"/>
      <c r="H9" s="44"/>
      <c r="I9" s="44"/>
      <c r="J9" s="44"/>
      <c r="K9" s="46">
        <f>SUM(K6:K8)</f>
        <v>0</v>
      </c>
      <c r="L9" s="107">
        <f>K9/12</f>
        <v>0</v>
      </c>
    </row>
    <row r="10" spans="1:12" x14ac:dyDescent="0.2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</row>
    <row r="11" spans="1:12" x14ac:dyDescent="0.2">
      <c r="A11" s="12" t="s">
        <v>120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4"/>
    </row>
    <row r="12" spans="1:12" x14ac:dyDescent="0.2">
      <c r="A12" s="82" t="s">
        <v>686</v>
      </c>
      <c r="B12" s="82" t="s">
        <v>28</v>
      </c>
      <c r="C12" s="109">
        <f>IF(ISBLANK(B12),0,IF(ISERROR(VALUE(B12)),VLOOKUP(B12,dagsoorttabel1,2,FALSE)*dagenperjaar1,VALUE(B12)))</f>
        <v>4</v>
      </c>
      <c r="D12" s="82" t="s">
        <v>687</v>
      </c>
      <c r="E12" s="82" t="s">
        <v>552</v>
      </c>
      <c r="F12" s="110">
        <v>10</v>
      </c>
      <c r="G12" s="111"/>
      <c r="H12" s="112"/>
      <c r="I12" s="111"/>
      <c r="J12" s="87">
        <f>IF(ISBLANK(F12),0,F12)*I12</f>
        <v>0</v>
      </c>
      <c r="K12" s="87">
        <f>C12*J12</f>
        <v>0</v>
      </c>
      <c r="L12" s="87">
        <f>K12/12</f>
        <v>0</v>
      </c>
    </row>
    <row r="13" spans="1:12" x14ac:dyDescent="0.2">
      <c r="A13" s="43" t="s">
        <v>195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SUM(K12:K12)</f>
        <v>0</v>
      </c>
      <c r="L13" s="107">
        <f>K13/12</f>
        <v>0</v>
      </c>
    </row>
    <row r="15" spans="1:12" x14ac:dyDescent="0.2">
      <c r="A15" s="43" t="s">
        <v>688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prijsjaarregie1+prijsjaarregie4</f>
        <v>0</v>
      </c>
      <c r="L15" s="107">
        <f>K15/12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F8FD-04DB-4855-A55E-0484366703ED}">
  <dimension ref="A1:L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I.2.12: ",tabeltype," glas")</f>
        <v>Bijlage I.2.12: Invultabel glas</v>
      </c>
    </row>
    <row r="3" spans="1:12" ht="38.25" x14ac:dyDescent="0.2">
      <c r="A3" s="8" t="s">
        <v>543</v>
      </c>
      <c r="B3" s="8" t="s">
        <v>8</v>
      </c>
      <c r="C3" s="8" t="s">
        <v>544</v>
      </c>
      <c r="D3" s="8" t="s">
        <v>35</v>
      </c>
      <c r="E3" s="8" t="s">
        <v>38</v>
      </c>
      <c r="F3" s="8" t="s">
        <v>545</v>
      </c>
      <c r="G3" s="8" t="s">
        <v>546</v>
      </c>
      <c r="H3" s="8" t="s">
        <v>547</v>
      </c>
      <c r="I3" s="8" t="s">
        <v>548</v>
      </c>
      <c r="J3" s="8" t="s">
        <v>549</v>
      </c>
      <c r="K3" s="8" t="s">
        <v>138</v>
      </c>
      <c r="L3" s="8" t="s">
        <v>516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689</v>
      </c>
      <c r="B6" s="15" t="s">
        <v>30</v>
      </c>
      <c r="C6" s="16">
        <f t="shared" ref="C6:C12" si="0">IF(ISBLANK(B6),0,IF(ISERROR(VALUE(B6)),VLOOKUP(B6,dagsoorttabel1,2,FALSE)*dagenperjaar1,VALUE(B6)))</f>
        <v>2</v>
      </c>
      <c r="D6" s="15" t="s">
        <v>690</v>
      </c>
      <c r="E6" s="15" t="s">
        <v>587</v>
      </c>
      <c r="F6" s="113"/>
      <c r="G6" s="19"/>
      <c r="H6" s="102"/>
      <c r="I6" s="19"/>
      <c r="J6" s="33">
        <f>IF(ISBLANK(F6),0,F6)*I6</f>
        <v>0</v>
      </c>
      <c r="K6" s="33">
        <f t="shared" ref="K6:K12" si="1">C6*J6</f>
        <v>0</v>
      </c>
      <c r="L6" s="33">
        <f t="shared" ref="L6:L13" si="2">K6/12</f>
        <v>0</v>
      </c>
    </row>
    <row r="7" spans="1:12" x14ac:dyDescent="0.2">
      <c r="A7" s="20" t="s">
        <v>689</v>
      </c>
      <c r="B7" s="20" t="s">
        <v>28</v>
      </c>
      <c r="C7" s="21">
        <f t="shared" si="0"/>
        <v>4</v>
      </c>
      <c r="D7" s="20" t="s">
        <v>690</v>
      </c>
      <c r="E7" s="20" t="s">
        <v>587</v>
      </c>
      <c r="F7" s="114"/>
      <c r="G7" s="24"/>
      <c r="H7" s="104"/>
      <c r="I7" s="24"/>
      <c r="J7" s="37">
        <f>IF(ISBLANK(F7),0,F7)*I7</f>
        <v>0</v>
      </c>
      <c r="K7" s="37">
        <f t="shared" si="1"/>
        <v>0</v>
      </c>
      <c r="L7" s="37">
        <f t="shared" si="2"/>
        <v>0</v>
      </c>
    </row>
    <row r="8" spans="1:12" x14ac:dyDescent="0.2">
      <c r="A8" s="20" t="s">
        <v>691</v>
      </c>
      <c r="B8" s="20" t="s">
        <v>30</v>
      </c>
      <c r="C8" s="21">
        <f t="shared" si="0"/>
        <v>2</v>
      </c>
      <c r="D8" s="20" t="s">
        <v>692</v>
      </c>
      <c r="E8" s="20" t="s">
        <v>587</v>
      </c>
      <c r="F8" s="114"/>
      <c r="G8" s="24"/>
      <c r="H8" s="104"/>
      <c r="I8" s="24"/>
      <c r="J8" s="37">
        <f>IF(ISBLANK(F8),0,F8)*I8</f>
        <v>0</v>
      </c>
      <c r="K8" s="37">
        <f t="shared" si="1"/>
        <v>0</v>
      </c>
      <c r="L8" s="37">
        <f t="shared" si="2"/>
        <v>0</v>
      </c>
    </row>
    <row r="9" spans="1:12" x14ac:dyDescent="0.2">
      <c r="A9" s="20" t="s">
        <v>693</v>
      </c>
      <c r="B9" s="20" t="s">
        <v>30</v>
      </c>
      <c r="C9" s="21">
        <f t="shared" si="0"/>
        <v>2</v>
      </c>
      <c r="D9" s="20" t="s">
        <v>694</v>
      </c>
      <c r="E9" s="20" t="s">
        <v>587</v>
      </c>
      <c r="F9" s="114"/>
      <c r="G9" s="24"/>
      <c r="H9" s="104"/>
      <c r="I9" s="24"/>
      <c r="J9" s="37">
        <f>IF(ISBLANK(F9),0,F9)*I9</f>
        <v>0</v>
      </c>
      <c r="K9" s="37">
        <f t="shared" si="1"/>
        <v>0</v>
      </c>
      <c r="L9" s="37">
        <f t="shared" si="2"/>
        <v>0</v>
      </c>
    </row>
    <row r="10" spans="1:12" x14ac:dyDescent="0.2">
      <c r="A10" s="20" t="s">
        <v>695</v>
      </c>
      <c r="B10" s="20" t="s">
        <v>30</v>
      </c>
      <c r="C10" s="21">
        <f t="shared" si="0"/>
        <v>2</v>
      </c>
      <c r="D10" s="20" t="s">
        <v>696</v>
      </c>
      <c r="E10" s="20" t="s">
        <v>587</v>
      </c>
      <c r="F10" s="114"/>
      <c r="G10" s="24"/>
      <c r="H10" s="104"/>
      <c r="I10" s="24"/>
      <c r="J10" s="37">
        <f>IF(ISBLANK(F10),0,F10)*I10</f>
        <v>0</v>
      </c>
      <c r="K10" s="37">
        <f t="shared" si="1"/>
        <v>0</v>
      </c>
      <c r="L10" s="37">
        <f t="shared" si="2"/>
        <v>0</v>
      </c>
    </row>
    <row r="11" spans="1:12" x14ac:dyDescent="0.2">
      <c r="A11" s="20" t="s">
        <v>697</v>
      </c>
      <c r="B11" s="20" t="s">
        <v>31</v>
      </c>
      <c r="C11" s="21">
        <f t="shared" si="0"/>
        <v>1</v>
      </c>
      <c r="D11" s="20" t="s">
        <v>698</v>
      </c>
      <c r="E11" s="20" t="s">
        <v>699</v>
      </c>
      <c r="F11" s="114"/>
      <c r="G11" s="24"/>
      <c r="H11" s="104"/>
      <c r="I11" s="24"/>
      <c r="J11" s="37">
        <f>IF(ISBLANK(F11),1,F11)*I11</f>
        <v>0</v>
      </c>
      <c r="K11" s="37">
        <f t="shared" si="1"/>
        <v>0</v>
      </c>
      <c r="L11" s="37">
        <f t="shared" si="2"/>
        <v>0</v>
      </c>
    </row>
    <row r="12" spans="1:12" x14ac:dyDescent="0.2">
      <c r="A12" s="25" t="s">
        <v>700</v>
      </c>
      <c r="B12" s="25" t="s">
        <v>31</v>
      </c>
      <c r="C12" s="26">
        <f t="shared" si="0"/>
        <v>1</v>
      </c>
      <c r="D12" s="25" t="s">
        <v>701</v>
      </c>
      <c r="E12" s="25" t="s">
        <v>699</v>
      </c>
      <c r="F12" s="115"/>
      <c r="G12" s="29"/>
      <c r="H12" s="106"/>
      <c r="I12" s="29"/>
      <c r="J12" s="41">
        <f>IF(ISBLANK(F12),1,F12)*I12</f>
        <v>0</v>
      </c>
      <c r="K12" s="41">
        <f t="shared" si="1"/>
        <v>0</v>
      </c>
      <c r="L12" s="41">
        <f t="shared" si="2"/>
        <v>0</v>
      </c>
    </row>
    <row r="13" spans="1:12" x14ac:dyDescent="0.2">
      <c r="A13" s="43" t="s">
        <v>170</v>
      </c>
      <c r="B13" s="44"/>
      <c r="C13" s="44"/>
      <c r="D13" s="44"/>
      <c r="E13" s="44"/>
      <c r="F13" s="44"/>
      <c r="G13" s="44"/>
      <c r="H13" s="44"/>
      <c r="I13" s="44"/>
      <c r="J13" s="44"/>
      <c r="K13" s="46">
        <f>SUM(K6:K12)</f>
        <v>0</v>
      </c>
      <c r="L13" s="107">
        <f t="shared" si="2"/>
        <v>0</v>
      </c>
    </row>
    <row r="15" spans="1:12" x14ac:dyDescent="0.2">
      <c r="A15" s="43" t="s">
        <v>702</v>
      </c>
      <c r="B15" s="44"/>
      <c r="C15" s="44"/>
      <c r="D15" s="44"/>
      <c r="E15" s="44"/>
      <c r="F15" s="44"/>
      <c r="G15" s="44"/>
      <c r="H15" s="44"/>
      <c r="I15" s="44"/>
      <c r="J15" s="44"/>
      <c r="K15" s="46">
        <f>prijsjaarglas1</f>
        <v>0</v>
      </c>
      <c r="L15" s="107">
        <f>K15/12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BE23-2442-4CAA-B6CF-AD132B282B7C}">
  <dimension ref="A1:E19"/>
  <sheetViews>
    <sheetView workbookViewId="0">
      <selection activeCell="G15" sqref="G15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I.2.13: ",tabeltype," totaalblad schoonmaakwerk")</f>
        <v>Bijlage I.2.13: Invultabel totaalblad schoonmaakwerk</v>
      </c>
    </row>
    <row r="3" spans="1:5" ht="25.5" x14ac:dyDescent="0.2">
      <c r="A3" s="8" t="s">
        <v>703</v>
      </c>
      <c r="B3" s="8" t="s">
        <v>704</v>
      </c>
      <c r="C3" s="8" t="s">
        <v>705</v>
      </c>
      <c r="D3" s="8" t="s">
        <v>706</v>
      </c>
      <c r="E3" s="8" t="s">
        <v>707</v>
      </c>
    </row>
    <row r="4" spans="1:5" x14ac:dyDescent="0.2">
      <c r="A4" s="116" t="s">
        <v>708</v>
      </c>
      <c r="B4" s="30">
        <f>urenjaartotaaloverzicht</f>
        <v>0</v>
      </c>
      <c r="C4" s="30">
        <f>urenjaartotaaloverzichthf</f>
        <v>0</v>
      </c>
      <c r="D4" s="92"/>
      <c r="E4" s="33">
        <f>prijsjaartotaaloverzicht</f>
        <v>0</v>
      </c>
    </row>
    <row r="5" spans="1:5" x14ac:dyDescent="0.2">
      <c r="A5" s="117" t="s">
        <v>709</v>
      </c>
      <c r="B5" s="95"/>
      <c r="C5" s="95"/>
      <c r="D5" s="34">
        <f>urenjaarnietmeewerkend</f>
        <v>0</v>
      </c>
      <c r="E5" s="37">
        <f>prijsjaarnietmeewerkend</f>
        <v>0</v>
      </c>
    </row>
    <row r="6" spans="1:5" ht="25.5" x14ac:dyDescent="0.2">
      <c r="A6" s="117" t="s">
        <v>710</v>
      </c>
      <c r="B6" s="95"/>
      <c r="C6" s="95"/>
      <c r="D6" s="95"/>
      <c r="E6" s="37">
        <f>prijsjaarafroep</f>
        <v>0</v>
      </c>
    </row>
    <row r="7" spans="1:5" x14ac:dyDescent="0.2">
      <c r="A7" s="117" t="s">
        <v>711</v>
      </c>
      <c r="B7" s="95"/>
      <c r="C7" s="95"/>
      <c r="D7" s="95"/>
      <c r="E7" s="37">
        <f>prijsjaarregie</f>
        <v>0</v>
      </c>
    </row>
    <row r="8" spans="1:5" x14ac:dyDescent="0.2">
      <c r="A8" s="118" t="s">
        <v>712</v>
      </c>
      <c r="B8" s="119"/>
      <c r="C8" s="119"/>
      <c r="D8" s="119"/>
      <c r="E8" s="41">
        <f>prijsjaarglas</f>
        <v>0</v>
      </c>
    </row>
    <row r="10" spans="1:5" x14ac:dyDescent="0.2">
      <c r="A10" s="8" t="s">
        <v>713</v>
      </c>
      <c r="B10" s="45">
        <f>SUM(B4:B8)</f>
        <v>0</v>
      </c>
      <c r="C10" s="45">
        <f>SUM(C4:C8)</f>
        <v>0</v>
      </c>
      <c r="D10" s="45">
        <f>SUM(D4:D8)</f>
        <v>0</v>
      </c>
      <c r="E10" s="46">
        <f>SUM(E4:E8)</f>
        <v>0</v>
      </c>
    </row>
    <row r="12" spans="1:5" x14ac:dyDescent="0.2">
      <c r="A12" s="8" t="s">
        <v>714</v>
      </c>
      <c r="B12" s="120">
        <f>IF(B10&gt;0,D10/B10,0)</f>
        <v>0</v>
      </c>
    </row>
    <row r="17" spans="1:5" ht="15" x14ac:dyDescent="0.25">
      <c r="A17" s="121" t="s">
        <v>715</v>
      </c>
      <c r="B17" s="122"/>
      <c r="C17" s="122"/>
      <c r="D17" s="122"/>
      <c r="E17" s="123">
        <f>E4+E5</f>
        <v>0</v>
      </c>
    </row>
    <row r="18" spans="1:5" ht="15" x14ac:dyDescent="0.25">
      <c r="A18" s="122"/>
      <c r="B18" s="122"/>
      <c r="C18" s="122"/>
      <c r="D18" s="122"/>
      <c r="E18" s="122"/>
    </row>
    <row r="19" spans="1:5" ht="15" x14ac:dyDescent="0.25">
      <c r="A19" s="121" t="s">
        <v>716</v>
      </c>
      <c r="B19" s="122"/>
      <c r="C19" s="122"/>
      <c r="D19" s="122"/>
      <c r="E19" s="123">
        <f>E6+E7+E8</f>
        <v>0</v>
      </c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1C0A-F48D-44B8-B87D-FB014D0223E2}">
  <dimension ref="A1:B34"/>
  <sheetViews>
    <sheetView workbookViewId="0"/>
  </sheetViews>
  <sheetFormatPr defaultRowHeight="12.75" x14ac:dyDescent="0.2"/>
  <sheetData>
    <row r="1" spans="1:2" x14ac:dyDescent="0.2">
      <c r="A1" s="1" t="s">
        <v>1</v>
      </c>
    </row>
    <row r="3" spans="1:2" x14ac:dyDescent="0.2">
      <c r="A3" t="s">
        <v>2</v>
      </c>
    </row>
    <row r="5" spans="1:2" x14ac:dyDescent="0.2">
      <c r="A5" t="s">
        <v>3</v>
      </c>
      <c r="B5" t="s">
        <v>4</v>
      </c>
    </row>
    <row r="7" spans="1:2" x14ac:dyDescent="0.2">
      <c r="A7" s="4" t="s">
        <v>5</v>
      </c>
      <c r="B7" s="5"/>
    </row>
    <row r="8" spans="1:2" x14ac:dyDescent="0.2">
      <c r="A8" s="2"/>
      <c r="B8" s="3"/>
    </row>
    <row r="9" spans="1:2" x14ac:dyDescent="0.2">
      <c r="A9" s="2" t="s">
        <v>6</v>
      </c>
      <c r="B9" s="3">
        <v>255</v>
      </c>
    </row>
    <row r="10" spans="1:2" x14ac:dyDescent="0.2">
      <c r="A10" s="2" t="s">
        <v>7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8</v>
      </c>
      <c r="B12" s="3" t="s">
        <v>9</v>
      </c>
    </row>
    <row r="13" spans="1:2" x14ac:dyDescent="0.2">
      <c r="A13" s="2" t="s">
        <v>10</v>
      </c>
      <c r="B13" s="3">
        <f t="shared" ref="B13:B34" si="0"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11</v>
      </c>
      <c r="B14" s="3">
        <f t="shared" si="0"/>
        <v>0.92941176470588238</v>
      </c>
    </row>
    <row r="15" spans="1:2" x14ac:dyDescent="0.2">
      <c r="A15" s="2" t="s">
        <v>12</v>
      </c>
      <c r="B15" s="3">
        <f t="shared" si="0"/>
        <v>0.88235294117647056</v>
      </c>
    </row>
    <row r="16" spans="1:2" x14ac:dyDescent="0.2">
      <c r="A16" s="2" t="s">
        <v>13</v>
      </c>
      <c r="B16" s="3">
        <f t="shared" si="0"/>
        <v>0.8</v>
      </c>
    </row>
    <row r="17" spans="1:2" x14ac:dyDescent="0.2">
      <c r="A17" s="2" t="s">
        <v>14</v>
      </c>
      <c r="B17" s="3">
        <f t="shared" si="0"/>
        <v>0.78431372549019607</v>
      </c>
    </row>
    <row r="18" spans="1:2" x14ac:dyDescent="0.2">
      <c r="A18" s="2" t="s">
        <v>15</v>
      </c>
      <c r="B18" s="3">
        <f t="shared" si="0"/>
        <v>0.6</v>
      </c>
    </row>
    <row r="19" spans="1:2" x14ac:dyDescent="0.2">
      <c r="A19" s="2" t="s">
        <v>16</v>
      </c>
      <c r="B19" s="3">
        <f t="shared" si="0"/>
        <v>0.4</v>
      </c>
    </row>
    <row r="20" spans="1:2" x14ac:dyDescent="0.2">
      <c r="A20" s="2" t="s">
        <v>17</v>
      </c>
      <c r="B20" s="3">
        <f t="shared" si="0"/>
        <v>0.39215686274509803</v>
      </c>
    </row>
    <row r="21" spans="1:2" x14ac:dyDescent="0.2">
      <c r="A21" s="2" t="s">
        <v>18</v>
      </c>
      <c r="B21" s="3">
        <f t="shared" si="0"/>
        <v>0.33333333333333331</v>
      </c>
    </row>
    <row r="22" spans="1:2" x14ac:dyDescent="0.2">
      <c r="A22" s="2" t="s">
        <v>19</v>
      </c>
      <c r="B22" s="3">
        <f t="shared" si="0"/>
        <v>0.2</v>
      </c>
    </row>
    <row r="23" spans="1:2" x14ac:dyDescent="0.2">
      <c r="A23" s="2" t="s">
        <v>20</v>
      </c>
      <c r="B23" s="3">
        <f t="shared" si="0"/>
        <v>0.10196078431372549</v>
      </c>
    </row>
    <row r="24" spans="1:2" x14ac:dyDescent="0.2">
      <c r="A24" s="2" t="s">
        <v>21</v>
      </c>
      <c r="B24" s="3">
        <f t="shared" si="0"/>
        <v>9.4117647058823528E-2</v>
      </c>
    </row>
    <row r="25" spans="1:2" x14ac:dyDescent="0.2">
      <c r="A25" s="2" t="s">
        <v>22</v>
      </c>
      <c r="B25" s="3">
        <f t="shared" si="0"/>
        <v>7.4509803921568626E-2</v>
      </c>
    </row>
    <row r="26" spans="1:2" x14ac:dyDescent="0.2">
      <c r="A26" s="2" t="s">
        <v>23</v>
      </c>
      <c r="B26" s="3">
        <f t="shared" si="0"/>
        <v>6.2745098039215685E-2</v>
      </c>
    </row>
    <row r="27" spans="1:2" x14ac:dyDescent="0.2">
      <c r="A27" s="2" t="s">
        <v>24</v>
      </c>
      <c r="B27" s="3">
        <f t="shared" si="0"/>
        <v>5.4901960784313725E-2</v>
      </c>
    </row>
    <row r="28" spans="1:2" x14ac:dyDescent="0.2">
      <c r="A28" s="2" t="s">
        <v>25</v>
      </c>
      <c r="B28" s="3">
        <f t="shared" si="0"/>
        <v>4.7058823529411764E-2</v>
      </c>
    </row>
    <row r="29" spans="1:2" x14ac:dyDescent="0.2">
      <c r="A29" s="2" t="s">
        <v>26</v>
      </c>
      <c r="B29" s="3">
        <f t="shared" si="0"/>
        <v>3.1372549019607843E-2</v>
      </c>
    </row>
    <row r="30" spans="1:2" x14ac:dyDescent="0.2">
      <c r="A30" s="2" t="s">
        <v>27</v>
      </c>
      <c r="B30" s="3">
        <f t="shared" si="0"/>
        <v>2.3529411764705882E-2</v>
      </c>
    </row>
    <row r="31" spans="1:2" x14ac:dyDescent="0.2">
      <c r="A31" s="2" t="s">
        <v>28</v>
      </c>
      <c r="B31" s="3">
        <f t="shared" si="0"/>
        <v>1.5686274509803921E-2</v>
      </c>
    </row>
    <row r="32" spans="1:2" x14ac:dyDescent="0.2">
      <c r="A32" s="2" t="s">
        <v>29</v>
      </c>
      <c r="B32" s="3">
        <f t="shared" si="0"/>
        <v>1.1764705882352941E-2</v>
      </c>
    </row>
    <row r="33" spans="1:2" x14ac:dyDescent="0.2">
      <c r="A33" s="2" t="s">
        <v>30</v>
      </c>
      <c r="B33" s="3">
        <f t="shared" si="0"/>
        <v>7.8431372549019607E-3</v>
      </c>
    </row>
    <row r="34" spans="1:2" x14ac:dyDescent="0.2">
      <c r="A34" s="6" t="s">
        <v>31</v>
      </c>
      <c r="B34" s="7">
        <f t="shared" si="0"/>
        <v>3.9215686274509803E-3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A3A2-034F-4B9C-846B-8FD44016FB8F}">
  <dimension ref="A1:H60"/>
  <sheetViews>
    <sheetView tabSelected="1" workbookViewId="0">
      <selection activeCell="D11" sqref="D11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I.2.1: ",tabeltype," categorienormen")</f>
        <v>Bijlage I.2.1: Invultabel categorienormen</v>
      </c>
    </row>
    <row r="3" spans="1:8" ht="38.25" x14ac:dyDescent="0.2">
      <c r="A3" s="8" t="s">
        <v>32</v>
      </c>
      <c r="B3" s="8" t="s">
        <v>33</v>
      </c>
      <c r="C3" s="8" t="s">
        <v>34</v>
      </c>
      <c r="D3" s="8" t="s">
        <v>35</v>
      </c>
      <c r="E3" s="8" t="s">
        <v>36</v>
      </c>
      <c r="F3" s="8" t="s">
        <v>37</v>
      </c>
      <c r="G3" s="8" t="s">
        <v>38</v>
      </c>
      <c r="H3" s="8" t="s">
        <v>39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40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41</v>
      </c>
      <c r="B6" s="16" t="s">
        <v>42</v>
      </c>
      <c r="C6" s="15">
        <v>1</v>
      </c>
      <c r="D6" s="15" t="s">
        <v>43</v>
      </c>
      <c r="E6" s="17"/>
      <c r="F6" s="18"/>
      <c r="G6" s="15" t="s">
        <v>44</v>
      </c>
      <c r="H6" s="19"/>
    </row>
    <row r="7" spans="1:8" x14ac:dyDescent="0.2">
      <c r="A7" s="20" t="s">
        <v>45</v>
      </c>
      <c r="B7" s="21" t="s">
        <v>42</v>
      </c>
      <c r="C7" s="20">
        <v>51</v>
      </c>
      <c r="D7" s="20" t="s">
        <v>46</v>
      </c>
      <c r="E7" s="22"/>
      <c r="F7" s="23"/>
      <c r="G7" s="20" t="s">
        <v>44</v>
      </c>
      <c r="H7" s="24"/>
    </row>
    <row r="8" spans="1:8" x14ac:dyDescent="0.2">
      <c r="A8" s="20" t="s">
        <v>47</v>
      </c>
      <c r="B8" s="21" t="s">
        <v>42</v>
      </c>
      <c r="C8" s="20">
        <v>1</v>
      </c>
      <c r="D8" s="20" t="s">
        <v>48</v>
      </c>
      <c r="E8" s="22"/>
      <c r="F8" s="23"/>
      <c r="G8" s="20" t="s">
        <v>44</v>
      </c>
      <c r="H8" s="24"/>
    </row>
    <row r="9" spans="1:8" x14ac:dyDescent="0.2">
      <c r="A9" s="20" t="s">
        <v>49</v>
      </c>
      <c r="B9" s="21" t="s">
        <v>42</v>
      </c>
      <c r="C9" s="20">
        <v>51</v>
      </c>
      <c r="D9" s="20" t="s">
        <v>50</v>
      </c>
      <c r="E9" s="22"/>
      <c r="F9" s="23"/>
      <c r="G9" s="20" t="s">
        <v>44</v>
      </c>
      <c r="H9" s="24"/>
    </row>
    <row r="10" spans="1:8" x14ac:dyDescent="0.2">
      <c r="A10" s="20" t="s">
        <v>51</v>
      </c>
      <c r="B10" s="21" t="s">
        <v>42</v>
      </c>
      <c r="C10" s="20">
        <v>1</v>
      </c>
      <c r="D10" s="20" t="s">
        <v>52</v>
      </c>
      <c r="E10" s="22"/>
      <c r="F10" s="23"/>
      <c r="G10" s="20" t="s">
        <v>44</v>
      </c>
      <c r="H10" s="24"/>
    </row>
    <row r="11" spans="1:8" x14ac:dyDescent="0.2">
      <c r="A11" s="20" t="s">
        <v>53</v>
      </c>
      <c r="B11" s="21" t="s">
        <v>42</v>
      </c>
      <c r="C11" s="20">
        <v>51</v>
      </c>
      <c r="D11" s="20" t="s">
        <v>54</v>
      </c>
      <c r="E11" s="22"/>
      <c r="F11" s="23"/>
      <c r="G11" s="20" t="s">
        <v>44</v>
      </c>
      <c r="H11" s="24"/>
    </row>
    <row r="12" spans="1:8" x14ac:dyDescent="0.2">
      <c r="A12" s="20" t="s">
        <v>55</v>
      </c>
      <c r="B12" s="21" t="s">
        <v>42</v>
      </c>
      <c r="C12" s="20">
        <v>1</v>
      </c>
      <c r="D12" s="20" t="s">
        <v>56</v>
      </c>
      <c r="E12" s="22"/>
      <c r="F12" s="23"/>
      <c r="G12" s="20" t="s">
        <v>44</v>
      </c>
      <c r="H12" s="24"/>
    </row>
    <row r="13" spans="1:8" x14ac:dyDescent="0.2">
      <c r="A13" s="20" t="s">
        <v>57</v>
      </c>
      <c r="B13" s="21" t="s">
        <v>42</v>
      </c>
      <c r="C13" s="20">
        <v>12</v>
      </c>
      <c r="D13" s="20" t="s">
        <v>58</v>
      </c>
      <c r="E13" s="22"/>
      <c r="F13" s="23"/>
      <c r="G13" s="20" t="s">
        <v>44</v>
      </c>
      <c r="H13" s="24"/>
    </row>
    <row r="14" spans="1:8" x14ac:dyDescent="0.2">
      <c r="A14" s="20" t="s">
        <v>59</v>
      </c>
      <c r="B14" s="21" t="s">
        <v>60</v>
      </c>
      <c r="C14" s="20">
        <v>1</v>
      </c>
      <c r="D14" s="20" t="s">
        <v>61</v>
      </c>
      <c r="E14" s="22"/>
      <c r="F14" s="23"/>
      <c r="G14" s="20" t="s">
        <v>44</v>
      </c>
      <c r="H14" s="24"/>
    </row>
    <row r="15" spans="1:8" x14ac:dyDescent="0.2">
      <c r="A15" s="20" t="s">
        <v>62</v>
      </c>
      <c r="B15" s="21" t="s">
        <v>60</v>
      </c>
      <c r="C15" s="20">
        <v>51</v>
      </c>
      <c r="D15" s="20" t="s">
        <v>63</v>
      </c>
      <c r="E15" s="22"/>
      <c r="F15" s="23"/>
      <c r="G15" s="20" t="s">
        <v>44</v>
      </c>
      <c r="H15" s="24"/>
    </row>
    <row r="16" spans="1:8" x14ac:dyDescent="0.2">
      <c r="A16" s="20" t="s">
        <v>64</v>
      </c>
      <c r="B16" s="21" t="s">
        <v>65</v>
      </c>
      <c r="C16" s="20">
        <v>1</v>
      </c>
      <c r="D16" s="20" t="s">
        <v>66</v>
      </c>
      <c r="E16" s="22"/>
      <c r="F16" s="23"/>
      <c r="G16" s="20" t="s">
        <v>44</v>
      </c>
      <c r="H16" s="24"/>
    </row>
    <row r="17" spans="1:8" x14ac:dyDescent="0.2">
      <c r="A17" s="20" t="s">
        <v>67</v>
      </c>
      <c r="B17" s="21" t="s">
        <v>65</v>
      </c>
      <c r="C17" s="20">
        <v>51</v>
      </c>
      <c r="D17" s="20" t="s">
        <v>68</v>
      </c>
      <c r="E17" s="22"/>
      <c r="F17" s="23"/>
      <c r="G17" s="20" t="s">
        <v>44</v>
      </c>
      <c r="H17" s="24"/>
    </row>
    <row r="18" spans="1:8" x14ac:dyDescent="0.2">
      <c r="A18" s="20" t="s">
        <v>69</v>
      </c>
      <c r="B18" s="21" t="s">
        <v>65</v>
      </c>
      <c r="C18" s="20">
        <v>1</v>
      </c>
      <c r="D18" s="20" t="s">
        <v>70</v>
      </c>
      <c r="E18" s="22"/>
      <c r="F18" s="23"/>
      <c r="G18" s="20" t="s">
        <v>44</v>
      </c>
      <c r="H18" s="24"/>
    </row>
    <row r="19" spans="1:8" x14ac:dyDescent="0.2">
      <c r="A19" s="20" t="s">
        <v>71</v>
      </c>
      <c r="B19" s="21" t="s">
        <v>65</v>
      </c>
      <c r="C19" s="20">
        <v>51</v>
      </c>
      <c r="D19" s="20" t="s">
        <v>72</v>
      </c>
      <c r="E19" s="22"/>
      <c r="F19" s="23"/>
      <c r="G19" s="20" t="s">
        <v>44</v>
      </c>
      <c r="H19" s="24"/>
    </row>
    <row r="20" spans="1:8" x14ac:dyDescent="0.2">
      <c r="A20" s="20" t="s">
        <v>73</v>
      </c>
      <c r="B20" s="21" t="s">
        <v>74</v>
      </c>
      <c r="C20" s="20">
        <v>1</v>
      </c>
      <c r="D20" s="20" t="s">
        <v>75</v>
      </c>
      <c r="E20" s="22"/>
      <c r="F20" s="23"/>
      <c r="G20" s="20" t="s">
        <v>44</v>
      </c>
      <c r="H20" s="24"/>
    </row>
    <row r="21" spans="1:8" x14ac:dyDescent="0.2">
      <c r="A21" s="20" t="s">
        <v>76</v>
      </c>
      <c r="B21" s="21" t="s">
        <v>74</v>
      </c>
      <c r="C21" s="20">
        <v>12</v>
      </c>
      <c r="D21" s="20" t="s">
        <v>77</v>
      </c>
      <c r="E21" s="22"/>
      <c r="F21" s="23"/>
      <c r="G21" s="20" t="s">
        <v>44</v>
      </c>
      <c r="H21" s="24"/>
    </row>
    <row r="22" spans="1:8" x14ac:dyDescent="0.2">
      <c r="A22" s="20" t="s">
        <v>76</v>
      </c>
      <c r="B22" s="21" t="s">
        <v>74</v>
      </c>
      <c r="C22" s="20">
        <v>51</v>
      </c>
      <c r="D22" s="20" t="s">
        <v>77</v>
      </c>
      <c r="E22" s="22"/>
      <c r="F22" s="23"/>
      <c r="G22" s="20" t="s">
        <v>44</v>
      </c>
      <c r="H22" s="24"/>
    </row>
    <row r="23" spans="1:8" x14ac:dyDescent="0.2">
      <c r="A23" s="20" t="s">
        <v>78</v>
      </c>
      <c r="B23" s="21" t="s">
        <v>74</v>
      </c>
      <c r="C23" s="20">
        <v>1</v>
      </c>
      <c r="D23" s="20" t="s">
        <v>79</v>
      </c>
      <c r="E23" s="22"/>
      <c r="F23" s="23"/>
      <c r="G23" s="20" t="s">
        <v>44</v>
      </c>
      <c r="H23" s="24"/>
    </row>
    <row r="24" spans="1:8" x14ac:dyDescent="0.2">
      <c r="A24" s="20" t="s">
        <v>80</v>
      </c>
      <c r="B24" s="21" t="s">
        <v>74</v>
      </c>
      <c r="C24" s="20">
        <v>51</v>
      </c>
      <c r="D24" s="20" t="s">
        <v>81</v>
      </c>
      <c r="E24" s="22"/>
      <c r="F24" s="23"/>
      <c r="G24" s="20" t="s">
        <v>44</v>
      </c>
      <c r="H24" s="24"/>
    </row>
    <row r="25" spans="1:8" x14ac:dyDescent="0.2">
      <c r="A25" s="20" t="s">
        <v>82</v>
      </c>
      <c r="B25" s="21" t="s">
        <v>74</v>
      </c>
      <c r="C25" s="20">
        <v>1</v>
      </c>
      <c r="D25" s="20" t="s">
        <v>83</v>
      </c>
      <c r="E25" s="22"/>
      <c r="F25" s="23"/>
      <c r="G25" s="20" t="s">
        <v>44</v>
      </c>
      <c r="H25" s="24"/>
    </row>
    <row r="26" spans="1:8" x14ac:dyDescent="0.2">
      <c r="A26" s="20" t="s">
        <v>84</v>
      </c>
      <c r="B26" s="21" t="s">
        <v>74</v>
      </c>
      <c r="C26" s="20">
        <v>51</v>
      </c>
      <c r="D26" s="20" t="s">
        <v>85</v>
      </c>
      <c r="E26" s="22"/>
      <c r="F26" s="23"/>
      <c r="G26" s="20" t="s">
        <v>44</v>
      </c>
      <c r="H26" s="24"/>
    </row>
    <row r="27" spans="1:8" x14ac:dyDescent="0.2">
      <c r="A27" s="20" t="s">
        <v>86</v>
      </c>
      <c r="B27" s="21" t="s">
        <v>74</v>
      </c>
      <c r="C27" s="20">
        <v>1</v>
      </c>
      <c r="D27" s="20" t="s">
        <v>87</v>
      </c>
      <c r="E27" s="22"/>
      <c r="F27" s="23"/>
      <c r="G27" s="20" t="s">
        <v>44</v>
      </c>
      <c r="H27" s="24"/>
    </row>
    <row r="28" spans="1:8" x14ac:dyDescent="0.2">
      <c r="A28" s="20" t="s">
        <v>88</v>
      </c>
      <c r="B28" s="21" t="s">
        <v>74</v>
      </c>
      <c r="C28" s="20">
        <v>51</v>
      </c>
      <c r="D28" s="20" t="s">
        <v>89</v>
      </c>
      <c r="E28" s="22"/>
      <c r="F28" s="23"/>
      <c r="G28" s="20" t="s">
        <v>44</v>
      </c>
      <c r="H28" s="24"/>
    </row>
    <row r="29" spans="1:8" x14ac:dyDescent="0.2">
      <c r="A29" s="20" t="s">
        <v>90</v>
      </c>
      <c r="B29" s="21" t="s">
        <v>74</v>
      </c>
      <c r="C29" s="20">
        <v>1</v>
      </c>
      <c r="D29" s="20" t="s">
        <v>91</v>
      </c>
      <c r="E29" s="22"/>
      <c r="F29" s="23"/>
      <c r="G29" s="20" t="s">
        <v>44</v>
      </c>
      <c r="H29" s="24"/>
    </row>
    <row r="30" spans="1:8" x14ac:dyDescent="0.2">
      <c r="A30" s="20" t="s">
        <v>92</v>
      </c>
      <c r="B30" s="21" t="s">
        <v>74</v>
      </c>
      <c r="C30" s="20">
        <v>51</v>
      </c>
      <c r="D30" s="20" t="s">
        <v>93</v>
      </c>
      <c r="E30" s="22"/>
      <c r="F30" s="23"/>
      <c r="G30" s="20" t="s">
        <v>44</v>
      </c>
      <c r="H30" s="24"/>
    </row>
    <row r="31" spans="1:8" x14ac:dyDescent="0.2">
      <c r="A31" s="20" t="s">
        <v>94</v>
      </c>
      <c r="B31" s="21" t="s">
        <v>74</v>
      </c>
      <c r="C31" s="20">
        <v>1</v>
      </c>
      <c r="D31" s="20" t="s">
        <v>95</v>
      </c>
      <c r="E31" s="22"/>
      <c r="F31" s="23"/>
      <c r="G31" s="20" t="s">
        <v>44</v>
      </c>
      <c r="H31" s="24"/>
    </row>
    <row r="32" spans="1:8" x14ac:dyDescent="0.2">
      <c r="A32" s="20" t="s">
        <v>96</v>
      </c>
      <c r="B32" s="21" t="s">
        <v>74</v>
      </c>
      <c r="C32" s="20">
        <v>51</v>
      </c>
      <c r="D32" s="20" t="s">
        <v>97</v>
      </c>
      <c r="E32" s="22"/>
      <c r="F32" s="23"/>
      <c r="G32" s="20" t="s">
        <v>44</v>
      </c>
      <c r="H32" s="24"/>
    </row>
    <row r="33" spans="1:8" x14ac:dyDescent="0.2">
      <c r="A33" s="20" t="s">
        <v>98</v>
      </c>
      <c r="B33" s="21" t="s">
        <v>74</v>
      </c>
      <c r="C33" s="20">
        <v>1</v>
      </c>
      <c r="D33" s="20" t="s">
        <v>99</v>
      </c>
      <c r="E33" s="22"/>
      <c r="F33" s="23"/>
      <c r="G33" s="20" t="s">
        <v>44</v>
      </c>
      <c r="H33" s="24"/>
    </row>
    <row r="34" spans="1:8" x14ac:dyDescent="0.2">
      <c r="A34" s="20" t="s">
        <v>100</v>
      </c>
      <c r="B34" s="21" t="s">
        <v>74</v>
      </c>
      <c r="C34" s="20">
        <v>51</v>
      </c>
      <c r="D34" s="20" t="s">
        <v>101</v>
      </c>
      <c r="E34" s="22"/>
      <c r="F34" s="23"/>
      <c r="G34" s="20" t="s">
        <v>44</v>
      </c>
      <c r="H34" s="24"/>
    </row>
    <row r="35" spans="1:8" x14ac:dyDescent="0.2">
      <c r="A35" s="20" t="s">
        <v>102</v>
      </c>
      <c r="B35" s="21" t="s">
        <v>74</v>
      </c>
      <c r="C35" s="20">
        <v>1</v>
      </c>
      <c r="D35" s="20" t="s">
        <v>103</v>
      </c>
      <c r="E35" s="22"/>
      <c r="F35" s="23"/>
      <c r="G35" s="20" t="s">
        <v>44</v>
      </c>
      <c r="H35" s="24"/>
    </row>
    <row r="36" spans="1:8" x14ac:dyDescent="0.2">
      <c r="A36" s="25" t="s">
        <v>104</v>
      </c>
      <c r="B36" s="26" t="s">
        <v>74</v>
      </c>
      <c r="C36" s="25">
        <v>51</v>
      </c>
      <c r="D36" s="25" t="s">
        <v>105</v>
      </c>
      <c r="E36" s="27"/>
      <c r="F36" s="28"/>
      <c r="G36" s="25" t="s">
        <v>44</v>
      </c>
      <c r="H36" s="29"/>
    </row>
    <row r="37" spans="1:8" x14ac:dyDescent="0.2">
      <c r="A37" s="9"/>
      <c r="B37" s="10"/>
      <c r="C37" s="10"/>
      <c r="D37" s="10"/>
      <c r="E37" s="10"/>
      <c r="F37" s="10"/>
      <c r="G37" s="10"/>
      <c r="H37" s="11"/>
    </row>
    <row r="38" spans="1:8" x14ac:dyDescent="0.2">
      <c r="A38" s="12" t="s">
        <v>106</v>
      </c>
      <c r="B38" s="13"/>
      <c r="C38" s="13"/>
      <c r="D38" s="13"/>
      <c r="E38" s="13"/>
      <c r="F38" s="13"/>
      <c r="G38" s="13"/>
      <c r="H38" s="14"/>
    </row>
    <row r="39" spans="1:8" x14ac:dyDescent="0.2">
      <c r="A39" s="15" t="s">
        <v>107</v>
      </c>
      <c r="B39" s="16" t="s">
        <v>42</v>
      </c>
      <c r="C39" s="15">
        <v>1</v>
      </c>
      <c r="D39" s="15" t="s">
        <v>108</v>
      </c>
      <c r="E39" s="17"/>
      <c r="F39" s="18"/>
      <c r="G39" s="15" t="s">
        <v>44</v>
      </c>
      <c r="H39" s="19"/>
    </row>
    <row r="40" spans="1:8" x14ac:dyDescent="0.2">
      <c r="A40" s="20" t="s">
        <v>109</v>
      </c>
      <c r="B40" s="21" t="s">
        <v>42</v>
      </c>
      <c r="C40" s="20">
        <v>1</v>
      </c>
      <c r="D40" s="20" t="s">
        <v>52</v>
      </c>
      <c r="E40" s="22"/>
      <c r="F40" s="23"/>
      <c r="G40" s="20" t="s">
        <v>44</v>
      </c>
      <c r="H40" s="24"/>
    </row>
    <row r="41" spans="1:8" x14ac:dyDescent="0.2">
      <c r="A41" s="20" t="s">
        <v>110</v>
      </c>
      <c r="B41" s="21" t="s">
        <v>65</v>
      </c>
      <c r="C41" s="20">
        <v>1</v>
      </c>
      <c r="D41" s="20" t="s">
        <v>66</v>
      </c>
      <c r="E41" s="22"/>
      <c r="F41" s="23"/>
      <c r="G41" s="20" t="s">
        <v>44</v>
      </c>
      <c r="H41" s="24"/>
    </row>
    <row r="42" spans="1:8" x14ac:dyDescent="0.2">
      <c r="A42" s="20" t="s">
        <v>111</v>
      </c>
      <c r="B42" s="21" t="s">
        <v>65</v>
      </c>
      <c r="C42" s="20">
        <v>1</v>
      </c>
      <c r="D42" s="20" t="s">
        <v>70</v>
      </c>
      <c r="E42" s="22"/>
      <c r="F42" s="23"/>
      <c r="G42" s="20" t="s">
        <v>44</v>
      </c>
      <c r="H42" s="24"/>
    </row>
    <row r="43" spans="1:8" x14ac:dyDescent="0.2">
      <c r="A43" s="20" t="s">
        <v>112</v>
      </c>
      <c r="B43" s="21" t="s">
        <v>74</v>
      </c>
      <c r="C43" s="20">
        <v>1</v>
      </c>
      <c r="D43" s="20" t="s">
        <v>79</v>
      </c>
      <c r="E43" s="22"/>
      <c r="F43" s="23"/>
      <c r="G43" s="20" t="s">
        <v>44</v>
      </c>
      <c r="H43" s="24"/>
    </row>
    <row r="44" spans="1:8" x14ac:dyDescent="0.2">
      <c r="A44" s="20" t="s">
        <v>113</v>
      </c>
      <c r="B44" s="21" t="s">
        <v>74</v>
      </c>
      <c r="C44" s="20">
        <v>1</v>
      </c>
      <c r="D44" s="20" t="s">
        <v>114</v>
      </c>
      <c r="E44" s="22"/>
      <c r="F44" s="23"/>
      <c r="G44" s="20" t="s">
        <v>44</v>
      </c>
      <c r="H44" s="24"/>
    </row>
    <row r="45" spans="1:8" x14ac:dyDescent="0.2">
      <c r="A45" s="20" t="s">
        <v>115</v>
      </c>
      <c r="B45" s="21" t="s">
        <v>74</v>
      </c>
      <c r="C45" s="20">
        <v>1</v>
      </c>
      <c r="D45" s="20" t="s">
        <v>87</v>
      </c>
      <c r="E45" s="22"/>
      <c r="F45" s="23"/>
      <c r="G45" s="20" t="s">
        <v>44</v>
      </c>
      <c r="H45" s="24"/>
    </row>
    <row r="46" spans="1:8" x14ac:dyDescent="0.2">
      <c r="A46" s="20" t="s">
        <v>116</v>
      </c>
      <c r="B46" s="21" t="s">
        <v>74</v>
      </c>
      <c r="C46" s="20">
        <v>1</v>
      </c>
      <c r="D46" s="20" t="s">
        <v>117</v>
      </c>
      <c r="E46" s="22"/>
      <c r="F46" s="23"/>
      <c r="G46" s="20" t="s">
        <v>44</v>
      </c>
      <c r="H46" s="24"/>
    </row>
    <row r="47" spans="1:8" x14ac:dyDescent="0.2">
      <c r="A47" s="20" t="s">
        <v>118</v>
      </c>
      <c r="B47" s="21" t="s">
        <v>74</v>
      </c>
      <c r="C47" s="20">
        <v>1</v>
      </c>
      <c r="D47" s="20" t="s">
        <v>99</v>
      </c>
      <c r="E47" s="22"/>
      <c r="F47" s="23"/>
      <c r="G47" s="20" t="s">
        <v>44</v>
      </c>
      <c r="H47" s="24"/>
    </row>
    <row r="48" spans="1:8" x14ac:dyDescent="0.2">
      <c r="A48" s="25" t="s">
        <v>119</v>
      </c>
      <c r="B48" s="26" t="s">
        <v>74</v>
      </c>
      <c r="C48" s="25">
        <v>1</v>
      </c>
      <c r="D48" s="25" t="s">
        <v>103</v>
      </c>
      <c r="E48" s="27"/>
      <c r="F48" s="28"/>
      <c r="G48" s="25" t="s">
        <v>44</v>
      </c>
      <c r="H48" s="29"/>
    </row>
    <row r="49" spans="1:8" x14ac:dyDescent="0.2">
      <c r="A49" s="9"/>
      <c r="B49" s="10"/>
      <c r="C49" s="10"/>
      <c r="D49" s="10"/>
      <c r="E49" s="10"/>
      <c r="F49" s="10"/>
      <c r="G49" s="10"/>
      <c r="H49" s="11"/>
    </row>
    <row r="50" spans="1:8" x14ac:dyDescent="0.2">
      <c r="A50" s="12" t="s">
        <v>120</v>
      </c>
      <c r="B50" s="13"/>
      <c r="C50" s="13"/>
      <c r="D50" s="13"/>
      <c r="E50" s="13"/>
      <c r="F50" s="13"/>
      <c r="G50" s="13"/>
      <c r="H50" s="14"/>
    </row>
    <row r="51" spans="1:8" x14ac:dyDescent="0.2">
      <c r="A51" s="15" t="s">
        <v>121</v>
      </c>
      <c r="B51" s="16" t="s">
        <v>42</v>
      </c>
      <c r="C51" s="15">
        <v>1</v>
      </c>
      <c r="D51" s="15" t="s">
        <v>43</v>
      </c>
      <c r="E51" s="17"/>
      <c r="F51" s="18"/>
      <c r="G51" s="15" t="s">
        <v>44</v>
      </c>
      <c r="H51" s="19"/>
    </row>
    <row r="52" spans="1:8" x14ac:dyDescent="0.2">
      <c r="A52" s="20" t="s">
        <v>122</v>
      </c>
      <c r="B52" s="21" t="s">
        <v>42</v>
      </c>
      <c r="C52" s="20">
        <v>1</v>
      </c>
      <c r="D52" s="20" t="s">
        <v>52</v>
      </c>
      <c r="E52" s="22"/>
      <c r="F52" s="23"/>
      <c r="G52" s="20" t="s">
        <v>44</v>
      </c>
      <c r="H52" s="24"/>
    </row>
    <row r="53" spans="1:8" x14ac:dyDescent="0.2">
      <c r="A53" s="20" t="s">
        <v>123</v>
      </c>
      <c r="B53" s="21" t="s">
        <v>65</v>
      </c>
      <c r="C53" s="20">
        <v>1</v>
      </c>
      <c r="D53" s="20" t="s">
        <v>66</v>
      </c>
      <c r="E53" s="22"/>
      <c r="F53" s="23"/>
      <c r="G53" s="20" t="s">
        <v>44</v>
      </c>
      <c r="H53" s="24"/>
    </row>
    <row r="54" spans="1:8" x14ac:dyDescent="0.2">
      <c r="A54" s="20" t="s">
        <v>124</v>
      </c>
      <c r="B54" s="21" t="s">
        <v>65</v>
      </c>
      <c r="C54" s="20">
        <v>1</v>
      </c>
      <c r="D54" s="20" t="s">
        <v>70</v>
      </c>
      <c r="E54" s="22"/>
      <c r="F54" s="23"/>
      <c r="G54" s="20" t="s">
        <v>44</v>
      </c>
      <c r="H54" s="24"/>
    </row>
    <row r="55" spans="1:8" x14ac:dyDescent="0.2">
      <c r="A55" s="20" t="s">
        <v>125</v>
      </c>
      <c r="B55" s="21" t="s">
        <v>74</v>
      </c>
      <c r="C55" s="20">
        <v>1</v>
      </c>
      <c r="D55" s="20" t="s">
        <v>79</v>
      </c>
      <c r="E55" s="22"/>
      <c r="F55" s="23"/>
      <c r="G55" s="20" t="s">
        <v>44</v>
      </c>
      <c r="H55" s="24"/>
    </row>
    <row r="56" spans="1:8" x14ac:dyDescent="0.2">
      <c r="A56" s="20" t="s">
        <v>126</v>
      </c>
      <c r="B56" s="21" t="s">
        <v>74</v>
      </c>
      <c r="C56" s="20">
        <v>1</v>
      </c>
      <c r="D56" s="20" t="s">
        <v>114</v>
      </c>
      <c r="E56" s="22"/>
      <c r="F56" s="23"/>
      <c r="G56" s="20" t="s">
        <v>44</v>
      </c>
      <c r="H56" s="24"/>
    </row>
    <row r="57" spans="1:8" x14ac:dyDescent="0.2">
      <c r="A57" s="20" t="s">
        <v>127</v>
      </c>
      <c r="B57" s="21" t="s">
        <v>74</v>
      </c>
      <c r="C57" s="20">
        <v>1</v>
      </c>
      <c r="D57" s="20" t="s">
        <v>87</v>
      </c>
      <c r="E57" s="22"/>
      <c r="F57" s="23"/>
      <c r="G57" s="20" t="s">
        <v>44</v>
      </c>
      <c r="H57" s="24"/>
    </row>
    <row r="58" spans="1:8" x14ac:dyDescent="0.2">
      <c r="A58" s="20" t="s">
        <v>128</v>
      </c>
      <c r="B58" s="21" t="s">
        <v>74</v>
      </c>
      <c r="C58" s="20">
        <v>1</v>
      </c>
      <c r="D58" s="20" t="s">
        <v>117</v>
      </c>
      <c r="E58" s="22"/>
      <c r="F58" s="23"/>
      <c r="G58" s="20" t="s">
        <v>44</v>
      </c>
      <c r="H58" s="24"/>
    </row>
    <row r="59" spans="1:8" x14ac:dyDescent="0.2">
      <c r="A59" s="20" t="s">
        <v>129</v>
      </c>
      <c r="B59" s="21" t="s">
        <v>74</v>
      </c>
      <c r="C59" s="20">
        <v>1</v>
      </c>
      <c r="D59" s="20" t="s">
        <v>99</v>
      </c>
      <c r="E59" s="22"/>
      <c r="F59" s="23"/>
      <c r="G59" s="20" t="s">
        <v>44</v>
      </c>
      <c r="H59" s="24"/>
    </row>
    <row r="60" spans="1:8" x14ac:dyDescent="0.2">
      <c r="A60" s="25" t="s">
        <v>130</v>
      </c>
      <c r="B60" s="26" t="s">
        <v>74</v>
      </c>
      <c r="C60" s="25">
        <v>1</v>
      </c>
      <c r="D60" s="25" t="s">
        <v>103</v>
      </c>
      <c r="E60" s="27"/>
      <c r="F60" s="28"/>
      <c r="G60" s="25" t="s">
        <v>44</v>
      </c>
      <c r="H60" s="29"/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AAFB-9F97-410B-BCB4-8A4DFE15AA0A}">
  <dimension ref="A1:N6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I.2.2: ",tabeltype," regulier werk")</f>
        <v>Bijlage I.2.2: Invultabel regulier werk</v>
      </c>
    </row>
    <row r="3" spans="1:14" ht="38.25" x14ac:dyDescent="0.2">
      <c r="A3" s="8" t="s">
        <v>131</v>
      </c>
      <c r="B3" s="8" t="s">
        <v>8</v>
      </c>
      <c r="C3" s="8" t="s">
        <v>132</v>
      </c>
      <c r="D3" s="8" t="s">
        <v>35</v>
      </c>
      <c r="E3" s="8" t="s">
        <v>133</v>
      </c>
      <c r="F3" s="8" t="s">
        <v>134</v>
      </c>
      <c r="G3" s="8" t="s">
        <v>36</v>
      </c>
      <c r="H3" s="8" t="s">
        <v>37</v>
      </c>
      <c r="I3" s="8" t="s">
        <v>38</v>
      </c>
      <c r="J3" s="8" t="s">
        <v>39</v>
      </c>
      <c r="K3" s="8" t="s">
        <v>135</v>
      </c>
      <c r="L3" s="8" t="s">
        <v>136</v>
      </c>
      <c r="M3" s="8" t="s">
        <v>137</v>
      </c>
      <c r="N3" s="8" t="s">
        <v>138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139</v>
      </c>
      <c r="B6" s="15" t="s">
        <v>25</v>
      </c>
      <c r="C6" s="15" t="s">
        <v>140</v>
      </c>
      <c r="D6" s="15" t="s">
        <v>141</v>
      </c>
      <c r="E6" s="30">
        <v>36</v>
      </c>
      <c r="F6" s="30">
        <f t="shared" ref="F6:F27" si="0">E6*VLOOKUP(B6,dagsoorttabel1,2,FALSE)</f>
        <v>1.6941176470588235</v>
      </c>
      <c r="G6" s="31">
        <f>IF(AND(catpn_1_AHB_1&gt;0,catpn_1_AHV_12&gt;0),(dagenperjaar1*VLOOKUP(B6,dagsoorttabel1,2,FALSE))/(((dagenperjaar1*VLOOKUP(B6,dagsoorttabel1,2,FALSE))-catfd_1_AHV_12)/catpn_1_AHB_1+catfd_1_AHV_12/catpn_1_AHV_12),0)</f>
        <v>0</v>
      </c>
      <c r="H6" s="32">
        <f>IF(AND(catpn_1_AHB_1&gt;0,catpn_1_AHV_12&gt;0),(catdw_1_AHB_1*((dagenperjaar1*VLOOKUP(B6,dagsoorttabel1,2,FALSE))-catfd_1_AHV_12)/catpn_1_AHB_1+catdw_1_AHV_12*catfd_1_AHV_12/catpn_1_AHV_12)/(((dagenperjaar1*VLOOKUP(B6,dagsoorttabel1,2,FALSE))-catfd_1_AHV_12)/catpn_1_AHB_1+catfd_1_AHV_12/catpn_1_AHV_12),0)</f>
        <v>0</v>
      </c>
      <c r="I6" s="15" t="s">
        <v>44</v>
      </c>
      <c r="J6" s="33">
        <f>IF(AND(catpn_1_AHB_1&gt;0,catpn_1_AHV_12&gt;0),(cattf_1_AHB_1*((dagenperjaar1*VLOOKUP(B6,dagsoorttabel1,2,FALSE))-catfd_1_AHV_12)/catpn_1_AHB_1+cattf_1_AHV_12*catfd_1_AHV_12/catpn_1_AHV_12)/(((dagenperjaar1*VLOOKUP(B6,dagsoorttabel1,2,FALSE))-catfd_1_AHV_12)/catpn_1_AHB_1+catfd_1_AHV_12/catpn_1_AHV_12),0)</f>
        <v>0</v>
      </c>
      <c r="K6" s="30">
        <f t="shared" ref="K6:K27" si="1">IF(OR(ISBLANK(G6),G6=0),0,F6/ROUND(G6,4))</f>
        <v>0</v>
      </c>
      <c r="L6" s="33">
        <f t="shared" ref="L6:L27" si="2">ROUND(J6,2)*K6</f>
        <v>0</v>
      </c>
      <c r="M6" s="30">
        <f t="shared" ref="M6:M27" si="3">K6*dagenperjaar1</f>
        <v>0</v>
      </c>
      <c r="N6" s="33">
        <f t="shared" ref="N6:N27" si="4">M6*ROUND(J6,2)</f>
        <v>0</v>
      </c>
    </row>
    <row r="7" spans="1:14" x14ac:dyDescent="0.2">
      <c r="A7" s="20" t="s">
        <v>142</v>
      </c>
      <c r="B7" s="20" t="s">
        <v>19</v>
      </c>
      <c r="C7" s="20" t="s">
        <v>140</v>
      </c>
      <c r="D7" s="20" t="s">
        <v>143</v>
      </c>
      <c r="E7" s="34">
        <v>132.1</v>
      </c>
      <c r="F7" s="34">
        <f t="shared" si="0"/>
        <v>26.42</v>
      </c>
      <c r="G7" s="35">
        <f>IF(AND(catpn_1_BHB_1&gt;0,catpn_1_BHV_51&gt;0),(dagenperjaar1*VLOOKUP(B7,dagsoorttabel1,2,FALSE))/(((dagenperjaar1*VLOOKUP(B7,dagsoorttabel1,2,FALSE))-catfd_1_BHV_51)/catpn_1_BHB_1+catfd_1_BHV_51/catpn_1_BHV_51),0)</f>
        <v>0</v>
      </c>
      <c r="H7" s="36">
        <f>IF(AND(catpn_1_BHB_1&gt;0,catpn_1_BHV_51&gt;0),(catdw_1_BHB_1*((dagenperjaar1*VLOOKUP(B7,dagsoorttabel1,2,FALSE))-catfd_1_BHV_51)/catpn_1_BHB_1+catdw_1_BHV_51*catfd_1_BHV_51/catpn_1_BHV_51)/(((dagenperjaar1*VLOOKUP(B7,dagsoorttabel1,2,FALSE))-catfd_1_BHV_51)/catpn_1_BHB_1+catfd_1_BHV_51/catpn_1_BHV_51),0)</f>
        <v>0</v>
      </c>
      <c r="I7" s="20" t="s">
        <v>44</v>
      </c>
      <c r="J7" s="37">
        <f>IF(AND(catpn_1_BHB_1&gt;0,catpn_1_BHV_51&gt;0),(cattf_1_BHB_1*((dagenperjaar1*VLOOKUP(B7,dagsoorttabel1,2,FALSE))-catfd_1_BHV_51)/catpn_1_BHB_1+cattf_1_BHV_51*catfd_1_BHV_51/catpn_1_BHV_51)/(((dagenperjaar1*VLOOKUP(B7,dagsoorttabel1,2,FALSE))-catfd_1_BHV_51)/catpn_1_BHB_1+catfd_1_BHV_51/catpn_1_BHV_51),0)</f>
        <v>0</v>
      </c>
      <c r="K7" s="34">
        <f t="shared" si="1"/>
        <v>0</v>
      </c>
      <c r="L7" s="37">
        <f t="shared" si="2"/>
        <v>0</v>
      </c>
      <c r="M7" s="34">
        <f t="shared" si="3"/>
        <v>0</v>
      </c>
      <c r="N7" s="37">
        <f t="shared" si="4"/>
        <v>0</v>
      </c>
    </row>
    <row r="8" spans="1:14" x14ac:dyDescent="0.2">
      <c r="A8" s="20" t="s">
        <v>142</v>
      </c>
      <c r="B8" s="20" t="s">
        <v>10</v>
      </c>
      <c r="C8" s="20" t="s">
        <v>140</v>
      </c>
      <c r="D8" s="20" t="s">
        <v>143</v>
      </c>
      <c r="E8" s="34">
        <v>82.6</v>
      </c>
      <c r="F8" s="34">
        <f t="shared" si="0"/>
        <v>82.6</v>
      </c>
      <c r="G8" s="35">
        <f>IF(AND(catpn_1_BHB_1&gt;0,catpn_1_BHV_51&gt;0),(dagenperjaar1*VLOOKUP(B8,dagsoorttabel1,2,FALSE))/(((dagenperjaar1*VLOOKUP(B8,dagsoorttabel1,2,FALSE))-catfd_1_BHV_51)/catpn_1_BHB_1+catfd_1_BHV_51/catpn_1_BHV_51),0)</f>
        <v>0</v>
      </c>
      <c r="H8" s="36">
        <f>IF(AND(catpn_1_BHB_1&gt;0,catpn_1_BHV_51&gt;0),(catdw_1_BHB_1*((dagenperjaar1*VLOOKUP(B8,dagsoorttabel1,2,FALSE))-catfd_1_BHV_51)/catpn_1_BHB_1+catdw_1_BHV_51*catfd_1_BHV_51/catpn_1_BHV_51)/(((dagenperjaar1*VLOOKUP(B8,dagsoorttabel1,2,FALSE))-catfd_1_BHV_51)/catpn_1_BHB_1+catfd_1_BHV_51/catpn_1_BHV_51),0)</f>
        <v>0</v>
      </c>
      <c r="I8" s="20" t="s">
        <v>44</v>
      </c>
      <c r="J8" s="37">
        <f>IF(AND(catpn_1_BHB_1&gt;0,catpn_1_BHV_51&gt;0),(cattf_1_BHB_1*((dagenperjaar1*VLOOKUP(B8,dagsoorttabel1,2,FALSE))-catfd_1_BHV_51)/catpn_1_BHB_1+cattf_1_BHV_51*catfd_1_BHV_51/catpn_1_BHV_51)/(((dagenperjaar1*VLOOKUP(B8,dagsoorttabel1,2,FALSE))-catfd_1_BHV_51)/catpn_1_BHB_1+catfd_1_BHV_51/catpn_1_BHV_51),0)</f>
        <v>0</v>
      </c>
      <c r="K8" s="34">
        <f t="shared" si="1"/>
        <v>0</v>
      </c>
      <c r="L8" s="37">
        <f t="shared" si="2"/>
        <v>0</v>
      </c>
      <c r="M8" s="34">
        <f t="shared" si="3"/>
        <v>0</v>
      </c>
      <c r="N8" s="37">
        <f t="shared" si="4"/>
        <v>0</v>
      </c>
    </row>
    <row r="9" spans="1:14" x14ac:dyDescent="0.2">
      <c r="A9" s="20" t="s">
        <v>144</v>
      </c>
      <c r="B9" s="20" t="s">
        <v>19</v>
      </c>
      <c r="C9" s="20" t="s">
        <v>140</v>
      </c>
      <c r="D9" s="20" t="s">
        <v>145</v>
      </c>
      <c r="E9" s="34">
        <v>317.39999999999998</v>
      </c>
      <c r="F9" s="34">
        <f t="shared" si="0"/>
        <v>63.48</v>
      </c>
      <c r="G9" s="35">
        <f>IF(AND(catpn_1_BZB_1&gt;0,catpn_1_BZV_51&gt;0),(dagenperjaar1*VLOOKUP(B9,dagsoorttabel1,2,FALSE))/(((dagenperjaar1*VLOOKUP(B9,dagsoorttabel1,2,FALSE))-catfd_1_BZV_51)/catpn_1_BZB_1+catfd_1_BZV_51/catpn_1_BZV_51),0)</f>
        <v>0</v>
      </c>
      <c r="H9" s="36">
        <f>IF(AND(catpn_1_BZB_1&gt;0,catpn_1_BZV_51&gt;0),(catdw_1_BZB_1*((dagenperjaar1*VLOOKUP(B9,dagsoorttabel1,2,FALSE))-catfd_1_BZV_51)/catpn_1_BZB_1+catdw_1_BZV_51*catfd_1_BZV_51/catpn_1_BZV_51)/(((dagenperjaar1*VLOOKUP(B9,dagsoorttabel1,2,FALSE))-catfd_1_BZV_51)/catpn_1_BZB_1+catfd_1_BZV_51/catpn_1_BZV_51),0)</f>
        <v>0</v>
      </c>
      <c r="I9" s="20" t="s">
        <v>44</v>
      </c>
      <c r="J9" s="37">
        <f>IF(AND(catpn_1_BZB_1&gt;0,catpn_1_BZV_51&gt;0),(cattf_1_BZB_1*((dagenperjaar1*VLOOKUP(B9,dagsoorttabel1,2,FALSE))-catfd_1_BZV_51)/catpn_1_BZB_1+cattf_1_BZV_51*catfd_1_BZV_51/catpn_1_BZV_51)/(((dagenperjaar1*VLOOKUP(B9,dagsoorttabel1,2,FALSE))-catfd_1_BZV_51)/catpn_1_BZB_1+catfd_1_BZV_51/catpn_1_BZV_51),0)</f>
        <v>0</v>
      </c>
      <c r="K9" s="34">
        <f t="shared" si="1"/>
        <v>0</v>
      </c>
      <c r="L9" s="37">
        <f t="shared" si="2"/>
        <v>0</v>
      </c>
      <c r="M9" s="34">
        <f t="shared" si="3"/>
        <v>0</v>
      </c>
      <c r="N9" s="37">
        <f t="shared" si="4"/>
        <v>0</v>
      </c>
    </row>
    <row r="10" spans="1:14" x14ac:dyDescent="0.2">
      <c r="A10" s="20" t="s">
        <v>146</v>
      </c>
      <c r="B10" s="20" t="s">
        <v>19</v>
      </c>
      <c r="C10" s="20" t="s">
        <v>140</v>
      </c>
      <c r="D10" s="20" t="s">
        <v>147</v>
      </c>
      <c r="E10" s="34">
        <v>104.8</v>
      </c>
      <c r="F10" s="34">
        <f t="shared" si="0"/>
        <v>20.96</v>
      </c>
      <c r="G10" s="35">
        <f>IF(AND(catpn_1_DHB_1&gt;0,catpn_1_DHV_51&gt;0),(dagenperjaar1*VLOOKUP(B10,dagsoorttabel1,2,FALSE))/(((dagenperjaar1*VLOOKUP(B10,dagsoorttabel1,2,FALSE))-catfd_1_DHV_51)/catpn_1_DHB_1+catfd_1_DHV_51/catpn_1_DHV_51),0)</f>
        <v>0</v>
      </c>
      <c r="H10" s="36">
        <f>IF(AND(catpn_1_DHB_1&gt;0,catpn_1_DHV_51&gt;0),(catdw_1_DHB_1*((dagenperjaar1*VLOOKUP(B10,dagsoorttabel1,2,FALSE))-catfd_1_DHV_51)/catpn_1_DHB_1+catdw_1_DHV_51*catfd_1_DHV_51/catpn_1_DHV_51)/(((dagenperjaar1*VLOOKUP(B10,dagsoorttabel1,2,FALSE))-catfd_1_DHV_51)/catpn_1_DHB_1+catfd_1_DHV_51/catpn_1_DHV_51),0)</f>
        <v>0</v>
      </c>
      <c r="I10" s="20" t="s">
        <v>44</v>
      </c>
      <c r="J10" s="37">
        <f>IF(AND(catpn_1_DHB_1&gt;0,catpn_1_DHV_51&gt;0),(cattf_1_DHB_1*((dagenperjaar1*VLOOKUP(B10,dagsoorttabel1,2,FALSE))-catfd_1_DHV_51)/catpn_1_DHB_1+cattf_1_DHV_51*catfd_1_DHV_51/catpn_1_DHV_51)/(((dagenperjaar1*VLOOKUP(B10,dagsoorttabel1,2,FALSE))-catfd_1_DHV_51)/catpn_1_DHB_1+catfd_1_DHV_51/catpn_1_DHV_51),0)</f>
        <v>0</v>
      </c>
      <c r="K10" s="34">
        <f t="shared" si="1"/>
        <v>0</v>
      </c>
      <c r="L10" s="37">
        <f t="shared" si="2"/>
        <v>0</v>
      </c>
      <c r="M10" s="34">
        <f t="shared" si="3"/>
        <v>0</v>
      </c>
      <c r="N10" s="37">
        <f t="shared" si="4"/>
        <v>0</v>
      </c>
    </row>
    <row r="11" spans="1:14" x14ac:dyDescent="0.2">
      <c r="A11" s="20" t="s">
        <v>146</v>
      </c>
      <c r="B11" s="20" t="s">
        <v>10</v>
      </c>
      <c r="C11" s="20" t="s">
        <v>140</v>
      </c>
      <c r="D11" s="20" t="s">
        <v>147</v>
      </c>
      <c r="E11" s="34">
        <v>218.4</v>
      </c>
      <c r="F11" s="34">
        <f t="shared" si="0"/>
        <v>218.4</v>
      </c>
      <c r="G11" s="35">
        <f>IF(AND(catpn_1_DHB_1&gt;0,catpn_1_DHV_51&gt;0),(dagenperjaar1*VLOOKUP(B11,dagsoorttabel1,2,FALSE))/(((dagenperjaar1*VLOOKUP(B11,dagsoorttabel1,2,FALSE))-catfd_1_DHV_51)/catpn_1_DHB_1+catfd_1_DHV_51/catpn_1_DHV_51),0)</f>
        <v>0</v>
      </c>
      <c r="H11" s="36">
        <f>IF(AND(catpn_1_DHB_1&gt;0,catpn_1_DHV_51&gt;0),(catdw_1_DHB_1*((dagenperjaar1*VLOOKUP(B11,dagsoorttabel1,2,FALSE))-catfd_1_DHV_51)/catpn_1_DHB_1+catdw_1_DHV_51*catfd_1_DHV_51/catpn_1_DHV_51)/(((dagenperjaar1*VLOOKUP(B11,dagsoorttabel1,2,FALSE))-catfd_1_DHV_51)/catpn_1_DHB_1+catfd_1_DHV_51/catpn_1_DHV_51),0)</f>
        <v>0</v>
      </c>
      <c r="I11" s="20" t="s">
        <v>44</v>
      </c>
      <c r="J11" s="37">
        <f>IF(AND(catpn_1_DHB_1&gt;0,catpn_1_DHV_51&gt;0),(cattf_1_DHB_1*((dagenperjaar1*VLOOKUP(B11,dagsoorttabel1,2,FALSE))-catfd_1_DHV_51)/catpn_1_DHB_1+cattf_1_DHV_51*catfd_1_DHV_51/catpn_1_DHV_51)/(((dagenperjaar1*VLOOKUP(B11,dagsoorttabel1,2,FALSE))-catfd_1_DHV_51)/catpn_1_DHB_1+catfd_1_DHV_51/catpn_1_DHV_51),0)</f>
        <v>0</v>
      </c>
      <c r="K11" s="34">
        <f t="shared" si="1"/>
        <v>0</v>
      </c>
      <c r="L11" s="37">
        <f t="shared" si="2"/>
        <v>0</v>
      </c>
      <c r="M11" s="34">
        <f t="shared" si="3"/>
        <v>0</v>
      </c>
      <c r="N11" s="37">
        <f t="shared" si="4"/>
        <v>0</v>
      </c>
    </row>
    <row r="12" spans="1:14" x14ac:dyDescent="0.2">
      <c r="A12" s="20" t="s">
        <v>148</v>
      </c>
      <c r="B12" s="20" t="s">
        <v>10</v>
      </c>
      <c r="C12" s="20" t="s">
        <v>140</v>
      </c>
      <c r="D12" s="20" t="s">
        <v>149</v>
      </c>
      <c r="E12" s="34">
        <v>67.099999999999994</v>
      </c>
      <c r="F12" s="34">
        <f t="shared" si="0"/>
        <v>67.099999999999994</v>
      </c>
      <c r="G12" s="35">
        <f>IF(AND(catpn_1_EHB_1&gt;0,catpn_1_EHV_51&gt;0),(dagenperjaar1*VLOOKUP(B12,dagsoorttabel1,2,FALSE))/(((dagenperjaar1*VLOOKUP(B12,dagsoorttabel1,2,FALSE))-catfd_1_EHV_51)/catpn_1_EHB_1+catfd_1_EHV_51/catpn_1_EHV_51),0)</f>
        <v>0</v>
      </c>
      <c r="H12" s="36">
        <f>IF(AND(catpn_1_EHB_1&gt;0,catpn_1_EHV_51&gt;0),(catdw_1_EHB_1*((dagenperjaar1*VLOOKUP(B12,dagsoorttabel1,2,FALSE))-catfd_1_EHV_51)/catpn_1_EHB_1+catdw_1_EHV_51*catfd_1_EHV_51/catpn_1_EHV_51)/(((dagenperjaar1*VLOOKUP(B12,dagsoorttabel1,2,FALSE))-catfd_1_EHV_51)/catpn_1_EHB_1+catfd_1_EHV_51/catpn_1_EHV_51),0)</f>
        <v>0</v>
      </c>
      <c r="I12" s="20" t="s">
        <v>44</v>
      </c>
      <c r="J12" s="37">
        <f>IF(AND(catpn_1_EHB_1&gt;0,catpn_1_EHV_51&gt;0),(cattf_1_EHB_1*((dagenperjaar1*VLOOKUP(B12,dagsoorttabel1,2,FALSE))-catfd_1_EHV_51)/catpn_1_EHB_1+cattf_1_EHV_51*catfd_1_EHV_51/catpn_1_EHV_51)/(((dagenperjaar1*VLOOKUP(B12,dagsoorttabel1,2,FALSE))-catfd_1_EHV_51)/catpn_1_EHB_1+catfd_1_EHV_51/catpn_1_EHV_51),0)</f>
        <v>0</v>
      </c>
      <c r="K12" s="34">
        <f t="shared" si="1"/>
        <v>0</v>
      </c>
      <c r="L12" s="37">
        <f t="shared" si="2"/>
        <v>0</v>
      </c>
      <c r="M12" s="34">
        <f t="shared" si="3"/>
        <v>0</v>
      </c>
      <c r="N12" s="37">
        <f t="shared" si="4"/>
        <v>0</v>
      </c>
    </row>
    <row r="13" spans="1:14" x14ac:dyDescent="0.2">
      <c r="A13" s="20" t="s">
        <v>150</v>
      </c>
      <c r="B13" s="20" t="s">
        <v>10</v>
      </c>
      <c r="C13" s="20" t="s">
        <v>140</v>
      </c>
      <c r="D13" s="20" t="s">
        <v>151</v>
      </c>
      <c r="E13" s="34">
        <v>29.2</v>
      </c>
      <c r="F13" s="34">
        <f t="shared" si="0"/>
        <v>29.2</v>
      </c>
      <c r="G13" s="35">
        <f>IF(AND(catpn_1_IHB_1&gt;0,catpn_1_IHV_51&gt;0),(dagenperjaar1*VLOOKUP(B13,dagsoorttabel1,2,FALSE))/(((dagenperjaar1*VLOOKUP(B13,dagsoorttabel1,2,FALSE))-catfd_1_IHV_51)/catpn_1_IHB_1+catfd_1_IHV_51/catpn_1_IHV_51),0)</f>
        <v>0</v>
      </c>
      <c r="H13" s="36">
        <f>IF(AND(catpn_1_IHB_1&gt;0,catpn_1_IHV_51&gt;0),(catdw_1_IHB_1*((dagenperjaar1*VLOOKUP(B13,dagsoorttabel1,2,FALSE))-catfd_1_IHV_51)/catpn_1_IHB_1+catdw_1_IHV_51*catfd_1_IHV_51/catpn_1_IHV_51)/(((dagenperjaar1*VLOOKUP(B13,dagsoorttabel1,2,FALSE))-catfd_1_IHV_51)/catpn_1_IHB_1+catfd_1_IHV_51/catpn_1_IHV_51),0)</f>
        <v>0</v>
      </c>
      <c r="I13" s="20" t="s">
        <v>44</v>
      </c>
      <c r="J13" s="37">
        <f>IF(AND(catpn_1_IHB_1&gt;0,catpn_1_IHV_51&gt;0),(cattf_1_IHB_1*((dagenperjaar1*VLOOKUP(B13,dagsoorttabel1,2,FALSE))-catfd_1_IHV_51)/catpn_1_IHB_1+cattf_1_IHV_51*catfd_1_IHV_51/catpn_1_IHV_51)/(((dagenperjaar1*VLOOKUP(B13,dagsoorttabel1,2,FALSE))-catfd_1_IHV_51)/catpn_1_IHB_1+catfd_1_IHV_51/catpn_1_IHV_51),0)</f>
        <v>0</v>
      </c>
      <c r="K13" s="34">
        <f t="shared" si="1"/>
        <v>0</v>
      </c>
      <c r="L13" s="37">
        <f t="shared" si="2"/>
        <v>0</v>
      </c>
      <c r="M13" s="34">
        <f t="shared" si="3"/>
        <v>0</v>
      </c>
      <c r="N13" s="37">
        <f t="shared" si="4"/>
        <v>0</v>
      </c>
    </row>
    <row r="14" spans="1:14" x14ac:dyDescent="0.2">
      <c r="A14" s="20" t="s">
        <v>152</v>
      </c>
      <c r="B14" s="20" t="s">
        <v>16</v>
      </c>
      <c r="C14" s="20" t="s">
        <v>140</v>
      </c>
      <c r="D14" s="20" t="s">
        <v>153</v>
      </c>
      <c r="E14" s="34">
        <v>95</v>
      </c>
      <c r="F14" s="34">
        <f t="shared" si="0"/>
        <v>38</v>
      </c>
      <c r="G14" s="35">
        <f>IF(AND(catpn_1_LHB_1&gt;0,catpn_1_LHV_51&gt;0),(dagenperjaar1*VLOOKUP(B14,dagsoorttabel1,2,FALSE))/(((dagenperjaar1*VLOOKUP(B14,dagsoorttabel1,2,FALSE))-catfd_1_LHV_51)/catpn_1_LHB_1+catfd_1_LHV_51/catpn_1_LHV_51),0)</f>
        <v>0</v>
      </c>
      <c r="H14" s="36">
        <f>IF(AND(catpn_1_LHB_1&gt;0,catpn_1_LHV_51&gt;0),(catdw_1_LHB_1*((dagenperjaar1*VLOOKUP(B14,dagsoorttabel1,2,FALSE))-catfd_1_LHV_51)/catpn_1_LHB_1+catdw_1_LHV_51*catfd_1_LHV_51/catpn_1_LHV_51)/(((dagenperjaar1*VLOOKUP(B14,dagsoorttabel1,2,FALSE))-catfd_1_LHV_51)/catpn_1_LHB_1+catfd_1_LHV_51/catpn_1_LHV_51),0)</f>
        <v>0</v>
      </c>
      <c r="I14" s="20" t="s">
        <v>44</v>
      </c>
      <c r="J14" s="37">
        <f>IF(AND(catpn_1_LHB_1&gt;0,catpn_1_LHV_51&gt;0),(cattf_1_LHB_1*((dagenperjaar1*VLOOKUP(B14,dagsoorttabel1,2,FALSE))-catfd_1_LHV_51)/catpn_1_LHB_1+cattf_1_LHV_51*catfd_1_LHV_51/catpn_1_LHV_51)/(((dagenperjaar1*VLOOKUP(B14,dagsoorttabel1,2,FALSE))-catfd_1_LHV_51)/catpn_1_LHB_1+catfd_1_LHV_51/catpn_1_LHV_51),0)</f>
        <v>0</v>
      </c>
      <c r="K14" s="34">
        <f t="shared" si="1"/>
        <v>0</v>
      </c>
      <c r="L14" s="37">
        <f t="shared" si="2"/>
        <v>0</v>
      </c>
      <c r="M14" s="34">
        <f t="shared" si="3"/>
        <v>0</v>
      </c>
      <c r="N14" s="37">
        <f t="shared" si="4"/>
        <v>0</v>
      </c>
    </row>
    <row r="15" spans="1:14" x14ac:dyDescent="0.2">
      <c r="A15" s="20" t="s">
        <v>154</v>
      </c>
      <c r="B15" s="20" t="s">
        <v>19</v>
      </c>
      <c r="C15" s="20" t="s">
        <v>140</v>
      </c>
      <c r="D15" s="20" t="s">
        <v>155</v>
      </c>
      <c r="E15" s="34">
        <v>164</v>
      </c>
      <c r="F15" s="34">
        <f t="shared" si="0"/>
        <v>32.800000000000004</v>
      </c>
      <c r="G15" s="35">
        <f>IF(AND(catpn_1_MHB_1&gt;0,catpn_1_MHV_51&gt;0),(dagenperjaar1*VLOOKUP(B15,dagsoorttabel1,2,FALSE))/(((dagenperjaar1*VLOOKUP(B15,dagsoorttabel1,2,FALSE))-catfd_1_MHV_51)/catpn_1_MHB_1+catfd_1_MHV_51/catpn_1_MHV_51),0)</f>
        <v>0</v>
      </c>
      <c r="H15" s="36">
        <f>IF(AND(catpn_1_MHB_1&gt;0,catpn_1_MHV_51&gt;0),(catdw_1_MHB_1*((dagenperjaar1*VLOOKUP(B15,dagsoorttabel1,2,FALSE))-catfd_1_MHV_51)/catpn_1_MHB_1+catdw_1_MHV_51*catfd_1_MHV_51/catpn_1_MHV_51)/(((dagenperjaar1*VLOOKUP(B15,dagsoorttabel1,2,FALSE))-catfd_1_MHV_51)/catpn_1_MHB_1+catfd_1_MHV_51/catpn_1_MHV_51),0)</f>
        <v>0</v>
      </c>
      <c r="I15" s="20" t="s">
        <v>44</v>
      </c>
      <c r="J15" s="37">
        <f>IF(AND(catpn_1_MHB_1&gt;0,catpn_1_MHV_51&gt;0),(cattf_1_MHB_1*((dagenperjaar1*VLOOKUP(B15,dagsoorttabel1,2,FALSE))-catfd_1_MHV_51)/catpn_1_MHB_1+cattf_1_MHV_51*catfd_1_MHV_51/catpn_1_MHV_51)/(((dagenperjaar1*VLOOKUP(B15,dagsoorttabel1,2,FALSE))-catfd_1_MHV_51)/catpn_1_MHB_1+catfd_1_MHV_51/catpn_1_MHV_51),0)</f>
        <v>0</v>
      </c>
      <c r="K15" s="34">
        <f t="shared" si="1"/>
        <v>0</v>
      </c>
      <c r="L15" s="37">
        <f t="shared" si="2"/>
        <v>0</v>
      </c>
      <c r="M15" s="34">
        <f t="shared" si="3"/>
        <v>0</v>
      </c>
      <c r="N15" s="37">
        <f t="shared" si="4"/>
        <v>0</v>
      </c>
    </row>
    <row r="16" spans="1:14" x14ac:dyDescent="0.2">
      <c r="A16" s="20" t="s">
        <v>154</v>
      </c>
      <c r="B16" s="20" t="s">
        <v>16</v>
      </c>
      <c r="C16" s="20" t="s">
        <v>140</v>
      </c>
      <c r="D16" s="20" t="s">
        <v>155</v>
      </c>
      <c r="E16" s="34">
        <v>156.4</v>
      </c>
      <c r="F16" s="34">
        <f t="shared" si="0"/>
        <v>62.56</v>
      </c>
      <c r="G16" s="35">
        <f>IF(AND(catpn_1_MHB_1&gt;0,catpn_1_MHV_51&gt;0),(dagenperjaar1*VLOOKUP(B16,dagsoorttabel1,2,FALSE))/(((dagenperjaar1*VLOOKUP(B16,dagsoorttabel1,2,FALSE))-catfd_1_MHV_51)/catpn_1_MHB_1+catfd_1_MHV_51/catpn_1_MHV_51),0)</f>
        <v>0</v>
      </c>
      <c r="H16" s="36">
        <f>IF(AND(catpn_1_MHB_1&gt;0,catpn_1_MHV_51&gt;0),(catdw_1_MHB_1*((dagenperjaar1*VLOOKUP(B16,dagsoorttabel1,2,FALSE))-catfd_1_MHV_51)/catpn_1_MHB_1+catdw_1_MHV_51*catfd_1_MHV_51/catpn_1_MHV_51)/(((dagenperjaar1*VLOOKUP(B16,dagsoorttabel1,2,FALSE))-catfd_1_MHV_51)/catpn_1_MHB_1+catfd_1_MHV_51/catpn_1_MHV_51),0)</f>
        <v>0</v>
      </c>
      <c r="I16" s="20" t="s">
        <v>44</v>
      </c>
      <c r="J16" s="37">
        <f>IF(AND(catpn_1_MHB_1&gt;0,catpn_1_MHV_51&gt;0),(cattf_1_MHB_1*((dagenperjaar1*VLOOKUP(B16,dagsoorttabel1,2,FALSE))-catfd_1_MHV_51)/catpn_1_MHB_1+cattf_1_MHV_51*catfd_1_MHV_51/catpn_1_MHV_51)/(((dagenperjaar1*VLOOKUP(B16,dagsoorttabel1,2,FALSE))-catfd_1_MHV_51)/catpn_1_MHB_1+catfd_1_MHV_51/catpn_1_MHV_51),0)</f>
        <v>0</v>
      </c>
      <c r="K16" s="34">
        <f t="shared" si="1"/>
        <v>0</v>
      </c>
      <c r="L16" s="37">
        <f t="shared" si="2"/>
        <v>0</v>
      </c>
      <c r="M16" s="34">
        <f t="shared" si="3"/>
        <v>0</v>
      </c>
      <c r="N16" s="37">
        <f t="shared" si="4"/>
        <v>0</v>
      </c>
    </row>
    <row r="17" spans="1:14" x14ac:dyDescent="0.2">
      <c r="A17" s="20" t="s">
        <v>154</v>
      </c>
      <c r="B17" s="20" t="s">
        <v>10</v>
      </c>
      <c r="C17" s="20" t="s">
        <v>140</v>
      </c>
      <c r="D17" s="20" t="s">
        <v>155</v>
      </c>
      <c r="E17" s="34">
        <v>298</v>
      </c>
      <c r="F17" s="34">
        <f t="shared" si="0"/>
        <v>298</v>
      </c>
      <c r="G17" s="35">
        <f>IF(AND(catpn_1_MHB_1&gt;0,catpn_1_MHV_51&gt;0),(dagenperjaar1*VLOOKUP(B17,dagsoorttabel1,2,FALSE))/(((dagenperjaar1*VLOOKUP(B17,dagsoorttabel1,2,FALSE))-catfd_1_MHV_51)/catpn_1_MHB_1+catfd_1_MHV_51/catpn_1_MHV_51),0)</f>
        <v>0</v>
      </c>
      <c r="H17" s="36">
        <f>IF(AND(catpn_1_MHB_1&gt;0,catpn_1_MHV_51&gt;0),(catdw_1_MHB_1*((dagenperjaar1*VLOOKUP(B17,dagsoorttabel1,2,FALSE))-catfd_1_MHV_51)/catpn_1_MHB_1+catdw_1_MHV_51*catfd_1_MHV_51/catpn_1_MHV_51)/(((dagenperjaar1*VLOOKUP(B17,dagsoorttabel1,2,FALSE))-catfd_1_MHV_51)/catpn_1_MHB_1+catfd_1_MHV_51/catpn_1_MHV_51),0)</f>
        <v>0</v>
      </c>
      <c r="I17" s="20" t="s">
        <v>44</v>
      </c>
      <c r="J17" s="37">
        <f>IF(AND(catpn_1_MHB_1&gt;0,catpn_1_MHV_51&gt;0),(cattf_1_MHB_1*((dagenperjaar1*VLOOKUP(B17,dagsoorttabel1,2,FALSE))-catfd_1_MHV_51)/catpn_1_MHB_1+cattf_1_MHV_51*catfd_1_MHV_51/catpn_1_MHV_51)/(((dagenperjaar1*VLOOKUP(B17,dagsoorttabel1,2,FALSE))-catfd_1_MHV_51)/catpn_1_MHB_1+catfd_1_MHV_51/catpn_1_MHV_51),0)</f>
        <v>0</v>
      </c>
      <c r="K17" s="34">
        <f t="shared" si="1"/>
        <v>0</v>
      </c>
      <c r="L17" s="37">
        <f t="shared" si="2"/>
        <v>0</v>
      </c>
      <c r="M17" s="34">
        <f t="shared" si="3"/>
        <v>0</v>
      </c>
      <c r="N17" s="37">
        <f t="shared" si="4"/>
        <v>0</v>
      </c>
    </row>
    <row r="18" spans="1:14" x14ac:dyDescent="0.2">
      <c r="A18" s="20" t="s">
        <v>156</v>
      </c>
      <c r="B18" s="20" t="s">
        <v>25</v>
      </c>
      <c r="C18" s="20" t="s">
        <v>140</v>
      </c>
      <c r="D18" s="20" t="s">
        <v>157</v>
      </c>
      <c r="E18" s="34">
        <v>15</v>
      </c>
      <c r="F18" s="34">
        <f t="shared" si="0"/>
        <v>0.70588235294117641</v>
      </c>
      <c r="G18" s="35">
        <f>IF(AND(catpn_1_OHB_1&gt;0,catpn_1_OHV_12&gt;0),(dagenperjaar1*VLOOKUP(B18,dagsoorttabel1,2,FALSE))/(((dagenperjaar1*VLOOKUP(B18,dagsoorttabel1,2,FALSE))-catfd_1_OHV_12)/catpn_1_OHB_1+catfd_1_OHV_12/catpn_1_OHV_12),0)</f>
        <v>0</v>
      </c>
      <c r="H18" s="36">
        <f>IF(AND(catpn_1_OHB_1&gt;0,catpn_1_OHV_12&gt;0),(catdw_1_OHB_1*((dagenperjaar1*VLOOKUP(B18,dagsoorttabel1,2,FALSE))-catfd_1_OHV_12)/catpn_1_OHB_1+catdw_1_OHV_12*catfd_1_OHV_12/catpn_1_OHV_12)/(((dagenperjaar1*VLOOKUP(B18,dagsoorttabel1,2,FALSE))-catfd_1_OHV_12)/catpn_1_OHB_1+catfd_1_OHV_12/catpn_1_OHV_12),0)</f>
        <v>0</v>
      </c>
      <c r="I18" s="20" t="s">
        <v>44</v>
      </c>
      <c r="J18" s="37">
        <f>IF(AND(catpn_1_OHB_1&gt;0,catpn_1_OHV_12&gt;0),(cattf_1_OHB_1*((dagenperjaar1*VLOOKUP(B18,dagsoorttabel1,2,FALSE))-catfd_1_OHV_12)/catpn_1_OHB_1+cattf_1_OHV_12*catfd_1_OHV_12/catpn_1_OHV_12)/(((dagenperjaar1*VLOOKUP(B18,dagsoorttabel1,2,FALSE))-catfd_1_OHV_12)/catpn_1_OHB_1+catfd_1_OHV_12/catpn_1_OHV_12),0)</f>
        <v>0</v>
      </c>
      <c r="K18" s="34">
        <f t="shared" si="1"/>
        <v>0</v>
      </c>
      <c r="L18" s="37">
        <f t="shared" si="2"/>
        <v>0</v>
      </c>
      <c r="M18" s="34">
        <f t="shared" si="3"/>
        <v>0</v>
      </c>
      <c r="N18" s="37">
        <f t="shared" si="4"/>
        <v>0</v>
      </c>
    </row>
    <row r="19" spans="1:14" x14ac:dyDescent="0.2">
      <c r="A19" s="20" t="s">
        <v>158</v>
      </c>
      <c r="B19" s="20" t="s">
        <v>19</v>
      </c>
      <c r="C19" s="20" t="s">
        <v>140</v>
      </c>
      <c r="D19" s="20" t="s">
        <v>159</v>
      </c>
      <c r="E19" s="34">
        <v>13.6</v>
      </c>
      <c r="F19" s="34">
        <f t="shared" si="0"/>
        <v>2.72</v>
      </c>
      <c r="G19" s="35">
        <f>IF(AND(catpn_1_PHB_1&gt;0,catpn_1_PHV_51&gt;0),(dagenperjaar1*VLOOKUP(B19,dagsoorttabel1,2,FALSE))/(((dagenperjaar1*VLOOKUP(B19,dagsoorttabel1,2,FALSE))-catfd_1_PHV_51)/catpn_1_PHB_1+catfd_1_PHV_51/catpn_1_PHV_51),0)</f>
        <v>0</v>
      </c>
      <c r="H19" s="36">
        <f>IF(AND(catpn_1_PHB_1&gt;0,catpn_1_PHV_51&gt;0),(catdw_1_PHB_1*((dagenperjaar1*VLOOKUP(B19,dagsoorttabel1,2,FALSE))-catfd_1_PHV_51)/catpn_1_PHB_1+catdw_1_PHV_51*catfd_1_PHV_51/catpn_1_PHV_51)/(((dagenperjaar1*VLOOKUP(B19,dagsoorttabel1,2,FALSE))-catfd_1_PHV_51)/catpn_1_PHB_1+catfd_1_PHV_51/catpn_1_PHV_51),0)</f>
        <v>0</v>
      </c>
      <c r="I19" s="20" t="s">
        <v>44</v>
      </c>
      <c r="J19" s="37">
        <f>IF(AND(catpn_1_PHB_1&gt;0,catpn_1_PHV_51&gt;0),(cattf_1_PHB_1*((dagenperjaar1*VLOOKUP(B19,dagsoorttabel1,2,FALSE))-catfd_1_PHV_51)/catpn_1_PHB_1+cattf_1_PHV_51*catfd_1_PHV_51/catpn_1_PHV_51)/(((dagenperjaar1*VLOOKUP(B19,dagsoorttabel1,2,FALSE))-catfd_1_PHV_51)/catpn_1_PHB_1+catfd_1_PHV_51/catpn_1_PHV_51),0)</f>
        <v>0</v>
      </c>
      <c r="K19" s="34">
        <f t="shared" si="1"/>
        <v>0</v>
      </c>
      <c r="L19" s="37">
        <f t="shared" si="2"/>
        <v>0</v>
      </c>
      <c r="M19" s="34">
        <f t="shared" si="3"/>
        <v>0</v>
      </c>
      <c r="N19" s="37">
        <f t="shared" si="4"/>
        <v>0</v>
      </c>
    </row>
    <row r="20" spans="1:14" x14ac:dyDescent="0.2">
      <c r="A20" s="20" t="s">
        <v>158</v>
      </c>
      <c r="B20" s="20" t="s">
        <v>10</v>
      </c>
      <c r="C20" s="20" t="s">
        <v>140</v>
      </c>
      <c r="D20" s="20" t="s">
        <v>159</v>
      </c>
      <c r="E20" s="34">
        <v>191.7</v>
      </c>
      <c r="F20" s="34">
        <f t="shared" si="0"/>
        <v>191.7</v>
      </c>
      <c r="G20" s="35">
        <f>IF(AND(catpn_1_PHB_1&gt;0,catpn_1_PHV_51&gt;0),(dagenperjaar1*VLOOKUP(B20,dagsoorttabel1,2,FALSE))/(((dagenperjaar1*VLOOKUP(B20,dagsoorttabel1,2,FALSE))-catfd_1_PHV_51)/catpn_1_PHB_1+catfd_1_PHV_51/catpn_1_PHV_51),0)</f>
        <v>0</v>
      </c>
      <c r="H20" s="36">
        <f>IF(AND(catpn_1_PHB_1&gt;0,catpn_1_PHV_51&gt;0),(catdw_1_PHB_1*((dagenperjaar1*VLOOKUP(B20,dagsoorttabel1,2,FALSE))-catfd_1_PHV_51)/catpn_1_PHB_1+catdw_1_PHV_51*catfd_1_PHV_51/catpn_1_PHV_51)/(((dagenperjaar1*VLOOKUP(B20,dagsoorttabel1,2,FALSE))-catfd_1_PHV_51)/catpn_1_PHB_1+catfd_1_PHV_51/catpn_1_PHV_51),0)</f>
        <v>0</v>
      </c>
      <c r="I20" s="20" t="s">
        <v>44</v>
      </c>
      <c r="J20" s="37">
        <f>IF(AND(catpn_1_PHB_1&gt;0,catpn_1_PHV_51&gt;0),(cattf_1_PHB_1*((dagenperjaar1*VLOOKUP(B20,dagsoorttabel1,2,FALSE))-catfd_1_PHV_51)/catpn_1_PHB_1+cattf_1_PHV_51*catfd_1_PHV_51/catpn_1_PHV_51)/(((dagenperjaar1*VLOOKUP(B20,dagsoorttabel1,2,FALSE))-catfd_1_PHV_51)/catpn_1_PHB_1+catfd_1_PHV_51/catpn_1_PHV_51),0)</f>
        <v>0</v>
      </c>
      <c r="K20" s="34">
        <f t="shared" si="1"/>
        <v>0</v>
      </c>
      <c r="L20" s="37">
        <f t="shared" si="2"/>
        <v>0</v>
      </c>
      <c r="M20" s="34">
        <f t="shared" si="3"/>
        <v>0</v>
      </c>
      <c r="N20" s="37">
        <f t="shared" si="4"/>
        <v>0</v>
      </c>
    </row>
    <row r="21" spans="1:14" x14ac:dyDescent="0.2">
      <c r="A21" s="20" t="s">
        <v>160</v>
      </c>
      <c r="B21" s="20" t="s">
        <v>10</v>
      </c>
      <c r="C21" s="20" t="s">
        <v>140</v>
      </c>
      <c r="D21" s="20" t="s">
        <v>161</v>
      </c>
      <c r="E21" s="34">
        <v>119.3</v>
      </c>
      <c r="F21" s="34">
        <f t="shared" si="0"/>
        <v>119.3</v>
      </c>
      <c r="G21" s="35">
        <f>IF(AND(catpn_1_RHB_1&gt;0,catpn_1_RHV_51&gt;0),(dagenperjaar1*VLOOKUP(B21,dagsoorttabel1,2,FALSE))/(((dagenperjaar1*VLOOKUP(B21,dagsoorttabel1,2,FALSE))-catfd_1_RHV_51)/catpn_1_RHB_1+catfd_1_RHV_51/catpn_1_RHV_51),0)</f>
        <v>0</v>
      </c>
      <c r="H21" s="36">
        <f>IF(AND(catpn_1_RHB_1&gt;0,catpn_1_RHV_51&gt;0),(catdw_1_RHB_1*((dagenperjaar1*VLOOKUP(B21,dagsoorttabel1,2,FALSE))-catfd_1_RHV_51)/catpn_1_RHB_1+catdw_1_RHV_51*catfd_1_RHV_51/catpn_1_RHV_51)/(((dagenperjaar1*VLOOKUP(B21,dagsoorttabel1,2,FALSE))-catfd_1_RHV_51)/catpn_1_RHB_1+catfd_1_RHV_51/catpn_1_RHV_51),0)</f>
        <v>0</v>
      </c>
      <c r="I21" s="20" t="s">
        <v>44</v>
      </c>
      <c r="J21" s="37">
        <f>IF(AND(catpn_1_RHB_1&gt;0,catpn_1_RHV_51&gt;0),(cattf_1_RHB_1*((dagenperjaar1*VLOOKUP(B21,dagsoorttabel1,2,FALSE))-catfd_1_RHV_51)/catpn_1_RHB_1+cattf_1_RHV_51*catfd_1_RHV_51/catpn_1_RHV_51)/(((dagenperjaar1*VLOOKUP(B21,dagsoorttabel1,2,FALSE))-catfd_1_RHV_51)/catpn_1_RHB_1+catfd_1_RHV_51/catpn_1_RHV_51),0)</f>
        <v>0</v>
      </c>
      <c r="K21" s="34">
        <f t="shared" si="1"/>
        <v>0</v>
      </c>
      <c r="L21" s="37">
        <f t="shared" si="2"/>
        <v>0</v>
      </c>
      <c r="M21" s="34">
        <f t="shared" si="3"/>
        <v>0</v>
      </c>
      <c r="N21" s="37">
        <f t="shared" si="4"/>
        <v>0</v>
      </c>
    </row>
    <row r="22" spans="1:14" x14ac:dyDescent="0.2">
      <c r="A22" s="20" t="s">
        <v>162</v>
      </c>
      <c r="B22" s="20" t="s">
        <v>19</v>
      </c>
      <c r="C22" s="20" t="s">
        <v>140</v>
      </c>
      <c r="D22" s="20" t="s">
        <v>163</v>
      </c>
      <c r="E22" s="34">
        <v>31.9</v>
      </c>
      <c r="F22" s="34">
        <f t="shared" si="0"/>
        <v>6.38</v>
      </c>
      <c r="G22" s="35">
        <f>IF(AND(catpn_1_RZB_1&gt;0,catpn_1_RZV_51&gt;0),(dagenperjaar1*VLOOKUP(B22,dagsoorttabel1,2,FALSE))/(((dagenperjaar1*VLOOKUP(B22,dagsoorttabel1,2,FALSE))-catfd_1_RZV_51)/catpn_1_RZB_1+catfd_1_RZV_51/catpn_1_RZV_51),0)</f>
        <v>0</v>
      </c>
      <c r="H22" s="36">
        <f>IF(AND(catpn_1_RZB_1&gt;0,catpn_1_RZV_51&gt;0),(catdw_1_RZB_1*((dagenperjaar1*VLOOKUP(B22,dagsoorttabel1,2,FALSE))-catfd_1_RZV_51)/catpn_1_RZB_1+catdw_1_RZV_51*catfd_1_RZV_51/catpn_1_RZV_51)/(((dagenperjaar1*VLOOKUP(B22,dagsoorttabel1,2,FALSE))-catfd_1_RZV_51)/catpn_1_RZB_1+catfd_1_RZV_51/catpn_1_RZV_51),0)</f>
        <v>0</v>
      </c>
      <c r="I22" s="20" t="s">
        <v>44</v>
      </c>
      <c r="J22" s="37">
        <f>IF(AND(catpn_1_RZB_1&gt;0,catpn_1_RZV_51&gt;0),(cattf_1_RZB_1*((dagenperjaar1*VLOOKUP(B22,dagsoorttabel1,2,FALSE))-catfd_1_RZV_51)/catpn_1_RZB_1+cattf_1_RZV_51*catfd_1_RZV_51/catpn_1_RZV_51)/(((dagenperjaar1*VLOOKUP(B22,dagsoorttabel1,2,FALSE))-catfd_1_RZV_51)/catpn_1_RZB_1+catfd_1_RZV_51/catpn_1_RZV_51),0)</f>
        <v>0</v>
      </c>
      <c r="K22" s="34">
        <f t="shared" si="1"/>
        <v>0</v>
      </c>
      <c r="L22" s="37">
        <f t="shared" si="2"/>
        <v>0</v>
      </c>
      <c r="M22" s="34">
        <f t="shared" si="3"/>
        <v>0</v>
      </c>
      <c r="N22" s="37">
        <f t="shared" si="4"/>
        <v>0</v>
      </c>
    </row>
    <row r="23" spans="1:14" x14ac:dyDescent="0.2">
      <c r="A23" s="20" t="s">
        <v>164</v>
      </c>
      <c r="B23" s="20" t="s">
        <v>19</v>
      </c>
      <c r="C23" s="20" t="s">
        <v>140</v>
      </c>
      <c r="D23" s="20" t="s">
        <v>165</v>
      </c>
      <c r="E23" s="34">
        <v>15.7</v>
      </c>
      <c r="F23" s="34">
        <f t="shared" si="0"/>
        <v>3.14</v>
      </c>
      <c r="G23" s="35">
        <f>IF(AND(catpn_1_SHB_1&gt;0,catpn_1_SHV_51&gt;0),(dagenperjaar1*VLOOKUP(B23,dagsoorttabel1,2,FALSE))/(((dagenperjaar1*VLOOKUP(B23,dagsoorttabel1,2,FALSE))-catfd_1_SHV_51)/catpn_1_SHB_1+catfd_1_SHV_51/catpn_1_SHV_51),0)</f>
        <v>0</v>
      </c>
      <c r="H23" s="36">
        <f>IF(AND(catpn_1_SHB_1&gt;0,catpn_1_SHV_51&gt;0),(catdw_1_SHB_1*((dagenperjaar1*VLOOKUP(B23,dagsoorttabel1,2,FALSE))-catfd_1_SHV_51)/catpn_1_SHB_1+catdw_1_SHV_51*catfd_1_SHV_51/catpn_1_SHV_51)/(((dagenperjaar1*VLOOKUP(B23,dagsoorttabel1,2,FALSE))-catfd_1_SHV_51)/catpn_1_SHB_1+catfd_1_SHV_51/catpn_1_SHV_51),0)</f>
        <v>0</v>
      </c>
      <c r="I23" s="20" t="s">
        <v>44</v>
      </c>
      <c r="J23" s="37">
        <f>IF(AND(catpn_1_SHB_1&gt;0,catpn_1_SHV_51&gt;0),(cattf_1_SHB_1*((dagenperjaar1*VLOOKUP(B23,dagsoorttabel1,2,FALSE))-catfd_1_SHV_51)/catpn_1_SHB_1+cattf_1_SHV_51*catfd_1_SHV_51/catpn_1_SHV_51)/(((dagenperjaar1*VLOOKUP(B23,dagsoorttabel1,2,FALSE))-catfd_1_SHV_51)/catpn_1_SHB_1+catfd_1_SHV_51/catpn_1_SHV_51),0)</f>
        <v>0</v>
      </c>
      <c r="K23" s="34">
        <f t="shared" si="1"/>
        <v>0</v>
      </c>
      <c r="L23" s="37">
        <f t="shared" si="2"/>
        <v>0</v>
      </c>
      <c r="M23" s="34">
        <f t="shared" si="3"/>
        <v>0</v>
      </c>
      <c r="N23" s="37">
        <f t="shared" si="4"/>
        <v>0</v>
      </c>
    </row>
    <row r="24" spans="1:14" x14ac:dyDescent="0.2">
      <c r="A24" s="20" t="s">
        <v>164</v>
      </c>
      <c r="B24" s="20" t="s">
        <v>10</v>
      </c>
      <c r="C24" s="20" t="s">
        <v>140</v>
      </c>
      <c r="D24" s="20" t="s">
        <v>165</v>
      </c>
      <c r="E24" s="34">
        <v>258.60000000000002</v>
      </c>
      <c r="F24" s="34">
        <f t="shared" si="0"/>
        <v>258.60000000000002</v>
      </c>
      <c r="G24" s="35">
        <f>IF(AND(catpn_1_SHB_1&gt;0,catpn_1_SHV_51&gt;0),(dagenperjaar1*VLOOKUP(B24,dagsoorttabel1,2,FALSE))/(((dagenperjaar1*VLOOKUP(B24,dagsoorttabel1,2,FALSE))-catfd_1_SHV_51)/catpn_1_SHB_1+catfd_1_SHV_51/catpn_1_SHV_51),0)</f>
        <v>0</v>
      </c>
      <c r="H24" s="36">
        <f>IF(AND(catpn_1_SHB_1&gt;0,catpn_1_SHV_51&gt;0),(catdw_1_SHB_1*((dagenperjaar1*VLOOKUP(B24,dagsoorttabel1,2,FALSE))-catfd_1_SHV_51)/catpn_1_SHB_1+catdw_1_SHV_51*catfd_1_SHV_51/catpn_1_SHV_51)/(((dagenperjaar1*VLOOKUP(B24,dagsoorttabel1,2,FALSE))-catfd_1_SHV_51)/catpn_1_SHB_1+catfd_1_SHV_51/catpn_1_SHV_51),0)</f>
        <v>0</v>
      </c>
      <c r="I24" s="20" t="s">
        <v>44</v>
      </c>
      <c r="J24" s="37">
        <f>IF(AND(catpn_1_SHB_1&gt;0,catpn_1_SHV_51&gt;0),(cattf_1_SHB_1*((dagenperjaar1*VLOOKUP(B24,dagsoorttabel1,2,FALSE))-catfd_1_SHV_51)/catpn_1_SHB_1+cattf_1_SHV_51*catfd_1_SHV_51/catpn_1_SHV_51)/(((dagenperjaar1*VLOOKUP(B24,dagsoorttabel1,2,FALSE))-catfd_1_SHV_51)/catpn_1_SHB_1+catfd_1_SHV_51/catpn_1_SHV_51),0)</f>
        <v>0</v>
      </c>
      <c r="K24" s="34">
        <f t="shared" si="1"/>
        <v>0</v>
      </c>
      <c r="L24" s="37">
        <f t="shared" si="2"/>
        <v>0</v>
      </c>
      <c r="M24" s="34">
        <f t="shared" si="3"/>
        <v>0</v>
      </c>
      <c r="N24" s="37">
        <f t="shared" si="4"/>
        <v>0</v>
      </c>
    </row>
    <row r="25" spans="1:14" x14ac:dyDescent="0.2">
      <c r="A25" s="20" t="s">
        <v>166</v>
      </c>
      <c r="B25" s="20" t="s">
        <v>10</v>
      </c>
      <c r="C25" s="20" t="s">
        <v>140</v>
      </c>
      <c r="D25" s="20" t="s">
        <v>167</v>
      </c>
      <c r="E25" s="34">
        <v>541.79999999999995</v>
      </c>
      <c r="F25" s="34">
        <f t="shared" si="0"/>
        <v>541.79999999999995</v>
      </c>
      <c r="G25" s="35">
        <f>IF(AND(catpn_1_THB_1&gt;0,catpn_1_THV_51&gt;0),(dagenperjaar1*VLOOKUP(B25,dagsoorttabel1,2,FALSE))/(((dagenperjaar1*VLOOKUP(B25,dagsoorttabel1,2,FALSE))-catfd_1_THV_51)/catpn_1_THB_1+catfd_1_THV_51/catpn_1_THV_51),0)</f>
        <v>0</v>
      </c>
      <c r="H25" s="36">
        <f>IF(AND(catpn_1_THB_1&gt;0,catpn_1_THV_51&gt;0),(catdw_1_THB_1*((dagenperjaar1*VLOOKUP(B25,dagsoorttabel1,2,FALSE))-catfd_1_THV_51)/catpn_1_THB_1+catdw_1_THV_51*catfd_1_THV_51/catpn_1_THV_51)/(((dagenperjaar1*VLOOKUP(B25,dagsoorttabel1,2,FALSE))-catfd_1_THV_51)/catpn_1_THB_1+catfd_1_THV_51/catpn_1_THV_51),0)</f>
        <v>0</v>
      </c>
      <c r="I25" s="20" t="s">
        <v>44</v>
      </c>
      <c r="J25" s="37">
        <f>IF(AND(catpn_1_THB_1&gt;0,catpn_1_THV_51&gt;0),(cattf_1_THB_1*((dagenperjaar1*VLOOKUP(B25,dagsoorttabel1,2,FALSE))-catfd_1_THV_51)/catpn_1_THB_1+cattf_1_THV_51*catfd_1_THV_51/catpn_1_THV_51)/(((dagenperjaar1*VLOOKUP(B25,dagsoorttabel1,2,FALSE))-catfd_1_THV_51)/catpn_1_THB_1+catfd_1_THV_51/catpn_1_THV_51),0)</f>
        <v>0</v>
      </c>
      <c r="K25" s="34">
        <f t="shared" si="1"/>
        <v>0</v>
      </c>
      <c r="L25" s="37">
        <f t="shared" si="2"/>
        <v>0</v>
      </c>
      <c r="M25" s="34">
        <f t="shared" si="3"/>
        <v>0</v>
      </c>
      <c r="N25" s="37">
        <f t="shared" si="4"/>
        <v>0</v>
      </c>
    </row>
    <row r="26" spans="1:14" x14ac:dyDescent="0.2">
      <c r="A26" s="20" t="s">
        <v>168</v>
      </c>
      <c r="B26" s="20" t="s">
        <v>19</v>
      </c>
      <c r="C26" s="20" t="s">
        <v>140</v>
      </c>
      <c r="D26" s="20" t="s">
        <v>169</v>
      </c>
      <c r="E26" s="34">
        <v>308.39999999999998</v>
      </c>
      <c r="F26" s="34">
        <f t="shared" si="0"/>
        <v>61.68</v>
      </c>
      <c r="G26" s="35">
        <f>IF(AND(catpn_1_VHB_1&gt;0,catpn_1_VHV_51&gt;0),(dagenperjaar1*VLOOKUP(B26,dagsoorttabel1,2,FALSE))/(((dagenperjaar1*VLOOKUP(B26,dagsoorttabel1,2,FALSE))-catfd_1_VHV_51)/catpn_1_VHB_1+catfd_1_VHV_51/catpn_1_VHV_51),0)</f>
        <v>0</v>
      </c>
      <c r="H26" s="36">
        <f>IF(AND(catpn_1_VHB_1&gt;0,catpn_1_VHV_51&gt;0),(catdw_1_VHB_1*((dagenperjaar1*VLOOKUP(B26,dagsoorttabel1,2,FALSE))-catfd_1_VHV_51)/catpn_1_VHB_1+catdw_1_VHV_51*catfd_1_VHV_51/catpn_1_VHV_51)/(((dagenperjaar1*VLOOKUP(B26,dagsoorttabel1,2,FALSE))-catfd_1_VHV_51)/catpn_1_VHB_1+catfd_1_VHV_51/catpn_1_VHV_51),0)</f>
        <v>0</v>
      </c>
      <c r="I26" s="20" t="s">
        <v>44</v>
      </c>
      <c r="J26" s="37">
        <f>IF(AND(catpn_1_VHB_1&gt;0,catpn_1_VHV_51&gt;0),(cattf_1_VHB_1*((dagenperjaar1*VLOOKUP(B26,dagsoorttabel1,2,FALSE))-catfd_1_VHV_51)/catpn_1_VHB_1+cattf_1_VHV_51*catfd_1_VHV_51/catpn_1_VHV_51)/(((dagenperjaar1*VLOOKUP(B26,dagsoorttabel1,2,FALSE))-catfd_1_VHV_51)/catpn_1_VHB_1+catfd_1_VHV_51/catpn_1_VHV_51),0)</f>
        <v>0</v>
      </c>
      <c r="K26" s="34">
        <f t="shared" si="1"/>
        <v>0</v>
      </c>
      <c r="L26" s="37">
        <f t="shared" si="2"/>
        <v>0</v>
      </c>
      <c r="M26" s="34">
        <f t="shared" si="3"/>
        <v>0</v>
      </c>
      <c r="N26" s="37">
        <f t="shared" si="4"/>
        <v>0</v>
      </c>
    </row>
    <row r="27" spans="1:14" x14ac:dyDescent="0.2">
      <c r="A27" s="25" t="s">
        <v>168</v>
      </c>
      <c r="B27" s="25" t="s">
        <v>10</v>
      </c>
      <c r="C27" s="25" t="s">
        <v>140</v>
      </c>
      <c r="D27" s="25" t="s">
        <v>169</v>
      </c>
      <c r="E27" s="38">
        <v>1742.7000000000003</v>
      </c>
      <c r="F27" s="38">
        <f t="shared" si="0"/>
        <v>1742.7000000000003</v>
      </c>
      <c r="G27" s="39">
        <f>IF(AND(catpn_1_VHB_1&gt;0,catpn_1_VHV_51&gt;0),(dagenperjaar1*VLOOKUP(B27,dagsoorttabel1,2,FALSE))/(((dagenperjaar1*VLOOKUP(B27,dagsoorttabel1,2,FALSE))-catfd_1_VHV_51)/catpn_1_VHB_1+catfd_1_VHV_51/catpn_1_VHV_51),0)</f>
        <v>0</v>
      </c>
      <c r="H27" s="40">
        <f>IF(AND(catpn_1_VHB_1&gt;0,catpn_1_VHV_51&gt;0),(catdw_1_VHB_1*((dagenperjaar1*VLOOKUP(B27,dagsoorttabel1,2,FALSE))-catfd_1_VHV_51)/catpn_1_VHB_1+catdw_1_VHV_51*catfd_1_VHV_51/catpn_1_VHV_51)/(((dagenperjaar1*VLOOKUP(B27,dagsoorttabel1,2,FALSE))-catfd_1_VHV_51)/catpn_1_VHB_1+catfd_1_VHV_51/catpn_1_VHV_51),0)</f>
        <v>0</v>
      </c>
      <c r="I27" s="25" t="s">
        <v>44</v>
      </c>
      <c r="J27" s="41">
        <f>IF(AND(catpn_1_VHB_1&gt;0,catpn_1_VHV_51&gt;0),(cattf_1_VHB_1*((dagenperjaar1*VLOOKUP(B27,dagsoorttabel1,2,FALSE))-catfd_1_VHV_51)/catpn_1_VHB_1+cattf_1_VHV_51*catfd_1_VHV_51/catpn_1_VHV_51)/(((dagenperjaar1*VLOOKUP(B27,dagsoorttabel1,2,FALSE))-catfd_1_VHV_51)/catpn_1_VHB_1+catfd_1_VHV_51/catpn_1_VHV_51),0)</f>
        <v>0</v>
      </c>
      <c r="K27" s="38">
        <f t="shared" si="1"/>
        <v>0</v>
      </c>
      <c r="L27" s="41">
        <f t="shared" si="2"/>
        <v>0</v>
      </c>
      <c r="M27" s="38">
        <f t="shared" si="3"/>
        <v>0</v>
      </c>
      <c r="N27" s="41">
        <f t="shared" si="4"/>
        <v>0</v>
      </c>
    </row>
    <row r="28" spans="1:14" x14ac:dyDescent="0.2">
      <c r="A28" s="43" t="s">
        <v>170</v>
      </c>
      <c r="B28" s="44"/>
      <c r="C28" s="44"/>
      <c r="D28" s="44"/>
      <c r="E28" s="44"/>
      <c r="F28" s="44"/>
      <c r="G28" s="44"/>
      <c r="H28" s="44"/>
      <c r="I28" s="44"/>
      <c r="J28" s="44"/>
      <c r="K28" s="45">
        <f>SUM(K6:K27)</f>
        <v>0</v>
      </c>
      <c r="L28" s="46">
        <f>SUM(L6:L27)</f>
        <v>0</v>
      </c>
      <c r="M28" s="45">
        <f>SUM(M6:M27)</f>
        <v>0</v>
      </c>
      <c r="N28" s="47">
        <f>SUM(N6:N27)</f>
        <v>0</v>
      </c>
    </row>
    <row r="29" spans="1:14" x14ac:dyDescent="0.2">
      <c r="A29" s="48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9"/>
    </row>
    <row r="30" spans="1:14" x14ac:dyDescent="0.2">
      <c r="A30" s="43" t="s">
        <v>171</v>
      </c>
      <c r="B30" s="44"/>
      <c r="C30" s="44"/>
      <c r="D30" s="44"/>
      <c r="E30" s="44"/>
      <c r="F30" s="44"/>
      <c r="G30" s="44"/>
      <c r="H30" s="44"/>
      <c r="I30" s="44"/>
      <c r="J30" s="46">
        <f>IF(urenjaar1&gt;0,SUMIF(M6:M27,"&gt;0",N6:N27)/urenjaar1,0)</f>
        <v>0</v>
      </c>
      <c r="K30" s="44"/>
      <c r="L30" s="44"/>
      <c r="M30" s="44"/>
      <c r="N30" s="49"/>
    </row>
    <row r="31" spans="1:14" x14ac:dyDescent="0.2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9"/>
    </row>
    <row r="32" spans="1:14" x14ac:dyDescent="0.2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</row>
    <row r="33" spans="1:14" x14ac:dyDescent="0.2">
      <c r="A33" s="12" t="s">
        <v>106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4"/>
    </row>
    <row r="34" spans="1:14" x14ac:dyDescent="0.2">
      <c r="A34" s="15" t="s">
        <v>172</v>
      </c>
      <c r="B34" s="15" t="s">
        <v>26</v>
      </c>
      <c r="C34" s="15" t="s">
        <v>140</v>
      </c>
      <c r="D34" s="15" t="s">
        <v>173</v>
      </c>
      <c r="E34" s="30">
        <v>82.6</v>
      </c>
      <c r="F34" s="30">
        <f t="shared" ref="F34:F43" si="5">E34*VLOOKUP(B34,dagsoorttabel1,2,FALSE)</f>
        <v>2.5913725490196078</v>
      </c>
      <c r="G34" s="31">
        <f>catpn_2_FBHB_1</f>
        <v>0</v>
      </c>
      <c r="H34" s="32">
        <f>catdw_2_FBHB_1</f>
        <v>0</v>
      </c>
      <c r="I34" s="15" t="s">
        <v>44</v>
      </c>
      <c r="J34" s="33">
        <f>cattf_2_FBHB_1</f>
        <v>0</v>
      </c>
      <c r="K34" s="30">
        <f t="shared" ref="K34:K43" si="6">IF(OR(ISBLANK(G34),G34=0),0,F34/ROUND(G34,4))</f>
        <v>0</v>
      </c>
      <c r="L34" s="33">
        <f t="shared" ref="L34:L43" si="7">ROUND(J34,2)*K34</f>
        <v>0</v>
      </c>
      <c r="M34" s="30">
        <f t="shared" ref="M34:M43" si="8">K34*dagenperjaar1</f>
        <v>0</v>
      </c>
      <c r="N34" s="33">
        <f t="shared" ref="N34:N43" si="9">M34*ROUND(J34,2)</f>
        <v>0</v>
      </c>
    </row>
    <row r="35" spans="1:14" x14ac:dyDescent="0.2">
      <c r="A35" s="20" t="s">
        <v>174</v>
      </c>
      <c r="B35" s="20" t="s">
        <v>26</v>
      </c>
      <c r="C35" s="20" t="s">
        <v>140</v>
      </c>
      <c r="D35" s="20" t="s">
        <v>147</v>
      </c>
      <c r="E35" s="34">
        <v>218.4</v>
      </c>
      <c r="F35" s="34">
        <f t="shared" si="5"/>
        <v>6.8517647058823528</v>
      </c>
      <c r="G35" s="35">
        <f>catpn_2_FDHB_1</f>
        <v>0</v>
      </c>
      <c r="H35" s="36">
        <f>catdw_2_FDHB_1</f>
        <v>0</v>
      </c>
      <c r="I35" s="20" t="s">
        <v>44</v>
      </c>
      <c r="J35" s="37">
        <f>cattf_2_FDHB_1</f>
        <v>0</v>
      </c>
      <c r="K35" s="34">
        <f t="shared" si="6"/>
        <v>0</v>
      </c>
      <c r="L35" s="37">
        <f t="shared" si="7"/>
        <v>0</v>
      </c>
      <c r="M35" s="34">
        <f t="shared" si="8"/>
        <v>0</v>
      </c>
      <c r="N35" s="37">
        <f t="shared" si="9"/>
        <v>0</v>
      </c>
    </row>
    <row r="36" spans="1:14" x14ac:dyDescent="0.2">
      <c r="A36" s="20" t="s">
        <v>175</v>
      </c>
      <c r="B36" s="20" t="s">
        <v>26</v>
      </c>
      <c r="C36" s="20" t="s">
        <v>140</v>
      </c>
      <c r="D36" s="20" t="s">
        <v>149</v>
      </c>
      <c r="E36" s="34">
        <v>67.099999999999994</v>
      </c>
      <c r="F36" s="34">
        <f t="shared" si="5"/>
        <v>2.1050980392156862</v>
      </c>
      <c r="G36" s="35">
        <f>catpn_2_FEHB_1</f>
        <v>0</v>
      </c>
      <c r="H36" s="36">
        <f>catdw_2_FEHB_1</f>
        <v>0</v>
      </c>
      <c r="I36" s="20" t="s">
        <v>44</v>
      </c>
      <c r="J36" s="37">
        <f>cattf_2_FEHB_1</f>
        <v>0</v>
      </c>
      <c r="K36" s="34">
        <f t="shared" si="6"/>
        <v>0</v>
      </c>
      <c r="L36" s="37">
        <f t="shared" si="7"/>
        <v>0</v>
      </c>
      <c r="M36" s="34">
        <f t="shared" si="8"/>
        <v>0</v>
      </c>
      <c r="N36" s="37">
        <f t="shared" si="9"/>
        <v>0</v>
      </c>
    </row>
    <row r="37" spans="1:14" x14ac:dyDescent="0.2">
      <c r="A37" s="20" t="s">
        <v>176</v>
      </c>
      <c r="B37" s="20" t="s">
        <v>26</v>
      </c>
      <c r="C37" s="20" t="s">
        <v>140</v>
      </c>
      <c r="D37" s="20" t="s">
        <v>151</v>
      </c>
      <c r="E37" s="34">
        <v>29.2</v>
      </c>
      <c r="F37" s="34">
        <f t="shared" si="5"/>
        <v>0.91607843137254896</v>
      </c>
      <c r="G37" s="35">
        <f>catpn_2_FIHB_1</f>
        <v>0</v>
      </c>
      <c r="H37" s="36">
        <f>catdw_2_FIHB_1</f>
        <v>0</v>
      </c>
      <c r="I37" s="20" t="s">
        <v>44</v>
      </c>
      <c r="J37" s="37">
        <f>cattf_2_FIHB_1</f>
        <v>0</v>
      </c>
      <c r="K37" s="34">
        <f t="shared" si="6"/>
        <v>0</v>
      </c>
      <c r="L37" s="37">
        <f t="shared" si="7"/>
        <v>0</v>
      </c>
      <c r="M37" s="34">
        <f t="shared" si="8"/>
        <v>0</v>
      </c>
      <c r="N37" s="37">
        <f t="shared" si="9"/>
        <v>0</v>
      </c>
    </row>
    <row r="38" spans="1:14" x14ac:dyDescent="0.2">
      <c r="A38" s="20" t="s">
        <v>177</v>
      </c>
      <c r="B38" s="20" t="s">
        <v>26</v>
      </c>
      <c r="C38" s="20" t="s">
        <v>140</v>
      </c>
      <c r="D38" s="20" t="s">
        <v>155</v>
      </c>
      <c r="E38" s="34">
        <v>298</v>
      </c>
      <c r="F38" s="34">
        <f t="shared" si="5"/>
        <v>9.3490196078431378</v>
      </c>
      <c r="G38" s="35">
        <f>catpn_2_FMHB_1</f>
        <v>0</v>
      </c>
      <c r="H38" s="36">
        <f>catdw_2_FMHB_1</f>
        <v>0</v>
      </c>
      <c r="I38" s="20" t="s">
        <v>44</v>
      </c>
      <c r="J38" s="37">
        <f>cattf_2_FMHB_1</f>
        <v>0</v>
      </c>
      <c r="K38" s="34">
        <f t="shared" si="6"/>
        <v>0</v>
      </c>
      <c r="L38" s="37">
        <f t="shared" si="7"/>
        <v>0</v>
      </c>
      <c r="M38" s="34">
        <f t="shared" si="8"/>
        <v>0</v>
      </c>
      <c r="N38" s="37">
        <f t="shared" si="9"/>
        <v>0</v>
      </c>
    </row>
    <row r="39" spans="1:14" x14ac:dyDescent="0.2">
      <c r="A39" s="20" t="s">
        <v>178</v>
      </c>
      <c r="B39" s="20" t="s">
        <v>26</v>
      </c>
      <c r="C39" s="20" t="s">
        <v>140</v>
      </c>
      <c r="D39" s="20" t="s">
        <v>159</v>
      </c>
      <c r="E39" s="34">
        <v>191.7</v>
      </c>
      <c r="F39" s="34">
        <f t="shared" si="5"/>
        <v>6.0141176470588231</v>
      </c>
      <c r="G39" s="35">
        <f>catpn_2_FPHB_1</f>
        <v>0</v>
      </c>
      <c r="H39" s="36">
        <f>catdw_2_FPHB_1</f>
        <v>0</v>
      </c>
      <c r="I39" s="20" t="s">
        <v>44</v>
      </c>
      <c r="J39" s="37">
        <f>cattf_2_FPHB_1</f>
        <v>0</v>
      </c>
      <c r="K39" s="34">
        <f t="shared" si="6"/>
        <v>0</v>
      </c>
      <c r="L39" s="37">
        <f t="shared" si="7"/>
        <v>0</v>
      </c>
      <c r="M39" s="34">
        <f t="shared" si="8"/>
        <v>0</v>
      </c>
      <c r="N39" s="37">
        <f t="shared" si="9"/>
        <v>0</v>
      </c>
    </row>
    <row r="40" spans="1:14" x14ac:dyDescent="0.2">
      <c r="A40" s="20" t="s">
        <v>179</v>
      </c>
      <c r="B40" s="20" t="s">
        <v>26</v>
      </c>
      <c r="C40" s="20" t="s">
        <v>140</v>
      </c>
      <c r="D40" s="20" t="s">
        <v>161</v>
      </c>
      <c r="E40" s="34">
        <v>119.3</v>
      </c>
      <c r="F40" s="34">
        <f t="shared" si="5"/>
        <v>3.7427450980392156</v>
      </c>
      <c r="G40" s="35">
        <f>catpn_2_FRHB_1</f>
        <v>0</v>
      </c>
      <c r="H40" s="36">
        <f>catdw_2_FRHB_1</f>
        <v>0</v>
      </c>
      <c r="I40" s="20" t="s">
        <v>44</v>
      </c>
      <c r="J40" s="37">
        <f>cattf_2_FRHB_1</f>
        <v>0</v>
      </c>
      <c r="K40" s="34">
        <f t="shared" si="6"/>
        <v>0</v>
      </c>
      <c r="L40" s="37">
        <f t="shared" si="7"/>
        <v>0</v>
      </c>
      <c r="M40" s="34">
        <f t="shared" si="8"/>
        <v>0</v>
      </c>
      <c r="N40" s="37">
        <f t="shared" si="9"/>
        <v>0</v>
      </c>
    </row>
    <row r="41" spans="1:14" x14ac:dyDescent="0.2">
      <c r="A41" s="20" t="s">
        <v>180</v>
      </c>
      <c r="B41" s="20" t="s">
        <v>26</v>
      </c>
      <c r="C41" s="20" t="s">
        <v>140</v>
      </c>
      <c r="D41" s="20" t="s">
        <v>165</v>
      </c>
      <c r="E41" s="34">
        <v>259.90000000000003</v>
      </c>
      <c r="F41" s="34">
        <f t="shared" si="5"/>
        <v>8.153725490196079</v>
      </c>
      <c r="G41" s="35">
        <f>catpn_2_FSHB_1</f>
        <v>0</v>
      </c>
      <c r="H41" s="36">
        <f>catdw_2_FSHB_1</f>
        <v>0</v>
      </c>
      <c r="I41" s="20" t="s">
        <v>44</v>
      </c>
      <c r="J41" s="37">
        <f>cattf_2_FSHB_1</f>
        <v>0</v>
      </c>
      <c r="K41" s="34">
        <f t="shared" si="6"/>
        <v>0</v>
      </c>
      <c r="L41" s="37">
        <f t="shared" si="7"/>
        <v>0</v>
      </c>
      <c r="M41" s="34">
        <f t="shared" si="8"/>
        <v>0</v>
      </c>
      <c r="N41" s="37">
        <f t="shared" si="9"/>
        <v>0</v>
      </c>
    </row>
    <row r="42" spans="1:14" x14ac:dyDescent="0.2">
      <c r="A42" s="20" t="s">
        <v>181</v>
      </c>
      <c r="B42" s="20" t="s">
        <v>26</v>
      </c>
      <c r="C42" s="20" t="s">
        <v>140</v>
      </c>
      <c r="D42" s="20" t="s">
        <v>167</v>
      </c>
      <c r="E42" s="34">
        <v>541.79999999999995</v>
      </c>
      <c r="F42" s="34">
        <f t="shared" si="5"/>
        <v>16.997647058823528</v>
      </c>
      <c r="G42" s="35">
        <f>catpn_2_FTHB_1</f>
        <v>0</v>
      </c>
      <c r="H42" s="36">
        <f>catdw_2_FTHB_1</f>
        <v>0</v>
      </c>
      <c r="I42" s="20" t="s">
        <v>44</v>
      </c>
      <c r="J42" s="37">
        <f>cattf_2_FTHB_1</f>
        <v>0</v>
      </c>
      <c r="K42" s="34">
        <f t="shared" si="6"/>
        <v>0</v>
      </c>
      <c r="L42" s="37">
        <f t="shared" si="7"/>
        <v>0</v>
      </c>
      <c r="M42" s="34">
        <f t="shared" si="8"/>
        <v>0</v>
      </c>
      <c r="N42" s="37">
        <f t="shared" si="9"/>
        <v>0</v>
      </c>
    </row>
    <row r="43" spans="1:14" x14ac:dyDescent="0.2">
      <c r="A43" s="25" t="s">
        <v>182</v>
      </c>
      <c r="B43" s="25" t="s">
        <v>26</v>
      </c>
      <c r="C43" s="25" t="s">
        <v>140</v>
      </c>
      <c r="D43" s="25" t="s">
        <v>169</v>
      </c>
      <c r="E43" s="38">
        <v>1796.5000000000002</v>
      </c>
      <c r="F43" s="38">
        <f t="shared" si="5"/>
        <v>56.360784313725496</v>
      </c>
      <c r="G43" s="39">
        <f>catpn_2_FVHB_1</f>
        <v>0</v>
      </c>
      <c r="H43" s="40">
        <f>catdw_2_FVHB_1</f>
        <v>0</v>
      </c>
      <c r="I43" s="25" t="s">
        <v>44</v>
      </c>
      <c r="J43" s="41">
        <f>cattf_2_FVHB_1</f>
        <v>0</v>
      </c>
      <c r="K43" s="38">
        <f t="shared" si="6"/>
        <v>0</v>
      </c>
      <c r="L43" s="41">
        <f t="shared" si="7"/>
        <v>0</v>
      </c>
      <c r="M43" s="38">
        <f t="shared" si="8"/>
        <v>0</v>
      </c>
      <c r="N43" s="41">
        <f t="shared" si="9"/>
        <v>0</v>
      </c>
    </row>
    <row r="44" spans="1:14" x14ac:dyDescent="0.2">
      <c r="A44" s="43" t="s">
        <v>183</v>
      </c>
      <c r="B44" s="44"/>
      <c r="C44" s="44"/>
      <c r="D44" s="44"/>
      <c r="E44" s="44"/>
      <c r="F44" s="44"/>
      <c r="G44" s="44"/>
      <c r="H44" s="44"/>
      <c r="I44" s="44"/>
      <c r="J44" s="44"/>
      <c r="K44" s="45">
        <f>SUM(K34:K43)</f>
        <v>0</v>
      </c>
      <c r="L44" s="46">
        <f>SUM(L34:L43)</f>
        <v>0</v>
      </c>
      <c r="M44" s="45">
        <f>SUM(M34:M43)</f>
        <v>0</v>
      </c>
      <c r="N44" s="47">
        <f>SUM(N34:N43)</f>
        <v>0</v>
      </c>
    </row>
    <row r="45" spans="1:14" x14ac:dyDescent="0.2">
      <c r="A45" s="48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9"/>
    </row>
    <row r="46" spans="1:14" x14ac:dyDescent="0.2">
      <c r="A46" s="43" t="s">
        <v>184</v>
      </c>
      <c r="B46" s="44"/>
      <c r="C46" s="44"/>
      <c r="D46" s="44"/>
      <c r="E46" s="44"/>
      <c r="F46" s="44"/>
      <c r="G46" s="44"/>
      <c r="H46" s="44"/>
      <c r="I46" s="44"/>
      <c r="J46" s="46">
        <f>IF(urenjaar2&gt;0,SUMIF(M34:M43,"&gt;0",N34:N43)/urenjaar2,0)</f>
        <v>0</v>
      </c>
      <c r="K46" s="44"/>
      <c r="L46" s="44"/>
      <c r="M46" s="44"/>
      <c r="N46" s="49"/>
    </row>
    <row r="47" spans="1:14" x14ac:dyDescent="0.2">
      <c r="A47" s="48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9"/>
    </row>
    <row r="48" spans="1:14" x14ac:dyDescent="0.2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</row>
    <row r="49" spans="1:14" x14ac:dyDescent="0.2">
      <c r="A49" s="12" t="s">
        <v>120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</row>
    <row r="50" spans="1:14" x14ac:dyDescent="0.2">
      <c r="A50" s="15" t="s">
        <v>185</v>
      </c>
      <c r="B50" s="15" t="s">
        <v>16</v>
      </c>
      <c r="C50" s="15" t="s">
        <v>140</v>
      </c>
      <c r="D50" s="15" t="s">
        <v>143</v>
      </c>
      <c r="E50" s="30">
        <v>82.6</v>
      </c>
      <c r="F50" s="30">
        <f t="shared" ref="F50:F59" si="10">E50*VLOOKUP(B50,dagsoorttabel1,2,FALSE)</f>
        <v>33.04</v>
      </c>
      <c r="G50" s="31">
        <f>catpn_4_WBHB_1</f>
        <v>0</v>
      </c>
      <c r="H50" s="32">
        <f>catdw_4_WBHB_1</f>
        <v>0</v>
      </c>
      <c r="I50" s="15" t="s">
        <v>44</v>
      </c>
      <c r="J50" s="33">
        <f>cattf_4_WBHB_1</f>
        <v>0</v>
      </c>
      <c r="K50" s="30">
        <f t="shared" ref="K50:K59" si="11">IF(OR(ISBLANK(G50),G50=0),0,F50/ROUND(G50,4))</f>
        <v>0</v>
      </c>
      <c r="L50" s="33">
        <f t="shared" ref="L50:L59" si="12">ROUND(J50,2)*K50</f>
        <v>0</v>
      </c>
      <c r="M50" s="30">
        <f t="shared" ref="M50:M59" si="13">K50*dagenperjaar1</f>
        <v>0</v>
      </c>
      <c r="N50" s="33">
        <f t="shared" ref="N50:N59" si="14">M50*ROUND(J50,2)</f>
        <v>0</v>
      </c>
    </row>
    <row r="51" spans="1:14" x14ac:dyDescent="0.2">
      <c r="A51" s="20" t="s">
        <v>186</v>
      </c>
      <c r="B51" s="20" t="s">
        <v>16</v>
      </c>
      <c r="C51" s="20" t="s">
        <v>140</v>
      </c>
      <c r="D51" s="20" t="s">
        <v>147</v>
      </c>
      <c r="E51" s="34">
        <v>218.4</v>
      </c>
      <c r="F51" s="34">
        <f t="shared" si="10"/>
        <v>87.360000000000014</v>
      </c>
      <c r="G51" s="35">
        <f>catpn_4_WDHB_1</f>
        <v>0</v>
      </c>
      <c r="H51" s="36">
        <f>catdw_4_WDHB_1</f>
        <v>0</v>
      </c>
      <c r="I51" s="20" t="s">
        <v>44</v>
      </c>
      <c r="J51" s="37">
        <f>cattf_4_WDHB_1</f>
        <v>0</v>
      </c>
      <c r="K51" s="34">
        <f t="shared" si="11"/>
        <v>0</v>
      </c>
      <c r="L51" s="37">
        <f t="shared" si="12"/>
        <v>0</v>
      </c>
      <c r="M51" s="34">
        <f t="shared" si="13"/>
        <v>0</v>
      </c>
      <c r="N51" s="37">
        <f t="shared" si="14"/>
        <v>0</v>
      </c>
    </row>
    <row r="52" spans="1:14" x14ac:dyDescent="0.2">
      <c r="A52" s="20" t="s">
        <v>187</v>
      </c>
      <c r="B52" s="20" t="s">
        <v>16</v>
      </c>
      <c r="C52" s="20" t="s">
        <v>140</v>
      </c>
      <c r="D52" s="20" t="s">
        <v>149</v>
      </c>
      <c r="E52" s="34">
        <v>67.099999999999994</v>
      </c>
      <c r="F52" s="34">
        <f t="shared" si="10"/>
        <v>26.84</v>
      </c>
      <c r="G52" s="35">
        <f>catpn_4_WEHB_1</f>
        <v>0</v>
      </c>
      <c r="H52" s="36">
        <f>catdw_4_WEHB_1</f>
        <v>0</v>
      </c>
      <c r="I52" s="20" t="s">
        <v>44</v>
      </c>
      <c r="J52" s="37">
        <f>cattf_4_WEHB_1</f>
        <v>0</v>
      </c>
      <c r="K52" s="34">
        <f t="shared" si="11"/>
        <v>0</v>
      </c>
      <c r="L52" s="37">
        <f t="shared" si="12"/>
        <v>0</v>
      </c>
      <c r="M52" s="34">
        <f t="shared" si="13"/>
        <v>0</v>
      </c>
      <c r="N52" s="37">
        <f t="shared" si="14"/>
        <v>0</v>
      </c>
    </row>
    <row r="53" spans="1:14" x14ac:dyDescent="0.2">
      <c r="A53" s="20" t="s">
        <v>188</v>
      </c>
      <c r="B53" s="20" t="s">
        <v>16</v>
      </c>
      <c r="C53" s="20" t="s">
        <v>140</v>
      </c>
      <c r="D53" s="20" t="s">
        <v>151</v>
      </c>
      <c r="E53" s="34">
        <v>29.2</v>
      </c>
      <c r="F53" s="34">
        <f t="shared" si="10"/>
        <v>11.68</v>
      </c>
      <c r="G53" s="35">
        <f>catpn_4_WIHB_1</f>
        <v>0</v>
      </c>
      <c r="H53" s="36">
        <f>catdw_4_WIHB_1</f>
        <v>0</v>
      </c>
      <c r="I53" s="20" t="s">
        <v>44</v>
      </c>
      <c r="J53" s="37">
        <f>cattf_4_WIHB_1</f>
        <v>0</v>
      </c>
      <c r="K53" s="34">
        <f t="shared" si="11"/>
        <v>0</v>
      </c>
      <c r="L53" s="37">
        <f t="shared" si="12"/>
        <v>0</v>
      </c>
      <c r="M53" s="34">
        <f t="shared" si="13"/>
        <v>0</v>
      </c>
      <c r="N53" s="37">
        <f t="shared" si="14"/>
        <v>0</v>
      </c>
    </row>
    <row r="54" spans="1:14" x14ac:dyDescent="0.2">
      <c r="A54" s="20" t="s">
        <v>189</v>
      </c>
      <c r="B54" s="20" t="s">
        <v>16</v>
      </c>
      <c r="C54" s="20" t="s">
        <v>140</v>
      </c>
      <c r="D54" s="20" t="s">
        <v>155</v>
      </c>
      <c r="E54" s="34">
        <v>298</v>
      </c>
      <c r="F54" s="34">
        <f t="shared" si="10"/>
        <v>119.2</v>
      </c>
      <c r="G54" s="35">
        <f>catpn_4_WMHB_1</f>
        <v>0</v>
      </c>
      <c r="H54" s="36">
        <f>catdw_4_WMHB_1</f>
        <v>0</v>
      </c>
      <c r="I54" s="20" t="s">
        <v>44</v>
      </c>
      <c r="J54" s="37">
        <f>cattf_4_WMHB_1</f>
        <v>0</v>
      </c>
      <c r="K54" s="34">
        <f t="shared" si="11"/>
        <v>0</v>
      </c>
      <c r="L54" s="37">
        <f t="shared" si="12"/>
        <v>0</v>
      </c>
      <c r="M54" s="34">
        <f t="shared" si="13"/>
        <v>0</v>
      </c>
      <c r="N54" s="37">
        <f t="shared" si="14"/>
        <v>0</v>
      </c>
    </row>
    <row r="55" spans="1:14" x14ac:dyDescent="0.2">
      <c r="A55" s="20" t="s">
        <v>190</v>
      </c>
      <c r="B55" s="20" t="s">
        <v>16</v>
      </c>
      <c r="C55" s="20" t="s">
        <v>140</v>
      </c>
      <c r="D55" s="20" t="s">
        <v>159</v>
      </c>
      <c r="E55" s="34">
        <v>191.7</v>
      </c>
      <c r="F55" s="34">
        <f t="shared" si="10"/>
        <v>76.679999999999993</v>
      </c>
      <c r="G55" s="35">
        <f>catpn_4_WPHB_1</f>
        <v>0</v>
      </c>
      <c r="H55" s="36">
        <f>catdw_4_WPHB_1</f>
        <v>0</v>
      </c>
      <c r="I55" s="20" t="s">
        <v>44</v>
      </c>
      <c r="J55" s="37">
        <f>cattf_4_WPHB_1</f>
        <v>0</v>
      </c>
      <c r="K55" s="34">
        <f t="shared" si="11"/>
        <v>0</v>
      </c>
      <c r="L55" s="37">
        <f t="shared" si="12"/>
        <v>0</v>
      </c>
      <c r="M55" s="34">
        <f t="shared" si="13"/>
        <v>0</v>
      </c>
      <c r="N55" s="37">
        <f t="shared" si="14"/>
        <v>0</v>
      </c>
    </row>
    <row r="56" spans="1:14" x14ac:dyDescent="0.2">
      <c r="A56" s="20" t="s">
        <v>191</v>
      </c>
      <c r="B56" s="20" t="s">
        <v>16</v>
      </c>
      <c r="C56" s="20" t="s">
        <v>140</v>
      </c>
      <c r="D56" s="20" t="s">
        <v>161</v>
      </c>
      <c r="E56" s="34">
        <v>123.39999999999999</v>
      </c>
      <c r="F56" s="34">
        <f t="shared" si="10"/>
        <v>49.36</v>
      </c>
      <c r="G56" s="35">
        <f>catpn_4_WRHB_1</f>
        <v>0</v>
      </c>
      <c r="H56" s="36">
        <f>catdw_4_WRHB_1</f>
        <v>0</v>
      </c>
      <c r="I56" s="20" t="s">
        <v>44</v>
      </c>
      <c r="J56" s="37">
        <f>cattf_4_WRHB_1</f>
        <v>0</v>
      </c>
      <c r="K56" s="34">
        <f t="shared" si="11"/>
        <v>0</v>
      </c>
      <c r="L56" s="37">
        <f t="shared" si="12"/>
        <v>0</v>
      </c>
      <c r="M56" s="34">
        <f t="shared" si="13"/>
        <v>0</v>
      </c>
      <c r="N56" s="37">
        <f t="shared" si="14"/>
        <v>0</v>
      </c>
    </row>
    <row r="57" spans="1:14" x14ac:dyDescent="0.2">
      <c r="A57" s="20" t="s">
        <v>192</v>
      </c>
      <c r="B57" s="20" t="s">
        <v>16</v>
      </c>
      <c r="C57" s="20" t="s">
        <v>140</v>
      </c>
      <c r="D57" s="20" t="s">
        <v>165</v>
      </c>
      <c r="E57" s="34">
        <v>257.10000000000002</v>
      </c>
      <c r="F57" s="34">
        <f t="shared" si="10"/>
        <v>102.84000000000002</v>
      </c>
      <c r="G57" s="35">
        <f>catpn_4_WSHB_1</f>
        <v>0</v>
      </c>
      <c r="H57" s="36">
        <f>catdw_4_WSHB_1</f>
        <v>0</v>
      </c>
      <c r="I57" s="20" t="s">
        <v>44</v>
      </c>
      <c r="J57" s="37">
        <f>cattf_4_WSHB_1</f>
        <v>0</v>
      </c>
      <c r="K57" s="34">
        <f t="shared" si="11"/>
        <v>0</v>
      </c>
      <c r="L57" s="37">
        <f t="shared" si="12"/>
        <v>0</v>
      </c>
      <c r="M57" s="34">
        <f t="shared" si="13"/>
        <v>0</v>
      </c>
      <c r="N57" s="37">
        <f t="shared" si="14"/>
        <v>0</v>
      </c>
    </row>
    <row r="58" spans="1:14" x14ac:dyDescent="0.2">
      <c r="A58" s="20" t="s">
        <v>193</v>
      </c>
      <c r="B58" s="20" t="s">
        <v>16</v>
      </c>
      <c r="C58" s="20" t="s">
        <v>140</v>
      </c>
      <c r="D58" s="20" t="s">
        <v>167</v>
      </c>
      <c r="E58" s="34">
        <v>541.79999999999995</v>
      </c>
      <c r="F58" s="34">
        <f t="shared" si="10"/>
        <v>216.72</v>
      </c>
      <c r="G58" s="35">
        <f>catpn_4_WTHB_1</f>
        <v>0</v>
      </c>
      <c r="H58" s="36">
        <f>catdw_4_WTHB_1</f>
        <v>0</v>
      </c>
      <c r="I58" s="20" t="s">
        <v>44</v>
      </c>
      <c r="J58" s="37">
        <f>cattf_4_WTHB_1</f>
        <v>0</v>
      </c>
      <c r="K58" s="34">
        <f t="shared" si="11"/>
        <v>0</v>
      </c>
      <c r="L58" s="37">
        <f t="shared" si="12"/>
        <v>0</v>
      </c>
      <c r="M58" s="34">
        <f t="shared" si="13"/>
        <v>0</v>
      </c>
      <c r="N58" s="37">
        <f t="shared" si="14"/>
        <v>0</v>
      </c>
    </row>
    <row r="59" spans="1:14" x14ac:dyDescent="0.2">
      <c r="A59" s="25" t="s">
        <v>194</v>
      </c>
      <c r="B59" s="25" t="s">
        <v>16</v>
      </c>
      <c r="C59" s="25" t="s">
        <v>140</v>
      </c>
      <c r="D59" s="25" t="s">
        <v>169</v>
      </c>
      <c r="E59" s="38">
        <v>1850.3000000000002</v>
      </c>
      <c r="F59" s="38">
        <f t="shared" si="10"/>
        <v>740.12000000000012</v>
      </c>
      <c r="G59" s="39">
        <f>catpn_4_WVHB_1</f>
        <v>0</v>
      </c>
      <c r="H59" s="40">
        <f>catdw_4_WVHB_1</f>
        <v>0</v>
      </c>
      <c r="I59" s="25" t="s">
        <v>44</v>
      </c>
      <c r="J59" s="41">
        <f>cattf_4_WVHB_1</f>
        <v>0</v>
      </c>
      <c r="K59" s="38">
        <f t="shared" si="11"/>
        <v>0</v>
      </c>
      <c r="L59" s="41">
        <f t="shared" si="12"/>
        <v>0</v>
      </c>
      <c r="M59" s="38">
        <f t="shared" si="13"/>
        <v>0</v>
      </c>
      <c r="N59" s="41">
        <f t="shared" si="14"/>
        <v>0</v>
      </c>
    </row>
    <row r="60" spans="1:14" x14ac:dyDescent="0.2">
      <c r="A60" s="43" t="s">
        <v>195</v>
      </c>
      <c r="B60" s="44"/>
      <c r="C60" s="44"/>
      <c r="D60" s="44"/>
      <c r="E60" s="44"/>
      <c r="F60" s="44"/>
      <c r="G60" s="44"/>
      <c r="H60" s="44"/>
      <c r="I60" s="44"/>
      <c r="J60" s="44"/>
      <c r="K60" s="45">
        <f>SUM(K50:K59)</f>
        <v>0</v>
      </c>
      <c r="L60" s="46">
        <f>SUM(L50:L59)</f>
        <v>0</v>
      </c>
      <c r="M60" s="45">
        <f>SUM(M50:M59)</f>
        <v>0</v>
      </c>
      <c r="N60" s="47">
        <f>SUM(N50:N59)</f>
        <v>0</v>
      </c>
    </row>
    <row r="61" spans="1:14" x14ac:dyDescent="0.2">
      <c r="A61" s="48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9"/>
    </row>
    <row r="62" spans="1:14" x14ac:dyDescent="0.2">
      <c r="A62" s="43" t="s">
        <v>196</v>
      </c>
      <c r="B62" s="44"/>
      <c r="C62" s="44"/>
      <c r="D62" s="44"/>
      <c r="E62" s="44"/>
      <c r="F62" s="44"/>
      <c r="G62" s="44"/>
      <c r="H62" s="44"/>
      <c r="I62" s="44"/>
      <c r="J62" s="46">
        <f>IF(urenjaar4&gt;0,SUMIF(M50:M59,"&gt;0",N50:N59)/urenjaar4,0)</f>
        <v>0</v>
      </c>
      <c r="K62" s="44"/>
      <c r="L62" s="44"/>
      <c r="M62" s="44"/>
      <c r="N62" s="49"/>
    </row>
    <row r="63" spans="1:14" x14ac:dyDescent="0.2">
      <c r="A63" s="48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9"/>
    </row>
    <row r="65" spans="1:14" x14ac:dyDescent="0.2">
      <c r="A65" s="43" t="s">
        <v>197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5">
        <f>urenjaar1+urenjaar2+urenjaar4</f>
        <v>0</v>
      </c>
      <c r="N65" s="46">
        <f>prijsjaar1+prijsjaar2+prijsjaar4</f>
        <v>0</v>
      </c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59B52-7B39-44C9-90EA-492D7B4EEC06}">
  <dimension ref="A1:U236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I.2.3: ",tabeltype," ruimten werkdag")</f>
        <v>Bijlage I.2.3: Invultabel ruimten werkdag</v>
      </c>
    </row>
    <row r="3" spans="1:21" ht="38.25" x14ac:dyDescent="0.2">
      <c r="A3" s="50" t="s">
        <v>198</v>
      </c>
      <c r="B3" s="8" t="s">
        <v>199</v>
      </c>
      <c r="C3" s="8" t="s">
        <v>200</v>
      </c>
      <c r="D3" s="8" t="s">
        <v>201</v>
      </c>
      <c r="E3" s="8" t="s">
        <v>202</v>
      </c>
      <c r="F3" s="8" t="s">
        <v>203</v>
      </c>
      <c r="G3" s="8" t="s">
        <v>204</v>
      </c>
      <c r="H3" s="8" t="s">
        <v>131</v>
      </c>
      <c r="I3" s="8" t="s">
        <v>8</v>
      </c>
      <c r="J3" s="8" t="s">
        <v>205</v>
      </c>
      <c r="K3" s="8" t="s">
        <v>133</v>
      </c>
      <c r="L3" s="8" t="s">
        <v>134</v>
      </c>
      <c r="M3" s="8" t="s">
        <v>36</v>
      </c>
      <c r="N3" s="8" t="s">
        <v>37</v>
      </c>
      <c r="O3" s="8" t="s">
        <v>38</v>
      </c>
      <c r="P3" s="8" t="s">
        <v>39</v>
      </c>
      <c r="Q3" s="8" t="s">
        <v>135</v>
      </c>
      <c r="R3" s="8" t="s">
        <v>206</v>
      </c>
      <c r="S3" s="8" t="s">
        <v>136</v>
      </c>
      <c r="T3" s="8" t="s">
        <v>137</v>
      </c>
      <c r="U3" s="51" t="s">
        <v>138</v>
      </c>
    </row>
    <row r="4" spans="1:21" x14ac:dyDescent="0.2">
      <c r="A4" s="52" t="s">
        <v>207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208</v>
      </c>
      <c r="B5" s="54" t="s">
        <v>209</v>
      </c>
      <c r="C5" s="54" t="s">
        <v>210</v>
      </c>
      <c r="D5" s="54" t="s">
        <v>211</v>
      </c>
      <c r="E5" s="54" t="s">
        <v>209</v>
      </c>
      <c r="F5" s="55" t="s">
        <v>212</v>
      </c>
      <c r="G5" s="54" t="s">
        <v>213</v>
      </c>
      <c r="H5" s="54" t="s">
        <v>166</v>
      </c>
      <c r="I5" s="54" t="s">
        <v>10</v>
      </c>
      <c r="J5" s="54" t="s">
        <v>140</v>
      </c>
      <c r="K5" s="56">
        <v>170</v>
      </c>
      <c r="L5" s="56">
        <f t="shared" ref="L5:L68" si="0">K5*VLOOKUP(I5,dagsoorttabel1,2,FALSE)</f>
        <v>170</v>
      </c>
      <c r="M5" s="57">
        <f>prodnorm22</f>
        <v>0</v>
      </c>
      <c r="N5" s="58">
        <f>dagwerk22</f>
        <v>0</v>
      </c>
      <c r="O5" s="54" t="s">
        <v>44</v>
      </c>
      <c r="P5" s="59">
        <f>uurtarief22</f>
        <v>0</v>
      </c>
      <c r="Q5" s="56" t="e">
        <f t="shared" ref="Q5:Q68" si="1">IF(ISBLANK(M5),0,L5/ROUND(M5,4))</f>
        <v>#DIV/0!</v>
      </c>
      <c r="R5" s="56" t="e">
        <f t="shared" ref="R5:R68" si="2">IF(ISBLANK(M5),0,Q5*ROUND(N5,2))</f>
        <v>#DIV/0!</v>
      </c>
      <c r="S5" s="59" t="e">
        <f t="shared" ref="S5:S68" si="3">ROUND(P5,2)*Q5</f>
        <v>#DIV/0!</v>
      </c>
      <c r="T5" s="56" t="e">
        <f t="shared" ref="T5:T68" si="4">Q5*dagenperjaar1</f>
        <v>#DIV/0!</v>
      </c>
      <c r="U5" s="60" t="e">
        <f t="shared" ref="U5:U68" si="5">T5*ROUND(P5,2)</f>
        <v>#DIV/0!</v>
      </c>
    </row>
    <row r="6" spans="1:21" x14ac:dyDescent="0.2">
      <c r="A6" s="61" t="s">
        <v>208</v>
      </c>
      <c r="B6" s="62" t="s">
        <v>209</v>
      </c>
      <c r="C6" s="62" t="s">
        <v>210</v>
      </c>
      <c r="D6" s="62" t="s">
        <v>214</v>
      </c>
      <c r="E6" s="62" t="s">
        <v>209</v>
      </c>
      <c r="F6" s="63" t="s">
        <v>215</v>
      </c>
      <c r="G6" s="62" t="s">
        <v>213</v>
      </c>
      <c r="H6" s="62" t="s">
        <v>168</v>
      </c>
      <c r="I6" s="62" t="s">
        <v>19</v>
      </c>
      <c r="J6" s="62" t="s">
        <v>140</v>
      </c>
      <c r="K6" s="64">
        <v>82</v>
      </c>
      <c r="L6" s="64">
        <f t="shared" si="0"/>
        <v>16.400000000000002</v>
      </c>
      <c r="M6" s="65">
        <f>prodnorm23</f>
        <v>0</v>
      </c>
      <c r="N6" s="66">
        <f>dagwerk23</f>
        <v>0</v>
      </c>
      <c r="O6" s="62" t="s">
        <v>44</v>
      </c>
      <c r="P6" s="67">
        <f>uurtarief23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208</v>
      </c>
      <c r="B7" s="62" t="s">
        <v>209</v>
      </c>
      <c r="C7" s="62" t="s">
        <v>210</v>
      </c>
      <c r="D7" s="62" t="s">
        <v>216</v>
      </c>
      <c r="E7" s="62" t="s">
        <v>209</v>
      </c>
      <c r="F7" s="63" t="s">
        <v>217</v>
      </c>
      <c r="G7" s="62" t="s">
        <v>213</v>
      </c>
      <c r="H7" s="62" t="s">
        <v>156</v>
      </c>
      <c r="I7" s="62" t="s">
        <v>25</v>
      </c>
      <c r="J7" s="62" t="s">
        <v>140</v>
      </c>
      <c r="K7" s="64">
        <v>15</v>
      </c>
      <c r="L7" s="64">
        <f t="shared" si="0"/>
        <v>0.70588235294117641</v>
      </c>
      <c r="M7" s="65">
        <f>prodnorm15</f>
        <v>0</v>
      </c>
      <c r="N7" s="66">
        <f>dagwerk15</f>
        <v>0</v>
      </c>
      <c r="O7" s="62" t="s">
        <v>44</v>
      </c>
      <c r="P7" s="67">
        <f>uurtarief15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208</v>
      </c>
      <c r="B8" s="62" t="s">
        <v>209</v>
      </c>
      <c r="C8" s="62" t="s">
        <v>210</v>
      </c>
      <c r="D8" s="62" t="s">
        <v>218</v>
      </c>
      <c r="E8" s="62" t="s">
        <v>209</v>
      </c>
      <c r="F8" s="63" t="s">
        <v>219</v>
      </c>
      <c r="G8" s="62" t="s">
        <v>213</v>
      </c>
      <c r="H8" s="62" t="s">
        <v>142</v>
      </c>
      <c r="I8" s="62" t="s">
        <v>19</v>
      </c>
      <c r="J8" s="62" t="s">
        <v>140</v>
      </c>
      <c r="K8" s="64">
        <v>20</v>
      </c>
      <c r="L8" s="64">
        <f t="shared" si="0"/>
        <v>4</v>
      </c>
      <c r="M8" s="65">
        <f>prodnorm4</f>
        <v>0</v>
      </c>
      <c r="N8" s="66">
        <f>dagwerk4</f>
        <v>0</v>
      </c>
      <c r="O8" s="62" t="s">
        <v>44</v>
      </c>
      <c r="P8" s="67">
        <f>uurtarief4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208</v>
      </c>
      <c r="B9" s="62" t="s">
        <v>209</v>
      </c>
      <c r="C9" s="62" t="s">
        <v>210</v>
      </c>
      <c r="D9" s="62" t="s">
        <v>220</v>
      </c>
      <c r="E9" s="62" t="s">
        <v>209</v>
      </c>
      <c r="F9" s="63" t="s">
        <v>221</v>
      </c>
      <c r="G9" s="62" t="s">
        <v>213</v>
      </c>
      <c r="H9" s="62" t="s">
        <v>139</v>
      </c>
      <c r="I9" s="62" t="s">
        <v>25</v>
      </c>
      <c r="J9" s="62" t="s">
        <v>140</v>
      </c>
      <c r="K9" s="64">
        <v>10</v>
      </c>
      <c r="L9" s="64">
        <f t="shared" si="0"/>
        <v>0.47058823529411764</v>
      </c>
      <c r="M9" s="65">
        <f>prodnorm2</f>
        <v>0</v>
      </c>
      <c r="N9" s="66">
        <f>dagwerk2</f>
        <v>0</v>
      </c>
      <c r="O9" s="62" t="s">
        <v>44</v>
      </c>
      <c r="P9" s="67">
        <f>uurtarief2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208</v>
      </c>
      <c r="B10" s="62" t="s">
        <v>209</v>
      </c>
      <c r="C10" s="62" t="s">
        <v>210</v>
      </c>
      <c r="D10" s="62" t="s">
        <v>222</v>
      </c>
      <c r="E10" s="62" t="s">
        <v>209</v>
      </c>
      <c r="F10" s="63" t="s">
        <v>223</v>
      </c>
      <c r="G10" s="62" t="s">
        <v>213</v>
      </c>
      <c r="H10" s="62" t="s">
        <v>139</v>
      </c>
      <c r="I10" s="62" t="s">
        <v>25</v>
      </c>
      <c r="J10" s="62" t="s">
        <v>140</v>
      </c>
      <c r="K10" s="64">
        <v>10</v>
      </c>
      <c r="L10" s="64">
        <f t="shared" si="0"/>
        <v>0.47058823529411764</v>
      </c>
      <c r="M10" s="65">
        <f>prodnorm2</f>
        <v>0</v>
      </c>
      <c r="N10" s="66">
        <f>dagwerk2</f>
        <v>0</v>
      </c>
      <c r="O10" s="62" t="s">
        <v>44</v>
      </c>
      <c r="P10" s="67">
        <f>uurtarief2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208</v>
      </c>
      <c r="B11" s="62" t="s">
        <v>209</v>
      </c>
      <c r="C11" s="62" t="s">
        <v>210</v>
      </c>
      <c r="D11" s="62" t="s">
        <v>224</v>
      </c>
      <c r="E11" s="62" t="s">
        <v>209</v>
      </c>
      <c r="F11" s="63" t="s">
        <v>225</v>
      </c>
      <c r="G11" s="62" t="s">
        <v>213</v>
      </c>
      <c r="H11" s="62" t="s">
        <v>139</v>
      </c>
      <c r="I11" s="62" t="s">
        <v>25</v>
      </c>
      <c r="J11" s="62" t="s">
        <v>140</v>
      </c>
      <c r="K11" s="64">
        <v>16</v>
      </c>
      <c r="L11" s="64">
        <f t="shared" si="0"/>
        <v>0.75294117647058822</v>
      </c>
      <c r="M11" s="65">
        <f>prodnorm2</f>
        <v>0</v>
      </c>
      <c r="N11" s="66">
        <f>dagwerk2</f>
        <v>0</v>
      </c>
      <c r="O11" s="62" t="s">
        <v>44</v>
      </c>
      <c r="P11" s="67">
        <f>uurtarief2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208</v>
      </c>
      <c r="B12" s="62" t="s">
        <v>209</v>
      </c>
      <c r="C12" s="62" t="s">
        <v>210</v>
      </c>
      <c r="D12" s="62" t="s">
        <v>226</v>
      </c>
      <c r="E12" s="62" t="s">
        <v>209</v>
      </c>
      <c r="F12" s="63" t="s">
        <v>219</v>
      </c>
      <c r="G12" s="62" t="s">
        <v>227</v>
      </c>
      <c r="H12" s="62" t="s">
        <v>144</v>
      </c>
      <c r="I12" s="62" t="s">
        <v>19</v>
      </c>
      <c r="J12" s="62" t="s">
        <v>140</v>
      </c>
      <c r="K12" s="64">
        <v>54</v>
      </c>
      <c r="L12" s="64">
        <f t="shared" si="0"/>
        <v>10.8</v>
      </c>
      <c r="M12" s="65">
        <f>prodnorm6</f>
        <v>0</v>
      </c>
      <c r="N12" s="66">
        <f>dagwerk6</f>
        <v>0</v>
      </c>
      <c r="O12" s="62" t="s">
        <v>44</v>
      </c>
      <c r="P12" s="67">
        <f>uurtarief6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208</v>
      </c>
      <c r="B13" s="62" t="s">
        <v>209</v>
      </c>
      <c r="C13" s="62" t="s">
        <v>210</v>
      </c>
      <c r="D13" s="62" t="s">
        <v>228</v>
      </c>
      <c r="E13" s="62" t="s">
        <v>209</v>
      </c>
      <c r="F13" s="63" t="s">
        <v>219</v>
      </c>
      <c r="G13" s="62" t="s">
        <v>227</v>
      </c>
      <c r="H13" s="62" t="s">
        <v>144</v>
      </c>
      <c r="I13" s="62" t="s">
        <v>19</v>
      </c>
      <c r="J13" s="62" t="s">
        <v>140</v>
      </c>
      <c r="K13" s="64">
        <v>54</v>
      </c>
      <c r="L13" s="64">
        <f t="shared" si="0"/>
        <v>10.8</v>
      </c>
      <c r="M13" s="65">
        <f>prodnorm6</f>
        <v>0</v>
      </c>
      <c r="N13" s="66">
        <f>dagwerk6</f>
        <v>0</v>
      </c>
      <c r="O13" s="62" t="s">
        <v>44</v>
      </c>
      <c r="P13" s="67">
        <f>uurtarief6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208</v>
      </c>
      <c r="B14" s="62" t="s">
        <v>209</v>
      </c>
      <c r="C14" s="62" t="s">
        <v>210</v>
      </c>
      <c r="D14" s="62" t="s">
        <v>229</v>
      </c>
      <c r="E14" s="62" t="s">
        <v>209</v>
      </c>
      <c r="F14" s="63" t="s">
        <v>219</v>
      </c>
      <c r="G14" s="62" t="s">
        <v>227</v>
      </c>
      <c r="H14" s="62" t="s">
        <v>144</v>
      </c>
      <c r="I14" s="62" t="s">
        <v>19</v>
      </c>
      <c r="J14" s="62" t="s">
        <v>140</v>
      </c>
      <c r="K14" s="64">
        <v>54</v>
      </c>
      <c r="L14" s="64">
        <f t="shared" si="0"/>
        <v>10.8</v>
      </c>
      <c r="M14" s="65">
        <f>prodnorm6</f>
        <v>0</v>
      </c>
      <c r="N14" s="66">
        <f>dagwerk6</f>
        <v>0</v>
      </c>
      <c r="O14" s="62" t="s">
        <v>44</v>
      </c>
      <c r="P14" s="67">
        <f>uurtarief6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208</v>
      </c>
      <c r="B15" s="62" t="s">
        <v>209</v>
      </c>
      <c r="C15" s="62" t="s">
        <v>210</v>
      </c>
      <c r="D15" s="62" t="s">
        <v>230</v>
      </c>
      <c r="E15" s="62" t="s">
        <v>209</v>
      </c>
      <c r="F15" s="63" t="s">
        <v>219</v>
      </c>
      <c r="G15" s="62" t="s">
        <v>227</v>
      </c>
      <c r="H15" s="62" t="s">
        <v>144</v>
      </c>
      <c r="I15" s="62" t="s">
        <v>19</v>
      </c>
      <c r="J15" s="62" t="s">
        <v>140</v>
      </c>
      <c r="K15" s="64">
        <v>54</v>
      </c>
      <c r="L15" s="64">
        <f t="shared" si="0"/>
        <v>10.8</v>
      </c>
      <c r="M15" s="65">
        <f>prodnorm6</f>
        <v>0</v>
      </c>
      <c r="N15" s="66">
        <f>dagwerk6</f>
        <v>0</v>
      </c>
      <c r="O15" s="62" t="s">
        <v>44</v>
      </c>
      <c r="P15" s="67">
        <f>uurtarief6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208</v>
      </c>
      <c r="B16" s="62" t="s">
        <v>209</v>
      </c>
      <c r="C16" s="62" t="s">
        <v>210</v>
      </c>
      <c r="D16" s="62" t="s">
        <v>231</v>
      </c>
      <c r="E16" s="62" t="s">
        <v>209</v>
      </c>
      <c r="F16" s="63" t="s">
        <v>219</v>
      </c>
      <c r="G16" s="62" t="s">
        <v>227</v>
      </c>
      <c r="H16" s="62" t="s">
        <v>144</v>
      </c>
      <c r="I16" s="62" t="s">
        <v>19</v>
      </c>
      <c r="J16" s="62" t="s">
        <v>140</v>
      </c>
      <c r="K16" s="64">
        <v>36</v>
      </c>
      <c r="L16" s="64">
        <f t="shared" si="0"/>
        <v>7.2</v>
      </c>
      <c r="M16" s="65">
        <f>prodnorm6</f>
        <v>0</v>
      </c>
      <c r="N16" s="66">
        <f>dagwerk6</f>
        <v>0</v>
      </c>
      <c r="O16" s="62" t="s">
        <v>44</v>
      </c>
      <c r="P16" s="67">
        <f>uurtarief6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208</v>
      </c>
      <c r="B17" s="62" t="s">
        <v>209</v>
      </c>
      <c r="C17" s="62" t="s">
        <v>210</v>
      </c>
      <c r="D17" s="62" t="s">
        <v>232</v>
      </c>
      <c r="E17" s="62" t="s">
        <v>209</v>
      </c>
      <c r="F17" s="63" t="s">
        <v>233</v>
      </c>
      <c r="G17" s="62" t="s">
        <v>234</v>
      </c>
      <c r="H17" s="62" t="s">
        <v>164</v>
      </c>
      <c r="I17" s="62" t="s">
        <v>10</v>
      </c>
      <c r="J17" s="62" t="s">
        <v>140</v>
      </c>
      <c r="K17" s="64">
        <v>24</v>
      </c>
      <c r="L17" s="64">
        <f t="shared" si="0"/>
        <v>24</v>
      </c>
      <c r="M17" s="65">
        <f>prodnorm21</f>
        <v>0</v>
      </c>
      <c r="N17" s="66">
        <f>dagwerk21</f>
        <v>0</v>
      </c>
      <c r="O17" s="62" t="s">
        <v>44</v>
      </c>
      <c r="P17" s="67">
        <f>uurtarief21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208</v>
      </c>
      <c r="B18" s="62" t="s">
        <v>209</v>
      </c>
      <c r="C18" s="62" t="s">
        <v>210</v>
      </c>
      <c r="D18" s="62" t="s">
        <v>235</v>
      </c>
      <c r="E18" s="62" t="s">
        <v>209</v>
      </c>
      <c r="F18" s="63" t="s">
        <v>236</v>
      </c>
      <c r="G18" s="62" t="s">
        <v>213</v>
      </c>
      <c r="H18" s="62" t="s">
        <v>150</v>
      </c>
      <c r="I18" s="62" t="s">
        <v>10</v>
      </c>
      <c r="J18" s="62" t="s">
        <v>140</v>
      </c>
      <c r="K18" s="64">
        <v>6.6</v>
      </c>
      <c r="L18" s="64">
        <f t="shared" si="0"/>
        <v>6.6</v>
      </c>
      <c r="M18" s="65">
        <f>prodnorm10</f>
        <v>0</v>
      </c>
      <c r="N18" s="66">
        <f>dagwerk10</f>
        <v>0</v>
      </c>
      <c r="O18" s="62" t="s">
        <v>44</v>
      </c>
      <c r="P18" s="67">
        <f>uurtarief10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208</v>
      </c>
      <c r="B19" s="62" t="s">
        <v>209</v>
      </c>
      <c r="C19" s="62" t="s">
        <v>210</v>
      </c>
      <c r="D19" s="62" t="s">
        <v>237</v>
      </c>
      <c r="E19" s="62" t="s">
        <v>209</v>
      </c>
      <c r="F19" s="63" t="s">
        <v>236</v>
      </c>
      <c r="G19" s="62" t="s">
        <v>213</v>
      </c>
      <c r="H19" s="62" t="s">
        <v>150</v>
      </c>
      <c r="I19" s="62" t="s">
        <v>10</v>
      </c>
      <c r="J19" s="62" t="s">
        <v>140</v>
      </c>
      <c r="K19" s="64">
        <v>6.6</v>
      </c>
      <c r="L19" s="64">
        <f t="shared" si="0"/>
        <v>6.6</v>
      </c>
      <c r="M19" s="65">
        <f>prodnorm10</f>
        <v>0</v>
      </c>
      <c r="N19" s="66">
        <f>dagwerk10</f>
        <v>0</v>
      </c>
      <c r="O19" s="62" t="s">
        <v>44</v>
      </c>
      <c r="P19" s="67">
        <f>uurtarief10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208</v>
      </c>
      <c r="B20" s="62" t="s">
        <v>209</v>
      </c>
      <c r="C20" s="62" t="s">
        <v>210</v>
      </c>
      <c r="D20" s="62" t="s">
        <v>238</v>
      </c>
      <c r="E20" s="62" t="s">
        <v>209</v>
      </c>
      <c r="F20" s="63" t="s">
        <v>239</v>
      </c>
      <c r="G20" s="62" t="s">
        <v>213</v>
      </c>
      <c r="H20" s="62" t="s">
        <v>154</v>
      </c>
      <c r="I20" s="62" t="s">
        <v>10</v>
      </c>
      <c r="J20" s="62" t="s">
        <v>140</v>
      </c>
      <c r="K20" s="64">
        <v>260</v>
      </c>
      <c r="L20" s="64">
        <f t="shared" si="0"/>
        <v>260</v>
      </c>
      <c r="M20" s="65">
        <f>prodnorm14</f>
        <v>0</v>
      </c>
      <c r="N20" s="66">
        <f>dagwerk14</f>
        <v>0</v>
      </c>
      <c r="O20" s="62" t="s">
        <v>44</v>
      </c>
      <c r="P20" s="67">
        <f>uurtarief14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208</v>
      </c>
      <c r="B21" s="62" t="s">
        <v>209</v>
      </c>
      <c r="C21" s="62" t="s">
        <v>210</v>
      </c>
      <c r="D21" s="62" t="s">
        <v>240</v>
      </c>
      <c r="E21" s="62" t="s">
        <v>209</v>
      </c>
      <c r="F21" s="63" t="s">
        <v>215</v>
      </c>
      <c r="G21" s="62" t="s">
        <v>213</v>
      </c>
      <c r="H21" s="62" t="s">
        <v>168</v>
      </c>
      <c r="I21" s="62" t="s">
        <v>10</v>
      </c>
      <c r="J21" s="62" t="s">
        <v>140</v>
      </c>
      <c r="K21" s="64">
        <v>50</v>
      </c>
      <c r="L21" s="64">
        <f t="shared" si="0"/>
        <v>50</v>
      </c>
      <c r="M21" s="65">
        <f>prodnorm24</f>
        <v>0</v>
      </c>
      <c r="N21" s="66">
        <f>dagwerk24</f>
        <v>0</v>
      </c>
      <c r="O21" s="62" t="s">
        <v>44</v>
      </c>
      <c r="P21" s="67">
        <f>uurtarief24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208</v>
      </c>
      <c r="B22" s="62" t="s">
        <v>209</v>
      </c>
      <c r="C22" s="62" t="s">
        <v>210</v>
      </c>
      <c r="D22" s="62" t="s">
        <v>241</v>
      </c>
      <c r="E22" s="62" t="s">
        <v>209</v>
      </c>
      <c r="F22" s="63" t="s">
        <v>242</v>
      </c>
      <c r="G22" s="62" t="s">
        <v>234</v>
      </c>
      <c r="H22" s="62" t="s">
        <v>164</v>
      </c>
      <c r="I22" s="62" t="s">
        <v>10</v>
      </c>
      <c r="J22" s="62" t="s">
        <v>140</v>
      </c>
      <c r="K22" s="64">
        <v>2</v>
      </c>
      <c r="L22" s="64">
        <f t="shared" si="0"/>
        <v>2</v>
      </c>
      <c r="M22" s="65">
        <f>prodnorm21</f>
        <v>0</v>
      </c>
      <c r="N22" s="66">
        <f>dagwerk21</f>
        <v>0</v>
      </c>
      <c r="O22" s="62" t="s">
        <v>44</v>
      </c>
      <c r="P22" s="67">
        <f>uurtarief21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208</v>
      </c>
      <c r="B23" s="62" t="s">
        <v>209</v>
      </c>
      <c r="C23" s="62" t="s">
        <v>210</v>
      </c>
      <c r="D23" s="62" t="s">
        <v>243</v>
      </c>
      <c r="E23" s="62" t="s">
        <v>209</v>
      </c>
      <c r="F23" s="63" t="s">
        <v>215</v>
      </c>
      <c r="G23" s="62" t="s">
        <v>213</v>
      </c>
      <c r="H23" s="62" t="s">
        <v>168</v>
      </c>
      <c r="I23" s="62" t="s">
        <v>19</v>
      </c>
      <c r="J23" s="62" t="s">
        <v>140</v>
      </c>
      <c r="K23" s="64">
        <v>25</v>
      </c>
      <c r="L23" s="64">
        <f t="shared" si="0"/>
        <v>5</v>
      </c>
      <c r="M23" s="65">
        <f>prodnorm23</f>
        <v>0</v>
      </c>
      <c r="N23" s="66">
        <f>dagwerk23</f>
        <v>0</v>
      </c>
      <c r="O23" s="62" t="s">
        <v>44</v>
      </c>
      <c r="P23" s="67">
        <f>uurtarief23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208</v>
      </c>
      <c r="B24" s="62" t="s">
        <v>209</v>
      </c>
      <c r="C24" s="62" t="s">
        <v>210</v>
      </c>
      <c r="D24" s="62" t="s">
        <v>244</v>
      </c>
      <c r="E24" s="62" t="s">
        <v>209</v>
      </c>
      <c r="F24" s="63" t="s">
        <v>233</v>
      </c>
      <c r="G24" s="62" t="s">
        <v>234</v>
      </c>
      <c r="H24" s="62" t="s">
        <v>164</v>
      </c>
      <c r="I24" s="62" t="s">
        <v>19</v>
      </c>
      <c r="J24" s="62" t="s">
        <v>140</v>
      </c>
      <c r="K24" s="64">
        <v>12</v>
      </c>
      <c r="L24" s="64">
        <f t="shared" si="0"/>
        <v>2.4000000000000004</v>
      </c>
      <c r="M24" s="65">
        <f>prodnorm20</f>
        <v>0</v>
      </c>
      <c r="N24" s="66">
        <f>dagwerk20</f>
        <v>0</v>
      </c>
      <c r="O24" s="62" t="s">
        <v>44</v>
      </c>
      <c r="P24" s="67">
        <f>uurtarief20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208</v>
      </c>
      <c r="B25" s="62" t="s">
        <v>209</v>
      </c>
      <c r="C25" s="62" t="s">
        <v>210</v>
      </c>
      <c r="D25" s="62" t="s">
        <v>245</v>
      </c>
      <c r="E25" s="62" t="s">
        <v>209</v>
      </c>
      <c r="F25" s="63" t="s">
        <v>246</v>
      </c>
      <c r="G25" s="62" t="s">
        <v>213</v>
      </c>
      <c r="H25" s="62" t="s">
        <v>152</v>
      </c>
      <c r="I25" s="62" t="s">
        <v>16</v>
      </c>
      <c r="J25" s="62" t="s">
        <v>140</v>
      </c>
      <c r="K25" s="64">
        <v>95</v>
      </c>
      <c r="L25" s="64">
        <f t="shared" si="0"/>
        <v>38</v>
      </c>
      <c r="M25" s="65">
        <f>prodnorm11</f>
        <v>0</v>
      </c>
      <c r="N25" s="66">
        <f>dagwerk11</f>
        <v>0</v>
      </c>
      <c r="O25" s="62" t="s">
        <v>44</v>
      </c>
      <c r="P25" s="67">
        <f>uurtarief11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208</v>
      </c>
      <c r="B26" s="62" t="s">
        <v>209</v>
      </c>
      <c r="C26" s="62" t="s">
        <v>210</v>
      </c>
      <c r="D26" s="62" t="s">
        <v>247</v>
      </c>
      <c r="E26" s="62" t="s">
        <v>209</v>
      </c>
      <c r="F26" s="63" t="s">
        <v>215</v>
      </c>
      <c r="G26" s="62" t="s">
        <v>213</v>
      </c>
      <c r="H26" s="62" t="s">
        <v>168</v>
      </c>
      <c r="I26" s="62" t="s">
        <v>19</v>
      </c>
      <c r="J26" s="62" t="s">
        <v>140</v>
      </c>
      <c r="K26" s="64">
        <v>16</v>
      </c>
      <c r="L26" s="64">
        <f t="shared" si="0"/>
        <v>3.2</v>
      </c>
      <c r="M26" s="65">
        <f>prodnorm23</f>
        <v>0</v>
      </c>
      <c r="N26" s="66">
        <f>dagwerk23</f>
        <v>0</v>
      </c>
      <c r="O26" s="62" t="s">
        <v>44</v>
      </c>
      <c r="P26" s="67">
        <f>uurtarief23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208</v>
      </c>
      <c r="B27" s="62" t="s">
        <v>209</v>
      </c>
      <c r="C27" s="62" t="s">
        <v>248</v>
      </c>
      <c r="D27" s="62" t="s">
        <v>249</v>
      </c>
      <c r="E27" s="62" t="s">
        <v>209</v>
      </c>
      <c r="F27" s="63" t="s">
        <v>250</v>
      </c>
      <c r="G27" s="62" t="s">
        <v>213</v>
      </c>
      <c r="H27" s="62" t="s">
        <v>168</v>
      </c>
      <c r="I27" s="62" t="s">
        <v>10</v>
      </c>
      <c r="J27" s="62" t="s">
        <v>140</v>
      </c>
      <c r="K27" s="64">
        <v>24.1</v>
      </c>
      <c r="L27" s="64">
        <f t="shared" si="0"/>
        <v>24.1</v>
      </c>
      <c r="M27" s="65">
        <f>prodnorm24</f>
        <v>0</v>
      </c>
      <c r="N27" s="66">
        <f>dagwerk24</f>
        <v>0</v>
      </c>
      <c r="O27" s="62" t="s">
        <v>44</v>
      </c>
      <c r="P27" s="67">
        <f>uurtarief24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208</v>
      </c>
      <c r="B28" s="62" t="s">
        <v>209</v>
      </c>
      <c r="C28" s="62" t="s">
        <v>248</v>
      </c>
      <c r="D28" s="62" t="s">
        <v>251</v>
      </c>
      <c r="E28" s="62" t="s">
        <v>209</v>
      </c>
      <c r="F28" s="63" t="s">
        <v>215</v>
      </c>
      <c r="G28" s="62" t="s">
        <v>213</v>
      </c>
      <c r="H28" s="62" t="s">
        <v>168</v>
      </c>
      <c r="I28" s="62" t="s">
        <v>10</v>
      </c>
      <c r="J28" s="62" t="s">
        <v>140</v>
      </c>
      <c r="K28" s="64">
        <v>53.8</v>
      </c>
      <c r="L28" s="64">
        <f t="shared" si="0"/>
        <v>53.8</v>
      </c>
      <c r="M28" s="65">
        <f>prodnorm24</f>
        <v>0</v>
      </c>
      <c r="N28" s="66">
        <f>dagwerk24</f>
        <v>0</v>
      </c>
      <c r="O28" s="62" t="s">
        <v>44</v>
      </c>
      <c r="P28" s="67">
        <f>uurtarief24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208</v>
      </c>
      <c r="B29" s="62" t="s">
        <v>209</v>
      </c>
      <c r="C29" s="62" t="s">
        <v>248</v>
      </c>
      <c r="D29" s="62" t="s">
        <v>252</v>
      </c>
      <c r="E29" s="62" t="s">
        <v>209</v>
      </c>
      <c r="F29" s="63" t="s">
        <v>215</v>
      </c>
      <c r="G29" s="62" t="s">
        <v>213</v>
      </c>
      <c r="H29" s="62" t="s">
        <v>168</v>
      </c>
      <c r="I29" s="62" t="s">
        <v>10</v>
      </c>
      <c r="J29" s="62" t="s">
        <v>140</v>
      </c>
      <c r="K29" s="64">
        <v>68.2</v>
      </c>
      <c r="L29" s="64">
        <f t="shared" si="0"/>
        <v>68.2</v>
      </c>
      <c r="M29" s="65">
        <f>prodnorm24</f>
        <v>0</v>
      </c>
      <c r="N29" s="66">
        <f>dagwerk24</f>
        <v>0</v>
      </c>
      <c r="O29" s="62" t="s">
        <v>44</v>
      </c>
      <c r="P29" s="67">
        <f>uurtarief24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208</v>
      </c>
      <c r="B30" s="62" t="s">
        <v>209</v>
      </c>
      <c r="C30" s="62" t="s">
        <v>248</v>
      </c>
      <c r="D30" s="62" t="s">
        <v>253</v>
      </c>
      <c r="E30" s="62" t="s">
        <v>209</v>
      </c>
      <c r="F30" s="63" t="s">
        <v>254</v>
      </c>
      <c r="G30" s="62" t="s">
        <v>234</v>
      </c>
      <c r="H30" s="62" t="s">
        <v>164</v>
      </c>
      <c r="I30" s="62" t="s">
        <v>10</v>
      </c>
      <c r="J30" s="62" t="s">
        <v>140</v>
      </c>
      <c r="K30" s="64">
        <v>10</v>
      </c>
      <c r="L30" s="64">
        <f t="shared" si="0"/>
        <v>10</v>
      </c>
      <c r="M30" s="65">
        <f>prodnorm21</f>
        <v>0</v>
      </c>
      <c r="N30" s="66">
        <f>dagwerk21</f>
        <v>0</v>
      </c>
      <c r="O30" s="62" t="s">
        <v>44</v>
      </c>
      <c r="P30" s="67">
        <f>uurtarief21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208</v>
      </c>
      <c r="B31" s="62" t="s">
        <v>209</v>
      </c>
      <c r="C31" s="62" t="s">
        <v>248</v>
      </c>
      <c r="D31" s="62" t="s">
        <v>255</v>
      </c>
      <c r="E31" s="62" t="s">
        <v>209</v>
      </c>
      <c r="F31" s="63" t="s">
        <v>254</v>
      </c>
      <c r="G31" s="62" t="s">
        <v>234</v>
      </c>
      <c r="H31" s="62" t="s">
        <v>164</v>
      </c>
      <c r="I31" s="62" t="s">
        <v>10</v>
      </c>
      <c r="J31" s="62" t="s">
        <v>140</v>
      </c>
      <c r="K31" s="64">
        <v>5.5</v>
      </c>
      <c r="L31" s="64">
        <f t="shared" si="0"/>
        <v>5.5</v>
      </c>
      <c r="M31" s="65">
        <f>prodnorm21</f>
        <v>0</v>
      </c>
      <c r="N31" s="66">
        <f>dagwerk21</f>
        <v>0</v>
      </c>
      <c r="O31" s="62" t="s">
        <v>44</v>
      </c>
      <c r="P31" s="67">
        <f>uurtarief21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208</v>
      </c>
      <c r="B32" s="62" t="s">
        <v>209</v>
      </c>
      <c r="C32" s="62" t="s">
        <v>248</v>
      </c>
      <c r="D32" s="62" t="s">
        <v>256</v>
      </c>
      <c r="E32" s="62" t="s">
        <v>209</v>
      </c>
      <c r="F32" s="63" t="s">
        <v>257</v>
      </c>
      <c r="G32" s="62" t="s">
        <v>234</v>
      </c>
      <c r="H32" s="62" t="s">
        <v>146</v>
      </c>
      <c r="I32" s="62" t="s">
        <v>10</v>
      </c>
      <c r="J32" s="62" t="s">
        <v>140</v>
      </c>
      <c r="K32" s="64">
        <v>4</v>
      </c>
      <c r="L32" s="64">
        <f t="shared" si="0"/>
        <v>4</v>
      </c>
      <c r="M32" s="65">
        <f>prodnorm8</f>
        <v>0</v>
      </c>
      <c r="N32" s="66">
        <f>dagwerk8</f>
        <v>0</v>
      </c>
      <c r="O32" s="62" t="s">
        <v>44</v>
      </c>
      <c r="P32" s="67">
        <f>uurtarief8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208</v>
      </c>
      <c r="B33" s="62" t="s">
        <v>209</v>
      </c>
      <c r="C33" s="62" t="s">
        <v>248</v>
      </c>
      <c r="D33" s="62" t="s">
        <v>258</v>
      </c>
      <c r="E33" s="62" t="s">
        <v>209</v>
      </c>
      <c r="F33" s="63" t="s">
        <v>259</v>
      </c>
      <c r="G33" s="62" t="s">
        <v>234</v>
      </c>
      <c r="H33" s="62" t="s">
        <v>146</v>
      </c>
      <c r="I33" s="62" t="s">
        <v>19</v>
      </c>
      <c r="J33" s="62" t="s">
        <v>140</v>
      </c>
      <c r="K33" s="64">
        <v>10.199999999999999</v>
      </c>
      <c r="L33" s="64">
        <f t="shared" si="0"/>
        <v>2.04</v>
      </c>
      <c r="M33" s="65">
        <f>prodnorm7</f>
        <v>0</v>
      </c>
      <c r="N33" s="66">
        <f>dagwerk7</f>
        <v>0</v>
      </c>
      <c r="O33" s="62" t="s">
        <v>44</v>
      </c>
      <c r="P33" s="67">
        <f>uurtarief7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208</v>
      </c>
      <c r="B34" s="62" t="s">
        <v>209</v>
      </c>
      <c r="C34" s="62" t="s">
        <v>248</v>
      </c>
      <c r="D34" s="62" t="s">
        <v>260</v>
      </c>
      <c r="E34" s="62" t="s">
        <v>209</v>
      </c>
      <c r="F34" s="63" t="s">
        <v>261</v>
      </c>
      <c r="G34" s="62" t="s">
        <v>234</v>
      </c>
      <c r="H34" s="62" t="s">
        <v>158</v>
      </c>
      <c r="I34" s="62" t="s">
        <v>10</v>
      </c>
      <c r="J34" s="62" t="s">
        <v>140</v>
      </c>
      <c r="K34" s="64">
        <v>12</v>
      </c>
      <c r="L34" s="64">
        <f t="shared" si="0"/>
        <v>12</v>
      </c>
      <c r="M34" s="65">
        <f>prodnorm17</f>
        <v>0</v>
      </c>
      <c r="N34" s="66">
        <f>dagwerk17</f>
        <v>0</v>
      </c>
      <c r="O34" s="62" t="s">
        <v>44</v>
      </c>
      <c r="P34" s="67">
        <f>uurtarief17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208</v>
      </c>
      <c r="B35" s="62" t="s">
        <v>209</v>
      </c>
      <c r="C35" s="62" t="s">
        <v>248</v>
      </c>
      <c r="D35" s="62" t="s">
        <v>262</v>
      </c>
      <c r="E35" s="62" t="s">
        <v>209</v>
      </c>
      <c r="F35" s="63" t="s">
        <v>254</v>
      </c>
      <c r="G35" s="62" t="s">
        <v>234</v>
      </c>
      <c r="H35" s="62" t="s">
        <v>164</v>
      </c>
      <c r="I35" s="62" t="s">
        <v>10</v>
      </c>
      <c r="J35" s="62" t="s">
        <v>140</v>
      </c>
      <c r="K35" s="64">
        <v>4.2</v>
      </c>
      <c r="L35" s="64">
        <f t="shared" si="0"/>
        <v>4.2</v>
      </c>
      <c r="M35" s="65">
        <f>prodnorm21</f>
        <v>0</v>
      </c>
      <c r="N35" s="66">
        <f>dagwerk21</f>
        <v>0</v>
      </c>
      <c r="O35" s="62" t="s">
        <v>44</v>
      </c>
      <c r="P35" s="67">
        <f>uurtarief21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208</v>
      </c>
      <c r="B36" s="62" t="s">
        <v>209</v>
      </c>
      <c r="C36" s="62" t="s">
        <v>248</v>
      </c>
      <c r="D36" s="62" t="s">
        <v>263</v>
      </c>
      <c r="E36" s="62" t="s">
        <v>209</v>
      </c>
      <c r="F36" s="63" t="s">
        <v>257</v>
      </c>
      <c r="G36" s="62" t="s">
        <v>234</v>
      </c>
      <c r="H36" s="62" t="s">
        <v>146</v>
      </c>
      <c r="I36" s="62" t="s">
        <v>10</v>
      </c>
      <c r="J36" s="62" t="s">
        <v>140</v>
      </c>
      <c r="K36" s="64">
        <v>5</v>
      </c>
      <c r="L36" s="64">
        <f t="shared" si="0"/>
        <v>5</v>
      </c>
      <c r="M36" s="65">
        <f>prodnorm8</f>
        <v>0</v>
      </c>
      <c r="N36" s="66">
        <f>dagwerk8</f>
        <v>0</v>
      </c>
      <c r="O36" s="62" t="s">
        <v>44</v>
      </c>
      <c r="P36" s="67">
        <f>uurtarief8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208</v>
      </c>
      <c r="B37" s="62" t="s">
        <v>209</v>
      </c>
      <c r="C37" s="62" t="s">
        <v>248</v>
      </c>
      <c r="D37" s="62" t="s">
        <v>264</v>
      </c>
      <c r="E37" s="62" t="s">
        <v>209</v>
      </c>
      <c r="F37" s="63" t="s">
        <v>257</v>
      </c>
      <c r="G37" s="62" t="s">
        <v>234</v>
      </c>
      <c r="H37" s="62" t="s">
        <v>146</v>
      </c>
      <c r="I37" s="62" t="s">
        <v>10</v>
      </c>
      <c r="J37" s="62" t="s">
        <v>140</v>
      </c>
      <c r="K37" s="64">
        <v>13.2</v>
      </c>
      <c r="L37" s="64">
        <f t="shared" si="0"/>
        <v>13.2</v>
      </c>
      <c r="M37" s="65">
        <f>prodnorm8</f>
        <v>0</v>
      </c>
      <c r="N37" s="66">
        <f>dagwerk8</f>
        <v>0</v>
      </c>
      <c r="O37" s="62" t="s">
        <v>44</v>
      </c>
      <c r="P37" s="67">
        <f>uurtarief8</f>
        <v>0</v>
      </c>
      <c r="Q37" s="64" t="e">
        <f t="shared" si="1"/>
        <v>#DIV/0!</v>
      </c>
      <c r="R37" s="64" t="e">
        <f t="shared" si="2"/>
        <v>#DIV/0!</v>
      </c>
      <c r="S37" s="67" t="e">
        <f t="shared" si="3"/>
        <v>#DIV/0!</v>
      </c>
      <c r="T37" s="64" t="e">
        <f t="shared" si="4"/>
        <v>#DIV/0!</v>
      </c>
      <c r="U37" s="68" t="e">
        <f t="shared" si="5"/>
        <v>#DIV/0!</v>
      </c>
    </row>
    <row r="38" spans="1:21" x14ac:dyDescent="0.2">
      <c r="A38" s="61" t="s">
        <v>208</v>
      </c>
      <c r="B38" s="62" t="s">
        <v>209</v>
      </c>
      <c r="C38" s="62" t="s">
        <v>248</v>
      </c>
      <c r="D38" s="62" t="s">
        <v>265</v>
      </c>
      <c r="E38" s="62" t="s">
        <v>209</v>
      </c>
      <c r="F38" s="63" t="s">
        <v>266</v>
      </c>
      <c r="G38" s="62" t="s">
        <v>213</v>
      </c>
      <c r="H38" s="62" t="s">
        <v>166</v>
      </c>
      <c r="I38" s="62" t="s">
        <v>10</v>
      </c>
      <c r="J38" s="62" t="s">
        <v>140</v>
      </c>
      <c r="K38" s="64">
        <v>5.4</v>
      </c>
      <c r="L38" s="64">
        <f t="shared" si="0"/>
        <v>5.4</v>
      </c>
      <c r="M38" s="65">
        <f>prodnorm22</f>
        <v>0</v>
      </c>
      <c r="N38" s="66">
        <f>dagwerk22</f>
        <v>0</v>
      </c>
      <c r="O38" s="62" t="s">
        <v>44</v>
      </c>
      <c r="P38" s="67">
        <f>uurtarief22</f>
        <v>0</v>
      </c>
      <c r="Q38" s="64" t="e">
        <f t="shared" si="1"/>
        <v>#DIV/0!</v>
      </c>
      <c r="R38" s="64" t="e">
        <f t="shared" si="2"/>
        <v>#DIV/0!</v>
      </c>
      <c r="S38" s="67" t="e">
        <f t="shared" si="3"/>
        <v>#DIV/0!</v>
      </c>
      <c r="T38" s="64" t="e">
        <f t="shared" si="4"/>
        <v>#DIV/0!</v>
      </c>
      <c r="U38" s="68" t="e">
        <f t="shared" si="5"/>
        <v>#DIV/0!</v>
      </c>
    </row>
    <row r="39" spans="1:21" x14ac:dyDescent="0.2">
      <c r="A39" s="61" t="s">
        <v>208</v>
      </c>
      <c r="B39" s="62" t="s">
        <v>209</v>
      </c>
      <c r="C39" s="62" t="s">
        <v>267</v>
      </c>
      <c r="D39" s="62" t="s">
        <v>268</v>
      </c>
      <c r="E39" s="62" t="s">
        <v>209</v>
      </c>
      <c r="F39" s="63" t="s">
        <v>250</v>
      </c>
      <c r="G39" s="62" t="s">
        <v>213</v>
      </c>
      <c r="H39" s="62" t="s">
        <v>168</v>
      </c>
      <c r="I39" s="62" t="s">
        <v>10</v>
      </c>
      <c r="J39" s="62" t="s">
        <v>140</v>
      </c>
      <c r="K39" s="64">
        <v>24.1</v>
      </c>
      <c r="L39" s="64">
        <f t="shared" si="0"/>
        <v>24.1</v>
      </c>
      <c r="M39" s="65">
        <f>prodnorm24</f>
        <v>0</v>
      </c>
      <c r="N39" s="66">
        <f>dagwerk24</f>
        <v>0</v>
      </c>
      <c r="O39" s="62" t="s">
        <v>44</v>
      </c>
      <c r="P39" s="67">
        <f>uurtarief24</f>
        <v>0</v>
      </c>
      <c r="Q39" s="64" t="e">
        <f t="shared" si="1"/>
        <v>#DIV/0!</v>
      </c>
      <c r="R39" s="64" t="e">
        <f t="shared" si="2"/>
        <v>#DIV/0!</v>
      </c>
      <c r="S39" s="67" t="e">
        <f t="shared" si="3"/>
        <v>#DIV/0!</v>
      </c>
      <c r="T39" s="64" t="e">
        <f t="shared" si="4"/>
        <v>#DIV/0!</v>
      </c>
      <c r="U39" s="68" t="e">
        <f t="shared" si="5"/>
        <v>#DIV/0!</v>
      </c>
    </row>
    <row r="40" spans="1:21" x14ac:dyDescent="0.2">
      <c r="A40" s="61" t="s">
        <v>208</v>
      </c>
      <c r="B40" s="62" t="s">
        <v>209</v>
      </c>
      <c r="C40" s="62" t="s">
        <v>267</v>
      </c>
      <c r="D40" s="62" t="s">
        <v>269</v>
      </c>
      <c r="E40" s="62" t="s">
        <v>209</v>
      </c>
      <c r="F40" s="63" t="s">
        <v>215</v>
      </c>
      <c r="G40" s="62" t="s">
        <v>213</v>
      </c>
      <c r="H40" s="62" t="s">
        <v>168</v>
      </c>
      <c r="I40" s="62" t="s">
        <v>10</v>
      </c>
      <c r="J40" s="62" t="s">
        <v>140</v>
      </c>
      <c r="K40" s="64">
        <v>53.8</v>
      </c>
      <c r="L40" s="64">
        <f t="shared" si="0"/>
        <v>53.8</v>
      </c>
      <c r="M40" s="65">
        <f>prodnorm24</f>
        <v>0</v>
      </c>
      <c r="N40" s="66">
        <f>dagwerk24</f>
        <v>0</v>
      </c>
      <c r="O40" s="62" t="s">
        <v>44</v>
      </c>
      <c r="P40" s="67">
        <f>uurtarief24</f>
        <v>0</v>
      </c>
      <c r="Q40" s="64" t="e">
        <f t="shared" si="1"/>
        <v>#DIV/0!</v>
      </c>
      <c r="R40" s="64" t="e">
        <f t="shared" si="2"/>
        <v>#DIV/0!</v>
      </c>
      <c r="S40" s="67" t="e">
        <f t="shared" si="3"/>
        <v>#DIV/0!</v>
      </c>
      <c r="T40" s="64" t="e">
        <f t="shared" si="4"/>
        <v>#DIV/0!</v>
      </c>
      <c r="U40" s="68" t="e">
        <f t="shared" si="5"/>
        <v>#DIV/0!</v>
      </c>
    </row>
    <row r="41" spans="1:21" x14ac:dyDescent="0.2">
      <c r="A41" s="61" t="s">
        <v>208</v>
      </c>
      <c r="B41" s="62" t="s">
        <v>209</v>
      </c>
      <c r="C41" s="62" t="s">
        <v>267</v>
      </c>
      <c r="D41" s="62" t="s">
        <v>270</v>
      </c>
      <c r="E41" s="62" t="s">
        <v>209</v>
      </c>
      <c r="F41" s="63" t="s">
        <v>215</v>
      </c>
      <c r="G41" s="62" t="s">
        <v>213</v>
      </c>
      <c r="H41" s="62" t="s">
        <v>168</v>
      </c>
      <c r="I41" s="62" t="s">
        <v>10</v>
      </c>
      <c r="J41" s="62" t="s">
        <v>140</v>
      </c>
      <c r="K41" s="64">
        <v>68.2</v>
      </c>
      <c r="L41" s="64">
        <f t="shared" si="0"/>
        <v>68.2</v>
      </c>
      <c r="M41" s="65">
        <f>prodnorm24</f>
        <v>0</v>
      </c>
      <c r="N41" s="66">
        <f>dagwerk24</f>
        <v>0</v>
      </c>
      <c r="O41" s="62" t="s">
        <v>44</v>
      </c>
      <c r="P41" s="67">
        <f>uurtarief24</f>
        <v>0</v>
      </c>
      <c r="Q41" s="64" t="e">
        <f t="shared" si="1"/>
        <v>#DIV/0!</v>
      </c>
      <c r="R41" s="64" t="e">
        <f t="shared" si="2"/>
        <v>#DIV/0!</v>
      </c>
      <c r="S41" s="67" t="e">
        <f t="shared" si="3"/>
        <v>#DIV/0!</v>
      </c>
      <c r="T41" s="64" t="e">
        <f t="shared" si="4"/>
        <v>#DIV/0!</v>
      </c>
      <c r="U41" s="68" t="e">
        <f t="shared" si="5"/>
        <v>#DIV/0!</v>
      </c>
    </row>
    <row r="42" spans="1:21" x14ac:dyDescent="0.2">
      <c r="A42" s="61" t="s">
        <v>208</v>
      </c>
      <c r="B42" s="62" t="s">
        <v>209</v>
      </c>
      <c r="C42" s="62" t="s">
        <v>267</v>
      </c>
      <c r="D42" s="62" t="s">
        <v>271</v>
      </c>
      <c r="E42" s="62" t="s">
        <v>209</v>
      </c>
      <c r="F42" s="63" t="s">
        <v>254</v>
      </c>
      <c r="G42" s="62" t="s">
        <v>234</v>
      </c>
      <c r="H42" s="62" t="s">
        <v>164</v>
      </c>
      <c r="I42" s="62" t="s">
        <v>10</v>
      </c>
      <c r="J42" s="62" t="s">
        <v>140</v>
      </c>
      <c r="K42" s="64">
        <v>10</v>
      </c>
      <c r="L42" s="64">
        <f t="shared" si="0"/>
        <v>10</v>
      </c>
      <c r="M42" s="65">
        <f>prodnorm21</f>
        <v>0</v>
      </c>
      <c r="N42" s="66">
        <f>dagwerk21</f>
        <v>0</v>
      </c>
      <c r="O42" s="62" t="s">
        <v>44</v>
      </c>
      <c r="P42" s="67">
        <f>uurtarief21</f>
        <v>0</v>
      </c>
      <c r="Q42" s="64" t="e">
        <f t="shared" si="1"/>
        <v>#DIV/0!</v>
      </c>
      <c r="R42" s="64" t="e">
        <f t="shared" si="2"/>
        <v>#DIV/0!</v>
      </c>
      <c r="S42" s="67" t="e">
        <f t="shared" si="3"/>
        <v>#DIV/0!</v>
      </c>
      <c r="T42" s="64" t="e">
        <f t="shared" si="4"/>
        <v>#DIV/0!</v>
      </c>
      <c r="U42" s="68" t="e">
        <f t="shared" si="5"/>
        <v>#DIV/0!</v>
      </c>
    </row>
    <row r="43" spans="1:21" x14ac:dyDescent="0.2">
      <c r="A43" s="61" t="s">
        <v>208</v>
      </c>
      <c r="B43" s="62" t="s">
        <v>209</v>
      </c>
      <c r="C43" s="62" t="s">
        <v>267</v>
      </c>
      <c r="D43" s="62" t="s">
        <v>272</v>
      </c>
      <c r="E43" s="62" t="s">
        <v>209</v>
      </c>
      <c r="F43" s="63" t="s">
        <v>254</v>
      </c>
      <c r="G43" s="62" t="s">
        <v>234</v>
      </c>
      <c r="H43" s="62" t="s">
        <v>164</v>
      </c>
      <c r="I43" s="62" t="s">
        <v>10</v>
      </c>
      <c r="J43" s="62" t="s">
        <v>140</v>
      </c>
      <c r="K43" s="64">
        <v>5.5</v>
      </c>
      <c r="L43" s="64">
        <f t="shared" si="0"/>
        <v>5.5</v>
      </c>
      <c r="M43" s="65">
        <f>prodnorm21</f>
        <v>0</v>
      </c>
      <c r="N43" s="66">
        <f>dagwerk21</f>
        <v>0</v>
      </c>
      <c r="O43" s="62" t="s">
        <v>44</v>
      </c>
      <c r="P43" s="67">
        <f>uurtarief21</f>
        <v>0</v>
      </c>
      <c r="Q43" s="64" t="e">
        <f t="shared" si="1"/>
        <v>#DIV/0!</v>
      </c>
      <c r="R43" s="64" t="e">
        <f t="shared" si="2"/>
        <v>#DIV/0!</v>
      </c>
      <c r="S43" s="67" t="e">
        <f t="shared" si="3"/>
        <v>#DIV/0!</v>
      </c>
      <c r="T43" s="64" t="e">
        <f t="shared" si="4"/>
        <v>#DIV/0!</v>
      </c>
      <c r="U43" s="68" t="e">
        <f t="shared" si="5"/>
        <v>#DIV/0!</v>
      </c>
    </row>
    <row r="44" spans="1:21" x14ac:dyDescent="0.2">
      <c r="A44" s="61" t="s">
        <v>208</v>
      </c>
      <c r="B44" s="62" t="s">
        <v>209</v>
      </c>
      <c r="C44" s="62" t="s">
        <v>267</v>
      </c>
      <c r="D44" s="62" t="s">
        <v>273</v>
      </c>
      <c r="E44" s="62" t="s">
        <v>209</v>
      </c>
      <c r="F44" s="63" t="s">
        <v>257</v>
      </c>
      <c r="G44" s="62" t="s">
        <v>234</v>
      </c>
      <c r="H44" s="62" t="s">
        <v>146</v>
      </c>
      <c r="I44" s="62" t="s">
        <v>10</v>
      </c>
      <c r="J44" s="62" t="s">
        <v>140</v>
      </c>
      <c r="K44" s="64">
        <v>4</v>
      </c>
      <c r="L44" s="64">
        <f t="shared" si="0"/>
        <v>4</v>
      </c>
      <c r="M44" s="65">
        <f>prodnorm8</f>
        <v>0</v>
      </c>
      <c r="N44" s="66">
        <f>dagwerk8</f>
        <v>0</v>
      </c>
      <c r="O44" s="62" t="s">
        <v>44</v>
      </c>
      <c r="P44" s="67">
        <f>uurtarief8</f>
        <v>0</v>
      </c>
      <c r="Q44" s="64" t="e">
        <f t="shared" si="1"/>
        <v>#DIV/0!</v>
      </c>
      <c r="R44" s="64" t="e">
        <f t="shared" si="2"/>
        <v>#DIV/0!</v>
      </c>
      <c r="S44" s="67" t="e">
        <f t="shared" si="3"/>
        <v>#DIV/0!</v>
      </c>
      <c r="T44" s="64" t="e">
        <f t="shared" si="4"/>
        <v>#DIV/0!</v>
      </c>
      <c r="U44" s="68" t="e">
        <f t="shared" si="5"/>
        <v>#DIV/0!</v>
      </c>
    </row>
    <row r="45" spans="1:21" x14ac:dyDescent="0.2">
      <c r="A45" s="61" t="s">
        <v>208</v>
      </c>
      <c r="B45" s="62" t="s">
        <v>209</v>
      </c>
      <c r="C45" s="62" t="s">
        <v>267</v>
      </c>
      <c r="D45" s="62" t="s">
        <v>274</v>
      </c>
      <c r="E45" s="62" t="s">
        <v>209</v>
      </c>
      <c r="F45" s="63" t="s">
        <v>259</v>
      </c>
      <c r="G45" s="62" t="s">
        <v>234</v>
      </c>
      <c r="H45" s="62" t="s">
        <v>146</v>
      </c>
      <c r="I45" s="62" t="s">
        <v>19</v>
      </c>
      <c r="J45" s="62" t="s">
        <v>140</v>
      </c>
      <c r="K45" s="64">
        <v>10.199999999999999</v>
      </c>
      <c r="L45" s="64">
        <f t="shared" si="0"/>
        <v>2.04</v>
      </c>
      <c r="M45" s="65">
        <f>prodnorm7</f>
        <v>0</v>
      </c>
      <c r="N45" s="66">
        <f>dagwerk7</f>
        <v>0</v>
      </c>
      <c r="O45" s="62" t="s">
        <v>44</v>
      </c>
      <c r="P45" s="67">
        <f>uurtarief7</f>
        <v>0</v>
      </c>
      <c r="Q45" s="64" t="e">
        <f t="shared" si="1"/>
        <v>#DIV/0!</v>
      </c>
      <c r="R45" s="64" t="e">
        <f t="shared" si="2"/>
        <v>#DIV/0!</v>
      </c>
      <c r="S45" s="67" t="e">
        <f t="shared" si="3"/>
        <v>#DIV/0!</v>
      </c>
      <c r="T45" s="64" t="e">
        <f t="shared" si="4"/>
        <v>#DIV/0!</v>
      </c>
      <c r="U45" s="68" t="e">
        <f t="shared" si="5"/>
        <v>#DIV/0!</v>
      </c>
    </row>
    <row r="46" spans="1:21" x14ac:dyDescent="0.2">
      <c r="A46" s="61" t="s">
        <v>208</v>
      </c>
      <c r="B46" s="62" t="s">
        <v>209</v>
      </c>
      <c r="C46" s="62" t="s">
        <v>267</v>
      </c>
      <c r="D46" s="62" t="s">
        <v>275</v>
      </c>
      <c r="E46" s="62" t="s">
        <v>209</v>
      </c>
      <c r="F46" s="63" t="s">
        <v>261</v>
      </c>
      <c r="G46" s="62" t="s">
        <v>234</v>
      </c>
      <c r="H46" s="62" t="s">
        <v>158</v>
      </c>
      <c r="I46" s="62" t="s">
        <v>10</v>
      </c>
      <c r="J46" s="62" t="s">
        <v>140</v>
      </c>
      <c r="K46" s="64">
        <v>12</v>
      </c>
      <c r="L46" s="64">
        <f t="shared" si="0"/>
        <v>12</v>
      </c>
      <c r="M46" s="65">
        <f>prodnorm17</f>
        <v>0</v>
      </c>
      <c r="N46" s="66">
        <f>dagwerk17</f>
        <v>0</v>
      </c>
      <c r="O46" s="62" t="s">
        <v>44</v>
      </c>
      <c r="P46" s="67">
        <f>uurtarief17</f>
        <v>0</v>
      </c>
      <c r="Q46" s="64" t="e">
        <f t="shared" si="1"/>
        <v>#DIV/0!</v>
      </c>
      <c r="R46" s="64" t="e">
        <f t="shared" si="2"/>
        <v>#DIV/0!</v>
      </c>
      <c r="S46" s="67" t="e">
        <f t="shared" si="3"/>
        <v>#DIV/0!</v>
      </c>
      <c r="T46" s="64" t="e">
        <f t="shared" si="4"/>
        <v>#DIV/0!</v>
      </c>
      <c r="U46" s="68" t="e">
        <f t="shared" si="5"/>
        <v>#DIV/0!</v>
      </c>
    </row>
    <row r="47" spans="1:21" x14ac:dyDescent="0.2">
      <c r="A47" s="61" t="s">
        <v>208</v>
      </c>
      <c r="B47" s="62" t="s">
        <v>209</v>
      </c>
      <c r="C47" s="62" t="s">
        <v>267</v>
      </c>
      <c r="D47" s="62" t="s">
        <v>276</v>
      </c>
      <c r="E47" s="62" t="s">
        <v>209</v>
      </c>
      <c r="F47" s="63" t="s">
        <v>254</v>
      </c>
      <c r="G47" s="62" t="s">
        <v>234</v>
      </c>
      <c r="H47" s="62" t="s">
        <v>164</v>
      </c>
      <c r="I47" s="62" t="s">
        <v>10</v>
      </c>
      <c r="J47" s="62" t="s">
        <v>140</v>
      </c>
      <c r="K47" s="64">
        <v>4.2</v>
      </c>
      <c r="L47" s="64">
        <f t="shared" si="0"/>
        <v>4.2</v>
      </c>
      <c r="M47" s="65">
        <f>prodnorm21</f>
        <v>0</v>
      </c>
      <c r="N47" s="66">
        <f>dagwerk21</f>
        <v>0</v>
      </c>
      <c r="O47" s="62" t="s">
        <v>44</v>
      </c>
      <c r="P47" s="67">
        <f>uurtarief21</f>
        <v>0</v>
      </c>
      <c r="Q47" s="64" t="e">
        <f t="shared" si="1"/>
        <v>#DIV/0!</v>
      </c>
      <c r="R47" s="64" t="e">
        <f t="shared" si="2"/>
        <v>#DIV/0!</v>
      </c>
      <c r="S47" s="67" t="e">
        <f t="shared" si="3"/>
        <v>#DIV/0!</v>
      </c>
      <c r="T47" s="64" t="e">
        <f t="shared" si="4"/>
        <v>#DIV/0!</v>
      </c>
      <c r="U47" s="68" t="e">
        <f t="shared" si="5"/>
        <v>#DIV/0!</v>
      </c>
    </row>
    <row r="48" spans="1:21" x14ac:dyDescent="0.2">
      <c r="A48" s="61" t="s">
        <v>208</v>
      </c>
      <c r="B48" s="62" t="s">
        <v>209</v>
      </c>
      <c r="C48" s="62" t="s">
        <v>267</v>
      </c>
      <c r="D48" s="62" t="s">
        <v>277</v>
      </c>
      <c r="E48" s="62" t="s">
        <v>209</v>
      </c>
      <c r="F48" s="63" t="s">
        <v>257</v>
      </c>
      <c r="G48" s="62" t="s">
        <v>234</v>
      </c>
      <c r="H48" s="62" t="s">
        <v>146</v>
      </c>
      <c r="I48" s="62" t="s">
        <v>10</v>
      </c>
      <c r="J48" s="62" t="s">
        <v>140</v>
      </c>
      <c r="K48" s="64">
        <v>5</v>
      </c>
      <c r="L48" s="64">
        <f t="shared" si="0"/>
        <v>5</v>
      </c>
      <c r="M48" s="65">
        <f>prodnorm8</f>
        <v>0</v>
      </c>
      <c r="N48" s="66">
        <f>dagwerk8</f>
        <v>0</v>
      </c>
      <c r="O48" s="62" t="s">
        <v>44</v>
      </c>
      <c r="P48" s="67">
        <f>uurtarief8</f>
        <v>0</v>
      </c>
      <c r="Q48" s="64" t="e">
        <f t="shared" si="1"/>
        <v>#DIV/0!</v>
      </c>
      <c r="R48" s="64" t="e">
        <f t="shared" si="2"/>
        <v>#DIV/0!</v>
      </c>
      <c r="S48" s="67" t="e">
        <f t="shared" si="3"/>
        <v>#DIV/0!</v>
      </c>
      <c r="T48" s="64" t="e">
        <f t="shared" si="4"/>
        <v>#DIV/0!</v>
      </c>
      <c r="U48" s="68" t="e">
        <f t="shared" si="5"/>
        <v>#DIV/0!</v>
      </c>
    </row>
    <row r="49" spans="1:21" x14ac:dyDescent="0.2">
      <c r="A49" s="61" t="s">
        <v>208</v>
      </c>
      <c r="B49" s="62" t="s">
        <v>209</v>
      </c>
      <c r="C49" s="62" t="s">
        <v>267</v>
      </c>
      <c r="D49" s="62" t="s">
        <v>278</v>
      </c>
      <c r="E49" s="62" t="s">
        <v>209</v>
      </c>
      <c r="F49" s="63" t="s">
        <v>257</v>
      </c>
      <c r="G49" s="62" t="s">
        <v>234</v>
      </c>
      <c r="H49" s="62" t="s">
        <v>146</v>
      </c>
      <c r="I49" s="62" t="s">
        <v>10</v>
      </c>
      <c r="J49" s="62" t="s">
        <v>140</v>
      </c>
      <c r="K49" s="64">
        <v>13.2</v>
      </c>
      <c r="L49" s="64">
        <f t="shared" si="0"/>
        <v>13.2</v>
      </c>
      <c r="M49" s="65">
        <f>prodnorm8</f>
        <v>0</v>
      </c>
      <c r="N49" s="66">
        <f>dagwerk8</f>
        <v>0</v>
      </c>
      <c r="O49" s="62" t="s">
        <v>44</v>
      </c>
      <c r="P49" s="67">
        <f>uurtarief8</f>
        <v>0</v>
      </c>
      <c r="Q49" s="64" t="e">
        <f t="shared" si="1"/>
        <v>#DIV/0!</v>
      </c>
      <c r="R49" s="64" t="e">
        <f t="shared" si="2"/>
        <v>#DIV/0!</v>
      </c>
      <c r="S49" s="67" t="e">
        <f t="shared" si="3"/>
        <v>#DIV/0!</v>
      </c>
      <c r="T49" s="64" t="e">
        <f t="shared" si="4"/>
        <v>#DIV/0!</v>
      </c>
      <c r="U49" s="68" t="e">
        <f t="shared" si="5"/>
        <v>#DIV/0!</v>
      </c>
    </row>
    <row r="50" spans="1:21" x14ac:dyDescent="0.2">
      <c r="A50" s="61" t="s">
        <v>208</v>
      </c>
      <c r="B50" s="62" t="s">
        <v>209</v>
      </c>
      <c r="C50" s="62" t="s">
        <v>267</v>
      </c>
      <c r="D50" s="62" t="s">
        <v>279</v>
      </c>
      <c r="E50" s="62" t="s">
        <v>209</v>
      </c>
      <c r="F50" s="63" t="s">
        <v>266</v>
      </c>
      <c r="G50" s="62" t="s">
        <v>213</v>
      </c>
      <c r="H50" s="62" t="s">
        <v>166</v>
      </c>
      <c r="I50" s="62" t="s">
        <v>10</v>
      </c>
      <c r="J50" s="62" t="s">
        <v>140</v>
      </c>
      <c r="K50" s="64">
        <v>5.4</v>
      </c>
      <c r="L50" s="64">
        <f t="shared" si="0"/>
        <v>5.4</v>
      </c>
      <c r="M50" s="65">
        <f>prodnorm22</f>
        <v>0</v>
      </c>
      <c r="N50" s="66">
        <f>dagwerk22</f>
        <v>0</v>
      </c>
      <c r="O50" s="62" t="s">
        <v>44</v>
      </c>
      <c r="P50" s="67">
        <f>uurtarief22</f>
        <v>0</v>
      </c>
      <c r="Q50" s="64" t="e">
        <f t="shared" si="1"/>
        <v>#DIV/0!</v>
      </c>
      <c r="R50" s="64" t="e">
        <f t="shared" si="2"/>
        <v>#DIV/0!</v>
      </c>
      <c r="S50" s="67" t="e">
        <f t="shared" si="3"/>
        <v>#DIV/0!</v>
      </c>
      <c r="T50" s="64" t="e">
        <f t="shared" si="4"/>
        <v>#DIV/0!</v>
      </c>
      <c r="U50" s="68" t="e">
        <f t="shared" si="5"/>
        <v>#DIV/0!</v>
      </c>
    </row>
    <row r="51" spans="1:21" x14ac:dyDescent="0.2">
      <c r="A51" s="61" t="s">
        <v>208</v>
      </c>
      <c r="B51" s="62" t="s">
        <v>209</v>
      </c>
      <c r="C51" s="62" t="s">
        <v>280</v>
      </c>
      <c r="D51" s="62" t="s">
        <v>281</v>
      </c>
      <c r="E51" s="62" t="s">
        <v>209</v>
      </c>
      <c r="F51" s="63" t="s">
        <v>250</v>
      </c>
      <c r="G51" s="62" t="s">
        <v>213</v>
      </c>
      <c r="H51" s="62" t="s">
        <v>168</v>
      </c>
      <c r="I51" s="62" t="s">
        <v>10</v>
      </c>
      <c r="J51" s="62" t="s">
        <v>140</v>
      </c>
      <c r="K51" s="64">
        <v>24.1</v>
      </c>
      <c r="L51" s="64">
        <f t="shared" si="0"/>
        <v>24.1</v>
      </c>
      <c r="M51" s="65">
        <f>prodnorm24</f>
        <v>0</v>
      </c>
      <c r="N51" s="66">
        <f>dagwerk24</f>
        <v>0</v>
      </c>
      <c r="O51" s="62" t="s">
        <v>44</v>
      </c>
      <c r="P51" s="67">
        <f>uurtarief24</f>
        <v>0</v>
      </c>
      <c r="Q51" s="64" t="e">
        <f t="shared" si="1"/>
        <v>#DIV/0!</v>
      </c>
      <c r="R51" s="64" t="e">
        <f t="shared" si="2"/>
        <v>#DIV/0!</v>
      </c>
      <c r="S51" s="67" t="e">
        <f t="shared" si="3"/>
        <v>#DIV/0!</v>
      </c>
      <c r="T51" s="64" t="e">
        <f t="shared" si="4"/>
        <v>#DIV/0!</v>
      </c>
      <c r="U51" s="68" t="e">
        <f t="shared" si="5"/>
        <v>#DIV/0!</v>
      </c>
    </row>
    <row r="52" spans="1:21" x14ac:dyDescent="0.2">
      <c r="A52" s="61" t="s">
        <v>208</v>
      </c>
      <c r="B52" s="62" t="s">
        <v>209</v>
      </c>
      <c r="C52" s="62" t="s">
        <v>280</v>
      </c>
      <c r="D52" s="62" t="s">
        <v>282</v>
      </c>
      <c r="E52" s="62" t="s">
        <v>209</v>
      </c>
      <c r="F52" s="63" t="s">
        <v>215</v>
      </c>
      <c r="G52" s="62" t="s">
        <v>213</v>
      </c>
      <c r="H52" s="62" t="s">
        <v>168</v>
      </c>
      <c r="I52" s="62" t="s">
        <v>10</v>
      </c>
      <c r="J52" s="62" t="s">
        <v>140</v>
      </c>
      <c r="K52" s="64">
        <v>53.8</v>
      </c>
      <c r="L52" s="64">
        <f t="shared" si="0"/>
        <v>53.8</v>
      </c>
      <c r="M52" s="65">
        <f>prodnorm24</f>
        <v>0</v>
      </c>
      <c r="N52" s="66">
        <f>dagwerk24</f>
        <v>0</v>
      </c>
      <c r="O52" s="62" t="s">
        <v>44</v>
      </c>
      <c r="P52" s="67">
        <f>uurtarief24</f>
        <v>0</v>
      </c>
      <c r="Q52" s="64" t="e">
        <f t="shared" si="1"/>
        <v>#DIV/0!</v>
      </c>
      <c r="R52" s="64" t="e">
        <f t="shared" si="2"/>
        <v>#DIV/0!</v>
      </c>
      <c r="S52" s="67" t="e">
        <f t="shared" si="3"/>
        <v>#DIV/0!</v>
      </c>
      <c r="T52" s="64" t="e">
        <f t="shared" si="4"/>
        <v>#DIV/0!</v>
      </c>
      <c r="U52" s="68" t="e">
        <f t="shared" si="5"/>
        <v>#DIV/0!</v>
      </c>
    </row>
    <row r="53" spans="1:21" x14ac:dyDescent="0.2">
      <c r="A53" s="61" t="s">
        <v>208</v>
      </c>
      <c r="B53" s="62" t="s">
        <v>209</v>
      </c>
      <c r="C53" s="62" t="s">
        <v>280</v>
      </c>
      <c r="D53" s="62" t="s">
        <v>283</v>
      </c>
      <c r="E53" s="62" t="s">
        <v>209</v>
      </c>
      <c r="F53" s="63" t="s">
        <v>215</v>
      </c>
      <c r="G53" s="62" t="s">
        <v>213</v>
      </c>
      <c r="H53" s="62" t="s">
        <v>168</v>
      </c>
      <c r="I53" s="62" t="s">
        <v>10</v>
      </c>
      <c r="J53" s="62" t="s">
        <v>140</v>
      </c>
      <c r="K53" s="64">
        <v>68.2</v>
      </c>
      <c r="L53" s="64">
        <f t="shared" si="0"/>
        <v>68.2</v>
      </c>
      <c r="M53" s="65">
        <f>prodnorm24</f>
        <v>0</v>
      </c>
      <c r="N53" s="66">
        <f>dagwerk24</f>
        <v>0</v>
      </c>
      <c r="O53" s="62" t="s">
        <v>44</v>
      </c>
      <c r="P53" s="67">
        <f>uurtarief24</f>
        <v>0</v>
      </c>
      <c r="Q53" s="64" t="e">
        <f t="shared" si="1"/>
        <v>#DIV/0!</v>
      </c>
      <c r="R53" s="64" t="e">
        <f t="shared" si="2"/>
        <v>#DIV/0!</v>
      </c>
      <c r="S53" s="67" t="e">
        <f t="shared" si="3"/>
        <v>#DIV/0!</v>
      </c>
      <c r="T53" s="64" t="e">
        <f t="shared" si="4"/>
        <v>#DIV/0!</v>
      </c>
      <c r="U53" s="68" t="e">
        <f t="shared" si="5"/>
        <v>#DIV/0!</v>
      </c>
    </row>
    <row r="54" spans="1:21" x14ac:dyDescent="0.2">
      <c r="A54" s="61" t="s">
        <v>208</v>
      </c>
      <c r="B54" s="62" t="s">
        <v>209</v>
      </c>
      <c r="C54" s="62" t="s">
        <v>280</v>
      </c>
      <c r="D54" s="62" t="s">
        <v>284</v>
      </c>
      <c r="E54" s="62" t="s">
        <v>209</v>
      </c>
      <c r="F54" s="63" t="s">
        <v>254</v>
      </c>
      <c r="G54" s="62" t="s">
        <v>234</v>
      </c>
      <c r="H54" s="62" t="s">
        <v>164</v>
      </c>
      <c r="I54" s="62" t="s">
        <v>10</v>
      </c>
      <c r="J54" s="62" t="s">
        <v>140</v>
      </c>
      <c r="K54" s="64">
        <v>10</v>
      </c>
      <c r="L54" s="64">
        <f t="shared" si="0"/>
        <v>10</v>
      </c>
      <c r="M54" s="65">
        <f>prodnorm21</f>
        <v>0</v>
      </c>
      <c r="N54" s="66">
        <f>dagwerk21</f>
        <v>0</v>
      </c>
      <c r="O54" s="62" t="s">
        <v>44</v>
      </c>
      <c r="P54" s="67">
        <f>uurtarief21</f>
        <v>0</v>
      </c>
      <c r="Q54" s="64" t="e">
        <f t="shared" si="1"/>
        <v>#DIV/0!</v>
      </c>
      <c r="R54" s="64" t="e">
        <f t="shared" si="2"/>
        <v>#DIV/0!</v>
      </c>
      <c r="S54" s="67" t="e">
        <f t="shared" si="3"/>
        <v>#DIV/0!</v>
      </c>
      <c r="T54" s="64" t="e">
        <f t="shared" si="4"/>
        <v>#DIV/0!</v>
      </c>
      <c r="U54" s="68" t="e">
        <f t="shared" si="5"/>
        <v>#DIV/0!</v>
      </c>
    </row>
    <row r="55" spans="1:21" x14ac:dyDescent="0.2">
      <c r="A55" s="61" t="s">
        <v>208</v>
      </c>
      <c r="B55" s="62" t="s">
        <v>209</v>
      </c>
      <c r="C55" s="62" t="s">
        <v>280</v>
      </c>
      <c r="D55" s="62" t="s">
        <v>285</v>
      </c>
      <c r="E55" s="62" t="s">
        <v>209</v>
      </c>
      <c r="F55" s="63" t="s">
        <v>254</v>
      </c>
      <c r="G55" s="62" t="s">
        <v>234</v>
      </c>
      <c r="H55" s="62" t="s">
        <v>164</v>
      </c>
      <c r="I55" s="62" t="s">
        <v>10</v>
      </c>
      <c r="J55" s="62" t="s">
        <v>140</v>
      </c>
      <c r="K55" s="64">
        <v>5.5</v>
      </c>
      <c r="L55" s="64">
        <f t="shared" si="0"/>
        <v>5.5</v>
      </c>
      <c r="M55" s="65">
        <f>prodnorm21</f>
        <v>0</v>
      </c>
      <c r="N55" s="66">
        <f>dagwerk21</f>
        <v>0</v>
      </c>
      <c r="O55" s="62" t="s">
        <v>44</v>
      </c>
      <c r="P55" s="67">
        <f>uurtarief21</f>
        <v>0</v>
      </c>
      <c r="Q55" s="64" t="e">
        <f t="shared" si="1"/>
        <v>#DIV/0!</v>
      </c>
      <c r="R55" s="64" t="e">
        <f t="shared" si="2"/>
        <v>#DIV/0!</v>
      </c>
      <c r="S55" s="67" t="e">
        <f t="shared" si="3"/>
        <v>#DIV/0!</v>
      </c>
      <c r="T55" s="64" t="e">
        <f t="shared" si="4"/>
        <v>#DIV/0!</v>
      </c>
      <c r="U55" s="68" t="e">
        <f t="shared" si="5"/>
        <v>#DIV/0!</v>
      </c>
    </row>
    <row r="56" spans="1:21" x14ac:dyDescent="0.2">
      <c r="A56" s="61" t="s">
        <v>208</v>
      </c>
      <c r="B56" s="62" t="s">
        <v>209</v>
      </c>
      <c r="C56" s="62" t="s">
        <v>280</v>
      </c>
      <c r="D56" s="62" t="s">
        <v>286</v>
      </c>
      <c r="E56" s="62" t="s">
        <v>209</v>
      </c>
      <c r="F56" s="63" t="s">
        <v>257</v>
      </c>
      <c r="G56" s="62" t="s">
        <v>234</v>
      </c>
      <c r="H56" s="62" t="s">
        <v>146</v>
      </c>
      <c r="I56" s="62" t="s">
        <v>10</v>
      </c>
      <c r="J56" s="62" t="s">
        <v>140</v>
      </c>
      <c r="K56" s="64">
        <v>4</v>
      </c>
      <c r="L56" s="64">
        <f t="shared" si="0"/>
        <v>4</v>
      </c>
      <c r="M56" s="65">
        <f>prodnorm8</f>
        <v>0</v>
      </c>
      <c r="N56" s="66">
        <f>dagwerk8</f>
        <v>0</v>
      </c>
      <c r="O56" s="62" t="s">
        <v>44</v>
      </c>
      <c r="P56" s="67">
        <f>uurtarief8</f>
        <v>0</v>
      </c>
      <c r="Q56" s="64" t="e">
        <f t="shared" si="1"/>
        <v>#DIV/0!</v>
      </c>
      <c r="R56" s="64" t="e">
        <f t="shared" si="2"/>
        <v>#DIV/0!</v>
      </c>
      <c r="S56" s="67" t="e">
        <f t="shared" si="3"/>
        <v>#DIV/0!</v>
      </c>
      <c r="T56" s="64" t="e">
        <f t="shared" si="4"/>
        <v>#DIV/0!</v>
      </c>
      <c r="U56" s="68" t="e">
        <f t="shared" si="5"/>
        <v>#DIV/0!</v>
      </c>
    </row>
    <row r="57" spans="1:21" x14ac:dyDescent="0.2">
      <c r="A57" s="61" t="s">
        <v>208</v>
      </c>
      <c r="B57" s="62" t="s">
        <v>209</v>
      </c>
      <c r="C57" s="62" t="s">
        <v>280</v>
      </c>
      <c r="D57" s="62" t="s">
        <v>287</v>
      </c>
      <c r="E57" s="62" t="s">
        <v>209</v>
      </c>
      <c r="F57" s="63" t="s">
        <v>259</v>
      </c>
      <c r="G57" s="62" t="s">
        <v>234</v>
      </c>
      <c r="H57" s="62" t="s">
        <v>146</v>
      </c>
      <c r="I57" s="62" t="s">
        <v>19</v>
      </c>
      <c r="J57" s="62" t="s">
        <v>140</v>
      </c>
      <c r="K57" s="64">
        <v>10.199999999999999</v>
      </c>
      <c r="L57" s="64">
        <f t="shared" si="0"/>
        <v>2.04</v>
      </c>
      <c r="M57" s="65">
        <f>prodnorm7</f>
        <v>0</v>
      </c>
      <c r="N57" s="66">
        <f>dagwerk7</f>
        <v>0</v>
      </c>
      <c r="O57" s="62" t="s">
        <v>44</v>
      </c>
      <c r="P57" s="67">
        <f>uurtarief7</f>
        <v>0</v>
      </c>
      <c r="Q57" s="64" t="e">
        <f t="shared" si="1"/>
        <v>#DIV/0!</v>
      </c>
      <c r="R57" s="64" t="e">
        <f t="shared" si="2"/>
        <v>#DIV/0!</v>
      </c>
      <c r="S57" s="67" t="e">
        <f t="shared" si="3"/>
        <v>#DIV/0!</v>
      </c>
      <c r="T57" s="64" t="e">
        <f t="shared" si="4"/>
        <v>#DIV/0!</v>
      </c>
      <c r="U57" s="68" t="e">
        <f t="shared" si="5"/>
        <v>#DIV/0!</v>
      </c>
    </row>
    <row r="58" spans="1:21" x14ac:dyDescent="0.2">
      <c r="A58" s="61" t="s">
        <v>208</v>
      </c>
      <c r="B58" s="62" t="s">
        <v>209</v>
      </c>
      <c r="C58" s="62" t="s">
        <v>280</v>
      </c>
      <c r="D58" s="62" t="s">
        <v>288</v>
      </c>
      <c r="E58" s="62" t="s">
        <v>209</v>
      </c>
      <c r="F58" s="63" t="s">
        <v>261</v>
      </c>
      <c r="G58" s="62" t="s">
        <v>234</v>
      </c>
      <c r="H58" s="62" t="s">
        <v>158</v>
      </c>
      <c r="I58" s="62" t="s">
        <v>10</v>
      </c>
      <c r="J58" s="62" t="s">
        <v>140</v>
      </c>
      <c r="K58" s="64">
        <v>12</v>
      </c>
      <c r="L58" s="64">
        <f t="shared" si="0"/>
        <v>12</v>
      </c>
      <c r="M58" s="65">
        <f>prodnorm17</f>
        <v>0</v>
      </c>
      <c r="N58" s="66">
        <f>dagwerk17</f>
        <v>0</v>
      </c>
      <c r="O58" s="62" t="s">
        <v>44</v>
      </c>
      <c r="P58" s="67">
        <f>uurtarief17</f>
        <v>0</v>
      </c>
      <c r="Q58" s="64" t="e">
        <f t="shared" si="1"/>
        <v>#DIV/0!</v>
      </c>
      <c r="R58" s="64" t="e">
        <f t="shared" si="2"/>
        <v>#DIV/0!</v>
      </c>
      <c r="S58" s="67" t="e">
        <f t="shared" si="3"/>
        <v>#DIV/0!</v>
      </c>
      <c r="T58" s="64" t="e">
        <f t="shared" si="4"/>
        <v>#DIV/0!</v>
      </c>
      <c r="U58" s="68" t="e">
        <f t="shared" si="5"/>
        <v>#DIV/0!</v>
      </c>
    </row>
    <row r="59" spans="1:21" x14ac:dyDescent="0.2">
      <c r="A59" s="61" t="s">
        <v>208</v>
      </c>
      <c r="B59" s="62" t="s">
        <v>209</v>
      </c>
      <c r="C59" s="62" t="s">
        <v>280</v>
      </c>
      <c r="D59" s="62" t="s">
        <v>289</v>
      </c>
      <c r="E59" s="62" t="s">
        <v>209</v>
      </c>
      <c r="F59" s="63" t="s">
        <v>254</v>
      </c>
      <c r="G59" s="62" t="s">
        <v>234</v>
      </c>
      <c r="H59" s="62" t="s">
        <v>164</v>
      </c>
      <c r="I59" s="62" t="s">
        <v>10</v>
      </c>
      <c r="J59" s="62" t="s">
        <v>140</v>
      </c>
      <c r="K59" s="64">
        <v>4.2</v>
      </c>
      <c r="L59" s="64">
        <f t="shared" si="0"/>
        <v>4.2</v>
      </c>
      <c r="M59" s="65">
        <f>prodnorm21</f>
        <v>0</v>
      </c>
      <c r="N59" s="66">
        <f>dagwerk21</f>
        <v>0</v>
      </c>
      <c r="O59" s="62" t="s">
        <v>44</v>
      </c>
      <c r="P59" s="67">
        <f>uurtarief21</f>
        <v>0</v>
      </c>
      <c r="Q59" s="64" t="e">
        <f t="shared" si="1"/>
        <v>#DIV/0!</v>
      </c>
      <c r="R59" s="64" t="e">
        <f t="shared" si="2"/>
        <v>#DIV/0!</v>
      </c>
      <c r="S59" s="67" t="e">
        <f t="shared" si="3"/>
        <v>#DIV/0!</v>
      </c>
      <c r="T59" s="64" t="e">
        <f t="shared" si="4"/>
        <v>#DIV/0!</v>
      </c>
      <c r="U59" s="68" t="e">
        <f t="shared" si="5"/>
        <v>#DIV/0!</v>
      </c>
    </row>
    <row r="60" spans="1:21" x14ac:dyDescent="0.2">
      <c r="A60" s="61" t="s">
        <v>208</v>
      </c>
      <c r="B60" s="62" t="s">
        <v>209</v>
      </c>
      <c r="C60" s="62" t="s">
        <v>280</v>
      </c>
      <c r="D60" s="62" t="s">
        <v>290</v>
      </c>
      <c r="E60" s="62" t="s">
        <v>209</v>
      </c>
      <c r="F60" s="63" t="s">
        <v>257</v>
      </c>
      <c r="G60" s="62" t="s">
        <v>234</v>
      </c>
      <c r="H60" s="62" t="s">
        <v>146</v>
      </c>
      <c r="I60" s="62" t="s">
        <v>10</v>
      </c>
      <c r="J60" s="62" t="s">
        <v>140</v>
      </c>
      <c r="K60" s="64">
        <v>5</v>
      </c>
      <c r="L60" s="64">
        <f t="shared" si="0"/>
        <v>5</v>
      </c>
      <c r="M60" s="65">
        <f>prodnorm8</f>
        <v>0</v>
      </c>
      <c r="N60" s="66">
        <f>dagwerk8</f>
        <v>0</v>
      </c>
      <c r="O60" s="62" t="s">
        <v>44</v>
      </c>
      <c r="P60" s="67">
        <f>uurtarief8</f>
        <v>0</v>
      </c>
      <c r="Q60" s="64" t="e">
        <f t="shared" si="1"/>
        <v>#DIV/0!</v>
      </c>
      <c r="R60" s="64" t="e">
        <f t="shared" si="2"/>
        <v>#DIV/0!</v>
      </c>
      <c r="S60" s="67" t="e">
        <f t="shared" si="3"/>
        <v>#DIV/0!</v>
      </c>
      <c r="T60" s="64" t="e">
        <f t="shared" si="4"/>
        <v>#DIV/0!</v>
      </c>
      <c r="U60" s="68" t="e">
        <f t="shared" si="5"/>
        <v>#DIV/0!</v>
      </c>
    </row>
    <row r="61" spans="1:21" x14ac:dyDescent="0.2">
      <c r="A61" s="61" t="s">
        <v>208</v>
      </c>
      <c r="B61" s="62" t="s">
        <v>209</v>
      </c>
      <c r="C61" s="62" t="s">
        <v>280</v>
      </c>
      <c r="D61" s="62" t="s">
        <v>291</v>
      </c>
      <c r="E61" s="62" t="s">
        <v>209</v>
      </c>
      <c r="F61" s="63" t="s">
        <v>257</v>
      </c>
      <c r="G61" s="62" t="s">
        <v>234</v>
      </c>
      <c r="H61" s="62" t="s">
        <v>146</v>
      </c>
      <c r="I61" s="62" t="s">
        <v>10</v>
      </c>
      <c r="J61" s="62" t="s">
        <v>140</v>
      </c>
      <c r="K61" s="64">
        <v>13.2</v>
      </c>
      <c r="L61" s="64">
        <f t="shared" si="0"/>
        <v>13.2</v>
      </c>
      <c r="M61" s="65">
        <f>prodnorm8</f>
        <v>0</v>
      </c>
      <c r="N61" s="66">
        <f>dagwerk8</f>
        <v>0</v>
      </c>
      <c r="O61" s="62" t="s">
        <v>44</v>
      </c>
      <c r="P61" s="67">
        <f>uurtarief8</f>
        <v>0</v>
      </c>
      <c r="Q61" s="64" t="e">
        <f t="shared" si="1"/>
        <v>#DIV/0!</v>
      </c>
      <c r="R61" s="64" t="e">
        <f t="shared" si="2"/>
        <v>#DIV/0!</v>
      </c>
      <c r="S61" s="67" t="e">
        <f t="shared" si="3"/>
        <v>#DIV/0!</v>
      </c>
      <c r="T61" s="64" t="e">
        <f t="shared" si="4"/>
        <v>#DIV/0!</v>
      </c>
      <c r="U61" s="68" t="e">
        <f t="shared" si="5"/>
        <v>#DIV/0!</v>
      </c>
    </row>
    <row r="62" spans="1:21" x14ac:dyDescent="0.2">
      <c r="A62" s="61" t="s">
        <v>208</v>
      </c>
      <c r="B62" s="62" t="s">
        <v>209</v>
      </c>
      <c r="C62" s="62" t="s">
        <v>280</v>
      </c>
      <c r="D62" s="62" t="s">
        <v>292</v>
      </c>
      <c r="E62" s="62" t="s">
        <v>209</v>
      </c>
      <c r="F62" s="63" t="s">
        <v>261</v>
      </c>
      <c r="G62" s="62" t="s">
        <v>213</v>
      </c>
      <c r="H62" s="62" t="s">
        <v>158</v>
      </c>
      <c r="I62" s="62" t="s">
        <v>10</v>
      </c>
      <c r="J62" s="62" t="s">
        <v>140</v>
      </c>
      <c r="K62" s="64">
        <v>33.4</v>
      </c>
      <c r="L62" s="64">
        <f t="shared" si="0"/>
        <v>33.4</v>
      </c>
      <c r="M62" s="65">
        <f>prodnorm17</f>
        <v>0</v>
      </c>
      <c r="N62" s="66">
        <f>dagwerk17</f>
        <v>0</v>
      </c>
      <c r="O62" s="62" t="s">
        <v>44</v>
      </c>
      <c r="P62" s="67">
        <f>uurtarief17</f>
        <v>0</v>
      </c>
      <c r="Q62" s="64" t="e">
        <f t="shared" si="1"/>
        <v>#DIV/0!</v>
      </c>
      <c r="R62" s="64" t="e">
        <f t="shared" si="2"/>
        <v>#DIV/0!</v>
      </c>
      <c r="S62" s="67" t="e">
        <f t="shared" si="3"/>
        <v>#DIV/0!</v>
      </c>
      <c r="T62" s="64" t="e">
        <f t="shared" si="4"/>
        <v>#DIV/0!</v>
      </c>
      <c r="U62" s="68" t="e">
        <f t="shared" si="5"/>
        <v>#DIV/0!</v>
      </c>
    </row>
    <row r="63" spans="1:21" x14ac:dyDescent="0.2">
      <c r="A63" s="61" t="s">
        <v>208</v>
      </c>
      <c r="B63" s="62" t="s">
        <v>209</v>
      </c>
      <c r="C63" s="62" t="s">
        <v>280</v>
      </c>
      <c r="D63" s="62" t="s">
        <v>293</v>
      </c>
      <c r="E63" s="62" t="s">
        <v>209</v>
      </c>
      <c r="F63" s="63" t="s">
        <v>266</v>
      </c>
      <c r="G63" s="62" t="s">
        <v>213</v>
      </c>
      <c r="H63" s="62" t="s">
        <v>166</v>
      </c>
      <c r="I63" s="62" t="s">
        <v>10</v>
      </c>
      <c r="J63" s="62" t="s">
        <v>140</v>
      </c>
      <c r="K63" s="64">
        <v>5.4</v>
      </c>
      <c r="L63" s="64">
        <f t="shared" si="0"/>
        <v>5.4</v>
      </c>
      <c r="M63" s="65">
        <f>prodnorm22</f>
        <v>0</v>
      </c>
      <c r="N63" s="66">
        <f>dagwerk22</f>
        <v>0</v>
      </c>
      <c r="O63" s="62" t="s">
        <v>44</v>
      </c>
      <c r="P63" s="67">
        <f>uurtarief22</f>
        <v>0</v>
      </c>
      <c r="Q63" s="64" t="e">
        <f t="shared" si="1"/>
        <v>#DIV/0!</v>
      </c>
      <c r="R63" s="64" t="e">
        <f t="shared" si="2"/>
        <v>#DIV/0!</v>
      </c>
      <c r="S63" s="67" t="e">
        <f t="shared" si="3"/>
        <v>#DIV/0!</v>
      </c>
      <c r="T63" s="64" t="e">
        <f t="shared" si="4"/>
        <v>#DIV/0!</v>
      </c>
      <c r="U63" s="68" t="e">
        <f t="shared" si="5"/>
        <v>#DIV/0!</v>
      </c>
    </row>
    <row r="64" spans="1:21" x14ac:dyDescent="0.2">
      <c r="A64" s="61" t="s">
        <v>208</v>
      </c>
      <c r="B64" s="62" t="s">
        <v>209</v>
      </c>
      <c r="C64" s="62" t="s">
        <v>294</v>
      </c>
      <c r="D64" s="62" t="s">
        <v>295</v>
      </c>
      <c r="E64" s="62" t="s">
        <v>209</v>
      </c>
      <c r="F64" s="63" t="s">
        <v>250</v>
      </c>
      <c r="G64" s="62" t="s">
        <v>213</v>
      </c>
      <c r="H64" s="62" t="s">
        <v>168</v>
      </c>
      <c r="I64" s="62" t="s">
        <v>10</v>
      </c>
      <c r="J64" s="62" t="s">
        <v>140</v>
      </c>
      <c r="K64" s="64">
        <v>24.1</v>
      </c>
      <c r="L64" s="64">
        <f t="shared" si="0"/>
        <v>24.1</v>
      </c>
      <c r="M64" s="65">
        <f>prodnorm24</f>
        <v>0</v>
      </c>
      <c r="N64" s="66">
        <f>dagwerk24</f>
        <v>0</v>
      </c>
      <c r="O64" s="62" t="s">
        <v>44</v>
      </c>
      <c r="P64" s="67">
        <f>uurtarief24</f>
        <v>0</v>
      </c>
      <c r="Q64" s="64" t="e">
        <f t="shared" si="1"/>
        <v>#DIV/0!</v>
      </c>
      <c r="R64" s="64" t="e">
        <f t="shared" si="2"/>
        <v>#DIV/0!</v>
      </c>
      <c r="S64" s="67" t="e">
        <f t="shared" si="3"/>
        <v>#DIV/0!</v>
      </c>
      <c r="T64" s="64" t="e">
        <f t="shared" si="4"/>
        <v>#DIV/0!</v>
      </c>
      <c r="U64" s="68" t="e">
        <f t="shared" si="5"/>
        <v>#DIV/0!</v>
      </c>
    </row>
    <row r="65" spans="1:21" x14ac:dyDescent="0.2">
      <c r="A65" s="61" t="s">
        <v>208</v>
      </c>
      <c r="B65" s="62" t="s">
        <v>209</v>
      </c>
      <c r="C65" s="62" t="s">
        <v>294</v>
      </c>
      <c r="D65" s="62" t="s">
        <v>296</v>
      </c>
      <c r="E65" s="62" t="s">
        <v>209</v>
      </c>
      <c r="F65" s="63" t="s">
        <v>215</v>
      </c>
      <c r="G65" s="62" t="s">
        <v>213</v>
      </c>
      <c r="H65" s="62" t="s">
        <v>168</v>
      </c>
      <c r="I65" s="62" t="s">
        <v>10</v>
      </c>
      <c r="J65" s="62" t="s">
        <v>140</v>
      </c>
      <c r="K65" s="64">
        <v>68.2</v>
      </c>
      <c r="L65" s="64">
        <f t="shared" si="0"/>
        <v>68.2</v>
      </c>
      <c r="M65" s="65">
        <f>prodnorm24</f>
        <v>0</v>
      </c>
      <c r="N65" s="66">
        <f>dagwerk24</f>
        <v>0</v>
      </c>
      <c r="O65" s="62" t="s">
        <v>44</v>
      </c>
      <c r="P65" s="67">
        <f>uurtarief24</f>
        <v>0</v>
      </c>
      <c r="Q65" s="64" t="e">
        <f t="shared" si="1"/>
        <v>#DIV/0!</v>
      </c>
      <c r="R65" s="64" t="e">
        <f t="shared" si="2"/>
        <v>#DIV/0!</v>
      </c>
      <c r="S65" s="67" t="e">
        <f t="shared" si="3"/>
        <v>#DIV/0!</v>
      </c>
      <c r="T65" s="64" t="e">
        <f t="shared" si="4"/>
        <v>#DIV/0!</v>
      </c>
      <c r="U65" s="68" t="e">
        <f t="shared" si="5"/>
        <v>#DIV/0!</v>
      </c>
    </row>
    <row r="66" spans="1:21" x14ac:dyDescent="0.2">
      <c r="A66" s="61" t="s">
        <v>208</v>
      </c>
      <c r="B66" s="62" t="s">
        <v>209</v>
      </c>
      <c r="C66" s="62" t="s">
        <v>294</v>
      </c>
      <c r="D66" s="62" t="s">
        <v>297</v>
      </c>
      <c r="E66" s="62" t="s">
        <v>209</v>
      </c>
      <c r="F66" s="63" t="s">
        <v>254</v>
      </c>
      <c r="G66" s="62" t="s">
        <v>234</v>
      </c>
      <c r="H66" s="62" t="s">
        <v>164</v>
      </c>
      <c r="I66" s="62" t="s">
        <v>10</v>
      </c>
      <c r="J66" s="62" t="s">
        <v>140</v>
      </c>
      <c r="K66" s="64">
        <v>10</v>
      </c>
      <c r="L66" s="64">
        <f t="shared" si="0"/>
        <v>10</v>
      </c>
      <c r="M66" s="65">
        <f>prodnorm21</f>
        <v>0</v>
      </c>
      <c r="N66" s="66">
        <f>dagwerk21</f>
        <v>0</v>
      </c>
      <c r="O66" s="62" t="s">
        <v>44</v>
      </c>
      <c r="P66" s="67">
        <f>uurtarief21</f>
        <v>0</v>
      </c>
      <c r="Q66" s="64" t="e">
        <f t="shared" si="1"/>
        <v>#DIV/0!</v>
      </c>
      <c r="R66" s="64" t="e">
        <f t="shared" si="2"/>
        <v>#DIV/0!</v>
      </c>
      <c r="S66" s="67" t="e">
        <f t="shared" si="3"/>
        <v>#DIV/0!</v>
      </c>
      <c r="T66" s="64" t="e">
        <f t="shared" si="4"/>
        <v>#DIV/0!</v>
      </c>
      <c r="U66" s="68" t="e">
        <f t="shared" si="5"/>
        <v>#DIV/0!</v>
      </c>
    </row>
    <row r="67" spans="1:21" x14ac:dyDescent="0.2">
      <c r="A67" s="61" t="s">
        <v>208</v>
      </c>
      <c r="B67" s="62" t="s">
        <v>209</v>
      </c>
      <c r="C67" s="62" t="s">
        <v>294</v>
      </c>
      <c r="D67" s="62" t="s">
        <v>298</v>
      </c>
      <c r="E67" s="62" t="s">
        <v>209</v>
      </c>
      <c r="F67" s="63" t="s">
        <v>254</v>
      </c>
      <c r="G67" s="62" t="s">
        <v>234</v>
      </c>
      <c r="H67" s="62" t="s">
        <v>164</v>
      </c>
      <c r="I67" s="62" t="s">
        <v>10</v>
      </c>
      <c r="J67" s="62" t="s">
        <v>140</v>
      </c>
      <c r="K67" s="64">
        <v>5.5</v>
      </c>
      <c r="L67" s="64">
        <f t="shared" si="0"/>
        <v>5.5</v>
      </c>
      <c r="M67" s="65">
        <f>prodnorm21</f>
        <v>0</v>
      </c>
      <c r="N67" s="66">
        <f>dagwerk21</f>
        <v>0</v>
      </c>
      <c r="O67" s="62" t="s">
        <v>44</v>
      </c>
      <c r="P67" s="67">
        <f>uurtarief21</f>
        <v>0</v>
      </c>
      <c r="Q67" s="64" t="e">
        <f t="shared" si="1"/>
        <v>#DIV/0!</v>
      </c>
      <c r="R67" s="64" t="e">
        <f t="shared" si="2"/>
        <v>#DIV/0!</v>
      </c>
      <c r="S67" s="67" t="e">
        <f t="shared" si="3"/>
        <v>#DIV/0!</v>
      </c>
      <c r="T67" s="64" t="e">
        <f t="shared" si="4"/>
        <v>#DIV/0!</v>
      </c>
      <c r="U67" s="68" t="e">
        <f t="shared" si="5"/>
        <v>#DIV/0!</v>
      </c>
    </row>
    <row r="68" spans="1:21" x14ac:dyDescent="0.2">
      <c r="A68" s="61" t="s">
        <v>208</v>
      </c>
      <c r="B68" s="62" t="s">
        <v>209</v>
      </c>
      <c r="C68" s="62" t="s">
        <v>294</v>
      </c>
      <c r="D68" s="62" t="s">
        <v>299</v>
      </c>
      <c r="E68" s="62" t="s">
        <v>209</v>
      </c>
      <c r="F68" s="63" t="s">
        <v>257</v>
      </c>
      <c r="G68" s="62" t="s">
        <v>234</v>
      </c>
      <c r="H68" s="62" t="s">
        <v>146</v>
      </c>
      <c r="I68" s="62" t="s">
        <v>10</v>
      </c>
      <c r="J68" s="62" t="s">
        <v>140</v>
      </c>
      <c r="K68" s="64">
        <v>4</v>
      </c>
      <c r="L68" s="64">
        <f t="shared" si="0"/>
        <v>4</v>
      </c>
      <c r="M68" s="65">
        <f>prodnorm8</f>
        <v>0</v>
      </c>
      <c r="N68" s="66">
        <f>dagwerk8</f>
        <v>0</v>
      </c>
      <c r="O68" s="62" t="s">
        <v>44</v>
      </c>
      <c r="P68" s="67">
        <f>uurtarief8</f>
        <v>0</v>
      </c>
      <c r="Q68" s="64" t="e">
        <f t="shared" si="1"/>
        <v>#DIV/0!</v>
      </c>
      <c r="R68" s="64" t="e">
        <f t="shared" si="2"/>
        <v>#DIV/0!</v>
      </c>
      <c r="S68" s="67" t="e">
        <f t="shared" si="3"/>
        <v>#DIV/0!</v>
      </c>
      <c r="T68" s="64" t="e">
        <f t="shared" si="4"/>
        <v>#DIV/0!</v>
      </c>
      <c r="U68" s="68" t="e">
        <f t="shared" si="5"/>
        <v>#DIV/0!</v>
      </c>
    </row>
    <row r="69" spans="1:21" x14ac:dyDescent="0.2">
      <c r="A69" s="61" t="s">
        <v>208</v>
      </c>
      <c r="B69" s="62" t="s">
        <v>209</v>
      </c>
      <c r="C69" s="62" t="s">
        <v>294</v>
      </c>
      <c r="D69" s="62" t="s">
        <v>300</v>
      </c>
      <c r="E69" s="62" t="s">
        <v>209</v>
      </c>
      <c r="F69" s="63" t="s">
        <v>259</v>
      </c>
      <c r="G69" s="62" t="s">
        <v>234</v>
      </c>
      <c r="H69" s="62" t="s">
        <v>146</v>
      </c>
      <c r="I69" s="62" t="s">
        <v>19</v>
      </c>
      <c r="J69" s="62" t="s">
        <v>140</v>
      </c>
      <c r="K69" s="64">
        <v>10.199999999999999</v>
      </c>
      <c r="L69" s="64">
        <f t="shared" ref="L69:L132" si="6">K69*VLOOKUP(I69,dagsoorttabel1,2,FALSE)</f>
        <v>2.04</v>
      </c>
      <c r="M69" s="65">
        <f>prodnorm7</f>
        <v>0</v>
      </c>
      <c r="N69" s="66">
        <f>dagwerk7</f>
        <v>0</v>
      </c>
      <c r="O69" s="62" t="s">
        <v>44</v>
      </c>
      <c r="P69" s="67">
        <f>uurtarief7</f>
        <v>0</v>
      </c>
      <c r="Q69" s="64" t="e">
        <f t="shared" ref="Q69:Q132" si="7">IF(ISBLANK(M69),0,L69/ROUND(M69,4))</f>
        <v>#DIV/0!</v>
      </c>
      <c r="R69" s="64" t="e">
        <f t="shared" ref="R69:R132" si="8">IF(ISBLANK(M69),0,Q69*ROUND(N69,2))</f>
        <v>#DIV/0!</v>
      </c>
      <c r="S69" s="67" t="e">
        <f t="shared" ref="S69:S132" si="9">ROUND(P69,2)*Q69</f>
        <v>#DIV/0!</v>
      </c>
      <c r="T69" s="64" t="e">
        <f t="shared" ref="T69:T132" si="10">Q69*dagenperjaar1</f>
        <v>#DIV/0!</v>
      </c>
      <c r="U69" s="68" t="e">
        <f t="shared" ref="U69:U132" si="11">T69*ROUND(P69,2)</f>
        <v>#DIV/0!</v>
      </c>
    </row>
    <row r="70" spans="1:21" x14ac:dyDescent="0.2">
      <c r="A70" s="61" t="s">
        <v>208</v>
      </c>
      <c r="B70" s="62" t="s">
        <v>209</v>
      </c>
      <c r="C70" s="62" t="s">
        <v>294</v>
      </c>
      <c r="D70" s="62" t="s">
        <v>301</v>
      </c>
      <c r="E70" s="62" t="s">
        <v>209</v>
      </c>
      <c r="F70" s="63" t="s">
        <v>261</v>
      </c>
      <c r="G70" s="62" t="s">
        <v>234</v>
      </c>
      <c r="H70" s="62" t="s">
        <v>158</v>
      </c>
      <c r="I70" s="62" t="s">
        <v>10</v>
      </c>
      <c r="J70" s="62" t="s">
        <v>140</v>
      </c>
      <c r="K70" s="64">
        <v>12</v>
      </c>
      <c r="L70" s="64">
        <f t="shared" si="6"/>
        <v>12</v>
      </c>
      <c r="M70" s="65">
        <f>prodnorm17</f>
        <v>0</v>
      </c>
      <c r="N70" s="66">
        <f>dagwerk17</f>
        <v>0</v>
      </c>
      <c r="O70" s="62" t="s">
        <v>44</v>
      </c>
      <c r="P70" s="67">
        <f>uurtarief17</f>
        <v>0</v>
      </c>
      <c r="Q70" s="64" t="e">
        <f t="shared" si="7"/>
        <v>#DIV/0!</v>
      </c>
      <c r="R70" s="64" t="e">
        <f t="shared" si="8"/>
        <v>#DIV/0!</v>
      </c>
      <c r="S70" s="67" t="e">
        <f t="shared" si="9"/>
        <v>#DIV/0!</v>
      </c>
      <c r="T70" s="64" t="e">
        <f t="shared" si="10"/>
        <v>#DIV/0!</v>
      </c>
      <c r="U70" s="68" t="e">
        <f t="shared" si="11"/>
        <v>#DIV/0!</v>
      </c>
    </row>
    <row r="71" spans="1:21" x14ac:dyDescent="0.2">
      <c r="A71" s="61" t="s">
        <v>208</v>
      </c>
      <c r="B71" s="62" t="s">
        <v>209</v>
      </c>
      <c r="C71" s="62" t="s">
        <v>294</v>
      </c>
      <c r="D71" s="62" t="s">
        <v>302</v>
      </c>
      <c r="E71" s="62" t="s">
        <v>209</v>
      </c>
      <c r="F71" s="63" t="s">
        <v>254</v>
      </c>
      <c r="G71" s="62" t="s">
        <v>234</v>
      </c>
      <c r="H71" s="62" t="s">
        <v>164</v>
      </c>
      <c r="I71" s="62" t="s">
        <v>10</v>
      </c>
      <c r="J71" s="62" t="s">
        <v>140</v>
      </c>
      <c r="K71" s="64">
        <v>4.2</v>
      </c>
      <c r="L71" s="64">
        <f t="shared" si="6"/>
        <v>4.2</v>
      </c>
      <c r="M71" s="65">
        <f>prodnorm21</f>
        <v>0</v>
      </c>
      <c r="N71" s="66">
        <f>dagwerk21</f>
        <v>0</v>
      </c>
      <c r="O71" s="62" t="s">
        <v>44</v>
      </c>
      <c r="P71" s="67">
        <f>uurtarief21</f>
        <v>0</v>
      </c>
      <c r="Q71" s="64" t="e">
        <f t="shared" si="7"/>
        <v>#DIV/0!</v>
      </c>
      <c r="R71" s="64" t="e">
        <f t="shared" si="8"/>
        <v>#DIV/0!</v>
      </c>
      <c r="S71" s="67" t="e">
        <f t="shared" si="9"/>
        <v>#DIV/0!</v>
      </c>
      <c r="T71" s="64" t="e">
        <f t="shared" si="10"/>
        <v>#DIV/0!</v>
      </c>
      <c r="U71" s="68" t="e">
        <f t="shared" si="11"/>
        <v>#DIV/0!</v>
      </c>
    </row>
    <row r="72" spans="1:21" x14ac:dyDescent="0.2">
      <c r="A72" s="61" t="s">
        <v>208</v>
      </c>
      <c r="B72" s="62" t="s">
        <v>209</v>
      </c>
      <c r="C72" s="62" t="s">
        <v>294</v>
      </c>
      <c r="D72" s="62" t="s">
        <v>303</v>
      </c>
      <c r="E72" s="62" t="s">
        <v>209</v>
      </c>
      <c r="F72" s="63" t="s">
        <v>257</v>
      </c>
      <c r="G72" s="62" t="s">
        <v>234</v>
      </c>
      <c r="H72" s="62" t="s">
        <v>146</v>
      </c>
      <c r="I72" s="62" t="s">
        <v>10</v>
      </c>
      <c r="J72" s="62" t="s">
        <v>140</v>
      </c>
      <c r="K72" s="64">
        <v>5</v>
      </c>
      <c r="L72" s="64">
        <f t="shared" si="6"/>
        <v>5</v>
      </c>
      <c r="M72" s="65">
        <f>prodnorm8</f>
        <v>0</v>
      </c>
      <c r="N72" s="66">
        <f>dagwerk8</f>
        <v>0</v>
      </c>
      <c r="O72" s="62" t="s">
        <v>44</v>
      </c>
      <c r="P72" s="67">
        <f>uurtarief8</f>
        <v>0</v>
      </c>
      <c r="Q72" s="64" t="e">
        <f t="shared" si="7"/>
        <v>#DIV/0!</v>
      </c>
      <c r="R72" s="64" t="e">
        <f t="shared" si="8"/>
        <v>#DIV/0!</v>
      </c>
      <c r="S72" s="67" t="e">
        <f t="shared" si="9"/>
        <v>#DIV/0!</v>
      </c>
      <c r="T72" s="64" t="e">
        <f t="shared" si="10"/>
        <v>#DIV/0!</v>
      </c>
      <c r="U72" s="68" t="e">
        <f t="shared" si="11"/>
        <v>#DIV/0!</v>
      </c>
    </row>
    <row r="73" spans="1:21" x14ac:dyDescent="0.2">
      <c r="A73" s="61" t="s">
        <v>208</v>
      </c>
      <c r="B73" s="62" t="s">
        <v>209</v>
      </c>
      <c r="C73" s="62" t="s">
        <v>294</v>
      </c>
      <c r="D73" s="62" t="s">
        <v>304</v>
      </c>
      <c r="E73" s="62" t="s">
        <v>209</v>
      </c>
      <c r="F73" s="63" t="s">
        <v>257</v>
      </c>
      <c r="G73" s="62" t="s">
        <v>234</v>
      </c>
      <c r="H73" s="62" t="s">
        <v>146</v>
      </c>
      <c r="I73" s="62" t="s">
        <v>10</v>
      </c>
      <c r="J73" s="62" t="s">
        <v>140</v>
      </c>
      <c r="K73" s="64">
        <v>13.2</v>
      </c>
      <c r="L73" s="64">
        <f t="shared" si="6"/>
        <v>13.2</v>
      </c>
      <c r="M73" s="65">
        <f>prodnorm8</f>
        <v>0</v>
      </c>
      <c r="N73" s="66">
        <f>dagwerk8</f>
        <v>0</v>
      </c>
      <c r="O73" s="62" t="s">
        <v>44</v>
      </c>
      <c r="P73" s="67">
        <f>uurtarief8</f>
        <v>0</v>
      </c>
      <c r="Q73" s="64" t="e">
        <f t="shared" si="7"/>
        <v>#DIV/0!</v>
      </c>
      <c r="R73" s="64" t="e">
        <f t="shared" si="8"/>
        <v>#DIV/0!</v>
      </c>
      <c r="S73" s="67" t="e">
        <f t="shared" si="9"/>
        <v>#DIV/0!</v>
      </c>
      <c r="T73" s="64" t="e">
        <f t="shared" si="10"/>
        <v>#DIV/0!</v>
      </c>
      <c r="U73" s="68" t="e">
        <f t="shared" si="11"/>
        <v>#DIV/0!</v>
      </c>
    </row>
    <row r="74" spans="1:21" x14ac:dyDescent="0.2">
      <c r="A74" s="61" t="s">
        <v>208</v>
      </c>
      <c r="B74" s="62" t="s">
        <v>209</v>
      </c>
      <c r="C74" s="62" t="s">
        <v>294</v>
      </c>
      <c r="D74" s="62" t="s">
        <v>305</v>
      </c>
      <c r="E74" s="62" t="s">
        <v>209</v>
      </c>
      <c r="F74" s="63" t="s">
        <v>261</v>
      </c>
      <c r="G74" s="62" t="s">
        <v>213</v>
      </c>
      <c r="H74" s="62" t="s">
        <v>158</v>
      </c>
      <c r="I74" s="62" t="s">
        <v>10</v>
      </c>
      <c r="J74" s="62" t="s">
        <v>140</v>
      </c>
      <c r="K74" s="64">
        <v>33.5</v>
      </c>
      <c r="L74" s="64">
        <f t="shared" si="6"/>
        <v>33.5</v>
      </c>
      <c r="M74" s="65">
        <f>prodnorm17</f>
        <v>0</v>
      </c>
      <c r="N74" s="66">
        <f>dagwerk17</f>
        <v>0</v>
      </c>
      <c r="O74" s="62" t="s">
        <v>44</v>
      </c>
      <c r="P74" s="67">
        <f>uurtarief17</f>
        <v>0</v>
      </c>
      <c r="Q74" s="64" t="e">
        <f t="shared" si="7"/>
        <v>#DIV/0!</v>
      </c>
      <c r="R74" s="64" t="e">
        <f t="shared" si="8"/>
        <v>#DIV/0!</v>
      </c>
      <c r="S74" s="67" t="e">
        <f t="shared" si="9"/>
        <v>#DIV/0!</v>
      </c>
      <c r="T74" s="64" t="e">
        <f t="shared" si="10"/>
        <v>#DIV/0!</v>
      </c>
      <c r="U74" s="68" t="e">
        <f t="shared" si="11"/>
        <v>#DIV/0!</v>
      </c>
    </row>
    <row r="75" spans="1:21" x14ac:dyDescent="0.2">
      <c r="A75" s="61" t="s">
        <v>208</v>
      </c>
      <c r="B75" s="62" t="s">
        <v>209</v>
      </c>
      <c r="C75" s="62" t="s">
        <v>294</v>
      </c>
      <c r="D75" s="62" t="s">
        <v>306</v>
      </c>
      <c r="E75" s="62" t="s">
        <v>209</v>
      </c>
      <c r="F75" s="63" t="s">
        <v>266</v>
      </c>
      <c r="G75" s="62" t="s">
        <v>213</v>
      </c>
      <c r="H75" s="62" t="s">
        <v>166</v>
      </c>
      <c r="I75" s="62" t="s">
        <v>10</v>
      </c>
      <c r="J75" s="62" t="s">
        <v>140</v>
      </c>
      <c r="K75" s="64">
        <v>5.4</v>
      </c>
      <c r="L75" s="64">
        <f t="shared" si="6"/>
        <v>5.4</v>
      </c>
      <c r="M75" s="65">
        <f>prodnorm22</f>
        <v>0</v>
      </c>
      <c r="N75" s="66">
        <f>dagwerk22</f>
        <v>0</v>
      </c>
      <c r="O75" s="62" t="s">
        <v>44</v>
      </c>
      <c r="P75" s="67">
        <f>uurtarief22</f>
        <v>0</v>
      </c>
      <c r="Q75" s="64" t="e">
        <f t="shared" si="7"/>
        <v>#DIV/0!</v>
      </c>
      <c r="R75" s="64" t="e">
        <f t="shared" si="8"/>
        <v>#DIV/0!</v>
      </c>
      <c r="S75" s="67" t="e">
        <f t="shared" si="9"/>
        <v>#DIV/0!</v>
      </c>
      <c r="T75" s="64" t="e">
        <f t="shared" si="10"/>
        <v>#DIV/0!</v>
      </c>
      <c r="U75" s="68" t="e">
        <f t="shared" si="11"/>
        <v>#DIV/0!</v>
      </c>
    </row>
    <row r="76" spans="1:21" x14ac:dyDescent="0.2">
      <c r="A76" s="61" t="s">
        <v>208</v>
      </c>
      <c r="B76" s="62" t="s">
        <v>209</v>
      </c>
      <c r="C76" s="62" t="s">
        <v>307</v>
      </c>
      <c r="D76" s="62" t="s">
        <v>308</v>
      </c>
      <c r="E76" s="62" t="s">
        <v>209</v>
      </c>
      <c r="F76" s="63" t="s">
        <v>257</v>
      </c>
      <c r="G76" s="62" t="s">
        <v>234</v>
      </c>
      <c r="H76" s="62" t="s">
        <v>146</v>
      </c>
      <c r="I76" s="62" t="s">
        <v>10</v>
      </c>
      <c r="J76" s="62" t="s">
        <v>140</v>
      </c>
      <c r="K76" s="64">
        <v>4</v>
      </c>
      <c r="L76" s="64">
        <f t="shared" si="6"/>
        <v>4</v>
      </c>
      <c r="M76" s="65">
        <f>prodnorm8</f>
        <v>0</v>
      </c>
      <c r="N76" s="66">
        <f>dagwerk8</f>
        <v>0</v>
      </c>
      <c r="O76" s="62" t="s">
        <v>44</v>
      </c>
      <c r="P76" s="67">
        <f>uurtarief8</f>
        <v>0</v>
      </c>
      <c r="Q76" s="64" t="e">
        <f t="shared" si="7"/>
        <v>#DIV/0!</v>
      </c>
      <c r="R76" s="64" t="e">
        <f t="shared" si="8"/>
        <v>#DIV/0!</v>
      </c>
      <c r="S76" s="67" t="e">
        <f t="shared" si="9"/>
        <v>#DIV/0!</v>
      </c>
      <c r="T76" s="64" t="e">
        <f t="shared" si="10"/>
        <v>#DIV/0!</v>
      </c>
      <c r="U76" s="68" t="e">
        <f t="shared" si="11"/>
        <v>#DIV/0!</v>
      </c>
    </row>
    <row r="77" spans="1:21" x14ac:dyDescent="0.2">
      <c r="A77" s="61" t="s">
        <v>208</v>
      </c>
      <c r="B77" s="62" t="s">
        <v>209</v>
      </c>
      <c r="C77" s="62" t="s">
        <v>307</v>
      </c>
      <c r="D77" s="62" t="s">
        <v>309</v>
      </c>
      <c r="E77" s="62" t="s">
        <v>209</v>
      </c>
      <c r="F77" s="63" t="s">
        <v>250</v>
      </c>
      <c r="G77" s="62" t="s">
        <v>213</v>
      </c>
      <c r="H77" s="62" t="s">
        <v>168</v>
      </c>
      <c r="I77" s="62" t="s">
        <v>10</v>
      </c>
      <c r="J77" s="62" t="s">
        <v>140</v>
      </c>
      <c r="K77" s="64">
        <v>24.1</v>
      </c>
      <c r="L77" s="64">
        <f t="shared" si="6"/>
        <v>24.1</v>
      </c>
      <c r="M77" s="65">
        <f>prodnorm24</f>
        <v>0</v>
      </c>
      <c r="N77" s="66">
        <f>dagwerk24</f>
        <v>0</v>
      </c>
      <c r="O77" s="62" t="s">
        <v>44</v>
      </c>
      <c r="P77" s="67">
        <f>uurtarief24</f>
        <v>0</v>
      </c>
      <c r="Q77" s="64" t="e">
        <f t="shared" si="7"/>
        <v>#DIV/0!</v>
      </c>
      <c r="R77" s="64" t="e">
        <f t="shared" si="8"/>
        <v>#DIV/0!</v>
      </c>
      <c r="S77" s="67" t="e">
        <f t="shared" si="9"/>
        <v>#DIV/0!</v>
      </c>
      <c r="T77" s="64" t="e">
        <f t="shared" si="10"/>
        <v>#DIV/0!</v>
      </c>
      <c r="U77" s="68" t="e">
        <f t="shared" si="11"/>
        <v>#DIV/0!</v>
      </c>
    </row>
    <row r="78" spans="1:21" x14ac:dyDescent="0.2">
      <c r="A78" s="61" t="s">
        <v>208</v>
      </c>
      <c r="B78" s="62" t="s">
        <v>209</v>
      </c>
      <c r="C78" s="62" t="s">
        <v>307</v>
      </c>
      <c r="D78" s="62" t="s">
        <v>310</v>
      </c>
      <c r="E78" s="62" t="s">
        <v>209</v>
      </c>
      <c r="F78" s="63" t="s">
        <v>215</v>
      </c>
      <c r="G78" s="62" t="s">
        <v>213</v>
      </c>
      <c r="H78" s="62" t="s">
        <v>168</v>
      </c>
      <c r="I78" s="62" t="s">
        <v>10</v>
      </c>
      <c r="J78" s="62" t="s">
        <v>140</v>
      </c>
      <c r="K78" s="64">
        <v>53.8</v>
      </c>
      <c r="L78" s="64">
        <f t="shared" si="6"/>
        <v>53.8</v>
      </c>
      <c r="M78" s="65">
        <f>prodnorm24</f>
        <v>0</v>
      </c>
      <c r="N78" s="66">
        <f>dagwerk24</f>
        <v>0</v>
      </c>
      <c r="O78" s="62" t="s">
        <v>44</v>
      </c>
      <c r="P78" s="67">
        <f>uurtarief24</f>
        <v>0</v>
      </c>
      <c r="Q78" s="64" t="e">
        <f t="shared" si="7"/>
        <v>#DIV/0!</v>
      </c>
      <c r="R78" s="64" t="e">
        <f t="shared" si="8"/>
        <v>#DIV/0!</v>
      </c>
      <c r="S78" s="67" t="e">
        <f t="shared" si="9"/>
        <v>#DIV/0!</v>
      </c>
      <c r="T78" s="64" t="e">
        <f t="shared" si="10"/>
        <v>#DIV/0!</v>
      </c>
      <c r="U78" s="68" t="e">
        <f t="shared" si="11"/>
        <v>#DIV/0!</v>
      </c>
    </row>
    <row r="79" spans="1:21" x14ac:dyDescent="0.2">
      <c r="A79" s="61" t="s">
        <v>208</v>
      </c>
      <c r="B79" s="62" t="s">
        <v>209</v>
      </c>
      <c r="C79" s="62" t="s">
        <v>307</v>
      </c>
      <c r="D79" s="62" t="s">
        <v>311</v>
      </c>
      <c r="E79" s="62" t="s">
        <v>209</v>
      </c>
      <c r="F79" s="63" t="s">
        <v>215</v>
      </c>
      <c r="G79" s="62" t="s">
        <v>213</v>
      </c>
      <c r="H79" s="62" t="s">
        <v>168</v>
      </c>
      <c r="I79" s="62" t="s">
        <v>10</v>
      </c>
      <c r="J79" s="62" t="s">
        <v>140</v>
      </c>
      <c r="K79" s="64">
        <v>68.3</v>
      </c>
      <c r="L79" s="64">
        <f t="shared" si="6"/>
        <v>68.3</v>
      </c>
      <c r="M79" s="65">
        <f>prodnorm24</f>
        <v>0</v>
      </c>
      <c r="N79" s="66">
        <f>dagwerk24</f>
        <v>0</v>
      </c>
      <c r="O79" s="62" t="s">
        <v>44</v>
      </c>
      <c r="P79" s="67">
        <f>uurtarief24</f>
        <v>0</v>
      </c>
      <c r="Q79" s="64" t="e">
        <f t="shared" si="7"/>
        <v>#DIV/0!</v>
      </c>
      <c r="R79" s="64" t="e">
        <f t="shared" si="8"/>
        <v>#DIV/0!</v>
      </c>
      <c r="S79" s="67" t="e">
        <f t="shared" si="9"/>
        <v>#DIV/0!</v>
      </c>
      <c r="T79" s="64" t="e">
        <f t="shared" si="10"/>
        <v>#DIV/0!</v>
      </c>
      <c r="U79" s="68" t="e">
        <f t="shared" si="11"/>
        <v>#DIV/0!</v>
      </c>
    </row>
    <row r="80" spans="1:21" x14ac:dyDescent="0.2">
      <c r="A80" s="61" t="s">
        <v>208</v>
      </c>
      <c r="B80" s="62" t="s">
        <v>209</v>
      </c>
      <c r="C80" s="62" t="s">
        <v>307</v>
      </c>
      <c r="D80" s="62" t="s">
        <v>312</v>
      </c>
      <c r="E80" s="62" t="s">
        <v>209</v>
      </c>
      <c r="F80" s="63" t="s">
        <v>254</v>
      </c>
      <c r="G80" s="62" t="s">
        <v>234</v>
      </c>
      <c r="H80" s="62" t="s">
        <v>164</v>
      </c>
      <c r="I80" s="62" t="s">
        <v>10</v>
      </c>
      <c r="J80" s="62" t="s">
        <v>140</v>
      </c>
      <c r="K80" s="64">
        <v>10.5</v>
      </c>
      <c r="L80" s="64">
        <f t="shared" si="6"/>
        <v>10.5</v>
      </c>
      <c r="M80" s="65">
        <f>prodnorm21</f>
        <v>0</v>
      </c>
      <c r="N80" s="66">
        <f>dagwerk21</f>
        <v>0</v>
      </c>
      <c r="O80" s="62" t="s">
        <v>44</v>
      </c>
      <c r="P80" s="67">
        <f>uurtarief21</f>
        <v>0</v>
      </c>
      <c r="Q80" s="64" t="e">
        <f t="shared" si="7"/>
        <v>#DIV/0!</v>
      </c>
      <c r="R80" s="64" t="e">
        <f t="shared" si="8"/>
        <v>#DIV/0!</v>
      </c>
      <c r="S80" s="67" t="e">
        <f t="shared" si="9"/>
        <v>#DIV/0!</v>
      </c>
      <c r="T80" s="64" t="e">
        <f t="shared" si="10"/>
        <v>#DIV/0!</v>
      </c>
      <c r="U80" s="68" t="e">
        <f t="shared" si="11"/>
        <v>#DIV/0!</v>
      </c>
    </row>
    <row r="81" spans="1:21" x14ac:dyDescent="0.2">
      <c r="A81" s="61" t="s">
        <v>208</v>
      </c>
      <c r="B81" s="62" t="s">
        <v>209</v>
      </c>
      <c r="C81" s="62" t="s">
        <v>307</v>
      </c>
      <c r="D81" s="62" t="s">
        <v>313</v>
      </c>
      <c r="E81" s="62" t="s">
        <v>209</v>
      </c>
      <c r="F81" s="63" t="s">
        <v>254</v>
      </c>
      <c r="G81" s="62" t="s">
        <v>234</v>
      </c>
      <c r="H81" s="62" t="s">
        <v>164</v>
      </c>
      <c r="I81" s="62" t="s">
        <v>10</v>
      </c>
      <c r="J81" s="62" t="s">
        <v>140</v>
      </c>
      <c r="K81" s="64">
        <v>10.1</v>
      </c>
      <c r="L81" s="64">
        <f t="shared" si="6"/>
        <v>10.1</v>
      </c>
      <c r="M81" s="65">
        <f>prodnorm21</f>
        <v>0</v>
      </c>
      <c r="N81" s="66">
        <f>dagwerk21</f>
        <v>0</v>
      </c>
      <c r="O81" s="62" t="s">
        <v>44</v>
      </c>
      <c r="P81" s="67">
        <f>uurtarief21</f>
        <v>0</v>
      </c>
      <c r="Q81" s="64" t="e">
        <f t="shared" si="7"/>
        <v>#DIV/0!</v>
      </c>
      <c r="R81" s="64" t="e">
        <f t="shared" si="8"/>
        <v>#DIV/0!</v>
      </c>
      <c r="S81" s="67" t="e">
        <f t="shared" si="9"/>
        <v>#DIV/0!</v>
      </c>
      <c r="T81" s="64" t="e">
        <f t="shared" si="10"/>
        <v>#DIV/0!</v>
      </c>
      <c r="U81" s="68" t="e">
        <f t="shared" si="11"/>
        <v>#DIV/0!</v>
      </c>
    </row>
    <row r="82" spans="1:21" x14ac:dyDescent="0.2">
      <c r="A82" s="61" t="s">
        <v>208</v>
      </c>
      <c r="B82" s="62" t="s">
        <v>209</v>
      </c>
      <c r="C82" s="62" t="s">
        <v>307</v>
      </c>
      <c r="D82" s="62" t="s">
        <v>314</v>
      </c>
      <c r="E82" s="62" t="s">
        <v>209</v>
      </c>
      <c r="F82" s="63" t="s">
        <v>259</v>
      </c>
      <c r="G82" s="62" t="s">
        <v>234</v>
      </c>
      <c r="H82" s="62" t="s">
        <v>146</v>
      </c>
      <c r="I82" s="62" t="s">
        <v>19</v>
      </c>
      <c r="J82" s="62" t="s">
        <v>140</v>
      </c>
      <c r="K82" s="64">
        <v>12</v>
      </c>
      <c r="L82" s="64">
        <f t="shared" si="6"/>
        <v>2.4000000000000004</v>
      </c>
      <c r="M82" s="65">
        <f>prodnorm7</f>
        <v>0</v>
      </c>
      <c r="N82" s="66">
        <f>dagwerk7</f>
        <v>0</v>
      </c>
      <c r="O82" s="62" t="s">
        <v>44</v>
      </c>
      <c r="P82" s="67">
        <f>uurtarief7</f>
        <v>0</v>
      </c>
      <c r="Q82" s="64" t="e">
        <f t="shared" si="7"/>
        <v>#DIV/0!</v>
      </c>
      <c r="R82" s="64" t="e">
        <f t="shared" si="8"/>
        <v>#DIV/0!</v>
      </c>
      <c r="S82" s="67" t="e">
        <f t="shared" si="9"/>
        <v>#DIV/0!</v>
      </c>
      <c r="T82" s="64" t="e">
        <f t="shared" si="10"/>
        <v>#DIV/0!</v>
      </c>
      <c r="U82" s="68" t="e">
        <f t="shared" si="11"/>
        <v>#DIV/0!</v>
      </c>
    </row>
    <row r="83" spans="1:21" x14ac:dyDescent="0.2">
      <c r="A83" s="61" t="s">
        <v>208</v>
      </c>
      <c r="B83" s="62" t="s">
        <v>209</v>
      </c>
      <c r="C83" s="62" t="s">
        <v>307</v>
      </c>
      <c r="D83" s="62" t="s">
        <v>315</v>
      </c>
      <c r="E83" s="62" t="s">
        <v>209</v>
      </c>
      <c r="F83" s="63" t="s">
        <v>261</v>
      </c>
      <c r="G83" s="62" t="s">
        <v>234</v>
      </c>
      <c r="H83" s="62" t="s">
        <v>158</v>
      </c>
      <c r="I83" s="62" t="s">
        <v>10</v>
      </c>
      <c r="J83" s="62" t="s">
        <v>140</v>
      </c>
      <c r="K83" s="64">
        <v>12</v>
      </c>
      <c r="L83" s="64">
        <f t="shared" si="6"/>
        <v>12</v>
      </c>
      <c r="M83" s="65">
        <f>prodnorm17</f>
        <v>0</v>
      </c>
      <c r="N83" s="66">
        <f>dagwerk17</f>
        <v>0</v>
      </c>
      <c r="O83" s="62" t="s">
        <v>44</v>
      </c>
      <c r="P83" s="67">
        <f>uurtarief17</f>
        <v>0</v>
      </c>
      <c r="Q83" s="64" t="e">
        <f t="shared" si="7"/>
        <v>#DIV/0!</v>
      </c>
      <c r="R83" s="64" t="e">
        <f t="shared" si="8"/>
        <v>#DIV/0!</v>
      </c>
      <c r="S83" s="67" t="e">
        <f t="shared" si="9"/>
        <v>#DIV/0!</v>
      </c>
      <c r="T83" s="64" t="e">
        <f t="shared" si="10"/>
        <v>#DIV/0!</v>
      </c>
      <c r="U83" s="68" t="e">
        <f t="shared" si="11"/>
        <v>#DIV/0!</v>
      </c>
    </row>
    <row r="84" spans="1:21" x14ac:dyDescent="0.2">
      <c r="A84" s="61" t="s">
        <v>208</v>
      </c>
      <c r="B84" s="62" t="s">
        <v>209</v>
      </c>
      <c r="C84" s="62" t="s">
        <v>307</v>
      </c>
      <c r="D84" s="62" t="s">
        <v>316</v>
      </c>
      <c r="E84" s="62" t="s">
        <v>209</v>
      </c>
      <c r="F84" s="63" t="s">
        <v>254</v>
      </c>
      <c r="G84" s="62" t="s">
        <v>234</v>
      </c>
      <c r="H84" s="62" t="s">
        <v>164</v>
      </c>
      <c r="I84" s="62" t="s">
        <v>10</v>
      </c>
      <c r="J84" s="62" t="s">
        <v>140</v>
      </c>
      <c r="K84" s="64">
        <v>5.2</v>
      </c>
      <c r="L84" s="64">
        <f t="shared" si="6"/>
        <v>5.2</v>
      </c>
      <c r="M84" s="65">
        <f>prodnorm21</f>
        <v>0</v>
      </c>
      <c r="N84" s="66">
        <f>dagwerk21</f>
        <v>0</v>
      </c>
      <c r="O84" s="62" t="s">
        <v>44</v>
      </c>
      <c r="P84" s="67">
        <f>uurtarief21</f>
        <v>0</v>
      </c>
      <c r="Q84" s="64" t="e">
        <f t="shared" si="7"/>
        <v>#DIV/0!</v>
      </c>
      <c r="R84" s="64" t="e">
        <f t="shared" si="8"/>
        <v>#DIV/0!</v>
      </c>
      <c r="S84" s="67" t="e">
        <f t="shared" si="9"/>
        <v>#DIV/0!</v>
      </c>
      <c r="T84" s="64" t="e">
        <f t="shared" si="10"/>
        <v>#DIV/0!</v>
      </c>
      <c r="U84" s="68" t="e">
        <f t="shared" si="11"/>
        <v>#DIV/0!</v>
      </c>
    </row>
    <row r="85" spans="1:21" x14ac:dyDescent="0.2">
      <c r="A85" s="61" t="s">
        <v>208</v>
      </c>
      <c r="B85" s="62" t="s">
        <v>209</v>
      </c>
      <c r="C85" s="62" t="s">
        <v>307</v>
      </c>
      <c r="D85" s="62" t="s">
        <v>317</v>
      </c>
      <c r="E85" s="62" t="s">
        <v>209</v>
      </c>
      <c r="F85" s="63" t="s">
        <v>257</v>
      </c>
      <c r="G85" s="62" t="s">
        <v>234</v>
      </c>
      <c r="H85" s="62" t="s">
        <v>146</v>
      </c>
      <c r="I85" s="62" t="s">
        <v>10</v>
      </c>
      <c r="J85" s="62" t="s">
        <v>140</v>
      </c>
      <c r="K85" s="64">
        <v>5</v>
      </c>
      <c r="L85" s="64">
        <f t="shared" si="6"/>
        <v>5</v>
      </c>
      <c r="M85" s="65">
        <f>prodnorm8</f>
        <v>0</v>
      </c>
      <c r="N85" s="66">
        <f>dagwerk8</f>
        <v>0</v>
      </c>
      <c r="O85" s="62" t="s">
        <v>44</v>
      </c>
      <c r="P85" s="67">
        <f>uurtarief8</f>
        <v>0</v>
      </c>
      <c r="Q85" s="64" t="e">
        <f t="shared" si="7"/>
        <v>#DIV/0!</v>
      </c>
      <c r="R85" s="64" t="e">
        <f t="shared" si="8"/>
        <v>#DIV/0!</v>
      </c>
      <c r="S85" s="67" t="e">
        <f t="shared" si="9"/>
        <v>#DIV/0!</v>
      </c>
      <c r="T85" s="64" t="e">
        <f t="shared" si="10"/>
        <v>#DIV/0!</v>
      </c>
      <c r="U85" s="68" t="e">
        <f t="shared" si="11"/>
        <v>#DIV/0!</v>
      </c>
    </row>
    <row r="86" spans="1:21" x14ac:dyDescent="0.2">
      <c r="A86" s="61" t="s">
        <v>208</v>
      </c>
      <c r="B86" s="62" t="s">
        <v>209</v>
      </c>
      <c r="C86" s="62" t="s">
        <v>307</v>
      </c>
      <c r="D86" s="62" t="s">
        <v>318</v>
      </c>
      <c r="E86" s="62" t="s">
        <v>209</v>
      </c>
      <c r="F86" s="63" t="s">
        <v>257</v>
      </c>
      <c r="G86" s="62" t="s">
        <v>234</v>
      </c>
      <c r="H86" s="62" t="s">
        <v>146</v>
      </c>
      <c r="I86" s="62" t="s">
        <v>10</v>
      </c>
      <c r="J86" s="62" t="s">
        <v>140</v>
      </c>
      <c r="K86" s="64">
        <v>16</v>
      </c>
      <c r="L86" s="64">
        <f t="shared" si="6"/>
        <v>16</v>
      </c>
      <c r="M86" s="65">
        <f>prodnorm8</f>
        <v>0</v>
      </c>
      <c r="N86" s="66">
        <f>dagwerk8</f>
        <v>0</v>
      </c>
      <c r="O86" s="62" t="s">
        <v>44</v>
      </c>
      <c r="P86" s="67">
        <f>uurtarief8</f>
        <v>0</v>
      </c>
      <c r="Q86" s="64" t="e">
        <f t="shared" si="7"/>
        <v>#DIV/0!</v>
      </c>
      <c r="R86" s="64" t="e">
        <f t="shared" si="8"/>
        <v>#DIV/0!</v>
      </c>
      <c r="S86" s="67" t="e">
        <f t="shared" si="9"/>
        <v>#DIV/0!</v>
      </c>
      <c r="T86" s="64" t="e">
        <f t="shared" si="10"/>
        <v>#DIV/0!</v>
      </c>
      <c r="U86" s="68" t="e">
        <f t="shared" si="11"/>
        <v>#DIV/0!</v>
      </c>
    </row>
    <row r="87" spans="1:21" x14ac:dyDescent="0.2">
      <c r="A87" s="61" t="s">
        <v>208</v>
      </c>
      <c r="B87" s="62" t="s">
        <v>209</v>
      </c>
      <c r="C87" s="62" t="s">
        <v>307</v>
      </c>
      <c r="D87" s="62" t="s">
        <v>319</v>
      </c>
      <c r="E87" s="62" t="s">
        <v>209</v>
      </c>
      <c r="F87" s="63" t="s">
        <v>266</v>
      </c>
      <c r="G87" s="62" t="s">
        <v>213</v>
      </c>
      <c r="H87" s="62" t="s">
        <v>166</v>
      </c>
      <c r="I87" s="62" t="s">
        <v>10</v>
      </c>
      <c r="J87" s="62" t="s">
        <v>140</v>
      </c>
      <c r="K87" s="64">
        <v>5.4</v>
      </c>
      <c r="L87" s="64">
        <f t="shared" si="6"/>
        <v>5.4</v>
      </c>
      <c r="M87" s="65">
        <f>prodnorm22</f>
        <v>0</v>
      </c>
      <c r="N87" s="66">
        <f>dagwerk22</f>
        <v>0</v>
      </c>
      <c r="O87" s="62" t="s">
        <v>44</v>
      </c>
      <c r="P87" s="67">
        <f>uurtarief22</f>
        <v>0</v>
      </c>
      <c r="Q87" s="64" t="e">
        <f t="shared" si="7"/>
        <v>#DIV/0!</v>
      </c>
      <c r="R87" s="64" t="e">
        <f t="shared" si="8"/>
        <v>#DIV/0!</v>
      </c>
      <c r="S87" s="67" t="e">
        <f t="shared" si="9"/>
        <v>#DIV/0!</v>
      </c>
      <c r="T87" s="64" t="e">
        <f t="shared" si="10"/>
        <v>#DIV/0!</v>
      </c>
      <c r="U87" s="68" t="e">
        <f t="shared" si="11"/>
        <v>#DIV/0!</v>
      </c>
    </row>
    <row r="88" spans="1:21" x14ac:dyDescent="0.2">
      <c r="A88" s="61" t="s">
        <v>208</v>
      </c>
      <c r="B88" s="62" t="s">
        <v>320</v>
      </c>
      <c r="C88" s="62" t="s">
        <v>210</v>
      </c>
      <c r="D88" s="62" t="s">
        <v>321</v>
      </c>
      <c r="E88" s="62" t="s">
        <v>209</v>
      </c>
      <c r="F88" s="63" t="s">
        <v>322</v>
      </c>
      <c r="G88" s="62" t="s">
        <v>234</v>
      </c>
      <c r="H88" s="62" t="s">
        <v>142</v>
      </c>
      <c r="I88" s="62" t="s">
        <v>10</v>
      </c>
      <c r="J88" s="62" t="s">
        <v>140</v>
      </c>
      <c r="K88" s="64">
        <v>72.599999999999994</v>
      </c>
      <c r="L88" s="64">
        <f t="shared" si="6"/>
        <v>72.599999999999994</v>
      </c>
      <c r="M88" s="65">
        <f>prodnorm5</f>
        <v>0</v>
      </c>
      <c r="N88" s="66">
        <f>dagwerk5</f>
        <v>0</v>
      </c>
      <c r="O88" s="62" t="s">
        <v>44</v>
      </c>
      <c r="P88" s="67">
        <f>uurtarief5</f>
        <v>0</v>
      </c>
      <c r="Q88" s="64" t="e">
        <f t="shared" si="7"/>
        <v>#DIV/0!</v>
      </c>
      <c r="R88" s="64" t="e">
        <f t="shared" si="8"/>
        <v>#DIV/0!</v>
      </c>
      <c r="S88" s="67" t="e">
        <f t="shared" si="9"/>
        <v>#DIV/0!</v>
      </c>
      <c r="T88" s="64" t="e">
        <f t="shared" si="10"/>
        <v>#DIV/0!</v>
      </c>
      <c r="U88" s="68" t="e">
        <f t="shared" si="11"/>
        <v>#DIV/0!</v>
      </c>
    </row>
    <row r="89" spans="1:21" x14ac:dyDescent="0.2">
      <c r="A89" s="61" t="s">
        <v>208</v>
      </c>
      <c r="B89" s="62" t="s">
        <v>320</v>
      </c>
      <c r="C89" s="62" t="s">
        <v>210</v>
      </c>
      <c r="D89" s="62" t="s">
        <v>323</v>
      </c>
      <c r="E89" s="62" t="s">
        <v>209</v>
      </c>
      <c r="F89" s="63" t="s">
        <v>324</v>
      </c>
      <c r="G89" s="62" t="s">
        <v>213</v>
      </c>
      <c r="H89" s="62" t="s">
        <v>160</v>
      </c>
      <c r="I89" s="62" t="s">
        <v>10</v>
      </c>
      <c r="J89" s="62" t="s">
        <v>140</v>
      </c>
      <c r="K89" s="64">
        <v>119.3</v>
      </c>
      <c r="L89" s="64">
        <f t="shared" si="6"/>
        <v>119.3</v>
      </c>
      <c r="M89" s="65">
        <f>prodnorm18</f>
        <v>0</v>
      </c>
      <c r="N89" s="66">
        <f>dagwerk18</f>
        <v>0</v>
      </c>
      <c r="O89" s="62" t="s">
        <v>44</v>
      </c>
      <c r="P89" s="67">
        <f>uurtarief18</f>
        <v>0</v>
      </c>
      <c r="Q89" s="64" t="e">
        <f t="shared" si="7"/>
        <v>#DIV/0!</v>
      </c>
      <c r="R89" s="64" t="e">
        <f t="shared" si="8"/>
        <v>#DIV/0!</v>
      </c>
      <c r="S89" s="67" t="e">
        <f t="shared" si="9"/>
        <v>#DIV/0!</v>
      </c>
      <c r="T89" s="64" t="e">
        <f t="shared" si="10"/>
        <v>#DIV/0!</v>
      </c>
      <c r="U89" s="68" t="e">
        <f t="shared" si="11"/>
        <v>#DIV/0!</v>
      </c>
    </row>
    <row r="90" spans="1:21" x14ac:dyDescent="0.2">
      <c r="A90" s="61" t="s">
        <v>208</v>
      </c>
      <c r="B90" s="62" t="s">
        <v>320</v>
      </c>
      <c r="C90" s="62" t="s">
        <v>210</v>
      </c>
      <c r="D90" s="62" t="s">
        <v>325</v>
      </c>
      <c r="E90" s="62" t="s">
        <v>209</v>
      </c>
      <c r="F90" s="63" t="s">
        <v>326</v>
      </c>
      <c r="G90" s="62" t="s">
        <v>213</v>
      </c>
      <c r="H90" s="62" t="s">
        <v>158</v>
      </c>
      <c r="I90" s="62" t="s">
        <v>19</v>
      </c>
      <c r="J90" s="62" t="s">
        <v>140</v>
      </c>
      <c r="K90" s="64">
        <v>13.6</v>
      </c>
      <c r="L90" s="64">
        <f t="shared" si="6"/>
        <v>2.72</v>
      </c>
      <c r="M90" s="65">
        <f>prodnorm16</f>
        <v>0</v>
      </c>
      <c r="N90" s="66">
        <f>dagwerk16</f>
        <v>0</v>
      </c>
      <c r="O90" s="62" t="s">
        <v>44</v>
      </c>
      <c r="P90" s="67">
        <f>uurtarief16</f>
        <v>0</v>
      </c>
      <c r="Q90" s="64" t="e">
        <f t="shared" si="7"/>
        <v>#DIV/0!</v>
      </c>
      <c r="R90" s="64" t="e">
        <f t="shared" si="8"/>
        <v>#DIV/0!</v>
      </c>
      <c r="S90" s="67" t="e">
        <f t="shared" si="9"/>
        <v>#DIV/0!</v>
      </c>
      <c r="T90" s="64" t="e">
        <f t="shared" si="10"/>
        <v>#DIV/0!</v>
      </c>
      <c r="U90" s="68" t="e">
        <f t="shared" si="11"/>
        <v>#DIV/0!</v>
      </c>
    </row>
    <row r="91" spans="1:21" x14ac:dyDescent="0.2">
      <c r="A91" s="61" t="s">
        <v>208</v>
      </c>
      <c r="B91" s="62" t="s">
        <v>320</v>
      </c>
      <c r="C91" s="62" t="s">
        <v>210</v>
      </c>
      <c r="D91" s="62" t="s">
        <v>327</v>
      </c>
      <c r="E91" s="62" t="s">
        <v>209</v>
      </c>
      <c r="F91" s="63" t="s">
        <v>259</v>
      </c>
      <c r="G91" s="62" t="s">
        <v>234</v>
      </c>
      <c r="H91" s="62" t="s">
        <v>146</v>
      </c>
      <c r="I91" s="62" t="s">
        <v>19</v>
      </c>
      <c r="J91" s="62" t="s">
        <v>140</v>
      </c>
      <c r="K91" s="64">
        <v>0</v>
      </c>
      <c r="L91" s="64">
        <f t="shared" si="6"/>
        <v>0</v>
      </c>
      <c r="M91" s="65"/>
      <c r="N91" s="66"/>
      <c r="O91" s="62" t="s">
        <v>44</v>
      </c>
      <c r="P91" s="67"/>
      <c r="Q91" s="64">
        <f t="shared" si="7"/>
        <v>0</v>
      </c>
      <c r="R91" s="64">
        <f t="shared" si="8"/>
        <v>0</v>
      </c>
      <c r="S91" s="67">
        <f t="shared" si="9"/>
        <v>0</v>
      </c>
      <c r="T91" s="64">
        <f t="shared" si="10"/>
        <v>0</v>
      </c>
      <c r="U91" s="68">
        <f t="shared" si="11"/>
        <v>0</v>
      </c>
    </row>
    <row r="92" spans="1:21" x14ac:dyDescent="0.2">
      <c r="A92" s="61" t="s">
        <v>208</v>
      </c>
      <c r="B92" s="62" t="s">
        <v>320</v>
      </c>
      <c r="C92" s="62" t="s">
        <v>210</v>
      </c>
      <c r="D92" s="62" t="s">
        <v>328</v>
      </c>
      <c r="E92" s="62" t="s">
        <v>209</v>
      </c>
      <c r="F92" s="63" t="s">
        <v>329</v>
      </c>
      <c r="G92" s="62" t="s">
        <v>234</v>
      </c>
      <c r="H92" s="62" t="s">
        <v>164</v>
      </c>
      <c r="I92" s="62" t="s">
        <v>10</v>
      </c>
      <c r="J92" s="62" t="s">
        <v>140</v>
      </c>
      <c r="K92" s="64">
        <v>2</v>
      </c>
      <c r="L92" s="64">
        <f t="shared" si="6"/>
        <v>2</v>
      </c>
      <c r="M92" s="65">
        <f>prodnorm21</f>
        <v>0</v>
      </c>
      <c r="N92" s="66">
        <f>dagwerk21</f>
        <v>0</v>
      </c>
      <c r="O92" s="62" t="s">
        <v>44</v>
      </c>
      <c r="P92" s="67">
        <f>uurtarief21</f>
        <v>0</v>
      </c>
      <c r="Q92" s="64" t="e">
        <f t="shared" si="7"/>
        <v>#DIV/0!</v>
      </c>
      <c r="R92" s="64" t="e">
        <f t="shared" si="8"/>
        <v>#DIV/0!</v>
      </c>
      <c r="S92" s="67" t="e">
        <f t="shared" si="9"/>
        <v>#DIV/0!</v>
      </c>
      <c r="T92" s="64" t="e">
        <f t="shared" si="10"/>
        <v>#DIV/0!</v>
      </c>
      <c r="U92" s="68" t="e">
        <f t="shared" si="11"/>
        <v>#DIV/0!</v>
      </c>
    </row>
    <row r="93" spans="1:21" x14ac:dyDescent="0.2">
      <c r="A93" s="61" t="s">
        <v>208</v>
      </c>
      <c r="B93" s="62" t="s">
        <v>320</v>
      </c>
      <c r="C93" s="62" t="s">
        <v>210</v>
      </c>
      <c r="D93" s="62" t="s">
        <v>330</v>
      </c>
      <c r="E93" s="62" t="s">
        <v>209</v>
      </c>
      <c r="F93" s="63" t="s">
        <v>254</v>
      </c>
      <c r="G93" s="62" t="s">
        <v>234</v>
      </c>
      <c r="H93" s="62" t="s">
        <v>164</v>
      </c>
      <c r="I93" s="62" t="s">
        <v>10</v>
      </c>
      <c r="J93" s="62" t="s">
        <v>140</v>
      </c>
      <c r="K93" s="64">
        <v>1.4</v>
      </c>
      <c r="L93" s="64">
        <f t="shared" si="6"/>
        <v>1.4</v>
      </c>
      <c r="M93" s="65">
        <f>prodnorm21</f>
        <v>0</v>
      </c>
      <c r="N93" s="66">
        <f>dagwerk21</f>
        <v>0</v>
      </c>
      <c r="O93" s="62" t="s">
        <v>44</v>
      </c>
      <c r="P93" s="67">
        <f>uurtarief21</f>
        <v>0</v>
      </c>
      <c r="Q93" s="64" t="e">
        <f t="shared" si="7"/>
        <v>#DIV/0!</v>
      </c>
      <c r="R93" s="64" t="e">
        <f t="shared" si="8"/>
        <v>#DIV/0!</v>
      </c>
      <c r="S93" s="67" t="e">
        <f t="shared" si="9"/>
        <v>#DIV/0!</v>
      </c>
      <c r="T93" s="64" t="e">
        <f t="shared" si="10"/>
        <v>#DIV/0!</v>
      </c>
      <c r="U93" s="68" t="e">
        <f t="shared" si="11"/>
        <v>#DIV/0!</v>
      </c>
    </row>
    <row r="94" spans="1:21" x14ac:dyDescent="0.2">
      <c r="A94" s="61" t="s">
        <v>208</v>
      </c>
      <c r="B94" s="62" t="s">
        <v>320</v>
      </c>
      <c r="C94" s="62" t="s">
        <v>210</v>
      </c>
      <c r="D94" s="62" t="s">
        <v>331</v>
      </c>
      <c r="E94" s="62" t="s">
        <v>209</v>
      </c>
      <c r="F94" s="63" t="s">
        <v>329</v>
      </c>
      <c r="G94" s="62" t="s">
        <v>234</v>
      </c>
      <c r="H94" s="62" t="s">
        <v>164</v>
      </c>
      <c r="I94" s="62" t="s">
        <v>10</v>
      </c>
      <c r="J94" s="62" t="s">
        <v>140</v>
      </c>
      <c r="K94" s="64">
        <v>2</v>
      </c>
      <c r="L94" s="64">
        <f t="shared" si="6"/>
        <v>2</v>
      </c>
      <c r="M94" s="65">
        <f>prodnorm21</f>
        <v>0</v>
      </c>
      <c r="N94" s="66">
        <f>dagwerk21</f>
        <v>0</v>
      </c>
      <c r="O94" s="62" t="s">
        <v>44</v>
      </c>
      <c r="P94" s="67">
        <f>uurtarief21</f>
        <v>0</v>
      </c>
      <c r="Q94" s="64" t="e">
        <f t="shared" si="7"/>
        <v>#DIV/0!</v>
      </c>
      <c r="R94" s="64" t="e">
        <f t="shared" si="8"/>
        <v>#DIV/0!</v>
      </c>
      <c r="S94" s="67" t="e">
        <f t="shared" si="9"/>
        <v>#DIV/0!</v>
      </c>
      <c r="T94" s="64" t="e">
        <f t="shared" si="10"/>
        <v>#DIV/0!</v>
      </c>
      <c r="U94" s="68" t="e">
        <f t="shared" si="11"/>
        <v>#DIV/0!</v>
      </c>
    </row>
    <row r="95" spans="1:21" x14ac:dyDescent="0.2">
      <c r="A95" s="61" t="s">
        <v>208</v>
      </c>
      <c r="B95" s="62" t="s">
        <v>320</v>
      </c>
      <c r="C95" s="62" t="s">
        <v>210</v>
      </c>
      <c r="D95" s="62" t="s">
        <v>332</v>
      </c>
      <c r="E95" s="62" t="s">
        <v>209</v>
      </c>
      <c r="F95" s="63" t="s">
        <v>254</v>
      </c>
      <c r="G95" s="62" t="s">
        <v>234</v>
      </c>
      <c r="H95" s="62" t="s">
        <v>164</v>
      </c>
      <c r="I95" s="62" t="s">
        <v>10</v>
      </c>
      <c r="J95" s="62" t="s">
        <v>140</v>
      </c>
      <c r="K95" s="64">
        <v>1.4</v>
      </c>
      <c r="L95" s="64">
        <f t="shared" si="6"/>
        <v>1.4</v>
      </c>
      <c r="M95" s="65">
        <f>prodnorm21</f>
        <v>0</v>
      </c>
      <c r="N95" s="66">
        <f>dagwerk21</f>
        <v>0</v>
      </c>
      <c r="O95" s="62" t="s">
        <v>44</v>
      </c>
      <c r="P95" s="67">
        <f>uurtarief21</f>
        <v>0</v>
      </c>
      <c r="Q95" s="64" t="e">
        <f t="shared" si="7"/>
        <v>#DIV/0!</v>
      </c>
      <c r="R95" s="64" t="e">
        <f t="shared" si="8"/>
        <v>#DIV/0!</v>
      </c>
      <c r="S95" s="67" t="e">
        <f t="shared" si="9"/>
        <v>#DIV/0!</v>
      </c>
      <c r="T95" s="64" t="e">
        <f t="shared" si="10"/>
        <v>#DIV/0!</v>
      </c>
      <c r="U95" s="68" t="e">
        <f t="shared" si="11"/>
        <v>#DIV/0!</v>
      </c>
    </row>
    <row r="96" spans="1:21" x14ac:dyDescent="0.2">
      <c r="A96" s="61" t="s">
        <v>208</v>
      </c>
      <c r="B96" s="62" t="s">
        <v>320</v>
      </c>
      <c r="C96" s="62" t="s">
        <v>210</v>
      </c>
      <c r="D96" s="62" t="s">
        <v>333</v>
      </c>
      <c r="E96" s="62" t="s">
        <v>209</v>
      </c>
      <c r="F96" s="63" t="s">
        <v>334</v>
      </c>
      <c r="G96" s="62" t="s">
        <v>213</v>
      </c>
      <c r="H96" s="62" t="s">
        <v>139</v>
      </c>
      <c r="I96" s="62" t="s">
        <v>19</v>
      </c>
      <c r="J96" s="62" t="s">
        <v>140</v>
      </c>
      <c r="K96" s="64">
        <v>0</v>
      </c>
      <c r="L96" s="64">
        <f t="shared" si="6"/>
        <v>0</v>
      </c>
      <c r="M96" s="65"/>
      <c r="N96" s="66"/>
      <c r="O96" s="62" t="s">
        <v>44</v>
      </c>
      <c r="P96" s="67"/>
      <c r="Q96" s="64">
        <f t="shared" si="7"/>
        <v>0</v>
      </c>
      <c r="R96" s="64">
        <f t="shared" si="8"/>
        <v>0</v>
      </c>
      <c r="S96" s="67">
        <f t="shared" si="9"/>
        <v>0</v>
      </c>
      <c r="T96" s="64">
        <f t="shared" si="10"/>
        <v>0</v>
      </c>
      <c r="U96" s="68">
        <f t="shared" si="11"/>
        <v>0</v>
      </c>
    </row>
    <row r="97" spans="1:21" x14ac:dyDescent="0.2">
      <c r="A97" s="61" t="s">
        <v>208</v>
      </c>
      <c r="B97" s="62" t="s">
        <v>320</v>
      </c>
      <c r="C97" s="62" t="s">
        <v>210</v>
      </c>
      <c r="D97" s="62" t="s">
        <v>335</v>
      </c>
      <c r="E97" s="62" t="s">
        <v>209</v>
      </c>
      <c r="F97" s="63" t="s">
        <v>336</v>
      </c>
      <c r="G97" s="62" t="s">
        <v>213</v>
      </c>
      <c r="H97" s="62" t="s">
        <v>168</v>
      </c>
      <c r="I97" s="62" t="s">
        <v>10</v>
      </c>
      <c r="J97" s="62" t="s">
        <v>140</v>
      </c>
      <c r="K97" s="64">
        <v>17.7</v>
      </c>
      <c r="L97" s="64">
        <f t="shared" si="6"/>
        <v>17.7</v>
      </c>
      <c r="M97" s="65">
        <f>prodnorm24</f>
        <v>0</v>
      </c>
      <c r="N97" s="66">
        <f>dagwerk24</f>
        <v>0</v>
      </c>
      <c r="O97" s="62" t="s">
        <v>44</v>
      </c>
      <c r="P97" s="67">
        <f>uurtarief24</f>
        <v>0</v>
      </c>
      <c r="Q97" s="64" t="e">
        <f t="shared" si="7"/>
        <v>#DIV/0!</v>
      </c>
      <c r="R97" s="64" t="e">
        <f t="shared" si="8"/>
        <v>#DIV/0!</v>
      </c>
      <c r="S97" s="67" t="e">
        <f t="shared" si="9"/>
        <v>#DIV/0!</v>
      </c>
      <c r="T97" s="64" t="e">
        <f t="shared" si="10"/>
        <v>#DIV/0!</v>
      </c>
      <c r="U97" s="68" t="e">
        <f t="shared" si="11"/>
        <v>#DIV/0!</v>
      </c>
    </row>
    <row r="98" spans="1:21" x14ac:dyDescent="0.2">
      <c r="A98" s="61" t="s">
        <v>208</v>
      </c>
      <c r="B98" s="62" t="s">
        <v>320</v>
      </c>
      <c r="C98" s="62" t="s">
        <v>210</v>
      </c>
      <c r="D98" s="62" t="s">
        <v>337</v>
      </c>
      <c r="E98" s="62" t="s">
        <v>209</v>
      </c>
      <c r="F98" s="63" t="s">
        <v>254</v>
      </c>
      <c r="G98" s="62" t="s">
        <v>234</v>
      </c>
      <c r="H98" s="62" t="s">
        <v>164</v>
      </c>
      <c r="I98" s="62" t="s">
        <v>10</v>
      </c>
      <c r="J98" s="62" t="s">
        <v>140</v>
      </c>
      <c r="K98" s="64">
        <v>1.4</v>
      </c>
      <c r="L98" s="64">
        <f t="shared" si="6"/>
        <v>1.4</v>
      </c>
      <c r="M98" s="65">
        <f>prodnorm21</f>
        <v>0</v>
      </c>
      <c r="N98" s="66">
        <f>dagwerk21</f>
        <v>0</v>
      </c>
      <c r="O98" s="62" t="s">
        <v>44</v>
      </c>
      <c r="P98" s="67">
        <f>uurtarief21</f>
        <v>0</v>
      </c>
      <c r="Q98" s="64" t="e">
        <f t="shared" si="7"/>
        <v>#DIV/0!</v>
      </c>
      <c r="R98" s="64" t="e">
        <f t="shared" si="8"/>
        <v>#DIV/0!</v>
      </c>
      <c r="S98" s="67" t="e">
        <f t="shared" si="9"/>
        <v>#DIV/0!</v>
      </c>
      <c r="T98" s="64" t="e">
        <f t="shared" si="10"/>
        <v>#DIV/0!</v>
      </c>
      <c r="U98" s="68" t="e">
        <f t="shared" si="11"/>
        <v>#DIV/0!</v>
      </c>
    </row>
    <row r="99" spans="1:21" x14ac:dyDescent="0.2">
      <c r="A99" s="61" t="s">
        <v>208</v>
      </c>
      <c r="B99" s="62" t="s">
        <v>320</v>
      </c>
      <c r="C99" s="62" t="s">
        <v>210</v>
      </c>
      <c r="D99" s="62" t="s">
        <v>338</v>
      </c>
      <c r="E99" s="62" t="s">
        <v>209</v>
      </c>
      <c r="F99" s="63" t="s">
        <v>339</v>
      </c>
      <c r="G99" s="62" t="s">
        <v>213</v>
      </c>
      <c r="H99" s="62" t="s">
        <v>148</v>
      </c>
      <c r="I99" s="62" t="s">
        <v>10</v>
      </c>
      <c r="J99" s="62" t="s">
        <v>140</v>
      </c>
      <c r="K99" s="64">
        <v>67.099999999999994</v>
      </c>
      <c r="L99" s="64">
        <f t="shared" si="6"/>
        <v>67.099999999999994</v>
      </c>
      <c r="M99" s="65">
        <f>prodnorm9</f>
        <v>0</v>
      </c>
      <c r="N99" s="66">
        <f>dagwerk9</f>
        <v>0</v>
      </c>
      <c r="O99" s="62" t="s">
        <v>44</v>
      </c>
      <c r="P99" s="67">
        <f>uurtarief9</f>
        <v>0</v>
      </c>
      <c r="Q99" s="64" t="e">
        <f t="shared" si="7"/>
        <v>#DIV/0!</v>
      </c>
      <c r="R99" s="64" t="e">
        <f t="shared" si="8"/>
        <v>#DIV/0!</v>
      </c>
      <c r="S99" s="67" t="e">
        <f t="shared" si="9"/>
        <v>#DIV/0!</v>
      </c>
      <c r="T99" s="64" t="e">
        <f t="shared" si="10"/>
        <v>#DIV/0!</v>
      </c>
      <c r="U99" s="68" t="e">
        <f t="shared" si="11"/>
        <v>#DIV/0!</v>
      </c>
    </row>
    <row r="100" spans="1:21" x14ac:dyDescent="0.2">
      <c r="A100" s="61" t="s">
        <v>208</v>
      </c>
      <c r="B100" s="62" t="s">
        <v>320</v>
      </c>
      <c r="C100" s="62" t="s">
        <v>210</v>
      </c>
      <c r="D100" s="62" t="s">
        <v>340</v>
      </c>
      <c r="E100" s="62" t="s">
        <v>209</v>
      </c>
      <c r="F100" s="63" t="s">
        <v>341</v>
      </c>
      <c r="G100" s="62" t="s">
        <v>234</v>
      </c>
      <c r="H100" s="62" t="s">
        <v>168</v>
      </c>
      <c r="I100" s="62" t="s">
        <v>10</v>
      </c>
      <c r="J100" s="62" t="s">
        <v>140</v>
      </c>
      <c r="K100" s="64">
        <v>166.9</v>
      </c>
      <c r="L100" s="64">
        <f t="shared" si="6"/>
        <v>166.9</v>
      </c>
      <c r="M100" s="65">
        <f>prodnorm24</f>
        <v>0</v>
      </c>
      <c r="N100" s="66">
        <f>dagwerk24</f>
        <v>0</v>
      </c>
      <c r="O100" s="62" t="s">
        <v>44</v>
      </c>
      <c r="P100" s="67">
        <f>uurtarief24</f>
        <v>0</v>
      </c>
      <c r="Q100" s="64" t="e">
        <f t="shared" si="7"/>
        <v>#DIV/0!</v>
      </c>
      <c r="R100" s="64" t="e">
        <f t="shared" si="8"/>
        <v>#DIV/0!</v>
      </c>
      <c r="S100" s="67" t="e">
        <f t="shared" si="9"/>
        <v>#DIV/0!</v>
      </c>
      <c r="T100" s="64" t="e">
        <f t="shared" si="10"/>
        <v>#DIV/0!</v>
      </c>
      <c r="U100" s="68" t="e">
        <f t="shared" si="11"/>
        <v>#DIV/0!</v>
      </c>
    </row>
    <row r="101" spans="1:21" x14ac:dyDescent="0.2">
      <c r="A101" s="61" t="s">
        <v>208</v>
      </c>
      <c r="B101" s="62" t="s">
        <v>320</v>
      </c>
      <c r="C101" s="62" t="s">
        <v>210</v>
      </c>
      <c r="D101" s="62" t="s">
        <v>342</v>
      </c>
      <c r="E101" s="62" t="s">
        <v>209</v>
      </c>
      <c r="F101" s="63" t="s">
        <v>212</v>
      </c>
      <c r="G101" s="62" t="s">
        <v>213</v>
      </c>
      <c r="H101" s="62" t="s">
        <v>166</v>
      </c>
      <c r="I101" s="62" t="s">
        <v>10</v>
      </c>
      <c r="J101" s="62" t="s">
        <v>140</v>
      </c>
      <c r="K101" s="64">
        <v>56.1</v>
      </c>
      <c r="L101" s="64">
        <f t="shared" si="6"/>
        <v>56.1</v>
      </c>
      <c r="M101" s="65">
        <f>prodnorm22</f>
        <v>0</v>
      </c>
      <c r="N101" s="66">
        <f>dagwerk22</f>
        <v>0</v>
      </c>
      <c r="O101" s="62" t="s">
        <v>44</v>
      </c>
      <c r="P101" s="67">
        <f>uurtarief22</f>
        <v>0</v>
      </c>
      <c r="Q101" s="64" t="e">
        <f t="shared" si="7"/>
        <v>#DIV/0!</v>
      </c>
      <c r="R101" s="64" t="e">
        <f t="shared" si="8"/>
        <v>#DIV/0!</v>
      </c>
      <c r="S101" s="67" t="e">
        <f t="shared" si="9"/>
        <v>#DIV/0!</v>
      </c>
      <c r="T101" s="64" t="e">
        <f t="shared" si="10"/>
        <v>#DIV/0!</v>
      </c>
      <c r="U101" s="68" t="e">
        <f t="shared" si="11"/>
        <v>#DIV/0!</v>
      </c>
    </row>
    <row r="102" spans="1:21" x14ac:dyDescent="0.2">
      <c r="A102" s="61" t="s">
        <v>208</v>
      </c>
      <c r="B102" s="62" t="s">
        <v>320</v>
      </c>
      <c r="C102" s="62" t="s">
        <v>210</v>
      </c>
      <c r="D102" s="62" t="s">
        <v>343</v>
      </c>
      <c r="E102" s="62" t="s">
        <v>209</v>
      </c>
      <c r="F102" s="63" t="s">
        <v>236</v>
      </c>
      <c r="G102" s="62" t="s">
        <v>213</v>
      </c>
      <c r="H102" s="62" t="s">
        <v>150</v>
      </c>
      <c r="I102" s="62" t="s">
        <v>10</v>
      </c>
      <c r="J102" s="62" t="s">
        <v>140</v>
      </c>
      <c r="K102" s="64">
        <v>8</v>
      </c>
      <c r="L102" s="64">
        <f t="shared" si="6"/>
        <v>8</v>
      </c>
      <c r="M102" s="65">
        <f>prodnorm10</f>
        <v>0</v>
      </c>
      <c r="N102" s="66">
        <f>dagwerk10</f>
        <v>0</v>
      </c>
      <c r="O102" s="62" t="s">
        <v>44</v>
      </c>
      <c r="P102" s="67">
        <f>uurtarief10</f>
        <v>0</v>
      </c>
      <c r="Q102" s="64" t="e">
        <f t="shared" si="7"/>
        <v>#DIV/0!</v>
      </c>
      <c r="R102" s="64" t="e">
        <f t="shared" si="8"/>
        <v>#DIV/0!</v>
      </c>
      <c r="S102" s="67" t="e">
        <f t="shared" si="9"/>
        <v>#DIV/0!</v>
      </c>
      <c r="T102" s="64" t="e">
        <f t="shared" si="10"/>
        <v>#DIV/0!</v>
      </c>
      <c r="U102" s="68" t="e">
        <f t="shared" si="11"/>
        <v>#DIV/0!</v>
      </c>
    </row>
    <row r="103" spans="1:21" x14ac:dyDescent="0.2">
      <c r="A103" s="61" t="s">
        <v>208</v>
      </c>
      <c r="B103" s="62" t="s">
        <v>320</v>
      </c>
      <c r="C103" s="62" t="s">
        <v>210</v>
      </c>
      <c r="D103" s="62" t="s">
        <v>344</v>
      </c>
      <c r="E103" s="62" t="s">
        <v>209</v>
      </c>
      <c r="F103" s="63" t="s">
        <v>236</v>
      </c>
      <c r="G103" s="62" t="s">
        <v>213</v>
      </c>
      <c r="H103" s="62" t="s">
        <v>150</v>
      </c>
      <c r="I103" s="62" t="s">
        <v>10</v>
      </c>
      <c r="J103" s="62" t="s">
        <v>140</v>
      </c>
      <c r="K103" s="64">
        <v>8</v>
      </c>
      <c r="L103" s="64">
        <f t="shared" si="6"/>
        <v>8</v>
      </c>
      <c r="M103" s="65">
        <f>prodnorm10</f>
        <v>0</v>
      </c>
      <c r="N103" s="66">
        <f>dagwerk10</f>
        <v>0</v>
      </c>
      <c r="O103" s="62" t="s">
        <v>44</v>
      </c>
      <c r="P103" s="67">
        <f>uurtarief10</f>
        <v>0</v>
      </c>
      <c r="Q103" s="64" t="e">
        <f t="shared" si="7"/>
        <v>#DIV/0!</v>
      </c>
      <c r="R103" s="64" t="e">
        <f t="shared" si="8"/>
        <v>#DIV/0!</v>
      </c>
      <c r="S103" s="67" t="e">
        <f t="shared" si="9"/>
        <v>#DIV/0!</v>
      </c>
      <c r="T103" s="64" t="e">
        <f t="shared" si="10"/>
        <v>#DIV/0!</v>
      </c>
      <c r="U103" s="68" t="e">
        <f t="shared" si="11"/>
        <v>#DIV/0!</v>
      </c>
    </row>
    <row r="104" spans="1:21" x14ac:dyDescent="0.2">
      <c r="A104" s="61" t="s">
        <v>208</v>
      </c>
      <c r="B104" s="62" t="s">
        <v>320</v>
      </c>
      <c r="C104" s="62" t="s">
        <v>210</v>
      </c>
      <c r="D104" s="62" t="s">
        <v>345</v>
      </c>
      <c r="E104" s="62" t="s">
        <v>209</v>
      </c>
      <c r="F104" s="63" t="s">
        <v>346</v>
      </c>
      <c r="G104" s="62" t="s">
        <v>227</v>
      </c>
      <c r="H104" s="62" t="s">
        <v>162</v>
      </c>
      <c r="I104" s="62" t="s">
        <v>19</v>
      </c>
      <c r="J104" s="62" t="s">
        <v>140</v>
      </c>
      <c r="K104" s="64">
        <v>31.9</v>
      </c>
      <c r="L104" s="64">
        <f t="shared" si="6"/>
        <v>6.38</v>
      </c>
      <c r="M104" s="65">
        <f>prodnorm19</f>
        <v>0</v>
      </c>
      <c r="N104" s="66">
        <f>dagwerk19</f>
        <v>0</v>
      </c>
      <c r="O104" s="62" t="s">
        <v>44</v>
      </c>
      <c r="P104" s="67">
        <f>uurtarief19</f>
        <v>0</v>
      </c>
      <c r="Q104" s="64" t="e">
        <f t="shared" si="7"/>
        <v>#DIV/0!</v>
      </c>
      <c r="R104" s="64" t="e">
        <f t="shared" si="8"/>
        <v>#DIV/0!</v>
      </c>
      <c r="S104" s="67" t="e">
        <f t="shared" si="9"/>
        <v>#DIV/0!</v>
      </c>
      <c r="T104" s="64" t="e">
        <f t="shared" si="10"/>
        <v>#DIV/0!</v>
      </c>
      <c r="U104" s="68" t="e">
        <f t="shared" si="11"/>
        <v>#DIV/0!</v>
      </c>
    </row>
    <row r="105" spans="1:21" x14ac:dyDescent="0.2">
      <c r="A105" s="61" t="s">
        <v>208</v>
      </c>
      <c r="B105" s="62" t="s">
        <v>320</v>
      </c>
      <c r="C105" s="62" t="s">
        <v>210</v>
      </c>
      <c r="D105" s="62" t="s">
        <v>347</v>
      </c>
      <c r="E105" s="62" t="s">
        <v>209</v>
      </c>
      <c r="F105" s="63" t="s">
        <v>215</v>
      </c>
      <c r="G105" s="62" t="s">
        <v>213</v>
      </c>
      <c r="H105" s="62" t="s">
        <v>168</v>
      </c>
      <c r="I105" s="62" t="s">
        <v>19</v>
      </c>
      <c r="J105" s="62" t="s">
        <v>140</v>
      </c>
      <c r="K105" s="64">
        <v>12.3</v>
      </c>
      <c r="L105" s="64">
        <f t="shared" si="6"/>
        <v>2.4600000000000004</v>
      </c>
      <c r="M105" s="65">
        <f>prodnorm23</f>
        <v>0</v>
      </c>
      <c r="N105" s="66">
        <f>dagwerk23</f>
        <v>0</v>
      </c>
      <c r="O105" s="62" t="s">
        <v>44</v>
      </c>
      <c r="P105" s="67">
        <f>uurtarief23</f>
        <v>0</v>
      </c>
      <c r="Q105" s="64" t="e">
        <f t="shared" si="7"/>
        <v>#DIV/0!</v>
      </c>
      <c r="R105" s="64" t="e">
        <f t="shared" si="8"/>
        <v>#DIV/0!</v>
      </c>
      <c r="S105" s="67" t="e">
        <f t="shared" si="9"/>
        <v>#DIV/0!</v>
      </c>
      <c r="T105" s="64" t="e">
        <f t="shared" si="10"/>
        <v>#DIV/0!</v>
      </c>
      <c r="U105" s="68" t="e">
        <f t="shared" si="11"/>
        <v>#DIV/0!</v>
      </c>
    </row>
    <row r="106" spans="1:21" x14ac:dyDescent="0.2">
      <c r="A106" s="61" t="s">
        <v>208</v>
      </c>
      <c r="B106" s="62" t="s">
        <v>320</v>
      </c>
      <c r="C106" s="62" t="s">
        <v>210</v>
      </c>
      <c r="D106" s="62" t="s">
        <v>348</v>
      </c>
      <c r="E106" s="62" t="s">
        <v>209</v>
      </c>
      <c r="F106" s="63" t="s">
        <v>219</v>
      </c>
      <c r="G106" s="62" t="s">
        <v>213</v>
      </c>
      <c r="H106" s="62" t="s">
        <v>142</v>
      </c>
      <c r="I106" s="62" t="s">
        <v>19</v>
      </c>
      <c r="J106" s="62" t="s">
        <v>140</v>
      </c>
      <c r="K106" s="64">
        <v>12.1</v>
      </c>
      <c r="L106" s="64">
        <f t="shared" si="6"/>
        <v>2.42</v>
      </c>
      <c r="M106" s="65">
        <f>prodnorm4</f>
        <v>0</v>
      </c>
      <c r="N106" s="66">
        <f>dagwerk4</f>
        <v>0</v>
      </c>
      <c r="O106" s="62" t="s">
        <v>44</v>
      </c>
      <c r="P106" s="67">
        <f>uurtarief4</f>
        <v>0</v>
      </c>
      <c r="Q106" s="64" t="e">
        <f t="shared" si="7"/>
        <v>#DIV/0!</v>
      </c>
      <c r="R106" s="64" t="e">
        <f t="shared" si="8"/>
        <v>#DIV/0!</v>
      </c>
      <c r="S106" s="67" t="e">
        <f t="shared" si="9"/>
        <v>#DIV/0!</v>
      </c>
      <c r="T106" s="64" t="e">
        <f t="shared" si="10"/>
        <v>#DIV/0!</v>
      </c>
      <c r="U106" s="68" t="e">
        <f t="shared" si="11"/>
        <v>#DIV/0!</v>
      </c>
    </row>
    <row r="107" spans="1:21" x14ac:dyDescent="0.2">
      <c r="A107" s="61" t="s">
        <v>208</v>
      </c>
      <c r="B107" s="62" t="s">
        <v>320</v>
      </c>
      <c r="C107" s="62" t="s">
        <v>210</v>
      </c>
      <c r="D107" s="62" t="s">
        <v>349</v>
      </c>
      <c r="E107" s="62" t="s">
        <v>209</v>
      </c>
      <c r="F107" s="63" t="s">
        <v>215</v>
      </c>
      <c r="G107" s="62" t="s">
        <v>213</v>
      </c>
      <c r="H107" s="62" t="s">
        <v>168</v>
      </c>
      <c r="I107" s="62" t="s">
        <v>19</v>
      </c>
      <c r="J107" s="62" t="s">
        <v>140</v>
      </c>
      <c r="K107" s="64">
        <v>136.19999999999999</v>
      </c>
      <c r="L107" s="64">
        <f t="shared" si="6"/>
        <v>27.24</v>
      </c>
      <c r="M107" s="65">
        <f>prodnorm23</f>
        <v>0</v>
      </c>
      <c r="N107" s="66">
        <f>dagwerk23</f>
        <v>0</v>
      </c>
      <c r="O107" s="62" t="s">
        <v>44</v>
      </c>
      <c r="P107" s="67">
        <f>uurtarief23</f>
        <v>0</v>
      </c>
      <c r="Q107" s="64" t="e">
        <f t="shared" si="7"/>
        <v>#DIV/0!</v>
      </c>
      <c r="R107" s="64" t="e">
        <f t="shared" si="8"/>
        <v>#DIV/0!</v>
      </c>
      <c r="S107" s="67" t="e">
        <f t="shared" si="9"/>
        <v>#DIV/0!</v>
      </c>
      <c r="T107" s="64" t="e">
        <f t="shared" si="10"/>
        <v>#DIV/0!</v>
      </c>
      <c r="U107" s="68" t="e">
        <f t="shared" si="11"/>
        <v>#DIV/0!</v>
      </c>
    </row>
    <row r="108" spans="1:21" x14ac:dyDescent="0.2">
      <c r="A108" s="61" t="s">
        <v>208</v>
      </c>
      <c r="B108" s="62" t="s">
        <v>320</v>
      </c>
      <c r="C108" s="62" t="s">
        <v>210</v>
      </c>
      <c r="D108" s="62" t="s">
        <v>350</v>
      </c>
      <c r="E108" s="62" t="s">
        <v>209</v>
      </c>
      <c r="F108" s="63" t="s">
        <v>351</v>
      </c>
      <c r="G108" s="62" t="s">
        <v>234</v>
      </c>
      <c r="H108" s="62" t="s">
        <v>164</v>
      </c>
      <c r="I108" s="62" t="s">
        <v>10</v>
      </c>
      <c r="J108" s="62" t="s">
        <v>140</v>
      </c>
      <c r="K108" s="64">
        <v>4.0999999999999996</v>
      </c>
      <c r="L108" s="64">
        <f t="shared" si="6"/>
        <v>4.0999999999999996</v>
      </c>
      <c r="M108" s="65">
        <f>prodnorm21</f>
        <v>0</v>
      </c>
      <c r="N108" s="66">
        <f>dagwerk21</f>
        <v>0</v>
      </c>
      <c r="O108" s="62" t="s">
        <v>44</v>
      </c>
      <c r="P108" s="67">
        <f>uurtarief21</f>
        <v>0</v>
      </c>
      <c r="Q108" s="64" t="e">
        <f t="shared" si="7"/>
        <v>#DIV/0!</v>
      </c>
      <c r="R108" s="64" t="e">
        <f t="shared" si="8"/>
        <v>#DIV/0!</v>
      </c>
      <c r="S108" s="67" t="e">
        <f t="shared" si="9"/>
        <v>#DIV/0!</v>
      </c>
      <c r="T108" s="64" t="e">
        <f t="shared" si="10"/>
        <v>#DIV/0!</v>
      </c>
      <c r="U108" s="68" t="e">
        <f t="shared" si="11"/>
        <v>#DIV/0!</v>
      </c>
    </row>
    <row r="109" spans="1:21" x14ac:dyDescent="0.2">
      <c r="A109" s="61" t="s">
        <v>208</v>
      </c>
      <c r="B109" s="62" t="s">
        <v>320</v>
      </c>
      <c r="C109" s="62" t="s">
        <v>210</v>
      </c>
      <c r="D109" s="62" t="s">
        <v>352</v>
      </c>
      <c r="E109" s="62" t="s">
        <v>209</v>
      </c>
      <c r="F109" s="63" t="s">
        <v>254</v>
      </c>
      <c r="G109" s="62" t="s">
        <v>234</v>
      </c>
      <c r="H109" s="62" t="s">
        <v>164</v>
      </c>
      <c r="I109" s="62" t="s">
        <v>10</v>
      </c>
      <c r="J109" s="62" t="s">
        <v>140</v>
      </c>
      <c r="K109" s="64">
        <v>1.3</v>
      </c>
      <c r="L109" s="64">
        <f t="shared" si="6"/>
        <v>1.3</v>
      </c>
      <c r="M109" s="65">
        <f>prodnorm21</f>
        <v>0</v>
      </c>
      <c r="N109" s="66">
        <f>dagwerk21</f>
        <v>0</v>
      </c>
      <c r="O109" s="62" t="s">
        <v>44</v>
      </c>
      <c r="P109" s="67">
        <f>uurtarief21</f>
        <v>0</v>
      </c>
      <c r="Q109" s="64" t="e">
        <f t="shared" si="7"/>
        <v>#DIV/0!</v>
      </c>
      <c r="R109" s="64" t="e">
        <f t="shared" si="8"/>
        <v>#DIV/0!</v>
      </c>
      <c r="S109" s="67" t="e">
        <f t="shared" si="9"/>
        <v>#DIV/0!</v>
      </c>
      <c r="T109" s="64" t="e">
        <f t="shared" si="10"/>
        <v>#DIV/0!</v>
      </c>
      <c r="U109" s="68" t="e">
        <f t="shared" si="11"/>
        <v>#DIV/0!</v>
      </c>
    </row>
    <row r="110" spans="1:21" x14ac:dyDescent="0.2">
      <c r="A110" s="61" t="s">
        <v>208</v>
      </c>
      <c r="B110" s="62" t="s">
        <v>320</v>
      </c>
      <c r="C110" s="62" t="s">
        <v>210</v>
      </c>
      <c r="D110" s="62" t="s">
        <v>353</v>
      </c>
      <c r="E110" s="62" t="s">
        <v>209</v>
      </c>
      <c r="F110" s="63" t="s">
        <v>351</v>
      </c>
      <c r="G110" s="62" t="s">
        <v>234</v>
      </c>
      <c r="H110" s="62" t="s">
        <v>164</v>
      </c>
      <c r="I110" s="62" t="s">
        <v>19</v>
      </c>
      <c r="J110" s="62" t="s">
        <v>140</v>
      </c>
      <c r="K110" s="64">
        <v>2.1</v>
      </c>
      <c r="L110" s="64">
        <f t="shared" si="6"/>
        <v>0.42000000000000004</v>
      </c>
      <c r="M110" s="65">
        <f>prodnorm20</f>
        <v>0</v>
      </c>
      <c r="N110" s="66">
        <f>dagwerk20</f>
        <v>0</v>
      </c>
      <c r="O110" s="62" t="s">
        <v>44</v>
      </c>
      <c r="P110" s="67">
        <f>uurtarief20</f>
        <v>0</v>
      </c>
      <c r="Q110" s="64" t="e">
        <f t="shared" si="7"/>
        <v>#DIV/0!</v>
      </c>
      <c r="R110" s="64" t="e">
        <f t="shared" si="8"/>
        <v>#DIV/0!</v>
      </c>
      <c r="S110" s="67" t="e">
        <f t="shared" si="9"/>
        <v>#DIV/0!</v>
      </c>
      <c r="T110" s="64" t="e">
        <f t="shared" si="10"/>
        <v>#DIV/0!</v>
      </c>
      <c r="U110" s="68" t="e">
        <f t="shared" si="11"/>
        <v>#DIV/0!</v>
      </c>
    </row>
    <row r="111" spans="1:21" x14ac:dyDescent="0.2">
      <c r="A111" s="61" t="s">
        <v>208</v>
      </c>
      <c r="B111" s="62" t="s">
        <v>320</v>
      </c>
      <c r="C111" s="62" t="s">
        <v>210</v>
      </c>
      <c r="D111" s="62" t="s">
        <v>354</v>
      </c>
      <c r="E111" s="62" t="s">
        <v>209</v>
      </c>
      <c r="F111" s="63" t="s">
        <v>254</v>
      </c>
      <c r="G111" s="62" t="s">
        <v>234</v>
      </c>
      <c r="H111" s="62" t="s">
        <v>164</v>
      </c>
      <c r="I111" s="62" t="s">
        <v>19</v>
      </c>
      <c r="J111" s="62" t="s">
        <v>140</v>
      </c>
      <c r="K111" s="64">
        <v>1.6</v>
      </c>
      <c r="L111" s="64">
        <f t="shared" si="6"/>
        <v>0.32000000000000006</v>
      </c>
      <c r="M111" s="65">
        <f>prodnorm20</f>
        <v>0</v>
      </c>
      <c r="N111" s="66">
        <f>dagwerk20</f>
        <v>0</v>
      </c>
      <c r="O111" s="62" t="s">
        <v>44</v>
      </c>
      <c r="P111" s="67">
        <f>uurtarief20</f>
        <v>0</v>
      </c>
      <c r="Q111" s="64" t="e">
        <f t="shared" si="7"/>
        <v>#DIV/0!</v>
      </c>
      <c r="R111" s="64" t="e">
        <f t="shared" si="8"/>
        <v>#DIV/0!</v>
      </c>
      <c r="S111" s="67" t="e">
        <f t="shared" si="9"/>
        <v>#DIV/0!</v>
      </c>
      <c r="T111" s="64" t="e">
        <f t="shared" si="10"/>
        <v>#DIV/0!</v>
      </c>
      <c r="U111" s="68" t="e">
        <f t="shared" si="11"/>
        <v>#DIV/0!</v>
      </c>
    </row>
    <row r="112" spans="1:21" x14ac:dyDescent="0.2">
      <c r="A112" s="61" t="s">
        <v>208</v>
      </c>
      <c r="B112" s="62" t="s">
        <v>320</v>
      </c>
      <c r="C112" s="62" t="s">
        <v>210</v>
      </c>
      <c r="D112" s="62" t="s">
        <v>355</v>
      </c>
      <c r="E112" s="62" t="s">
        <v>209</v>
      </c>
      <c r="F112" s="63" t="s">
        <v>356</v>
      </c>
      <c r="G112" s="62" t="s">
        <v>213</v>
      </c>
      <c r="H112" s="62" t="s">
        <v>154</v>
      </c>
      <c r="I112" s="62" t="s">
        <v>16</v>
      </c>
      <c r="J112" s="62" t="s">
        <v>140</v>
      </c>
      <c r="K112" s="64">
        <v>156.4</v>
      </c>
      <c r="L112" s="64">
        <f t="shared" si="6"/>
        <v>62.56</v>
      </c>
      <c r="M112" s="65">
        <f>prodnorm13</f>
        <v>0</v>
      </c>
      <c r="N112" s="66">
        <f>dagwerk13</f>
        <v>0</v>
      </c>
      <c r="O112" s="62" t="s">
        <v>44</v>
      </c>
      <c r="P112" s="67">
        <f>uurtarief13</f>
        <v>0</v>
      </c>
      <c r="Q112" s="64" t="e">
        <f t="shared" si="7"/>
        <v>#DIV/0!</v>
      </c>
      <c r="R112" s="64" t="e">
        <f t="shared" si="8"/>
        <v>#DIV/0!</v>
      </c>
      <c r="S112" s="67" t="e">
        <f t="shared" si="9"/>
        <v>#DIV/0!</v>
      </c>
      <c r="T112" s="64" t="e">
        <f t="shared" si="10"/>
        <v>#DIV/0!</v>
      </c>
      <c r="U112" s="68" t="e">
        <f t="shared" si="11"/>
        <v>#DIV/0!</v>
      </c>
    </row>
    <row r="113" spans="1:21" x14ac:dyDescent="0.2">
      <c r="A113" s="61" t="s">
        <v>208</v>
      </c>
      <c r="B113" s="62" t="s">
        <v>320</v>
      </c>
      <c r="C113" s="62" t="s">
        <v>210</v>
      </c>
      <c r="D113" s="62" t="s">
        <v>357</v>
      </c>
      <c r="E113" s="62" t="s">
        <v>209</v>
      </c>
      <c r="F113" s="63" t="s">
        <v>358</v>
      </c>
      <c r="G113" s="62" t="s">
        <v>213</v>
      </c>
      <c r="H113" s="62" t="s">
        <v>168</v>
      </c>
      <c r="I113" s="62" t="s">
        <v>19</v>
      </c>
      <c r="J113" s="62" t="s">
        <v>140</v>
      </c>
      <c r="K113" s="64">
        <v>19.7</v>
      </c>
      <c r="L113" s="64">
        <f t="shared" si="6"/>
        <v>3.94</v>
      </c>
      <c r="M113" s="65">
        <f>prodnorm23</f>
        <v>0</v>
      </c>
      <c r="N113" s="66">
        <f>dagwerk23</f>
        <v>0</v>
      </c>
      <c r="O113" s="62" t="s">
        <v>44</v>
      </c>
      <c r="P113" s="67">
        <f>uurtarief23</f>
        <v>0</v>
      </c>
      <c r="Q113" s="64" t="e">
        <f t="shared" si="7"/>
        <v>#DIV/0!</v>
      </c>
      <c r="R113" s="64" t="e">
        <f t="shared" si="8"/>
        <v>#DIV/0!</v>
      </c>
      <c r="S113" s="67" t="e">
        <f t="shared" si="9"/>
        <v>#DIV/0!</v>
      </c>
      <c r="T113" s="64" t="e">
        <f t="shared" si="10"/>
        <v>#DIV/0!</v>
      </c>
      <c r="U113" s="68" t="e">
        <f t="shared" si="11"/>
        <v>#DIV/0!</v>
      </c>
    </row>
    <row r="114" spans="1:21" x14ac:dyDescent="0.2">
      <c r="A114" s="61" t="s">
        <v>208</v>
      </c>
      <c r="B114" s="62" t="s">
        <v>320</v>
      </c>
      <c r="C114" s="62" t="s">
        <v>210</v>
      </c>
      <c r="D114" s="62" t="s">
        <v>359</v>
      </c>
      <c r="E114" s="62" t="s">
        <v>209</v>
      </c>
      <c r="F114" s="63" t="s">
        <v>358</v>
      </c>
      <c r="G114" s="62" t="s">
        <v>213</v>
      </c>
      <c r="H114" s="62" t="s">
        <v>168</v>
      </c>
      <c r="I114" s="62" t="s">
        <v>19</v>
      </c>
      <c r="J114" s="62" t="s">
        <v>140</v>
      </c>
      <c r="K114" s="64">
        <v>17.2</v>
      </c>
      <c r="L114" s="64">
        <f t="shared" si="6"/>
        <v>3.44</v>
      </c>
      <c r="M114" s="65">
        <f>prodnorm23</f>
        <v>0</v>
      </c>
      <c r="N114" s="66">
        <f>dagwerk23</f>
        <v>0</v>
      </c>
      <c r="O114" s="62" t="s">
        <v>44</v>
      </c>
      <c r="P114" s="67">
        <f>uurtarief23</f>
        <v>0</v>
      </c>
      <c r="Q114" s="64" t="e">
        <f t="shared" si="7"/>
        <v>#DIV/0!</v>
      </c>
      <c r="R114" s="64" t="e">
        <f t="shared" si="8"/>
        <v>#DIV/0!</v>
      </c>
      <c r="S114" s="67" t="e">
        <f t="shared" si="9"/>
        <v>#DIV/0!</v>
      </c>
      <c r="T114" s="64" t="e">
        <f t="shared" si="10"/>
        <v>#DIV/0!</v>
      </c>
      <c r="U114" s="68" t="e">
        <f t="shared" si="11"/>
        <v>#DIV/0!</v>
      </c>
    </row>
    <row r="115" spans="1:21" x14ac:dyDescent="0.2">
      <c r="A115" s="61" t="s">
        <v>208</v>
      </c>
      <c r="B115" s="62" t="s">
        <v>320</v>
      </c>
      <c r="C115" s="62" t="s">
        <v>210</v>
      </c>
      <c r="D115" s="62" t="s">
        <v>360</v>
      </c>
      <c r="E115" s="62" t="s">
        <v>209</v>
      </c>
      <c r="F115" s="63" t="s">
        <v>361</v>
      </c>
      <c r="G115" s="62" t="s">
        <v>227</v>
      </c>
      <c r="H115" s="62" t="s">
        <v>144</v>
      </c>
      <c r="I115" s="62" t="s">
        <v>19</v>
      </c>
      <c r="J115" s="62" t="s">
        <v>140</v>
      </c>
      <c r="K115" s="64">
        <v>34.5</v>
      </c>
      <c r="L115" s="64">
        <f t="shared" si="6"/>
        <v>6.9</v>
      </c>
      <c r="M115" s="65">
        <f>prodnorm6</f>
        <v>0</v>
      </c>
      <c r="N115" s="66">
        <f>dagwerk6</f>
        <v>0</v>
      </c>
      <c r="O115" s="62" t="s">
        <v>44</v>
      </c>
      <c r="P115" s="67">
        <f>uurtarief6</f>
        <v>0</v>
      </c>
      <c r="Q115" s="64" t="e">
        <f t="shared" si="7"/>
        <v>#DIV/0!</v>
      </c>
      <c r="R115" s="64" t="e">
        <f t="shared" si="8"/>
        <v>#DIV/0!</v>
      </c>
      <c r="S115" s="67" t="e">
        <f t="shared" si="9"/>
        <v>#DIV/0!</v>
      </c>
      <c r="T115" s="64" t="e">
        <f t="shared" si="10"/>
        <v>#DIV/0!</v>
      </c>
      <c r="U115" s="68" t="e">
        <f t="shared" si="11"/>
        <v>#DIV/0!</v>
      </c>
    </row>
    <row r="116" spans="1:21" x14ac:dyDescent="0.2">
      <c r="A116" s="61" t="s">
        <v>208</v>
      </c>
      <c r="B116" s="62" t="s">
        <v>320</v>
      </c>
      <c r="C116" s="62" t="s">
        <v>210</v>
      </c>
      <c r="D116" s="62" t="s">
        <v>362</v>
      </c>
      <c r="E116" s="62" t="s">
        <v>209</v>
      </c>
      <c r="F116" s="63" t="s">
        <v>361</v>
      </c>
      <c r="G116" s="62" t="s">
        <v>227</v>
      </c>
      <c r="H116" s="62" t="s">
        <v>144</v>
      </c>
      <c r="I116" s="62" t="s">
        <v>19</v>
      </c>
      <c r="J116" s="62" t="s">
        <v>140</v>
      </c>
      <c r="K116" s="64">
        <v>30.9</v>
      </c>
      <c r="L116" s="64">
        <f t="shared" si="6"/>
        <v>6.18</v>
      </c>
      <c r="M116" s="65">
        <f>prodnorm6</f>
        <v>0</v>
      </c>
      <c r="N116" s="66">
        <f>dagwerk6</f>
        <v>0</v>
      </c>
      <c r="O116" s="62" t="s">
        <v>44</v>
      </c>
      <c r="P116" s="67">
        <f>uurtarief6</f>
        <v>0</v>
      </c>
      <c r="Q116" s="64" t="e">
        <f t="shared" si="7"/>
        <v>#DIV/0!</v>
      </c>
      <c r="R116" s="64" t="e">
        <f t="shared" si="8"/>
        <v>#DIV/0!</v>
      </c>
      <c r="S116" s="67" t="e">
        <f t="shared" si="9"/>
        <v>#DIV/0!</v>
      </c>
      <c r="T116" s="64" t="e">
        <f t="shared" si="10"/>
        <v>#DIV/0!</v>
      </c>
      <c r="U116" s="68" t="e">
        <f t="shared" si="11"/>
        <v>#DIV/0!</v>
      </c>
    </row>
    <row r="117" spans="1:21" x14ac:dyDescent="0.2">
      <c r="A117" s="61" t="s">
        <v>208</v>
      </c>
      <c r="B117" s="62" t="s">
        <v>320</v>
      </c>
      <c r="C117" s="62" t="s">
        <v>210</v>
      </c>
      <c r="D117" s="62" t="s">
        <v>363</v>
      </c>
      <c r="E117" s="62" t="s">
        <v>209</v>
      </c>
      <c r="F117" s="63" t="s">
        <v>250</v>
      </c>
      <c r="G117" s="62" t="s">
        <v>213</v>
      </c>
      <c r="H117" s="62" t="s">
        <v>168</v>
      </c>
      <c r="I117" s="62" t="s">
        <v>10</v>
      </c>
      <c r="J117" s="62" t="s">
        <v>140</v>
      </c>
      <c r="K117" s="64">
        <v>98.1</v>
      </c>
      <c r="L117" s="64">
        <f t="shared" si="6"/>
        <v>98.1</v>
      </c>
      <c r="M117" s="65">
        <f>prodnorm24</f>
        <v>0</v>
      </c>
      <c r="N117" s="66">
        <f>dagwerk24</f>
        <v>0</v>
      </c>
      <c r="O117" s="62" t="s">
        <v>44</v>
      </c>
      <c r="P117" s="67">
        <f>uurtarief24</f>
        <v>0</v>
      </c>
      <c r="Q117" s="64" t="e">
        <f t="shared" si="7"/>
        <v>#DIV/0!</v>
      </c>
      <c r="R117" s="64" t="e">
        <f t="shared" si="8"/>
        <v>#DIV/0!</v>
      </c>
      <c r="S117" s="67" t="e">
        <f t="shared" si="9"/>
        <v>#DIV/0!</v>
      </c>
      <c r="T117" s="64" t="e">
        <f t="shared" si="10"/>
        <v>#DIV/0!</v>
      </c>
      <c r="U117" s="68" t="e">
        <f t="shared" si="11"/>
        <v>#DIV/0!</v>
      </c>
    </row>
    <row r="118" spans="1:21" x14ac:dyDescent="0.2">
      <c r="A118" s="61" t="s">
        <v>208</v>
      </c>
      <c r="B118" s="62" t="s">
        <v>320</v>
      </c>
      <c r="C118" s="62" t="s">
        <v>248</v>
      </c>
      <c r="D118" s="62" t="s">
        <v>364</v>
      </c>
      <c r="E118" s="62" t="s">
        <v>209</v>
      </c>
      <c r="F118" s="63" t="s">
        <v>212</v>
      </c>
      <c r="G118" s="62" t="s">
        <v>213</v>
      </c>
      <c r="H118" s="62" t="s">
        <v>166</v>
      </c>
      <c r="I118" s="62" t="s">
        <v>10</v>
      </c>
      <c r="J118" s="62" t="s">
        <v>140</v>
      </c>
      <c r="K118" s="64">
        <v>44.7</v>
      </c>
      <c r="L118" s="64">
        <f t="shared" si="6"/>
        <v>44.7</v>
      </c>
      <c r="M118" s="65">
        <f>prodnorm22</f>
        <v>0</v>
      </c>
      <c r="N118" s="66">
        <f>dagwerk22</f>
        <v>0</v>
      </c>
      <c r="O118" s="62" t="s">
        <v>44</v>
      </c>
      <c r="P118" s="67">
        <f>uurtarief22</f>
        <v>0</v>
      </c>
      <c r="Q118" s="64" t="e">
        <f t="shared" si="7"/>
        <v>#DIV/0!</v>
      </c>
      <c r="R118" s="64" t="e">
        <f t="shared" si="8"/>
        <v>#DIV/0!</v>
      </c>
      <c r="S118" s="67" t="e">
        <f t="shared" si="9"/>
        <v>#DIV/0!</v>
      </c>
      <c r="T118" s="64" t="e">
        <f t="shared" si="10"/>
        <v>#DIV/0!</v>
      </c>
      <c r="U118" s="68" t="e">
        <f t="shared" si="11"/>
        <v>#DIV/0!</v>
      </c>
    </row>
    <row r="119" spans="1:21" x14ac:dyDescent="0.2">
      <c r="A119" s="61" t="s">
        <v>208</v>
      </c>
      <c r="B119" s="62" t="s">
        <v>320</v>
      </c>
      <c r="C119" s="62" t="s">
        <v>248</v>
      </c>
      <c r="D119" s="62" t="s">
        <v>365</v>
      </c>
      <c r="E119" s="62" t="s">
        <v>209</v>
      </c>
      <c r="F119" s="63" t="s">
        <v>366</v>
      </c>
      <c r="G119" s="62" t="s">
        <v>213</v>
      </c>
      <c r="H119" s="62" t="s">
        <v>142</v>
      </c>
      <c r="I119" s="62" t="s">
        <v>19</v>
      </c>
      <c r="J119" s="62" t="s">
        <v>140</v>
      </c>
      <c r="K119" s="64">
        <v>8</v>
      </c>
      <c r="L119" s="64">
        <f t="shared" si="6"/>
        <v>1.6</v>
      </c>
      <c r="M119" s="65">
        <f>prodnorm4</f>
        <v>0</v>
      </c>
      <c r="N119" s="66">
        <f>dagwerk4</f>
        <v>0</v>
      </c>
      <c r="O119" s="62" t="s">
        <v>44</v>
      </c>
      <c r="P119" s="67">
        <f>uurtarief4</f>
        <v>0</v>
      </c>
      <c r="Q119" s="64" t="e">
        <f t="shared" si="7"/>
        <v>#DIV/0!</v>
      </c>
      <c r="R119" s="64" t="e">
        <f t="shared" si="8"/>
        <v>#DIV/0!</v>
      </c>
      <c r="S119" s="67" t="e">
        <f t="shared" si="9"/>
        <v>#DIV/0!</v>
      </c>
      <c r="T119" s="64" t="e">
        <f t="shared" si="10"/>
        <v>#DIV/0!</v>
      </c>
      <c r="U119" s="68" t="e">
        <f t="shared" si="11"/>
        <v>#DIV/0!</v>
      </c>
    </row>
    <row r="120" spans="1:21" x14ac:dyDescent="0.2">
      <c r="A120" s="61" t="s">
        <v>208</v>
      </c>
      <c r="B120" s="62" t="s">
        <v>320</v>
      </c>
      <c r="C120" s="62" t="s">
        <v>248</v>
      </c>
      <c r="D120" s="62" t="s">
        <v>367</v>
      </c>
      <c r="E120" s="62" t="s">
        <v>209</v>
      </c>
      <c r="F120" s="63" t="s">
        <v>257</v>
      </c>
      <c r="G120" s="62" t="s">
        <v>234</v>
      </c>
      <c r="H120" s="62" t="s">
        <v>146</v>
      </c>
      <c r="I120" s="62" t="s">
        <v>10</v>
      </c>
      <c r="J120" s="62" t="s">
        <v>140</v>
      </c>
      <c r="K120" s="64">
        <v>10.7</v>
      </c>
      <c r="L120" s="64">
        <f t="shared" si="6"/>
        <v>10.7</v>
      </c>
      <c r="M120" s="65">
        <f>prodnorm8</f>
        <v>0</v>
      </c>
      <c r="N120" s="66">
        <f>dagwerk8</f>
        <v>0</v>
      </c>
      <c r="O120" s="62" t="s">
        <v>44</v>
      </c>
      <c r="P120" s="67">
        <f>uurtarief8</f>
        <v>0</v>
      </c>
      <c r="Q120" s="64" t="e">
        <f t="shared" si="7"/>
        <v>#DIV/0!</v>
      </c>
      <c r="R120" s="64" t="e">
        <f t="shared" si="8"/>
        <v>#DIV/0!</v>
      </c>
      <c r="S120" s="67" t="e">
        <f t="shared" si="9"/>
        <v>#DIV/0!</v>
      </c>
      <c r="T120" s="64" t="e">
        <f t="shared" si="10"/>
        <v>#DIV/0!</v>
      </c>
      <c r="U120" s="68" t="e">
        <f t="shared" si="11"/>
        <v>#DIV/0!</v>
      </c>
    </row>
    <row r="121" spans="1:21" x14ac:dyDescent="0.2">
      <c r="A121" s="61" t="s">
        <v>208</v>
      </c>
      <c r="B121" s="62" t="s">
        <v>320</v>
      </c>
      <c r="C121" s="62" t="s">
        <v>248</v>
      </c>
      <c r="D121" s="62" t="s">
        <v>368</v>
      </c>
      <c r="E121" s="62" t="s">
        <v>209</v>
      </c>
      <c r="F121" s="63" t="s">
        <v>215</v>
      </c>
      <c r="G121" s="62" t="s">
        <v>213</v>
      </c>
      <c r="H121" s="62" t="s">
        <v>168</v>
      </c>
      <c r="I121" s="62" t="s">
        <v>10</v>
      </c>
      <c r="J121" s="62" t="s">
        <v>140</v>
      </c>
      <c r="K121" s="64">
        <v>50.4</v>
      </c>
      <c r="L121" s="64">
        <f t="shared" si="6"/>
        <v>50.4</v>
      </c>
      <c r="M121" s="65">
        <f>prodnorm24</f>
        <v>0</v>
      </c>
      <c r="N121" s="66">
        <f>dagwerk24</f>
        <v>0</v>
      </c>
      <c r="O121" s="62" t="s">
        <v>44</v>
      </c>
      <c r="P121" s="67">
        <f>uurtarief24</f>
        <v>0</v>
      </c>
      <c r="Q121" s="64" t="e">
        <f t="shared" si="7"/>
        <v>#DIV/0!</v>
      </c>
      <c r="R121" s="64" t="e">
        <f t="shared" si="8"/>
        <v>#DIV/0!</v>
      </c>
      <c r="S121" s="67" t="e">
        <f t="shared" si="9"/>
        <v>#DIV/0!</v>
      </c>
      <c r="T121" s="64" t="e">
        <f t="shared" si="10"/>
        <v>#DIV/0!</v>
      </c>
      <c r="U121" s="68" t="e">
        <f t="shared" si="11"/>
        <v>#DIV/0!</v>
      </c>
    </row>
    <row r="122" spans="1:21" x14ac:dyDescent="0.2">
      <c r="A122" s="61" t="s">
        <v>208</v>
      </c>
      <c r="B122" s="62" t="s">
        <v>320</v>
      </c>
      <c r="C122" s="62" t="s">
        <v>248</v>
      </c>
      <c r="D122" s="62" t="s">
        <v>369</v>
      </c>
      <c r="E122" s="62" t="s">
        <v>209</v>
      </c>
      <c r="F122" s="63" t="s">
        <v>254</v>
      </c>
      <c r="G122" s="62" t="s">
        <v>234</v>
      </c>
      <c r="H122" s="62" t="s">
        <v>164</v>
      </c>
      <c r="I122" s="62" t="s">
        <v>10</v>
      </c>
      <c r="J122" s="62" t="s">
        <v>140</v>
      </c>
      <c r="K122" s="64">
        <v>1.1000000000000001</v>
      </c>
      <c r="L122" s="64">
        <f t="shared" si="6"/>
        <v>1.1000000000000001</v>
      </c>
      <c r="M122" s="65">
        <f>prodnorm21</f>
        <v>0</v>
      </c>
      <c r="N122" s="66">
        <f>dagwerk21</f>
        <v>0</v>
      </c>
      <c r="O122" s="62" t="s">
        <v>44</v>
      </c>
      <c r="P122" s="67">
        <f>uurtarief21</f>
        <v>0</v>
      </c>
      <c r="Q122" s="64" t="e">
        <f t="shared" si="7"/>
        <v>#DIV/0!</v>
      </c>
      <c r="R122" s="64" t="e">
        <f t="shared" si="8"/>
        <v>#DIV/0!</v>
      </c>
      <c r="S122" s="67" t="e">
        <f t="shared" si="9"/>
        <v>#DIV/0!</v>
      </c>
      <c r="T122" s="64" t="e">
        <f t="shared" si="10"/>
        <v>#DIV/0!</v>
      </c>
      <c r="U122" s="68" t="e">
        <f t="shared" si="11"/>
        <v>#DIV/0!</v>
      </c>
    </row>
    <row r="123" spans="1:21" x14ac:dyDescent="0.2">
      <c r="A123" s="61" t="s">
        <v>208</v>
      </c>
      <c r="B123" s="62" t="s">
        <v>320</v>
      </c>
      <c r="C123" s="62" t="s">
        <v>248</v>
      </c>
      <c r="D123" s="62" t="s">
        <v>370</v>
      </c>
      <c r="E123" s="62" t="s">
        <v>209</v>
      </c>
      <c r="F123" s="63" t="s">
        <v>366</v>
      </c>
      <c r="G123" s="62" t="s">
        <v>213</v>
      </c>
      <c r="H123" s="62" t="s">
        <v>142</v>
      </c>
      <c r="I123" s="62" t="s">
        <v>19</v>
      </c>
      <c r="J123" s="62" t="s">
        <v>140</v>
      </c>
      <c r="K123" s="64">
        <v>10</v>
      </c>
      <c r="L123" s="64">
        <f t="shared" si="6"/>
        <v>2</v>
      </c>
      <c r="M123" s="65">
        <f>prodnorm4</f>
        <v>0</v>
      </c>
      <c r="N123" s="66">
        <f>dagwerk4</f>
        <v>0</v>
      </c>
      <c r="O123" s="62" t="s">
        <v>44</v>
      </c>
      <c r="P123" s="67">
        <f>uurtarief4</f>
        <v>0</v>
      </c>
      <c r="Q123" s="64" t="e">
        <f t="shared" si="7"/>
        <v>#DIV/0!</v>
      </c>
      <c r="R123" s="64" t="e">
        <f t="shared" si="8"/>
        <v>#DIV/0!</v>
      </c>
      <c r="S123" s="67" t="e">
        <f t="shared" si="9"/>
        <v>#DIV/0!</v>
      </c>
      <c r="T123" s="64" t="e">
        <f t="shared" si="10"/>
        <v>#DIV/0!</v>
      </c>
      <c r="U123" s="68" t="e">
        <f t="shared" si="11"/>
        <v>#DIV/0!</v>
      </c>
    </row>
    <row r="124" spans="1:21" x14ac:dyDescent="0.2">
      <c r="A124" s="61" t="s">
        <v>208</v>
      </c>
      <c r="B124" s="62" t="s">
        <v>320</v>
      </c>
      <c r="C124" s="62" t="s">
        <v>248</v>
      </c>
      <c r="D124" s="62" t="s">
        <v>371</v>
      </c>
      <c r="E124" s="62" t="s">
        <v>209</v>
      </c>
      <c r="F124" s="63" t="s">
        <v>257</v>
      </c>
      <c r="G124" s="62" t="s">
        <v>234</v>
      </c>
      <c r="H124" s="62" t="s">
        <v>146</v>
      </c>
      <c r="I124" s="62" t="s">
        <v>10</v>
      </c>
      <c r="J124" s="62" t="s">
        <v>140</v>
      </c>
      <c r="K124" s="64">
        <v>2</v>
      </c>
      <c r="L124" s="64">
        <f t="shared" si="6"/>
        <v>2</v>
      </c>
      <c r="M124" s="65">
        <f>prodnorm8</f>
        <v>0</v>
      </c>
      <c r="N124" s="66">
        <f>dagwerk8</f>
        <v>0</v>
      </c>
      <c r="O124" s="62" t="s">
        <v>44</v>
      </c>
      <c r="P124" s="67">
        <f>uurtarief8</f>
        <v>0</v>
      </c>
      <c r="Q124" s="64" t="e">
        <f t="shared" si="7"/>
        <v>#DIV/0!</v>
      </c>
      <c r="R124" s="64" t="e">
        <f t="shared" si="8"/>
        <v>#DIV/0!</v>
      </c>
      <c r="S124" s="67" t="e">
        <f t="shared" si="9"/>
        <v>#DIV/0!</v>
      </c>
      <c r="T124" s="64" t="e">
        <f t="shared" si="10"/>
        <v>#DIV/0!</v>
      </c>
      <c r="U124" s="68" t="e">
        <f t="shared" si="11"/>
        <v>#DIV/0!</v>
      </c>
    </row>
    <row r="125" spans="1:21" x14ac:dyDescent="0.2">
      <c r="A125" s="61" t="s">
        <v>208</v>
      </c>
      <c r="B125" s="62" t="s">
        <v>320</v>
      </c>
      <c r="C125" s="62" t="s">
        <v>248</v>
      </c>
      <c r="D125" s="62" t="s">
        <v>372</v>
      </c>
      <c r="E125" s="62" t="s">
        <v>209</v>
      </c>
      <c r="F125" s="63" t="s">
        <v>373</v>
      </c>
      <c r="G125" s="62" t="s">
        <v>213</v>
      </c>
      <c r="H125" s="62" t="s">
        <v>154</v>
      </c>
      <c r="I125" s="62" t="s">
        <v>19</v>
      </c>
      <c r="J125" s="62" t="s">
        <v>140</v>
      </c>
      <c r="K125" s="64">
        <v>26</v>
      </c>
      <c r="L125" s="64">
        <f t="shared" si="6"/>
        <v>5.2</v>
      </c>
      <c r="M125" s="65">
        <f>prodnorm12</f>
        <v>0</v>
      </c>
      <c r="N125" s="66">
        <f>dagwerk12</f>
        <v>0</v>
      </c>
      <c r="O125" s="62" t="s">
        <v>44</v>
      </c>
      <c r="P125" s="67">
        <f>uurtarief12</f>
        <v>0</v>
      </c>
      <c r="Q125" s="64" t="e">
        <f t="shared" si="7"/>
        <v>#DIV/0!</v>
      </c>
      <c r="R125" s="64" t="e">
        <f t="shared" si="8"/>
        <v>#DIV/0!</v>
      </c>
      <c r="S125" s="67" t="e">
        <f t="shared" si="9"/>
        <v>#DIV/0!</v>
      </c>
      <c r="T125" s="64" t="e">
        <f t="shared" si="10"/>
        <v>#DIV/0!</v>
      </c>
      <c r="U125" s="68" t="e">
        <f t="shared" si="11"/>
        <v>#DIV/0!</v>
      </c>
    </row>
    <row r="126" spans="1:21" x14ac:dyDescent="0.2">
      <c r="A126" s="61" t="s">
        <v>208</v>
      </c>
      <c r="B126" s="62" t="s">
        <v>320</v>
      </c>
      <c r="C126" s="62" t="s">
        <v>248</v>
      </c>
      <c r="D126" s="62" t="s">
        <v>374</v>
      </c>
      <c r="E126" s="62" t="s">
        <v>209</v>
      </c>
      <c r="F126" s="63" t="s">
        <v>254</v>
      </c>
      <c r="G126" s="62" t="s">
        <v>234</v>
      </c>
      <c r="H126" s="62" t="s">
        <v>164</v>
      </c>
      <c r="I126" s="62" t="s">
        <v>10</v>
      </c>
      <c r="J126" s="62" t="s">
        <v>140</v>
      </c>
      <c r="K126" s="64">
        <v>2</v>
      </c>
      <c r="L126" s="64">
        <f t="shared" si="6"/>
        <v>2</v>
      </c>
      <c r="M126" s="65">
        <f>prodnorm21</f>
        <v>0</v>
      </c>
      <c r="N126" s="66">
        <f>dagwerk21</f>
        <v>0</v>
      </c>
      <c r="O126" s="62" t="s">
        <v>44</v>
      </c>
      <c r="P126" s="67">
        <f>uurtarief21</f>
        <v>0</v>
      </c>
      <c r="Q126" s="64" t="e">
        <f t="shared" si="7"/>
        <v>#DIV/0!</v>
      </c>
      <c r="R126" s="64" t="e">
        <f t="shared" si="8"/>
        <v>#DIV/0!</v>
      </c>
      <c r="S126" s="67" t="e">
        <f t="shared" si="9"/>
        <v>#DIV/0!</v>
      </c>
      <c r="T126" s="64" t="e">
        <f t="shared" si="10"/>
        <v>#DIV/0!</v>
      </c>
      <c r="U126" s="68" t="e">
        <f t="shared" si="11"/>
        <v>#DIV/0!</v>
      </c>
    </row>
    <row r="127" spans="1:21" x14ac:dyDescent="0.2">
      <c r="A127" s="61" t="s">
        <v>208</v>
      </c>
      <c r="B127" s="62" t="s">
        <v>320</v>
      </c>
      <c r="C127" s="62" t="s">
        <v>248</v>
      </c>
      <c r="D127" s="62" t="s">
        <v>375</v>
      </c>
      <c r="E127" s="62" t="s">
        <v>209</v>
      </c>
      <c r="F127" s="63" t="s">
        <v>261</v>
      </c>
      <c r="G127" s="62" t="s">
        <v>234</v>
      </c>
      <c r="H127" s="62" t="s">
        <v>158</v>
      </c>
      <c r="I127" s="62" t="s">
        <v>10</v>
      </c>
      <c r="J127" s="62" t="s">
        <v>140</v>
      </c>
      <c r="K127" s="64">
        <v>10.8</v>
      </c>
      <c r="L127" s="64">
        <f t="shared" si="6"/>
        <v>10.8</v>
      </c>
      <c r="M127" s="65">
        <f>prodnorm17</f>
        <v>0</v>
      </c>
      <c r="N127" s="66">
        <f>dagwerk17</f>
        <v>0</v>
      </c>
      <c r="O127" s="62" t="s">
        <v>44</v>
      </c>
      <c r="P127" s="67">
        <f>uurtarief17</f>
        <v>0</v>
      </c>
      <c r="Q127" s="64" t="e">
        <f t="shared" si="7"/>
        <v>#DIV/0!</v>
      </c>
      <c r="R127" s="64" t="e">
        <f t="shared" si="8"/>
        <v>#DIV/0!</v>
      </c>
      <c r="S127" s="67" t="e">
        <f t="shared" si="9"/>
        <v>#DIV/0!</v>
      </c>
      <c r="T127" s="64" t="e">
        <f t="shared" si="10"/>
        <v>#DIV/0!</v>
      </c>
      <c r="U127" s="68" t="e">
        <f t="shared" si="11"/>
        <v>#DIV/0!</v>
      </c>
    </row>
    <row r="128" spans="1:21" x14ac:dyDescent="0.2">
      <c r="A128" s="61" t="s">
        <v>208</v>
      </c>
      <c r="B128" s="62" t="s">
        <v>320</v>
      </c>
      <c r="C128" s="62" t="s">
        <v>248</v>
      </c>
      <c r="D128" s="62" t="s">
        <v>376</v>
      </c>
      <c r="E128" s="62" t="s">
        <v>209</v>
      </c>
      <c r="F128" s="63" t="s">
        <v>259</v>
      </c>
      <c r="G128" s="62" t="s">
        <v>213</v>
      </c>
      <c r="H128" s="62" t="s">
        <v>146</v>
      </c>
      <c r="I128" s="62" t="s">
        <v>19</v>
      </c>
      <c r="J128" s="62" t="s">
        <v>140</v>
      </c>
      <c r="K128" s="64">
        <v>12</v>
      </c>
      <c r="L128" s="64">
        <f t="shared" si="6"/>
        <v>2.4000000000000004</v>
      </c>
      <c r="M128" s="65">
        <f>prodnorm7</f>
        <v>0</v>
      </c>
      <c r="N128" s="66">
        <f>dagwerk7</f>
        <v>0</v>
      </c>
      <c r="O128" s="62" t="s">
        <v>44</v>
      </c>
      <c r="P128" s="67">
        <f>uurtarief7</f>
        <v>0</v>
      </c>
      <c r="Q128" s="64" t="e">
        <f t="shared" si="7"/>
        <v>#DIV/0!</v>
      </c>
      <c r="R128" s="64" t="e">
        <f t="shared" si="8"/>
        <v>#DIV/0!</v>
      </c>
      <c r="S128" s="67" t="e">
        <f t="shared" si="9"/>
        <v>#DIV/0!</v>
      </c>
      <c r="T128" s="64" t="e">
        <f t="shared" si="10"/>
        <v>#DIV/0!</v>
      </c>
      <c r="U128" s="68" t="e">
        <f t="shared" si="11"/>
        <v>#DIV/0!</v>
      </c>
    </row>
    <row r="129" spans="1:21" x14ac:dyDescent="0.2">
      <c r="A129" s="61" t="s">
        <v>208</v>
      </c>
      <c r="B129" s="62" t="s">
        <v>320</v>
      </c>
      <c r="C129" s="62" t="s">
        <v>248</v>
      </c>
      <c r="D129" s="62" t="s">
        <v>377</v>
      </c>
      <c r="E129" s="62" t="s">
        <v>209</v>
      </c>
      <c r="F129" s="63" t="s">
        <v>254</v>
      </c>
      <c r="G129" s="62" t="s">
        <v>234</v>
      </c>
      <c r="H129" s="62" t="s">
        <v>164</v>
      </c>
      <c r="I129" s="62" t="s">
        <v>10</v>
      </c>
      <c r="J129" s="62" t="s">
        <v>140</v>
      </c>
      <c r="K129" s="64">
        <v>2</v>
      </c>
      <c r="L129" s="64">
        <f t="shared" si="6"/>
        <v>2</v>
      </c>
      <c r="M129" s="65">
        <f>prodnorm21</f>
        <v>0</v>
      </c>
      <c r="N129" s="66">
        <f>dagwerk21</f>
        <v>0</v>
      </c>
      <c r="O129" s="62" t="s">
        <v>44</v>
      </c>
      <c r="P129" s="67">
        <f>uurtarief21</f>
        <v>0</v>
      </c>
      <c r="Q129" s="64" t="e">
        <f t="shared" si="7"/>
        <v>#DIV/0!</v>
      </c>
      <c r="R129" s="64" t="e">
        <f t="shared" si="8"/>
        <v>#DIV/0!</v>
      </c>
      <c r="S129" s="67" t="e">
        <f t="shared" si="9"/>
        <v>#DIV/0!</v>
      </c>
      <c r="T129" s="64" t="e">
        <f t="shared" si="10"/>
        <v>#DIV/0!</v>
      </c>
      <c r="U129" s="68" t="e">
        <f t="shared" si="11"/>
        <v>#DIV/0!</v>
      </c>
    </row>
    <row r="130" spans="1:21" x14ac:dyDescent="0.2">
      <c r="A130" s="61" t="s">
        <v>208</v>
      </c>
      <c r="B130" s="62" t="s">
        <v>320</v>
      </c>
      <c r="C130" s="62" t="s">
        <v>248</v>
      </c>
      <c r="D130" s="62" t="s">
        <v>378</v>
      </c>
      <c r="E130" s="62" t="s">
        <v>209</v>
      </c>
      <c r="F130" s="63" t="s">
        <v>257</v>
      </c>
      <c r="G130" s="62" t="s">
        <v>234</v>
      </c>
      <c r="H130" s="62" t="s">
        <v>146</v>
      </c>
      <c r="I130" s="62" t="s">
        <v>10</v>
      </c>
      <c r="J130" s="62" t="s">
        <v>140</v>
      </c>
      <c r="K130" s="64">
        <v>2</v>
      </c>
      <c r="L130" s="64">
        <f t="shared" si="6"/>
        <v>2</v>
      </c>
      <c r="M130" s="65">
        <f>prodnorm8</f>
        <v>0</v>
      </c>
      <c r="N130" s="66">
        <f>dagwerk8</f>
        <v>0</v>
      </c>
      <c r="O130" s="62" t="s">
        <v>44</v>
      </c>
      <c r="P130" s="67">
        <f>uurtarief8</f>
        <v>0</v>
      </c>
      <c r="Q130" s="64" t="e">
        <f t="shared" si="7"/>
        <v>#DIV/0!</v>
      </c>
      <c r="R130" s="64" t="e">
        <f t="shared" si="8"/>
        <v>#DIV/0!</v>
      </c>
      <c r="S130" s="67" t="e">
        <f t="shared" si="9"/>
        <v>#DIV/0!</v>
      </c>
      <c r="T130" s="64" t="e">
        <f t="shared" si="10"/>
        <v>#DIV/0!</v>
      </c>
      <c r="U130" s="68" t="e">
        <f t="shared" si="11"/>
        <v>#DIV/0!</v>
      </c>
    </row>
    <row r="131" spans="1:21" x14ac:dyDescent="0.2">
      <c r="A131" s="61" t="s">
        <v>208</v>
      </c>
      <c r="B131" s="62" t="s">
        <v>320</v>
      </c>
      <c r="C131" s="62" t="s">
        <v>248</v>
      </c>
      <c r="D131" s="62" t="s">
        <v>379</v>
      </c>
      <c r="E131" s="62" t="s">
        <v>209</v>
      </c>
      <c r="F131" s="63" t="s">
        <v>254</v>
      </c>
      <c r="G131" s="62" t="s">
        <v>234</v>
      </c>
      <c r="H131" s="62" t="s">
        <v>164</v>
      </c>
      <c r="I131" s="62" t="s">
        <v>10</v>
      </c>
      <c r="J131" s="62" t="s">
        <v>140</v>
      </c>
      <c r="K131" s="64">
        <v>4.0999999999999996</v>
      </c>
      <c r="L131" s="64">
        <f t="shared" si="6"/>
        <v>4.0999999999999996</v>
      </c>
      <c r="M131" s="65">
        <f>prodnorm21</f>
        <v>0</v>
      </c>
      <c r="N131" s="66">
        <f>dagwerk21</f>
        <v>0</v>
      </c>
      <c r="O131" s="62" t="s">
        <v>44</v>
      </c>
      <c r="P131" s="67">
        <f>uurtarief21</f>
        <v>0</v>
      </c>
      <c r="Q131" s="64" t="e">
        <f t="shared" si="7"/>
        <v>#DIV/0!</v>
      </c>
      <c r="R131" s="64" t="e">
        <f t="shared" si="8"/>
        <v>#DIV/0!</v>
      </c>
      <c r="S131" s="67" t="e">
        <f t="shared" si="9"/>
        <v>#DIV/0!</v>
      </c>
      <c r="T131" s="64" t="e">
        <f t="shared" si="10"/>
        <v>#DIV/0!</v>
      </c>
      <c r="U131" s="68" t="e">
        <f t="shared" si="11"/>
        <v>#DIV/0!</v>
      </c>
    </row>
    <row r="132" spans="1:21" x14ac:dyDescent="0.2">
      <c r="A132" s="61" t="s">
        <v>208</v>
      </c>
      <c r="B132" s="62" t="s">
        <v>320</v>
      </c>
      <c r="C132" s="62" t="s">
        <v>248</v>
      </c>
      <c r="D132" s="62" t="s">
        <v>380</v>
      </c>
      <c r="E132" s="62" t="s">
        <v>209</v>
      </c>
      <c r="F132" s="63" t="s">
        <v>257</v>
      </c>
      <c r="G132" s="62" t="s">
        <v>234</v>
      </c>
      <c r="H132" s="62" t="s">
        <v>146</v>
      </c>
      <c r="I132" s="62" t="s">
        <v>10</v>
      </c>
      <c r="J132" s="62" t="s">
        <v>140</v>
      </c>
      <c r="K132" s="64">
        <v>4.0999999999999996</v>
      </c>
      <c r="L132" s="64">
        <f t="shared" si="6"/>
        <v>4.0999999999999996</v>
      </c>
      <c r="M132" s="65">
        <f>prodnorm8</f>
        <v>0</v>
      </c>
      <c r="N132" s="66">
        <f>dagwerk8</f>
        <v>0</v>
      </c>
      <c r="O132" s="62" t="s">
        <v>44</v>
      </c>
      <c r="P132" s="67">
        <f>uurtarief8</f>
        <v>0</v>
      </c>
      <c r="Q132" s="64" t="e">
        <f t="shared" si="7"/>
        <v>#DIV/0!</v>
      </c>
      <c r="R132" s="64" t="e">
        <f t="shared" si="8"/>
        <v>#DIV/0!</v>
      </c>
      <c r="S132" s="67" t="e">
        <f t="shared" si="9"/>
        <v>#DIV/0!</v>
      </c>
      <c r="T132" s="64" t="e">
        <f t="shared" si="10"/>
        <v>#DIV/0!</v>
      </c>
      <c r="U132" s="68" t="e">
        <f t="shared" si="11"/>
        <v>#DIV/0!</v>
      </c>
    </row>
    <row r="133" spans="1:21" x14ac:dyDescent="0.2">
      <c r="A133" s="61" t="s">
        <v>208</v>
      </c>
      <c r="B133" s="62" t="s">
        <v>320</v>
      </c>
      <c r="C133" s="62" t="s">
        <v>248</v>
      </c>
      <c r="D133" s="62" t="s">
        <v>381</v>
      </c>
      <c r="E133" s="62" t="s">
        <v>209</v>
      </c>
      <c r="F133" s="63" t="s">
        <v>254</v>
      </c>
      <c r="G133" s="62" t="s">
        <v>234</v>
      </c>
      <c r="H133" s="62" t="s">
        <v>164</v>
      </c>
      <c r="I133" s="62" t="s">
        <v>10</v>
      </c>
      <c r="J133" s="62" t="s">
        <v>140</v>
      </c>
      <c r="K133" s="64">
        <v>2.1</v>
      </c>
      <c r="L133" s="64">
        <f t="shared" ref="L133:L196" si="12">K133*VLOOKUP(I133,dagsoorttabel1,2,FALSE)</f>
        <v>2.1</v>
      </c>
      <c r="M133" s="65">
        <f>prodnorm21</f>
        <v>0</v>
      </c>
      <c r="N133" s="66">
        <f>dagwerk21</f>
        <v>0</v>
      </c>
      <c r="O133" s="62" t="s">
        <v>44</v>
      </c>
      <c r="P133" s="67">
        <f>uurtarief21</f>
        <v>0</v>
      </c>
      <c r="Q133" s="64" t="e">
        <f t="shared" ref="Q133:Q196" si="13">IF(ISBLANK(M133),0,L133/ROUND(M133,4))</f>
        <v>#DIV/0!</v>
      </c>
      <c r="R133" s="64" t="e">
        <f t="shared" ref="R133:R196" si="14">IF(ISBLANK(M133),0,Q133*ROUND(N133,2))</f>
        <v>#DIV/0!</v>
      </c>
      <c r="S133" s="67" t="e">
        <f t="shared" ref="S133:S196" si="15">ROUND(P133,2)*Q133</f>
        <v>#DIV/0!</v>
      </c>
      <c r="T133" s="64" t="e">
        <f t="shared" ref="T133:T196" si="16">Q133*dagenperjaar1</f>
        <v>#DIV/0!</v>
      </c>
      <c r="U133" s="68" t="e">
        <f t="shared" ref="U133:U196" si="17">T133*ROUND(P133,2)</f>
        <v>#DIV/0!</v>
      </c>
    </row>
    <row r="134" spans="1:21" x14ac:dyDescent="0.2">
      <c r="A134" s="61" t="s">
        <v>208</v>
      </c>
      <c r="B134" s="62" t="s">
        <v>320</v>
      </c>
      <c r="C134" s="62" t="s">
        <v>248</v>
      </c>
      <c r="D134" s="62" t="s">
        <v>382</v>
      </c>
      <c r="E134" s="62" t="s">
        <v>209</v>
      </c>
      <c r="F134" s="63" t="s">
        <v>257</v>
      </c>
      <c r="G134" s="62" t="s">
        <v>234</v>
      </c>
      <c r="H134" s="62" t="s">
        <v>146</v>
      </c>
      <c r="I134" s="62" t="s">
        <v>10</v>
      </c>
      <c r="J134" s="62" t="s">
        <v>140</v>
      </c>
      <c r="K134" s="64">
        <v>2.1</v>
      </c>
      <c r="L134" s="64">
        <f t="shared" si="12"/>
        <v>2.1</v>
      </c>
      <c r="M134" s="65">
        <f>prodnorm8</f>
        <v>0</v>
      </c>
      <c r="N134" s="66">
        <f>dagwerk8</f>
        <v>0</v>
      </c>
      <c r="O134" s="62" t="s">
        <v>44</v>
      </c>
      <c r="P134" s="67">
        <f>uurtarief8</f>
        <v>0</v>
      </c>
      <c r="Q134" s="64" t="e">
        <f t="shared" si="13"/>
        <v>#DIV/0!</v>
      </c>
      <c r="R134" s="64" t="e">
        <f t="shared" si="14"/>
        <v>#DIV/0!</v>
      </c>
      <c r="S134" s="67" t="e">
        <f t="shared" si="15"/>
        <v>#DIV/0!</v>
      </c>
      <c r="T134" s="64" t="e">
        <f t="shared" si="16"/>
        <v>#DIV/0!</v>
      </c>
      <c r="U134" s="68" t="e">
        <f t="shared" si="17"/>
        <v>#DIV/0!</v>
      </c>
    </row>
    <row r="135" spans="1:21" x14ac:dyDescent="0.2">
      <c r="A135" s="61" t="s">
        <v>208</v>
      </c>
      <c r="B135" s="62" t="s">
        <v>320</v>
      </c>
      <c r="C135" s="62" t="s">
        <v>248</v>
      </c>
      <c r="D135" s="62" t="s">
        <v>383</v>
      </c>
      <c r="E135" s="62" t="s">
        <v>209</v>
      </c>
      <c r="F135" s="63" t="s">
        <v>215</v>
      </c>
      <c r="G135" s="62" t="s">
        <v>213</v>
      </c>
      <c r="H135" s="62" t="s">
        <v>168</v>
      </c>
      <c r="I135" s="62" t="s">
        <v>10</v>
      </c>
      <c r="J135" s="62" t="s">
        <v>140</v>
      </c>
      <c r="K135" s="64">
        <v>70.599999999999994</v>
      </c>
      <c r="L135" s="64">
        <f t="shared" si="12"/>
        <v>70.599999999999994</v>
      </c>
      <c r="M135" s="65">
        <f>prodnorm24</f>
        <v>0</v>
      </c>
      <c r="N135" s="66">
        <f>dagwerk24</f>
        <v>0</v>
      </c>
      <c r="O135" s="62" t="s">
        <v>44</v>
      </c>
      <c r="P135" s="67">
        <f>uurtarief24</f>
        <v>0</v>
      </c>
      <c r="Q135" s="64" t="e">
        <f t="shared" si="13"/>
        <v>#DIV/0!</v>
      </c>
      <c r="R135" s="64" t="e">
        <f t="shared" si="14"/>
        <v>#DIV/0!</v>
      </c>
      <c r="S135" s="67" t="e">
        <f t="shared" si="15"/>
        <v>#DIV/0!</v>
      </c>
      <c r="T135" s="64" t="e">
        <f t="shared" si="16"/>
        <v>#DIV/0!</v>
      </c>
      <c r="U135" s="68" t="e">
        <f t="shared" si="17"/>
        <v>#DIV/0!</v>
      </c>
    </row>
    <row r="136" spans="1:21" x14ac:dyDescent="0.2">
      <c r="A136" s="61" t="s">
        <v>208</v>
      </c>
      <c r="B136" s="62" t="s">
        <v>320</v>
      </c>
      <c r="C136" s="62" t="s">
        <v>267</v>
      </c>
      <c r="D136" s="62" t="s">
        <v>384</v>
      </c>
      <c r="E136" s="62" t="s">
        <v>209</v>
      </c>
      <c r="F136" s="63" t="s">
        <v>212</v>
      </c>
      <c r="G136" s="62" t="s">
        <v>213</v>
      </c>
      <c r="H136" s="62" t="s">
        <v>166</v>
      </c>
      <c r="I136" s="62" t="s">
        <v>10</v>
      </c>
      <c r="J136" s="62" t="s">
        <v>140</v>
      </c>
      <c r="K136" s="64">
        <v>49.2</v>
      </c>
      <c r="L136" s="64">
        <f t="shared" si="12"/>
        <v>49.2</v>
      </c>
      <c r="M136" s="65">
        <f>prodnorm22</f>
        <v>0</v>
      </c>
      <c r="N136" s="66">
        <f>dagwerk22</f>
        <v>0</v>
      </c>
      <c r="O136" s="62" t="s">
        <v>44</v>
      </c>
      <c r="P136" s="67">
        <f>uurtarief22</f>
        <v>0</v>
      </c>
      <c r="Q136" s="64" t="e">
        <f t="shared" si="13"/>
        <v>#DIV/0!</v>
      </c>
      <c r="R136" s="64" t="e">
        <f t="shared" si="14"/>
        <v>#DIV/0!</v>
      </c>
      <c r="S136" s="67" t="e">
        <f t="shared" si="15"/>
        <v>#DIV/0!</v>
      </c>
      <c r="T136" s="64" t="e">
        <f t="shared" si="16"/>
        <v>#DIV/0!</v>
      </c>
      <c r="U136" s="68" t="e">
        <f t="shared" si="17"/>
        <v>#DIV/0!</v>
      </c>
    </row>
    <row r="137" spans="1:21" x14ac:dyDescent="0.2">
      <c r="A137" s="61" t="s">
        <v>208</v>
      </c>
      <c r="B137" s="62" t="s">
        <v>320</v>
      </c>
      <c r="C137" s="62" t="s">
        <v>267</v>
      </c>
      <c r="D137" s="62" t="s">
        <v>385</v>
      </c>
      <c r="E137" s="62" t="s">
        <v>209</v>
      </c>
      <c r="F137" s="63" t="s">
        <v>366</v>
      </c>
      <c r="G137" s="62" t="s">
        <v>213</v>
      </c>
      <c r="H137" s="62" t="s">
        <v>142</v>
      </c>
      <c r="I137" s="62" t="s">
        <v>10</v>
      </c>
      <c r="J137" s="62" t="s">
        <v>140</v>
      </c>
      <c r="K137" s="64">
        <v>10</v>
      </c>
      <c r="L137" s="64">
        <f t="shared" si="12"/>
        <v>10</v>
      </c>
      <c r="M137" s="65">
        <f>prodnorm5</f>
        <v>0</v>
      </c>
      <c r="N137" s="66">
        <f>dagwerk5</f>
        <v>0</v>
      </c>
      <c r="O137" s="62" t="s">
        <v>44</v>
      </c>
      <c r="P137" s="67">
        <f>uurtarief5</f>
        <v>0</v>
      </c>
      <c r="Q137" s="64" t="e">
        <f t="shared" si="13"/>
        <v>#DIV/0!</v>
      </c>
      <c r="R137" s="64" t="e">
        <f t="shared" si="14"/>
        <v>#DIV/0!</v>
      </c>
      <c r="S137" s="67" t="e">
        <f t="shared" si="15"/>
        <v>#DIV/0!</v>
      </c>
      <c r="T137" s="64" t="e">
        <f t="shared" si="16"/>
        <v>#DIV/0!</v>
      </c>
      <c r="U137" s="68" t="e">
        <f t="shared" si="17"/>
        <v>#DIV/0!</v>
      </c>
    </row>
    <row r="138" spans="1:21" x14ac:dyDescent="0.2">
      <c r="A138" s="61" t="s">
        <v>208</v>
      </c>
      <c r="B138" s="62" t="s">
        <v>320</v>
      </c>
      <c r="C138" s="62" t="s">
        <v>267</v>
      </c>
      <c r="D138" s="62" t="s">
        <v>386</v>
      </c>
      <c r="E138" s="62" t="s">
        <v>209</v>
      </c>
      <c r="F138" s="63" t="s">
        <v>387</v>
      </c>
      <c r="G138" s="62" t="s">
        <v>234</v>
      </c>
      <c r="H138" s="62" t="s">
        <v>164</v>
      </c>
      <c r="I138" s="62" t="s">
        <v>10</v>
      </c>
      <c r="J138" s="62" t="s">
        <v>140</v>
      </c>
      <c r="K138" s="64">
        <v>6.4</v>
      </c>
      <c r="L138" s="64">
        <f t="shared" si="12"/>
        <v>6.4</v>
      </c>
      <c r="M138" s="65">
        <f>prodnorm21</f>
        <v>0</v>
      </c>
      <c r="N138" s="66">
        <f>dagwerk21</f>
        <v>0</v>
      </c>
      <c r="O138" s="62" t="s">
        <v>44</v>
      </c>
      <c r="P138" s="67">
        <f>uurtarief21</f>
        <v>0</v>
      </c>
      <c r="Q138" s="64" t="e">
        <f t="shared" si="13"/>
        <v>#DIV/0!</v>
      </c>
      <c r="R138" s="64" t="e">
        <f t="shared" si="14"/>
        <v>#DIV/0!</v>
      </c>
      <c r="S138" s="67" t="e">
        <f t="shared" si="15"/>
        <v>#DIV/0!</v>
      </c>
      <c r="T138" s="64" t="e">
        <f t="shared" si="16"/>
        <v>#DIV/0!</v>
      </c>
      <c r="U138" s="68" t="e">
        <f t="shared" si="17"/>
        <v>#DIV/0!</v>
      </c>
    </row>
    <row r="139" spans="1:21" x14ac:dyDescent="0.2">
      <c r="A139" s="61" t="s">
        <v>208</v>
      </c>
      <c r="B139" s="62" t="s">
        <v>320</v>
      </c>
      <c r="C139" s="62" t="s">
        <v>267</v>
      </c>
      <c r="D139" s="62" t="s">
        <v>388</v>
      </c>
      <c r="E139" s="62" t="s">
        <v>209</v>
      </c>
      <c r="F139" s="63" t="s">
        <v>257</v>
      </c>
      <c r="G139" s="62" t="s">
        <v>234</v>
      </c>
      <c r="H139" s="62" t="s">
        <v>146</v>
      </c>
      <c r="I139" s="62" t="s">
        <v>10</v>
      </c>
      <c r="J139" s="62" t="s">
        <v>140</v>
      </c>
      <c r="K139" s="64">
        <v>4</v>
      </c>
      <c r="L139" s="64">
        <f t="shared" si="12"/>
        <v>4</v>
      </c>
      <c r="M139" s="65">
        <f>prodnorm8</f>
        <v>0</v>
      </c>
      <c r="N139" s="66">
        <f>dagwerk8</f>
        <v>0</v>
      </c>
      <c r="O139" s="62" t="s">
        <v>44</v>
      </c>
      <c r="P139" s="67">
        <f>uurtarief8</f>
        <v>0</v>
      </c>
      <c r="Q139" s="64" t="e">
        <f t="shared" si="13"/>
        <v>#DIV/0!</v>
      </c>
      <c r="R139" s="64" t="e">
        <f t="shared" si="14"/>
        <v>#DIV/0!</v>
      </c>
      <c r="S139" s="67" t="e">
        <f t="shared" si="15"/>
        <v>#DIV/0!</v>
      </c>
      <c r="T139" s="64" t="e">
        <f t="shared" si="16"/>
        <v>#DIV/0!</v>
      </c>
      <c r="U139" s="68" t="e">
        <f t="shared" si="17"/>
        <v>#DIV/0!</v>
      </c>
    </row>
    <row r="140" spans="1:21" x14ac:dyDescent="0.2">
      <c r="A140" s="61" t="s">
        <v>208</v>
      </c>
      <c r="B140" s="62" t="s">
        <v>320</v>
      </c>
      <c r="C140" s="62" t="s">
        <v>267</v>
      </c>
      <c r="D140" s="62" t="s">
        <v>389</v>
      </c>
      <c r="E140" s="62" t="s">
        <v>209</v>
      </c>
      <c r="F140" s="63" t="s">
        <v>215</v>
      </c>
      <c r="G140" s="62" t="s">
        <v>213</v>
      </c>
      <c r="H140" s="62" t="s">
        <v>168</v>
      </c>
      <c r="I140" s="62" t="s">
        <v>10</v>
      </c>
      <c r="J140" s="62" t="s">
        <v>140</v>
      </c>
      <c r="K140" s="64">
        <v>50.4</v>
      </c>
      <c r="L140" s="64">
        <f t="shared" si="12"/>
        <v>50.4</v>
      </c>
      <c r="M140" s="65">
        <f>prodnorm24</f>
        <v>0</v>
      </c>
      <c r="N140" s="66">
        <f>dagwerk24</f>
        <v>0</v>
      </c>
      <c r="O140" s="62" t="s">
        <v>44</v>
      </c>
      <c r="P140" s="67">
        <f>uurtarief24</f>
        <v>0</v>
      </c>
      <c r="Q140" s="64" t="e">
        <f t="shared" si="13"/>
        <v>#DIV/0!</v>
      </c>
      <c r="R140" s="64" t="e">
        <f t="shared" si="14"/>
        <v>#DIV/0!</v>
      </c>
      <c r="S140" s="67" t="e">
        <f t="shared" si="15"/>
        <v>#DIV/0!</v>
      </c>
      <c r="T140" s="64" t="e">
        <f t="shared" si="16"/>
        <v>#DIV/0!</v>
      </c>
      <c r="U140" s="68" t="e">
        <f t="shared" si="17"/>
        <v>#DIV/0!</v>
      </c>
    </row>
    <row r="141" spans="1:21" x14ac:dyDescent="0.2">
      <c r="A141" s="61" t="s">
        <v>208</v>
      </c>
      <c r="B141" s="62" t="s">
        <v>320</v>
      </c>
      <c r="C141" s="62" t="s">
        <v>267</v>
      </c>
      <c r="D141" s="62" t="s">
        <v>390</v>
      </c>
      <c r="E141" s="62" t="s">
        <v>209</v>
      </c>
      <c r="F141" s="63" t="s">
        <v>351</v>
      </c>
      <c r="G141" s="62" t="s">
        <v>234</v>
      </c>
      <c r="H141" s="62" t="s">
        <v>164</v>
      </c>
      <c r="I141" s="62" t="s">
        <v>10</v>
      </c>
      <c r="J141" s="62" t="s">
        <v>140</v>
      </c>
      <c r="K141" s="64">
        <v>1.1000000000000001</v>
      </c>
      <c r="L141" s="64">
        <f t="shared" si="12"/>
        <v>1.1000000000000001</v>
      </c>
      <c r="M141" s="65">
        <f>prodnorm21</f>
        <v>0</v>
      </c>
      <c r="N141" s="66">
        <f>dagwerk21</f>
        <v>0</v>
      </c>
      <c r="O141" s="62" t="s">
        <v>44</v>
      </c>
      <c r="P141" s="67">
        <f>uurtarief21</f>
        <v>0</v>
      </c>
      <c r="Q141" s="64" t="e">
        <f t="shared" si="13"/>
        <v>#DIV/0!</v>
      </c>
      <c r="R141" s="64" t="e">
        <f t="shared" si="14"/>
        <v>#DIV/0!</v>
      </c>
      <c r="S141" s="67" t="e">
        <f t="shared" si="15"/>
        <v>#DIV/0!</v>
      </c>
      <c r="T141" s="64" t="e">
        <f t="shared" si="16"/>
        <v>#DIV/0!</v>
      </c>
      <c r="U141" s="68" t="e">
        <f t="shared" si="17"/>
        <v>#DIV/0!</v>
      </c>
    </row>
    <row r="142" spans="1:21" x14ac:dyDescent="0.2">
      <c r="A142" s="61" t="s">
        <v>208</v>
      </c>
      <c r="B142" s="62" t="s">
        <v>320</v>
      </c>
      <c r="C142" s="62" t="s">
        <v>267</v>
      </c>
      <c r="D142" s="62" t="s">
        <v>391</v>
      </c>
      <c r="E142" s="62" t="s">
        <v>209</v>
      </c>
      <c r="F142" s="63" t="s">
        <v>392</v>
      </c>
      <c r="G142" s="62" t="s">
        <v>213</v>
      </c>
      <c r="H142" s="62" t="s">
        <v>154</v>
      </c>
      <c r="I142" s="62" t="s">
        <v>10</v>
      </c>
      <c r="J142" s="62" t="s">
        <v>140</v>
      </c>
      <c r="K142" s="64">
        <v>12</v>
      </c>
      <c r="L142" s="64">
        <f t="shared" si="12"/>
        <v>12</v>
      </c>
      <c r="M142" s="65">
        <f>prodnorm14</f>
        <v>0</v>
      </c>
      <c r="N142" s="66">
        <f>dagwerk14</f>
        <v>0</v>
      </c>
      <c r="O142" s="62" t="s">
        <v>44</v>
      </c>
      <c r="P142" s="67">
        <f>uurtarief14</f>
        <v>0</v>
      </c>
      <c r="Q142" s="64" t="e">
        <f t="shared" si="13"/>
        <v>#DIV/0!</v>
      </c>
      <c r="R142" s="64" t="e">
        <f t="shared" si="14"/>
        <v>#DIV/0!</v>
      </c>
      <c r="S142" s="67" t="e">
        <f t="shared" si="15"/>
        <v>#DIV/0!</v>
      </c>
      <c r="T142" s="64" t="e">
        <f t="shared" si="16"/>
        <v>#DIV/0!</v>
      </c>
      <c r="U142" s="68" t="e">
        <f t="shared" si="17"/>
        <v>#DIV/0!</v>
      </c>
    </row>
    <row r="143" spans="1:21" x14ac:dyDescent="0.2">
      <c r="A143" s="61" t="s">
        <v>208</v>
      </c>
      <c r="B143" s="62" t="s">
        <v>320</v>
      </c>
      <c r="C143" s="62" t="s">
        <v>267</v>
      </c>
      <c r="D143" s="62" t="s">
        <v>393</v>
      </c>
      <c r="E143" s="62" t="s">
        <v>209</v>
      </c>
      <c r="F143" s="63" t="s">
        <v>257</v>
      </c>
      <c r="G143" s="62" t="s">
        <v>234</v>
      </c>
      <c r="H143" s="62" t="s">
        <v>146</v>
      </c>
      <c r="I143" s="62" t="s">
        <v>10</v>
      </c>
      <c r="J143" s="62" t="s">
        <v>140</v>
      </c>
      <c r="K143" s="64">
        <v>2</v>
      </c>
      <c r="L143" s="64">
        <f t="shared" si="12"/>
        <v>2</v>
      </c>
      <c r="M143" s="65">
        <f>prodnorm8</f>
        <v>0</v>
      </c>
      <c r="N143" s="66">
        <f>dagwerk8</f>
        <v>0</v>
      </c>
      <c r="O143" s="62" t="s">
        <v>44</v>
      </c>
      <c r="P143" s="67">
        <f>uurtarief8</f>
        <v>0</v>
      </c>
      <c r="Q143" s="64" t="e">
        <f t="shared" si="13"/>
        <v>#DIV/0!</v>
      </c>
      <c r="R143" s="64" t="e">
        <f t="shared" si="14"/>
        <v>#DIV/0!</v>
      </c>
      <c r="S143" s="67" t="e">
        <f t="shared" si="15"/>
        <v>#DIV/0!</v>
      </c>
      <c r="T143" s="64" t="e">
        <f t="shared" si="16"/>
        <v>#DIV/0!</v>
      </c>
      <c r="U143" s="68" t="e">
        <f t="shared" si="17"/>
        <v>#DIV/0!</v>
      </c>
    </row>
    <row r="144" spans="1:21" x14ac:dyDescent="0.2">
      <c r="A144" s="61" t="s">
        <v>208</v>
      </c>
      <c r="B144" s="62" t="s">
        <v>320</v>
      </c>
      <c r="C144" s="62" t="s">
        <v>267</v>
      </c>
      <c r="D144" s="62" t="s">
        <v>394</v>
      </c>
      <c r="E144" s="62" t="s">
        <v>209</v>
      </c>
      <c r="F144" s="63" t="s">
        <v>373</v>
      </c>
      <c r="G144" s="62" t="s">
        <v>213</v>
      </c>
      <c r="H144" s="62" t="s">
        <v>154</v>
      </c>
      <c r="I144" s="62" t="s">
        <v>10</v>
      </c>
      <c r="J144" s="62" t="s">
        <v>140</v>
      </c>
      <c r="K144" s="64">
        <v>26</v>
      </c>
      <c r="L144" s="64">
        <f t="shared" si="12"/>
        <v>26</v>
      </c>
      <c r="M144" s="65">
        <f>prodnorm14</f>
        <v>0</v>
      </c>
      <c r="N144" s="66">
        <f>dagwerk14</f>
        <v>0</v>
      </c>
      <c r="O144" s="62" t="s">
        <v>44</v>
      </c>
      <c r="P144" s="67">
        <f>uurtarief14</f>
        <v>0</v>
      </c>
      <c r="Q144" s="64" t="e">
        <f t="shared" si="13"/>
        <v>#DIV/0!</v>
      </c>
      <c r="R144" s="64" t="e">
        <f t="shared" si="14"/>
        <v>#DIV/0!</v>
      </c>
      <c r="S144" s="67" t="e">
        <f t="shared" si="15"/>
        <v>#DIV/0!</v>
      </c>
      <c r="T144" s="64" t="e">
        <f t="shared" si="16"/>
        <v>#DIV/0!</v>
      </c>
      <c r="U144" s="68" t="e">
        <f t="shared" si="17"/>
        <v>#DIV/0!</v>
      </c>
    </row>
    <row r="145" spans="1:21" x14ac:dyDescent="0.2">
      <c r="A145" s="61" t="s">
        <v>208</v>
      </c>
      <c r="B145" s="62" t="s">
        <v>320</v>
      </c>
      <c r="C145" s="62" t="s">
        <v>267</v>
      </c>
      <c r="D145" s="62" t="s">
        <v>395</v>
      </c>
      <c r="E145" s="62" t="s">
        <v>209</v>
      </c>
      <c r="F145" s="63" t="s">
        <v>254</v>
      </c>
      <c r="G145" s="62" t="s">
        <v>234</v>
      </c>
      <c r="H145" s="62" t="s">
        <v>164</v>
      </c>
      <c r="I145" s="62" t="s">
        <v>10</v>
      </c>
      <c r="J145" s="62" t="s">
        <v>140</v>
      </c>
      <c r="K145" s="64">
        <v>2</v>
      </c>
      <c r="L145" s="64">
        <f t="shared" si="12"/>
        <v>2</v>
      </c>
      <c r="M145" s="65">
        <f>prodnorm21</f>
        <v>0</v>
      </c>
      <c r="N145" s="66">
        <f>dagwerk21</f>
        <v>0</v>
      </c>
      <c r="O145" s="62" t="s">
        <v>44</v>
      </c>
      <c r="P145" s="67">
        <f>uurtarief21</f>
        <v>0</v>
      </c>
      <c r="Q145" s="64" t="e">
        <f t="shared" si="13"/>
        <v>#DIV/0!</v>
      </c>
      <c r="R145" s="64" t="e">
        <f t="shared" si="14"/>
        <v>#DIV/0!</v>
      </c>
      <c r="S145" s="67" t="e">
        <f t="shared" si="15"/>
        <v>#DIV/0!</v>
      </c>
      <c r="T145" s="64" t="e">
        <f t="shared" si="16"/>
        <v>#DIV/0!</v>
      </c>
      <c r="U145" s="68" t="e">
        <f t="shared" si="17"/>
        <v>#DIV/0!</v>
      </c>
    </row>
    <row r="146" spans="1:21" x14ac:dyDescent="0.2">
      <c r="A146" s="61" t="s">
        <v>208</v>
      </c>
      <c r="B146" s="62" t="s">
        <v>320</v>
      </c>
      <c r="C146" s="62" t="s">
        <v>267</v>
      </c>
      <c r="D146" s="62" t="s">
        <v>396</v>
      </c>
      <c r="E146" s="62" t="s">
        <v>209</v>
      </c>
      <c r="F146" s="63" t="s">
        <v>261</v>
      </c>
      <c r="G146" s="62" t="s">
        <v>234</v>
      </c>
      <c r="H146" s="62" t="s">
        <v>158</v>
      </c>
      <c r="I146" s="62" t="s">
        <v>10</v>
      </c>
      <c r="J146" s="62" t="s">
        <v>140</v>
      </c>
      <c r="K146" s="64">
        <v>10.8</v>
      </c>
      <c r="L146" s="64">
        <f t="shared" si="12"/>
        <v>10.8</v>
      </c>
      <c r="M146" s="65">
        <f>prodnorm17</f>
        <v>0</v>
      </c>
      <c r="N146" s="66">
        <f>dagwerk17</f>
        <v>0</v>
      </c>
      <c r="O146" s="62" t="s">
        <v>44</v>
      </c>
      <c r="P146" s="67">
        <f>uurtarief17</f>
        <v>0</v>
      </c>
      <c r="Q146" s="64" t="e">
        <f t="shared" si="13"/>
        <v>#DIV/0!</v>
      </c>
      <c r="R146" s="64" t="e">
        <f t="shared" si="14"/>
        <v>#DIV/0!</v>
      </c>
      <c r="S146" s="67" t="e">
        <f t="shared" si="15"/>
        <v>#DIV/0!</v>
      </c>
      <c r="T146" s="64" t="e">
        <f t="shared" si="16"/>
        <v>#DIV/0!</v>
      </c>
      <c r="U146" s="68" t="e">
        <f t="shared" si="17"/>
        <v>#DIV/0!</v>
      </c>
    </row>
    <row r="147" spans="1:21" x14ac:dyDescent="0.2">
      <c r="A147" s="61" t="s">
        <v>208</v>
      </c>
      <c r="B147" s="62" t="s">
        <v>320</v>
      </c>
      <c r="C147" s="62" t="s">
        <v>267</v>
      </c>
      <c r="D147" s="62" t="s">
        <v>397</v>
      </c>
      <c r="E147" s="62" t="s">
        <v>209</v>
      </c>
      <c r="F147" s="63" t="s">
        <v>259</v>
      </c>
      <c r="G147" s="62" t="s">
        <v>213</v>
      </c>
      <c r="H147" s="62" t="s">
        <v>146</v>
      </c>
      <c r="I147" s="62" t="s">
        <v>10</v>
      </c>
      <c r="J147" s="62" t="s">
        <v>140</v>
      </c>
      <c r="K147" s="64">
        <v>12</v>
      </c>
      <c r="L147" s="64">
        <f t="shared" si="12"/>
        <v>12</v>
      </c>
      <c r="M147" s="65">
        <f>prodnorm8</f>
        <v>0</v>
      </c>
      <c r="N147" s="66">
        <f>dagwerk8</f>
        <v>0</v>
      </c>
      <c r="O147" s="62" t="s">
        <v>44</v>
      </c>
      <c r="P147" s="67">
        <f>uurtarief8</f>
        <v>0</v>
      </c>
      <c r="Q147" s="64" t="e">
        <f t="shared" si="13"/>
        <v>#DIV/0!</v>
      </c>
      <c r="R147" s="64" t="e">
        <f t="shared" si="14"/>
        <v>#DIV/0!</v>
      </c>
      <c r="S147" s="67" t="e">
        <f t="shared" si="15"/>
        <v>#DIV/0!</v>
      </c>
      <c r="T147" s="64" t="e">
        <f t="shared" si="16"/>
        <v>#DIV/0!</v>
      </c>
      <c r="U147" s="68" t="e">
        <f t="shared" si="17"/>
        <v>#DIV/0!</v>
      </c>
    </row>
    <row r="148" spans="1:21" x14ac:dyDescent="0.2">
      <c r="A148" s="61" t="s">
        <v>208</v>
      </c>
      <c r="B148" s="62" t="s">
        <v>320</v>
      </c>
      <c r="C148" s="62" t="s">
        <v>267</v>
      </c>
      <c r="D148" s="62" t="s">
        <v>398</v>
      </c>
      <c r="E148" s="62" t="s">
        <v>209</v>
      </c>
      <c r="F148" s="63" t="s">
        <v>254</v>
      </c>
      <c r="G148" s="62" t="s">
        <v>234</v>
      </c>
      <c r="H148" s="62" t="s">
        <v>164</v>
      </c>
      <c r="I148" s="62" t="s">
        <v>10</v>
      </c>
      <c r="J148" s="62" t="s">
        <v>140</v>
      </c>
      <c r="K148" s="64">
        <v>2</v>
      </c>
      <c r="L148" s="64">
        <f t="shared" si="12"/>
        <v>2</v>
      </c>
      <c r="M148" s="65">
        <f>prodnorm21</f>
        <v>0</v>
      </c>
      <c r="N148" s="66">
        <f>dagwerk21</f>
        <v>0</v>
      </c>
      <c r="O148" s="62" t="s">
        <v>44</v>
      </c>
      <c r="P148" s="67">
        <f>uurtarief21</f>
        <v>0</v>
      </c>
      <c r="Q148" s="64" t="e">
        <f t="shared" si="13"/>
        <v>#DIV/0!</v>
      </c>
      <c r="R148" s="64" t="e">
        <f t="shared" si="14"/>
        <v>#DIV/0!</v>
      </c>
      <c r="S148" s="67" t="e">
        <f t="shared" si="15"/>
        <v>#DIV/0!</v>
      </c>
      <c r="T148" s="64" t="e">
        <f t="shared" si="16"/>
        <v>#DIV/0!</v>
      </c>
      <c r="U148" s="68" t="e">
        <f t="shared" si="17"/>
        <v>#DIV/0!</v>
      </c>
    </row>
    <row r="149" spans="1:21" x14ac:dyDescent="0.2">
      <c r="A149" s="61" t="s">
        <v>208</v>
      </c>
      <c r="B149" s="62" t="s">
        <v>320</v>
      </c>
      <c r="C149" s="62" t="s">
        <v>267</v>
      </c>
      <c r="D149" s="62" t="s">
        <v>399</v>
      </c>
      <c r="E149" s="62" t="s">
        <v>209</v>
      </c>
      <c r="F149" s="63" t="s">
        <v>257</v>
      </c>
      <c r="G149" s="62" t="s">
        <v>234</v>
      </c>
      <c r="H149" s="62" t="s">
        <v>146</v>
      </c>
      <c r="I149" s="62" t="s">
        <v>10</v>
      </c>
      <c r="J149" s="62" t="s">
        <v>140</v>
      </c>
      <c r="K149" s="64">
        <v>2</v>
      </c>
      <c r="L149" s="64">
        <f t="shared" si="12"/>
        <v>2</v>
      </c>
      <c r="M149" s="65">
        <f>prodnorm8</f>
        <v>0</v>
      </c>
      <c r="N149" s="66">
        <f>dagwerk8</f>
        <v>0</v>
      </c>
      <c r="O149" s="62" t="s">
        <v>44</v>
      </c>
      <c r="P149" s="67">
        <f>uurtarief8</f>
        <v>0</v>
      </c>
      <c r="Q149" s="64" t="e">
        <f t="shared" si="13"/>
        <v>#DIV/0!</v>
      </c>
      <c r="R149" s="64" t="e">
        <f t="shared" si="14"/>
        <v>#DIV/0!</v>
      </c>
      <c r="S149" s="67" t="e">
        <f t="shared" si="15"/>
        <v>#DIV/0!</v>
      </c>
      <c r="T149" s="64" t="e">
        <f t="shared" si="16"/>
        <v>#DIV/0!</v>
      </c>
      <c r="U149" s="68" t="e">
        <f t="shared" si="17"/>
        <v>#DIV/0!</v>
      </c>
    </row>
    <row r="150" spans="1:21" x14ac:dyDescent="0.2">
      <c r="A150" s="61" t="s">
        <v>208</v>
      </c>
      <c r="B150" s="62" t="s">
        <v>320</v>
      </c>
      <c r="C150" s="62" t="s">
        <v>267</v>
      </c>
      <c r="D150" s="62" t="s">
        <v>400</v>
      </c>
      <c r="E150" s="62" t="s">
        <v>209</v>
      </c>
      <c r="F150" s="63" t="s">
        <v>254</v>
      </c>
      <c r="G150" s="62" t="s">
        <v>234</v>
      </c>
      <c r="H150" s="62" t="s">
        <v>164</v>
      </c>
      <c r="I150" s="62" t="s">
        <v>10</v>
      </c>
      <c r="J150" s="62" t="s">
        <v>140</v>
      </c>
      <c r="K150" s="64">
        <v>2.5</v>
      </c>
      <c r="L150" s="64">
        <f t="shared" si="12"/>
        <v>2.5</v>
      </c>
      <c r="M150" s="65">
        <f>prodnorm21</f>
        <v>0</v>
      </c>
      <c r="N150" s="66">
        <f>dagwerk21</f>
        <v>0</v>
      </c>
      <c r="O150" s="62" t="s">
        <v>44</v>
      </c>
      <c r="P150" s="67">
        <f>uurtarief21</f>
        <v>0</v>
      </c>
      <c r="Q150" s="64" t="e">
        <f t="shared" si="13"/>
        <v>#DIV/0!</v>
      </c>
      <c r="R150" s="64" t="e">
        <f t="shared" si="14"/>
        <v>#DIV/0!</v>
      </c>
      <c r="S150" s="67" t="e">
        <f t="shared" si="15"/>
        <v>#DIV/0!</v>
      </c>
      <c r="T150" s="64" t="e">
        <f t="shared" si="16"/>
        <v>#DIV/0!</v>
      </c>
      <c r="U150" s="68" t="e">
        <f t="shared" si="17"/>
        <v>#DIV/0!</v>
      </c>
    </row>
    <row r="151" spans="1:21" x14ac:dyDescent="0.2">
      <c r="A151" s="61" t="s">
        <v>208</v>
      </c>
      <c r="B151" s="62" t="s">
        <v>320</v>
      </c>
      <c r="C151" s="62" t="s">
        <v>267</v>
      </c>
      <c r="D151" s="62" t="s">
        <v>401</v>
      </c>
      <c r="E151" s="62" t="s">
        <v>209</v>
      </c>
      <c r="F151" s="63" t="s">
        <v>257</v>
      </c>
      <c r="G151" s="62" t="s">
        <v>234</v>
      </c>
      <c r="H151" s="62" t="s">
        <v>146</v>
      </c>
      <c r="I151" s="62" t="s">
        <v>10</v>
      </c>
      <c r="J151" s="62" t="s">
        <v>140</v>
      </c>
      <c r="K151" s="64">
        <v>2</v>
      </c>
      <c r="L151" s="64">
        <f t="shared" si="12"/>
        <v>2</v>
      </c>
      <c r="M151" s="65">
        <f>prodnorm8</f>
        <v>0</v>
      </c>
      <c r="N151" s="66">
        <f>dagwerk8</f>
        <v>0</v>
      </c>
      <c r="O151" s="62" t="s">
        <v>44</v>
      </c>
      <c r="P151" s="67">
        <f>uurtarief8</f>
        <v>0</v>
      </c>
      <c r="Q151" s="64" t="e">
        <f t="shared" si="13"/>
        <v>#DIV/0!</v>
      </c>
      <c r="R151" s="64" t="e">
        <f t="shared" si="14"/>
        <v>#DIV/0!</v>
      </c>
      <c r="S151" s="67" t="e">
        <f t="shared" si="15"/>
        <v>#DIV/0!</v>
      </c>
      <c r="T151" s="64" t="e">
        <f t="shared" si="16"/>
        <v>#DIV/0!</v>
      </c>
      <c r="U151" s="68" t="e">
        <f t="shared" si="17"/>
        <v>#DIV/0!</v>
      </c>
    </row>
    <row r="152" spans="1:21" x14ac:dyDescent="0.2">
      <c r="A152" s="61" t="s">
        <v>208</v>
      </c>
      <c r="B152" s="62" t="s">
        <v>320</v>
      </c>
      <c r="C152" s="62" t="s">
        <v>267</v>
      </c>
      <c r="D152" s="62" t="s">
        <v>402</v>
      </c>
      <c r="E152" s="62" t="s">
        <v>209</v>
      </c>
      <c r="F152" s="63" t="s">
        <v>254</v>
      </c>
      <c r="G152" s="62" t="s">
        <v>234</v>
      </c>
      <c r="H152" s="62" t="s">
        <v>164</v>
      </c>
      <c r="I152" s="62" t="s">
        <v>10</v>
      </c>
      <c r="J152" s="62" t="s">
        <v>140</v>
      </c>
      <c r="K152" s="64">
        <v>2.2000000000000002</v>
      </c>
      <c r="L152" s="64">
        <f t="shared" si="12"/>
        <v>2.2000000000000002</v>
      </c>
      <c r="M152" s="65">
        <f>prodnorm21</f>
        <v>0</v>
      </c>
      <c r="N152" s="66">
        <f>dagwerk21</f>
        <v>0</v>
      </c>
      <c r="O152" s="62" t="s">
        <v>44</v>
      </c>
      <c r="P152" s="67">
        <f>uurtarief21</f>
        <v>0</v>
      </c>
      <c r="Q152" s="64" t="e">
        <f t="shared" si="13"/>
        <v>#DIV/0!</v>
      </c>
      <c r="R152" s="64" t="e">
        <f t="shared" si="14"/>
        <v>#DIV/0!</v>
      </c>
      <c r="S152" s="67" t="e">
        <f t="shared" si="15"/>
        <v>#DIV/0!</v>
      </c>
      <c r="T152" s="64" t="e">
        <f t="shared" si="16"/>
        <v>#DIV/0!</v>
      </c>
      <c r="U152" s="68" t="e">
        <f t="shared" si="17"/>
        <v>#DIV/0!</v>
      </c>
    </row>
    <row r="153" spans="1:21" x14ac:dyDescent="0.2">
      <c r="A153" s="61" t="s">
        <v>208</v>
      </c>
      <c r="B153" s="62" t="s">
        <v>320</v>
      </c>
      <c r="C153" s="62" t="s">
        <v>267</v>
      </c>
      <c r="D153" s="62" t="s">
        <v>403</v>
      </c>
      <c r="E153" s="62" t="s">
        <v>209</v>
      </c>
      <c r="F153" s="63" t="s">
        <v>257</v>
      </c>
      <c r="G153" s="62" t="s">
        <v>234</v>
      </c>
      <c r="H153" s="62" t="s">
        <v>146</v>
      </c>
      <c r="I153" s="62" t="s">
        <v>10</v>
      </c>
      <c r="J153" s="62" t="s">
        <v>140</v>
      </c>
      <c r="K153" s="64">
        <v>2</v>
      </c>
      <c r="L153" s="64">
        <f t="shared" si="12"/>
        <v>2</v>
      </c>
      <c r="M153" s="65">
        <f>prodnorm8</f>
        <v>0</v>
      </c>
      <c r="N153" s="66">
        <f>dagwerk8</f>
        <v>0</v>
      </c>
      <c r="O153" s="62" t="s">
        <v>44</v>
      </c>
      <c r="P153" s="67">
        <f>uurtarief8</f>
        <v>0</v>
      </c>
      <c r="Q153" s="64" t="e">
        <f t="shared" si="13"/>
        <v>#DIV/0!</v>
      </c>
      <c r="R153" s="64" t="e">
        <f t="shared" si="14"/>
        <v>#DIV/0!</v>
      </c>
      <c r="S153" s="67" t="e">
        <f t="shared" si="15"/>
        <v>#DIV/0!</v>
      </c>
      <c r="T153" s="64" t="e">
        <f t="shared" si="16"/>
        <v>#DIV/0!</v>
      </c>
      <c r="U153" s="68" t="e">
        <f t="shared" si="17"/>
        <v>#DIV/0!</v>
      </c>
    </row>
    <row r="154" spans="1:21" x14ac:dyDescent="0.2">
      <c r="A154" s="61" t="s">
        <v>208</v>
      </c>
      <c r="B154" s="62" t="s">
        <v>320</v>
      </c>
      <c r="C154" s="62" t="s">
        <v>267</v>
      </c>
      <c r="D154" s="62" t="s">
        <v>404</v>
      </c>
      <c r="E154" s="62" t="s">
        <v>209</v>
      </c>
      <c r="F154" s="63" t="s">
        <v>215</v>
      </c>
      <c r="G154" s="62" t="s">
        <v>213</v>
      </c>
      <c r="H154" s="62" t="s">
        <v>168</v>
      </c>
      <c r="I154" s="62" t="s">
        <v>10</v>
      </c>
      <c r="J154" s="62" t="s">
        <v>140</v>
      </c>
      <c r="K154" s="64">
        <v>70.599999999999994</v>
      </c>
      <c r="L154" s="64">
        <f t="shared" si="12"/>
        <v>70.599999999999994</v>
      </c>
      <c r="M154" s="65">
        <f>prodnorm24</f>
        <v>0</v>
      </c>
      <c r="N154" s="66">
        <f>dagwerk24</f>
        <v>0</v>
      </c>
      <c r="O154" s="62" t="s">
        <v>44</v>
      </c>
      <c r="P154" s="67">
        <f>uurtarief24</f>
        <v>0</v>
      </c>
      <c r="Q154" s="64" t="e">
        <f t="shared" si="13"/>
        <v>#DIV/0!</v>
      </c>
      <c r="R154" s="64" t="e">
        <f t="shared" si="14"/>
        <v>#DIV/0!</v>
      </c>
      <c r="S154" s="67" t="e">
        <f t="shared" si="15"/>
        <v>#DIV/0!</v>
      </c>
      <c r="T154" s="64" t="e">
        <f t="shared" si="16"/>
        <v>#DIV/0!</v>
      </c>
      <c r="U154" s="68" t="e">
        <f t="shared" si="17"/>
        <v>#DIV/0!</v>
      </c>
    </row>
    <row r="155" spans="1:21" x14ac:dyDescent="0.2">
      <c r="A155" s="61" t="s">
        <v>208</v>
      </c>
      <c r="B155" s="62" t="s">
        <v>320</v>
      </c>
      <c r="C155" s="62" t="s">
        <v>280</v>
      </c>
      <c r="D155" s="62" t="s">
        <v>405</v>
      </c>
      <c r="E155" s="62" t="s">
        <v>209</v>
      </c>
      <c r="F155" s="63" t="s">
        <v>212</v>
      </c>
      <c r="G155" s="62" t="s">
        <v>213</v>
      </c>
      <c r="H155" s="62" t="s">
        <v>166</v>
      </c>
      <c r="I155" s="62" t="s">
        <v>10</v>
      </c>
      <c r="J155" s="62" t="s">
        <v>140</v>
      </c>
      <c r="K155" s="64">
        <v>48.7</v>
      </c>
      <c r="L155" s="64">
        <f t="shared" si="12"/>
        <v>48.7</v>
      </c>
      <c r="M155" s="65">
        <f>prodnorm22</f>
        <v>0</v>
      </c>
      <c r="N155" s="66">
        <f>dagwerk22</f>
        <v>0</v>
      </c>
      <c r="O155" s="62" t="s">
        <v>44</v>
      </c>
      <c r="P155" s="67">
        <f>uurtarief22</f>
        <v>0</v>
      </c>
      <c r="Q155" s="64" t="e">
        <f t="shared" si="13"/>
        <v>#DIV/0!</v>
      </c>
      <c r="R155" s="64" t="e">
        <f t="shared" si="14"/>
        <v>#DIV/0!</v>
      </c>
      <c r="S155" s="67" t="e">
        <f t="shared" si="15"/>
        <v>#DIV/0!</v>
      </c>
      <c r="T155" s="64" t="e">
        <f t="shared" si="16"/>
        <v>#DIV/0!</v>
      </c>
      <c r="U155" s="68" t="e">
        <f t="shared" si="17"/>
        <v>#DIV/0!</v>
      </c>
    </row>
    <row r="156" spans="1:21" x14ac:dyDescent="0.2">
      <c r="A156" s="61" t="s">
        <v>208</v>
      </c>
      <c r="B156" s="62" t="s">
        <v>320</v>
      </c>
      <c r="C156" s="62" t="s">
        <v>280</v>
      </c>
      <c r="D156" s="62" t="s">
        <v>406</v>
      </c>
      <c r="E156" s="62" t="s">
        <v>209</v>
      </c>
      <c r="F156" s="63" t="s">
        <v>392</v>
      </c>
      <c r="G156" s="62" t="s">
        <v>213</v>
      </c>
      <c r="H156" s="62" t="s">
        <v>154</v>
      </c>
      <c r="I156" s="62" t="s">
        <v>19</v>
      </c>
      <c r="J156" s="62" t="s">
        <v>140</v>
      </c>
      <c r="K156" s="64">
        <v>10</v>
      </c>
      <c r="L156" s="64">
        <f t="shared" si="12"/>
        <v>2</v>
      </c>
      <c r="M156" s="65">
        <f>prodnorm12</f>
        <v>0</v>
      </c>
      <c r="N156" s="66">
        <f>dagwerk12</f>
        <v>0</v>
      </c>
      <c r="O156" s="62" t="s">
        <v>44</v>
      </c>
      <c r="P156" s="67">
        <f>uurtarief12</f>
        <v>0</v>
      </c>
      <c r="Q156" s="64" t="e">
        <f t="shared" si="13"/>
        <v>#DIV/0!</v>
      </c>
      <c r="R156" s="64" t="e">
        <f t="shared" si="14"/>
        <v>#DIV/0!</v>
      </c>
      <c r="S156" s="67" t="e">
        <f t="shared" si="15"/>
        <v>#DIV/0!</v>
      </c>
      <c r="T156" s="64" t="e">
        <f t="shared" si="16"/>
        <v>#DIV/0!</v>
      </c>
      <c r="U156" s="68" t="e">
        <f t="shared" si="17"/>
        <v>#DIV/0!</v>
      </c>
    </row>
    <row r="157" spans="1:21" x14ac:dyDescent="0.2">
      <c r="A157" s="61" t="s">
        <v>208</v>
      </c>
      <c r="B157" s="62" t="s">
        <v>320</v>
      </c>
      <c r="C157" s="62" t="s">
        <v>280</v>
      </c>
      <c r="D157" s="62" t="s">
        <v>407</v>
      </c>
      <c r="E157" s="62" t="s">
        <v>209</v>
      </c>
      <c r="F157" s="63" t="s">
        <v>387</v>
      </c>
      <c r="G157" s="62" t="s">
        <v>234</v>
      </c>
      <c r="H157" s="62" t="s">
        <v>164</v>
      </c>
      <c r="I157" s="62" t="s">
        <v>10</v>
      </c>
      <c r="J157" s="62" t="s">
        <v>140</v>
      </c>
      <c r="K157" s="64">
        <v>6.4</v>
      </c>
      <c r="L157" s="64">
        <f t="shared" si="12"/>
        <v>6.4</v>
      </c>
      <c r="M157" s="65">
        <f>prodnorm21</f>
        <v>0</v>
      </c>
      <c r="N157" s="66">
        <f>dagwerk21</f>
        <v>0</v>
      </c>
      <c r="O157" s="62" t="s">
        <v>44</v>
      </c>
      <c r="P157" s="67">
        <f>uurtarief21</f>
        <v>0</v>
      </c>
      <c r="Q157" s="64" t="e">
        <f t="shared" si="13"/>
        <v>#DIV/0!</v>
      </c>
      <c r="R157" s="64" t="e">
        <f t="shared" si="14"/>
        <v>#DIV/0!</v>
      </c>
      <c r="S157" s="67" t="e">
        <f t="shared" si="15"/>
        <v>#DIV/0!</v>
      </c>
      <c r="T157" s="64" t="e">
        <f t="shared" si="16"/>
        <v>#DIV/0!</v>
      </c>
      <c r="U157" s="68" t="e">
        <f t="shared" si="17"/>
        <v>#DIV/0!</v>
      </c>
    </row>
    <row r="158" spans="1:21" x14ac:dyDescent="0.2">
      <c r="A158" s="61" t="s">
        <v>208</v>
      </c>
      <c r="B158" s="62" t="s">
        <v>320</v>
      </c>
      <c r="C158" s="62" t="s">
        <v>280</v>
      </c>
      <c r="D158" s="62" t="s">
        <v>408</v>
      </c>
      <c r="E158" s="62" t="s">
        <v>209</v>
      </c>
      <c r="F158" s="63" t="s">
        <v>257</v>
      </c>
      <c r="G158" s="62" t="s">
        <v>234</v>
      </c>
      <c r="H158" s="62" t="s">
        <v>146</v>
      </c>
      <c r="I158" s="62" t="s">
        <v>10</v>
      </c>
      <c r="J158" s="62" t="s">
        <v>140</v>
      </c>
      <c r="K158" s="64">
        <v>4</v>
      </c>
      <c r="L158" s="64">
        <f t="shared" si="12"/>
        <v>4</v>
      </c>
      <c r="M158" s="65">
        <f>prodnorm8</f>
        <v>0</v>
      </c>
      <c r="N158" s="66">
        <f>dagwerk8</f>
        <v>0</v>
      </c>
      <c r="O158" s="62" t="s">
        <v>44</v>
      </c>
      <c r="P158" s="67">
        <f>uurtarief8</f>
        <v>0</v>
      </c>
      <c r="Q158" s="64" t="e">
        <f t="shared" si="13"/>
        <v>#DIV/0!</v>
      </c>
      <c r="R158" s="64" t="e">
        <f t="shared" si="14"/>
        <v>#DIV/0!</v>
      </c>
      <c r="S158" s="67" t="e">
        <f t="shared" si="15"/>
        <v>#DIV/0!</v>
      </c>
      <c r="T158" s="64" t="e">
        <f t="shared" si="16"/>
        <v>#DIV/0!</v>
      </c>
      <c r="U158" s="68" t="e">
        <f t="shared" si="17"/>
        <v>#DIV/0!</v>
      </c>
    </row>
    <row r="159" spans="1:21" x14ac:dyDescent="0.2">
      <c r="A159" s="61" t="s">
        <v>208</v>
      </c>
      <c r="B159" s="62" t="s">
        <v>320</v>
      </c>
      <c r="C159" s="62" t="s">
        <v>280</v>
      </c>
      <c r="D159" s="62" t="s">
        <v>409</v>
      </c>
      <c r="E159" s="62" t="s">
        <v>209</v>
      </c>
      <c r="F159" s="63" t="s">
        <v>215</v>
      </c>
      <c r="G159" s="62" t="s">
        <v>213</v>
      </c>
      <c r="H159" s="62" t="s">
        <v>168</v>
      </c>
      <c r="I159" s="62" t="s">
        <v>10</v>
      </c>
      <c r="J159" s="62" t="s">
        <v>140</v>
      </c>
      <c r="K159" s="64">
        <v>51</v>
      </c>
      <c r="L159" s="64">
        <f t="shared" si="12"/>
        <v>51</v>
      </c>
      <c r="M159" s="65">
        <f>prodnorm24</f>
        <v>0</v>
      </c>
      <c r="N159" s="66">
        <f>dagwerk24</f>
        <v>0</v>
      </c>
      <c r="O159" s="62" t="s">
        <v>44</v>
      </c>
      <c r="P159" s="67">
        <f>uurtarief24</f>
        <v>0</v>
      </c>
      <c r="Q159" s="64" t="e">
        <f t="shared" si="13"/>
        <v>#DIV/0!</v>
      </c>
      <c r="R159" s="64" t="e">
        <f t="shared" si="14"/>
        <v>#DIV/0!</v>
      </c>
      <c r="S159" s="67" t="e">
        <f t="shared" si="15"/>
        <v>#DIV/0!</v>
      </c>
      <c r="T159" s="64" t="e">
        <f t="shared" si="16"/>
        <v>#DIV/0!</v>
      </c>
      <c r="U159" s="68" t="e">
        <f t="shared" si="17"/>
        <v>#DIV/0!</v>
      </c>
    </row>
    <row r="160" spans="1:21" x14ac:dyDescent="0.2">
      <c r="A160" s="61" t="s">
        <v>208</v>
      </c>
      <c r="B160" s="62" t="s">
        <v>320</v>
      </c>
      <c r="C160" s="62" t="s">
        <v>280</v>
      </c>
      <c r="D160" s="62" t="s">
        <v>410</v>
      </c>
      <c r="E160" s="62" t="s">
        <v>209</v>
      </c>
      <c r="F160" s="63" t="s">
        <v>366</v>
      </c>
      <c r="G160" s="62" t="s">
        <v>213</v>
      </c>
      <c r="H160" s="62" t="s">
        <v>142</v>
      </c>
      <c r="I160" s="62" t="s">
        <v>19</v>
      </c>
      <c r="J160" s="62" t="s">
        <v>140</v>
      </c>
      <c r="K160" s="64">
        <v>12</v>
      </c>
      <c r="L160" s="64">
        <f t="shared" si="12"/>
        <v>2.4000000000000004</v>
      </c>
      <c r="M160" s="65">
        <f>prodnorm4</f>
        <v>0</v>
      </c>
      <c r="N160" s="66">
        <f>dagwerk4</f>
        <v>0</v>
      </c>
      <c r="O160" s="62" t="s">
        <v>44</v>
      </c>
      <c r="P160" s="67">
        <f>uurtarief4</f>
        <v>0</v>
      </c>
      <c r="Q160" s="64" t="e">
        <f t="shared" si="13"/>
        <v>#DIV/0!</v>
      </c>
      <c r="R160" s="64" t="e">
        <f t="shared" si="14"/>
        <v>#DIV/0!</v>
      </c>
      <c r="S160" s="67" t="e">
        <f t="shared" si="15"/>
        <v>#DIV/0!</v>
      </c>
      <c r="T160" s="64" t="e">
        <f t="shared" si="16"/>
        <v>#DIV/0!</v>
      </c>
      <c r="U160" s="68" t="e">
        <f t="shared" si="17"/>
        <v>#DIV/0!</v>
      </c>
    </row>
    <row r="161" spans="1:21" x14ac:dyDescent="0.2">
      <c r="A161" s="61" t="s">
        <v>208</v>
      </c>
      <c r="B161" s="62" t="s">
        <v>320</v>
      </c>
      <c r="C161" s="62" t="s">
        <v>280</v>
      </c>
      <c r="D161" s="62" t="s">
        <v>411</v>
      </c>
      <c r="E161" s="62" t="s">
        <v>209</v>
      </c>
      <c r="F161" s="63" t="s">
        <v>366</v>
      </c>
      <c r="G161" s="62" t="s">
        <v>213</v>
      </c>
      <c r="H161" s="62" t="s">
        <v>142</v>
      </c>
      <c r="I161" s="62" t="s">
        <v>19</v>
      </c>
      <c r="J161" s="62" t="s">
        <v>140</v>
      </c>
      <c r="K161" s="64">
        <v>12</v>
      </c>
      <c r="L161" s="64">
        <f t="shared" si="12"/>
        <v>2.4000000000000004</v>
      </c>
      <c r="M161" s="65">
        <f>prodnorm4</f>
        <v>0</v>
      </c>
      <c r="N161" s="66">
        <f>dagwerk4</f>
        <v>0</v>
      </c>
      <c r="O161" s="62" t="s">
        <v>44</v>
      </c>
      <c r="P161" s="67">
        <f>uurtarief4</f>
        <v>0</v>
      </c>
      <c r="Q161" s="64" t="e">
        <f t="shared" si="13"/>
        <v>#DIV/0!</v>
      </c>
      <c r="R161" s="64" t="e">
        <f t="shared" si="14"/>
        <v>#DIV/0!</v>
      </c>
      <c r="S161" s="67" t="e">
        <f t="shared" si="15"/>
        <v>#DIV/0!</v>
      </c>
      <c r="T161" s="64" t="e">
        <f t="shared" si="16"/>
        <v>#DIV/0!</v>
      </c>
      <c r="U161" s="68" t="e">
        <f t="shared" si="17"/>
        <v>#DIV/0!</v>
      </c>
    </row>
    <row r="162" spans="1:21" x14ac:dyDescent="0.2">
      <c r="A162" s="61" t="s">
        <v>208</v>
      </c>
      <c r="B162" s="62" t="s">
        <v>320</v>
      </c>
      <c r="C162" s="62" t="s">
        <v>280</v>
      </c>
      <c r="D162" s="62" t="s">
        <v>412</v>
      </c>
      <c r="E162" s="62" t="s">
        <v>209</v>
      </c>
      <c r="F162" s="63" t="s">
        <v>257</v>
      </c>
      <c r="G162" s="62" t="s">
        <v>234</v>
      </c>
      <c r="H162" s="62" t="s">
        <v>146</v>
      </c>
      <c r="I162" s="62" t="s">
        <v>10</v>
      </c>
      <c r="J162" s="62" t="s">
        <v>140</v>
      </c>
      <c r="K162" s="64">
        <v>1.8</v>
      </c>
      <c r="L162" s="64">
        <f t="shared" si="12"/>
        <v>1.8</v>
      </c>
      <c r="M162" s="65">
        <f>prodnorm8</f>
        <v>0</v>
      </c>
      <c r="N162" s="66">
        <f>dagwerk8</f>
        <v>0</v>
      </c>
      <c r="O162" s="62" t="s">
        <v>44</v>
      </c>
      <c r="P162" s="67">
        <f>uurtarief8</f>
        <v>0</v>
      </c>
      <c r="Q162" s="64" t="e">
        <f t="shared" si="13"/>
        <v>#DIV/0!</v>
      </c>
      <c r="R162" s="64" t="e">
        <f t="shared" si="14"/>
        <v>#DIV/0!</v>
      </c>
      <c r="S162" s="67" t="e">
        <f t="shared" si="15"/>
        <v>#DIV/0!</v>
      </c>
      <c r="T162" s="64" t="e">
        <f t="shared" si="16"/>
        <v>#DIV/0!</v>
      </c>
      <c r="U162" s="68" t="e">
        <f t="shared" si="17"/>
        <v>#DIV/0!</v>
      </c>
    </row>
    <row r="163" spans="1:21" x14ac:dyDescent="0.2">
      <c r="A163" s="61" t="s">
        <v>208</v>
      </c>
      <c r="B163" s="62" t="s">
        <v>320</v>
      </c>
      <c r="C163" s="62" t="s">
        <v>280</v>
      </c>
      <c r="D163" s="62" t="s">
        <v>413</v>
      </c>
      <c r="E163" s="62" t="s">
        <v>209</v>
      </c>
      <c r="F163" s="63" t="s">
        <v>373</v>
      </c>
      <c r="G163" s="62" t="s">
        <v>213</v>
      </c>
      <c r="H163" s="62" t="s">
        <v>154</v>
      </c>
      <c r="I163" s="62" t="s">
        <v>19</v>
      </c>
      <c r="J163" s="62" t="s">
        <v>140</v>
      </c>
      <c r="K163" s="64">
        <v>26</v>
      </c>
      <c r="L163" s="64">
        <f t="shared" si="12"/>
        <v>5.2</v>
      </c>
      <c r="M163" s="65">
        <f>prodnorm12</f>
        <v>0</v>
      </c>
      <c r="N163" s="66">
        <f>dagwerk12</f>
        <v>0</v>
      </c>
      <c r="O163" s="62" t="s">
        <v>44</v>
      </c>
      <c r="P163" s="67">
        <f>uurtarief12</f>
        <v>0</v>
      </c>
      <c r="Q163" s="64" t="e">
        <f t="shared" si="13"/>
        <v>#DIV/0!</v>
      </c>
      <c r="R163" s="64" t="e">
        <f t="shared" si="14"/>
        <v>#DIV/0!</v>
      </c>
      <c r="S163" s="67" t="e">
        <f t="shared" si="15"/>
        <v>#DIV/0!</v>
      </c>
      <c r="T163" s="64" t="e">
        <f t="shared" si="16"/>
        <v>#DIV/0!</v>
      </c>
      <c r="U163" s="68" t="e">
        <f t="shared" si="17"/>
        <v>#DIV/0!</v>
      </c>
    </row>
    <row r="164" spans="1:21" x14ac:dyDescent="0.2">
      <c r="A164" s="61" t="s">
        <v>208</v>
      </c>
      <c r="B164" s="62" t="s">
        <v>320</v>
      </c>
      <c r="C164" s="62" t="s">
        <v>280</v>
      </c>
      <c r="D164" s="62" t="s">
        <v>414</v>
      </c>
      <c r="E164" s="62" t="s">
        <v>209</v>
      </c>
      <c r="F164" s="63" t="s">
        <v>254</v>
      </c>
      <c r="G164" s="62" t="s">
        <v>234</v>
      </c>
      <c r="H164" s="62" t="s">
        <v>164</v>
      </c>
      <c r="I164" s="62" t="s">
        <v>10</v>
      </c>
      <c r="J164" s="62" t="s">
        <v>140</v>
      </c>
      <c r="K164" s="64">
        <v>1.8</v>
      </c>
      <c r="L164" s="64">
        <f t="shared" si="12"/>
        <v>1.8</v>
      </c>
      <c r="M164" s="65">
        <f>prodnorm21</f>
        <v>0</v>
      </c>
      <c r="N164" s="66">
        <f>dagwerk21</f>
        <v>0</v>
      </c>
      <c r="O164" s="62" t="s">
        <v>44</v>
      </c>
      <c r="P164" s="67">
        <f>uurtarief21</f>
        <v>0</v>
      </c>
      <c r="Q164" s="64" t="e">
        <f t="shared" si="13"/>
        <v>#DIV/0!</v>
      </c>
      <c r="R164" s="64" t="e">
        <f t="shared" si="14"/>
        <v>#DIV/0!</v>
      </c>
      <c r="S164" s="67" t="e">
        <f t="shared" si="15"/>
        <v>#DIV/0!</v>
      </c>
      <c r="T164" s="64" t="e">
        <f t="shared" si="16"/>
        <v>#DIV/0!</v>
      </c>
      <c r="U164" s="68" t="e">
        <f t="shared" si="17"/>
        <v>#DIV/0!</v>
      </c>
    </row>
    <row r="165" spans="1:21" x14ac:dyDescent="0.2">
      <c r="A165" s="61" t="s">
        <v>208</v>
      </c>
      <c r="B165" s="62" t="s">
        <v>320</v>
      </c>
      <c r="C165" s="62" t="s">
        <v>280</v>
      </c>
      <c r="D165" s="62" t="s">
        <v>415</v>
      </c>
      <c r="E165" s="62" t="s">
        <v>209</v>
      </c>
      <c r="F165" s="63" t="s">
        <v>261</v>
      </c>
      <c r="G165" s="62" t="s">
        <v>234</v>
      </c>
      <c r="H165" s="62" t="s">
        <v>158</v>
      </c>
      <c r="I165" s="62" t="s">
        <v>10</v>
      </c>
      <c r="J165" s="62" t="s">
        <v>140</v>
      </c>
      <c r="K165" s="64">
        <v>10.8</v>
      </c>
      <c r="L165" s="64">
        <f t="shared" si="12"/>
        <v>10.8</v>
      </c>
      <c r="M165" s="65">
        <f>prodnorm17</f>
        <v>0</v>
      </c>
      <c r="N165" s="66">
        <f>dagwerk17</f>
        <v>0</v>
      </c>
      <c r="O165" s="62" t="s">
        <v>44</v>
      </c>
      <c r="P165" s="67">
        <f>uurtarief17</f>
        <v>0</v>
      </c>
      <c r="Q165" s="64" t="e">
        <f t="shared" si="13"/>
        <v>#DIV/0!</v>
      </c>
      <c r="R165" s="64" t="e">
        <f t="shared" si="14"/>
        <v>#DIV/0!</v>
      </c>
      <c r="S165" s="67" t="e">
        <f t="shared" si="15"/>
        <v>#DIV/0!</v>
      </c>
      <c r="T165" s="64" t="e">
        <f t="shared" si="16"/>
        <v>#DIV/0!</v>
      </c>
      <c r="U165" s="68" t="e">
        <f t="shared" si="17"/>
        <v>#DIV/0!</v>
      </c>
    </row>
    <row r="166" spans="1:21" x14ac:dyDescent="0.2">
      <c r="A166" s="61" t="s">
        <v>208</v>
      </c>
      <c r="B166" s="62" t="s">
        <v>320</v>
      </c>
      <c r="C166" s="62" t="s">
        <v>280</v>
      </c>
      <c r="D166" s="62" t="s">
        <v>416</v>
      </c>
      <c r="E166" s="62" t="s">
        <v>209</v>
      </c>
      <c r="F166" s="63" t="s">
        <v>259</v>
      </c>
      <c r="G166" s="62" t="s">
        <v>213</v>
      </c>
      <c r="H166" s="62" t="s">
        <v>146</v>
      </c>
      <c r="I166" s="62" t="s">
        <v>19</v>
      </c>
      <c r="J166" s="62" t="s">
        <v>140</v>
      </c>
      <c r="K166" s="64">
        <v>10</v>
      </c>
      <c r="L166" s="64">
        <f t="shared" si="12"/>
        <v>2</v>
      </c>
      <c r="M166" s="65">
        <f>prodnorm7</f>
        <v>0</v>
      </c>
      <c r="N166" s="66">
        <f>dagwerk7</f>
        <v>0</v>
      </c>
      <c r="O166" s="62" t="s">
        <v>44</v>
      </c>
      <c r="P166" s="67">
        <f>uurtarief7</f>
        <v>0</v>
      </c>
      <c r="Q166" s="64" t="e">
        <f t="shared" si="13"/>
        <v>#DIV/0!</v>
      </c>
      <c r="R166" s="64" t="e">
        <f t="shared" si="14"/>
        <v>#DIV/0!</v>
      </c>
      <c r="S166" s="67" t="e">
        <f t="shared" si="15"/>
        <v>#DIV/0!</v>
      </c>
      <c r="T166" s="64" t="e">
        <f t="shared" si="16"/>
        <v>#DIV/0!</v>
      </c>
      <c r="U166" s="68" t="e">
        <f t="shared" si="17"/>
        <v>#DIV/0!</v>
      </c>
    </row>
    <row r="167" spans="1:21" x14ac:dyDescent="0.2">
      <c r="A167" s="61" t="s">
        <v>208</v>
      </c>
      <c r="B167" s="62" t="s">
        <v>320</v>
      </c>
      <c r="C167" s="62" t="s">
        <v>280</v>
      </c>
      <c r="D167" s="62" t="s">
        <v>417</v>
      </c>
      <c r="E167" s="62" t="s">
        <v>209</v>
      </c>
      <c r="F167" s="63" t="s">
        <v>254</v>
      </c>
      <c r="G167" s="62" t="s">
        <v>234</v>
      </c>
      <c r="H167" s="62" t="s">
        <v>164</v>
      </c>
      <c r="I167" s="62" t="s">
        <v>10</v>
      </c>
      <c r="J167" s="62" t="s">
        <v>140</v>
      </c>
      <c r="K167" s="64">
        <v>5.4</v>
      </c>
      <c r="L167" s="64">
        <f t="shared" si="12"/>
        <v>5.4</v>
      </c>
      <c r="M167" s="65">
        <f>prodnorm21</f>
        <v>0</v>
      </c>
      <c r="N167" s="66">
        <f>dagwerk21</f>
        <v>0</v>
      </c>
      <c r="O167" s="62" t="s">
        <v>44</v>
      </c>
      <c r="P167" s="67">
        <f>uurtarief21</f>
        <v>0</v>
      </c>
      <c r="Q167" s="64" t="e">
        <f t="shared" si="13"/>
        <v>#DIV/0!</v>
      </c>
      <c r="R167" s="64" t="e">
        <f t="shared" si="14"/>
        <v>#DIV/0!</v>
      </c>
      <c r="S167" s="67" t="e">
        <f t="shared" si="15"/>
        <v>#DIV/0!</v>
      </c>
      <c r="T167" s="64" t="e">
        <f t="shared" si="16"/>
        <v>#DIV/0!</v>
      </c>
      <c r="U167" s="68" t="e">
        <f t="shared" si="17"/>
        <v>#DIV/0!</v>
      </c>
    </row>
    <row r="168" spans="1:21" x14ac:dyDescent="0.2">
      <c r="A168" s="61" t="s">
        <v>208</v>
      </c>
      <c r="B168" s="62" t="s">
        <v>320</v>
      </c>
      <c r="C168" s="62" t="s">
        <v>280</v>
      </c>
      <c r="D168" s="62" t="s">
        <v>418</v>
      </c>
      <c r="E168" s="62" t="s">
        <v>209</v>
      </c>
      <c r="F168" s="63" t="s">
        <v>257</v>
      </c>
      <c r="G168" s="62" t="s">
        <v>234</v>
      </c>
      <c r="H168" s="62" t="s">
        <v>146</v>
      </c>
      <c r="I168" s="62" t="s">
        <v>10</v>
      </c>
      <c r="J168" s="62" t="s">
        <v>140</v>
      </c>
      <c r="K168" s="64">
        <v>5.4</v>
      </c>
      <c r="L168" s="64">
        <f t="shared" si="12"/>
        <v>5.4</v>
      </c>
      <c r="M168" s="65">
        <f>prodnorm8</f>
        <v>0</v>
      </c>
      <c r="N168" s="66">
        <f>dagwerk8</f>
        <v>0</v>
      </c>
      <c r="O168" s="62" t="s">
        <v>44</v>
      </c>
      <c r="P168" s="67">
        <f>uurtarief8</f>
        <v>0</v>
      </c>
      <c r="Q168" s="64" t="e">
        <f t="shared" si="13"/>
        <v>#DIV/0!</v>
      </c>
      <c r="R168" s="64" t="e">
        <f t="shared" si="14"/>
        <v>#DIV/0!</v>
      </c>
      <c r="S168" s="67" t="e">
        <f t="shared" si="15"/>
        <v>#DIV/0!</v>
      </c>
      <c r="T168" s="64" t="e">
        <f t="shared" si="16"/>
        <v>#DIV/0!</v>
      </c>
      <c r="U168" s="68" t="e">
        <f t="shared" si="17"/>
        <v>#DIV/0!</v>
      </c>
    </row>
    <row r="169" spans="1:21" x14ac:dyDescent="0.2">
      <c r="A169" s="61" t="s">
        <v>208</v>
      </c>
      <c r="B169" s="62" t="s">
        <v>320</v>
      </c>
      <c r="C169" s="62" t="s">
        <v>280</v>
      </c>
      <c r="D169" s="62" t="s">
        <v>419</v>
      </c>
      <c r="E169" s="62" t="s">
        <v>209</v>
      </c>
      <c r="F169" s="63" t="s">
        <v>254</v>
      </c>
      <c r="G169" s="62" t="s">
        <v>234</v>
      </c>
      <c r="H169" s="62" t="s">
        <v>164</v>
      </c>
      <c r="I169" s="62" t="s">
        <v>10</v>
      </c>
      <c r="J169" s="62" t="s">
        <v>140</v>
      </c>
      <c r="K169" s="64">
        <v>1.8</v>
      </c>
      <c r="L169" s="64">
        <f t="shared" si="12"/>
        <v>1.8</v>
      </c>
      <c r="M169" s="65">
        <f>prodnorm21</f>
        <v>0</v>
      </c>
      <c r="N169" s="66">
        <f>dagwerk21</f>
        <v>0</v>
      </c>
      <c r="O169" s="62" t="s">
        <v>44</v>
      </c>
      <c r="P169" s="67">
        <f>uurtarief21</f>
        <v>0</v>
      </c>
      <c r="Q169" s="64" t="e">
        <f t="shared" si="13"/>
        <v>#DIV/0!</v>
      </c>
      <c r="R169" s="64" t="e">
        <f t="shared" si="14"/>
        <v>#DIV/0!</v>
      </c>
      <c r="S169" s="67" t="e">
        <f t="shared" si="15"/>
        <v>#DIV/0!</v>
      </c>
      <c r="T169" s="64" t="e">
        <f t="shared" si="16"/>
        <v>#DIV/0!</v>
      </c>
      <c r="U169" s="68" t="e">
        <f t="shared" si="17"/>
        <v>#DIV/0!</v>
      </c>
    </row>
    <row r="170" spans="1:21" x14ac:dyDescent="0.2">
      <c r="A170" s="61" t="s">
        <v>208</v>
      </c>
      <c r="B170" s="62" t="s">
        <v>320</v>
      </c>
      <c r="C170" s="62" t="s">
        <v>280</v>
      </c>
      <c r="D170" s="62" t="s">
        <v>420</v>
      </c>
      <c r="E170" s="62" t="s">
        <v>209</v>
      </c>
      <c r="F170" s="63" t="s">
        <v>257</v>
      </c>
      <c r="G170" s="62" t="s">
        <v>234</v>
      </c>
      <c r="H170" s="62" t="s">
        <v>146</v>
      </c>
      <c r="I170" s="62" t="s">
        <v>10</v>
      </c>
      <c r="J170" s="62" t="s">
        <v>140</v>
      </c>
      <c r="K170" s="64">
        <v>1.8</v>
      </c>
      <c r="L170" s="64">
        <f t="shared" si="12"/>
        <v>1.8</v>
      </c>
      <c r="M170" s="65">
        <f>prodnorm8</f>
        <v>0</v>
      </c>
      <c r="N170" s="66">
        <f>dagwerk8</f>
        <v>0</v>
      </c>
      <c r="O170" s="62" t="s">
        <v>44</v>
      </c>
      <c r="P170" s="67">
        <f>uurtarief8</f>
        <v>0</v>
      </c>
      <c r="Q170" s="64" t="e">
        <f t="shared" si="13"/>
        <v>#DIV/0!</v>
      </c>
      <c r="R170" s="64" t="e">
        <f t="shared" si="14"/>
        <v>#DIV/0!</v>
      </c>
      <c r="S170" s="67" t="e">
        <f t="shared" si="15"/>
        <v>#DIV/0!</v>
      </c>
      <c r="T170" s="64" t="e">
        <f t="shared" si="16"/>
        <v>#DIV/0!</v>
      </c>
      <c r="U170" s="68" t="e">
        <f t="shared" si="17"/>
        <v>#DIV/0!</v>
      </c>
    </row>
    <row r="171" spans="1:21" x14ac:dyDescent="0.2">
      <c r="A171" s="61" t="s">
        <v>208</v>
      </c>
      <c r="B171" s="62" t="s">
        <v>320</v>
      </c>
      <c r="C171" s="62" t="s">
        <v>280</v>
      </c>
      <c r="D171" s="62" t="s">
        <v>421</v>
      </c>
      <c r="E171" s="62" t="s">
        <v>209</v>
      </c>
      <c r="F171" s="63" t="s">
        <v>254</v>
      </c>
      <c r="G171" s="62" t="s">
        <v>234</v>
      </c>
      <c r="H171" s="62" t="s">
        <v>164</v>
      </c>
      <c r="I171" s="62" t="s">
        <v>10</v>
      </c>
      <c r="J171" s="62" t="s">
        <v>140</v>
      </c>
      <c r="K171" s="64">
        <v>2.2999999999999998</v>
      </c>
      <c r="L171" s="64">
        <f t="shared" si="12"/>
        <v>2.2999999999999998</v>
      </c>
      <c r="M171" s="65">
        <f>prodnorm21</f>
        <v>0</v>
      </c>
      <c r="N171" s="66">
        <f>dagwerk21</f>
        <v>0</v>
      </c>
      <c r="O171" s="62" t="s">
        <v>44</v>
      </c>
      <c r="P171" s="67">
        <f>uurtarief21</f>
        <v>0</v>
      </c>
      <c r="Q171" s="64" t="e">
        <f t="shared" si="13"/>
        <v>#DIV/0!</v>
      </c>
      <c r="R171" s="64" t="e">
        <f t="shared" si="14"/>
        <v>#DIV/0!</v>
      </c>
      <c r="S171" s="67" t="e">
        <f t="shared" si="15"/>
        <v>#DIV/0!</v>
      </c>
      <c r="T171" s="64" t="e">
        <f t="shared" si="16"/>
        <v>#DIV/0!</v>
      </c>
      <c r="U171" s="68" t="e">
        <f t="shared" si="17"/>
        <v>#DIV/0!</v>
      </c>
    </row>
    <row r="172" spans="1:21" x14ac:dyDescent="0.2">
      <c r="A172" s="61" t="s">
        <v>208</v>
      </c>
      <c r="B172" s="62" t="s">
        <v>320</v>
      </c>
      <c r="C172" s="62" t="s">
        <v>280</v>
      </c>
      <c r="D172" s="62" t="s">
        <v>422</v>
      </c>
      <c r="E172" s="62" t="s">
        <v>209</v>
      </c>
      <c r="F172" s="63" t="s">
        <v>257</v>
      </c>
      <c r="G172" s="62" t="s">
        <v>234</v>
      </c>
      <c r="H172" s="62" t="s">
        <v>146</v>
      </c>
      <c r="I172" s="62" t="s">
        <v>10</v>
      </c>
      <c r="J172" s="62" t="s">
        <v>140</v>
      </c>
      <c r="K172" s="64">
        <v>2.2000000000000002</v>
      </c>
      <c r="L172" s="64">
        <f t="shared" si="12"/>
        <v>2.2000000000000002</v>
      </c>
      <c r="M172" s="65">
        <f>prodnorm8</f>
        <v>0</v>
      </c>
      <c r="N172" s="66">
        <f>dagwerk8</f>
        <v>0</v>
      </c>
      <c r="O172" s="62" t="s">
        <v>44</v>
      </c>
      <c r="P172" s="67">
        <f>uurtarief8</f>
        <v>0</v>
      </c>
      <c r="Q172" s="64" t="e">
        <f t="shared" si="13"/>
        <v>#DIV/0!</v>
      </c>
      <c r="R172" s="64" t="e">
        <f t="shared" si="14"/>
        <v>#DIV/0!</v>
      </c>
      <c r="S172" s="67" t="e">
        <f t="shared" si="15"/>
        <v>#DIV/0!</v>
      </c>
      <c r="T172" s="64" t="e">
        <f t="shared" si="16"/>
        <v>#DIV/0!</v>
      </c>
      <c r="U172" s="68" t="e">
        <f t="shared" si="17"/>
        <v>#DIV/0!</v>
      </c>
    </row>
    <row r="173" spans="1:21" x14ac:dyDescent="0.2">
      <c r="A173" s="61" t="s">
        <v>208</v>
      </c>
      <c r="B173" s="62" t="s">
        <v>320</v>
      </c>
      <c r="C173" s="62" t="s">
        <v>280</v>
      </c>
      <c r="D173" s="62" t="s">
        <v>423</v>
      </c>
      <c r="E173" s="62" t="s">
        <v>209</v>
      </c>
      <c r="F173" s="63" t="s">
        <v>254</v>
      </c>
      <c r="G173" s="62" t="s">
        <v>234</v>
      </c>
      <c r="H173" s="62" t="s">
        <v>164</v>
      </c>
      <c r="I173" s="62" t="s">
        <v>10</v>
      </c>
      <c r="J173" s="62" t="s">
        <v>140</v>
      </c>
      <c r="K173" s="64">
        <v>2.1</v>
      </c>
      <c r="L173" s="64">
        <f t="shared" si="12"/>
        <v>2.1</v>
      </c>
      <c r="M173" s="65">
        <f>prodnorm21</f>
        <v>0</v>
      </c>
      <c r="N173" s="66">
        <f>dagwerk21</f>
        <v>0</v>
      </c>
      <c r="O173" s="62" t="s">
        <v>44</v>
      </c>
      <c r="P173" s="67">
        <f>uurtarief21</f>
        <v>0</v>
      </c>
      <c r="Q173" s="64" t="e">
        <f t="shared" si="13"/>
        <v>#DIV/0!</v>
      </c>
      <c r="R173" s="64" t="e">
        <f t="shared" si="14"/>
        <v>#DIV/0!</v>
      </c>
      <c r="S173" s="67" t="e">
        <f t="shared" si="15"/>
        <v>#DIV/0!</v>
      </c>
      <c r="T173" s="64" t="e">
        <f t="shared" si="16"/>
        <v>#DIV/0!</v>
      </c>
      <c r="U173" s="68" t="e">
        <f t="shared" si="17"/>
        <v>#DIV/0!</v>
      </c>
    </row>
    <row r="174" spans="1:21" x14ac:dyDescent="0.2">
      <c r="A174" s="61" t="s">
        <v>208</v>
      </c>
      <c r="B174" s="62" t="s">
        <v>320</v>
      </c>
      <c r="C174" s="62" t="s">
        <v>280</v>
      </c>
      <c r="D174" s="62" t="s">
        <v>424</v>
      </c>
      <c r="E174" s="62" t="s">
        <v>209</v>
      </c>
      <c r="F174" s="63" t="s">
        <v>257</v>
      </c>
      <c r="G174" s="62" t="s">
        <v>234</v>
      </c>
      <c r="H174" s="62" t="s">
        <v>146</v>
      </c>
      <c r="I174" s="62" t="s">
        <v>10</v>
      </c>
      <c r="J174" s="62" t="s">
        <v>140</v>
      </c>
      <c r="K174" s="64">
        <v>2.1</v>
      </c>
      <c r="L174" s="64">
        <f t="shared" si="12"/>
        <v>2.1</v>
      </c>
      <c r="M174" s="65">
        <f>prodnorm8</f>
        <v>0</v>
      </c>
      <c r="N174" s="66">
        <f>dagwerk8</f>
        <v>0</v>
      </c>
      <c r="O174" s="62" t="s">
        <v>44</v>
      </c>
      <c r="P174" s="67">
        <f>uurtarief8</f>
        <v>0</v>
      </c>
      <c r="Q174" s="64" t="e">
        <f t="shared" si="13"/>
        <v>#DIV/0!</v>
      </c>
      <c r="R174" s="64" t="e">
        <f t="shared" si="14"/>
        <v>#DIV/0!</v>
      </c>
      <c r="S174" s="67" t="e">
        <f t="shared" si="15"/>
        <v>#DIV/0!</v>
      </c>
      <c r="T174" s="64" t="e">
        <f t="shared" si="16"/>
        <v>#DIV/0!</v>
      </c>
      <c r="U174" s="68" t="e">
        <f t="shared" si="17"/>
        <v>#DIV/0!</v>
      </c>
    </row>
    <row r="175" spans="1:21" x14ac:dyDescent="0.2">
      <c r="A175" s="61" t="s">
        <v>208</v>
      </c>
      <c r="B175" s="62" t="s">
        <v>320</v>
      </c>
      <c r="C175" s="62" t="s">
        <v>280</v>
      </c>
      <c r="D175" s="62" t="s">
        <v>425</v>
      </c>
      <c r="E175" s="62" t="s">
        <v>209</v>
      </c>
      <c r="F175" s="63" t="s">
        <v>215</v>
      </c>
      <c r="G175" s="62" t="s">
        <v>213</v>
      </c>
      <c r="H175" s="62" t="s">
        <v>168</v>
      </c>
      <c r="I175" s="62" t="s">
        <v>10</v>
      </c>
      <c r="J175" s="62" t="s">
        <v>140</v>
      </c>
      <c r="K175" s="64">
        <v>72.599999999999994</v>
      </c>
      <c r="L175" s="64">
        <f t="shared" si="12"/>
        <v>72.599999999999994</v>
      </c>
      <c r="M175" s="65">
        <f>prodnorm24</f>
        <v>0</v>
      </c>
      <c r="N175" s="66">
        <f>dagwerk24</f>
        <v>0</v>
      </c>
      <c r="O175" s="62" t="s">
        <v>44</v>
      </c>
      <c r="P175" s="67">
        <f>uurtarief24</f>
        <v>0</v>
      </c>
      <c r="Q175" s="64" t="e">
        <f t="shared" si="13"/>
        <v>#DIV/0!</v>
      </c>
      <c r="R175" s="64" t="e">
        <f t="shared" si="14"/>
        <v>#DIV/0!</v>
      </c>
      <c r="S175" s="67" t="e">
        <f t="shared" si="15"/>
        <v>#DIV/0!</v>
      </c>
      <c r="T175" s="64" t="e">
        <f t="shared" si="16"/>
        <v>#DIV/0!</v>
      </c>
      <c r="U175" s="68" t="e">
        <f t="shared" si="17"/>
        <v>#DIV/0!</v>
      </c>
    </row>
    <row r="176" spans="1:21" x14ac:dyDescent="0.2">
      <c r="A176" s="61" t="s">
        <v>208</v>
      </c>
      <c r="B176" s="62" t="s">
        <v>320</v>
      </c>
      <c r="C176" s="62" t="s">
        <v>294</v>
      </c>
      <c r="D176" s="62" t="s">
        <v>426</v>
      </c>
      <c r="E176" s="62" t="s">
        <v>209</v>
      </c>
      <c r="F176" s="63" t="s">
        <v>254</v>
      </c>
      <c r="G176" s="62" t="s">
        <v>234</v>
      </c>
      <c r="H176" s="62" t="s">
        <v>164</v>
      </c>
      <c r="I176" s="62" t="s">
        <v>10</v>
      </c>
      <c r="J176" s="62" t="s">
        <v>140</v>
      </c>
      <c r="K176" s="64">
        <v>6.7</v>
      </c>
      <c r="L176" s="64">
        <f t="shared" si="12"/>
        <v>6.7</v>
      </c>
      <c r="M176" s="65">
        <f>prodnorm21</f>
        <v>0</v>
      </c>
      <c r="N176" s="66">
        <f>dagwerk21</f>
        <v>0</v>
      </c>
      <c r="O176" s="62" t="s">
        <v>44</v>
      </c>
      <c r="P176" s="67">
        <f>uurtarief21</f>
        <v>0</v>
      </c>
      <c r="Q176" s="64" t="e">
        <f t="shared" si="13"/>
        <v>#DIV/0!</v>
      </c>
      <c r="R176" s="64" t="e">
        <f t="shared" si="14"/>
        <v>#DIV/0!</v>
      </c>
      <c r="S176" s="67" t="e">
        <f t="shared" si="15"/>
        <v>#DIV/0!</v>
      </c>
      <c r="T176" s="64" t="e">
        <f t="shared" si="16"/>
        <v>#DIV/0!</v>
      </c>
      <c r="U176" s="68" t="e">
        <f t="shared" si="17"/>
        <v>#DIV/0!</v>
      </c>
    </row>
    <row r="177" spans="1:21" x14ac:dyDescent="0.2">
      <c r="A177" s="61" t="s">
        <v>208</v>
      </c>
      <c r="B177" s="62" t="s">
        <v>320</v>
      </c>
      <c r="C177" s="62" t="s">
        <v>294</v>
      </c>
      <c r="D177" s="62" t="s">
        <v>427</v>
      </c>
      <c r="E177" s="62" t="s">
        <v>209</v>
      </c>
      <c r="F177" s="63" t="s">
        <v>257</v>
      </c>
      <c r="G177" s="62" t="s">
        <v>234</v>
      </c>
      <c r="H177" s="62" t="s">
        <v>146</v>
      </c>
      <c r="I177" s="62" t="s">
        <v>10</v>
      </c>
      <c r="J177" s="62" t="s">
        <v>140</v>
      </c>
      <c r="K177" s="64">
        <v>4</v>
      </c>
      <c r="L177" s="64">
        <f t="shared" si="12"/>
        <v>4</v>
      </c>
      <c r="M177" s="65">
        <f>prodnorm8</f>
        <v>0</v>
      </c>
      <c r="N177" s="66">
        <f>dagwerk8</f>
        <v>0</v>
      </c>
      <c r="O177" s="62" t="s">
        <v>44</v>
      </c>
      <c r="P177" s="67">
        <f>uurtarief8</f>
        <v>0</v>
      </c>
      <c r="Q177" s="64" t="e">
        <f t="shared" si="13"/>
        <v>#DIV/0!</v>
      </c>
      <c r="R177" s="64" t="e">
        <f t="shared" si="14"/>
        <v>#DIV/0!</v>
      </c>
      <c r="S177" s="67" t="e">
        <f t="shared" si="15"/>
        <v>#DIV/0!</v>
      </c>
      <c r="T177" s="64" t="e">
        <f t="shared" si="16"/>
        <v>#DIV/0!</v>
      </c>
      <c r="U177" s="68" t="e">
        <f t="shared" si="17"/>
        <v>#DIV/0!</v>
      </c>
    </row>
    <row r="178" spans="1:21" x14ac:dyDescent="0.2">
      <c r="A178" s="61" t="s">
        <v>208</v>
      </c>
      <c r="B178" s="62" t="s">
        <v>320</v>
      </c>
      <c r="C178" s="62" t="s">
        <v>294</v>
      </c>
      <c r="D178" s="62" t="s">
        <v>428</v>
      </c>
      <c r="E178" s="62" t="s">
        <v>209</v>
      </c>
      <c r="F178" s="63" t="s">
        <v>212</v>
      </c>
      <c r="G178" s="62" t="s">
        <v>213</v>
      </c>
      <c r="H178" s="62" t="s">
        <v>166</v>
      </c>
      <c r="I178" s="62" t="s">
        <v>10</v>
      </c>
      <c r="J178" s="62" t="s">
        <v>140</v>
      </c>
      <c r="K178" s="64">
        <v>48.7</v>
      </c>
      <c r="L178" s="64">
        <f t="shared" si="12"/>
        <v>48.7</v>
      </c>
      <c r="M178" s="65">
        <f>prodnorm22</f>
        <v>0</v>
      </c>
      <c r="N178" s="66">
        <f>dagwerk22</f>
        <v>0</v>
      </c>
      <c r="O178" s="62" t="s">
        <v>44</v>
      </c>
      <c r="P178" s="67">
        <f>uurtarief22</f>
        <v>0</v>
      </c>
      <c r="Q178" s="64" t="e">
        <f t="shared" si="13"/>
        <v>#DIV/0!</v>
      </c>
      <c r="R178" s="64" t="e">
        <f t="shared" si="14"/>
        <v>#DIV/0!</v>
      </c>
      <c r="S178" s="67" t="e">
        <f t="shared" si="15"/>
        <v>#DIV/0!</v>
      </c>
      <c r="T178" s="64" t="e">
        <f t="shared" si="16"/>
        <v>#DIV/0!</v>
      </c>
      <c r="U178" s="68" t="e">
        <f t="shared" si="17"/>
        <v>#DIV/0!</v>
      </c>
    </row>
    <row r="179" spans="1:21" x14ac:dyDescent="0.2">
      <c r="A179" s="61" t="s">
        <v>208</v>
      </c>
      <c r="B179" s="62" t="s">
        <v>320</v>
      </c>
      <c r="C179" s="62" t="s">
        <v>294</v>
      </c>
      <c r="D179" s="62" t="s">
        <v>429</v>
      </c>
      <c r="E179" s="62" t="s">
        <v>209</v>
      </c>
      <c r="F179" s="63" t="s">
        <v>215</v>
      </c>
      <c r="G179" s="62" t="s">
        <v>213</v>
      </c>
      <c r="H179" s="62" t="s">
        <v>168</v>
      </c>
      <c r="I179" s="62" t="s">
        <v>10</v>
      </c>
      <c r="J179" s="62" t="s">
        <v>140</v>
      </c>
      <c r="K179" s="64">
        <v>50.4</v>
      </c>
      <c r="L179" s="64">
        <f t="shared" si="12"/>
        <v>50.4</v>
      </c>
      <c r="M179" s="65">
        <f>prodnorm24</f>
        <v>0</v>
      </c>
      <c r="N179" s="66">
        <f>dagwerk24</f>
        <v>0</v>
      </c>
      <c r="O179" s="62" t="s">
        <v>44</v>
      </c>
      <c r="P179" s="67">
        <f>uurtarief24</f>
        <v>0</v>
      </c>
      <c r="Q179" s="64" t="e">
        <f t="shared" si="13"/>
        <v>#DIV/0!</v>
      </c>
      <c r="R179" s="64" t="e">
        <f t="shared" si="14"/>
        <v>#DIV/0!</v>
      </c>
      <c r="S179" s="67" t="e">
        <f t="shared" si="15"/>
        <v>#DIV/0!</v>
      </c>
      <c r="T179" s="64" t="e">
        <f t="shared" si="16"/>
        <v>#DIV/0!</v>
      </c>
      <c r="U179" s="68" t="e">
        <f t="shared" si="17"/>
        <v>#DIV/0!</v>
      </c>
    </row>
    <row r="180" spans="1:21" x14ac:dyDescent="0.2">
      <c r="A180" s="61" t="s">
        <v>208</v>
      </c>
      <c r="B180" s="62" t="s">
        <v>320</v>
      </c>
      <c r="C180" s="62" t="s">
        <v>294</v>
      </c>
      <c r="D180" s="62" t="s">
        <v>430</v>
      </c>
      <c r="E180" s="62" t="s">
        <v>209</v>
      </c>
      <c r="F180" s="63" t="s">
        <v>392</v>
      </c>
      <c r="G180" s="62" t="s">
        <v>213</v>
      </c>
      <c r="H180" s="62" t="s">
        <v>154</v>
      </c>
      <c r="I180" s="62" t="s">
        <v>19</v>
      </c>
      <c r="J180" s="62" t="s">
        <v>140</v>
      </c>
      <c r="K180" s="64">
        <v>12</v>
      </c>
      <c r="L180" s="64">
        <f t="shared" si="12"/>
        <v>2.4000000000000004</v>
      </c>
      <c r="M180" s="65">
        <f>prodnorm12</f>
        <v>0</v>
      </c>
      <c r="N180" s="66">
        <f>dagwerk12</f>
        <v>0</v>
      </c>
      <c r="O180" s="62" t="s">
        <v>44</v>
      </c>
      <c r="P180" s="67">
        <f>uurtarief12</f>
        <v>0</v>
      </c>
      <c r="Q180" s="64" t="e">
        <f t="shared" si="13"/>
        <v>#DIV/0!</v>
      </c>
      <c r="R180" s="64" t="e">
        <f t="shared" si="14"/>
        <v>#DIV/0!</v>
      </c>
      <c r="S180" s="67" t="e">
        <f t="shared" si="15"/>
        <v>#DIV/0!</v>
      </c>
      <c r="T180" s="64" t="e">
        <f t="shared" si="16"/>
        <v>#DIV/0!</v>
      </c>
      <c r="U180" s="68" t="e">
        <f t="shared" si="17"/>
        <v>#DIV/0!</v>
      </c>
    </row>
    <row r="181" spans="1:21" x14ac:dyDescent="0.2">
      <c r="A181" s="61" t="s">
        <v>208</v>
      </c>
      <c r="B181" s="62" t="s">
        <v>320</v>
      </c>
      <c r="C181" s="62" t="s">
        <v>294</v>
      </c>
      <c r="D181" s="62" t="s">
        <v>431</v>
      </c>
      <c r="E181" s="62" t="s">
        <v>209</v>
      </c>
      <c r="F181" s="63" t="s">
        <v>366</v>
      </c>
      <c r="G181" s="62" t="s">
        <v>213</v>
      </c>
      <c r="H181" s="62" t="s">
        <v>142</v>
      </c>
      <c r="I181" s="62" t="s">
        <v>19</v>
      </c>
      <c r="J181" s="62" t="s">
        <v>140</v>
      </c>
      <c r="K181" s="64">
        <v>8</v>
      </c>
      <c r="L181" s="64">
        <f t="shared" si="12"/>
        <v>1.6</v>
      </c>
      <c r="M181" s="65">
        <f>prodnorm4</f>
        <v>0</v>
      </c>
      <c r="N181" s="66">
        <f>dagwerk4</f>
        <v>0</v>
      </c>
      <c r="O181" s="62" t="s">
        <v>44</v>
      </c>
      <c r="P181" s="67">
        <f>uurtarief4</f>
        <v>0</v>
      </c>
      <c r="Q181" s="64" t="e">
        <f t="shared" si="13"/>
        <v>#DIV/0!</v>
      </c>
      <c r="R181" s="64" t="e">
        <f t="shared" si="14"/>
        <v>#DIV/0!</v>
      </c>
      <c r="S181" s="67" t="e">
        <f t="shared" si="15"/>
        <v>#DIV/0!</v>
      </c>
      <c r="T181" s="64" t="e">
        <f t="shared" si="16"/>
        <v>#DIV/0!</v>
      </c>
      <c r="U181" s="68" t="e">
        <f t="shared" si="17"/>
        <v>#DIV/0!</v>
      </c>
    </row>
    <row r="182" spans="1:21" x14ac:dyDescent="0.2">
      <c r="A182" s="61" t="s">
        <v>208</v>
      </c>
      <c r="B182" s="62" t="s">
        <v>320</v>
      </c>
      <c r="C182" s="62" t="s">
        <v>294</v>
      </c>
      <c r="D182" s="62" t="s">
        <v>432</v>
      </c>
      <c r="E182" s="62" t="s">
        <v>209</v>
      </c>
      <c r="F182" s="63" t="s">
        <v>257</v>
      </c>
      <c r="G182" s="62" t="s">
        <v>234</v>
      </c>
      <c r="H182" s="62" t="s">
        <v>146</v>
      </c>
      <c r="I182" s="62" t="s">
        <v>10</v>
      </c>
      <c r="J182" s="62" t="s">
        <v>140</v>
      </c>
      <c r="K182" s="64">
        <v>2</v>
      </c>
      <c r="L182" s="64">
        <f t="shared" si="12"/>
        <v>2</v>
      </c>
      <c r="M182" s="65">
        <f>prodnorm8</f>
        <v>0</v>
      </c>
      <c r="N182" s="66">
        <f>dagwerk8</f>
        <v>0</v>
      </c>
      <c r="O182" s="62" t="s">
        <v>44</v>
      </c>
      <c r="P182" s="67">
        <f>uurtarief8</f>
        <v>0</v>
      </c>
      <c r="Q182" s="64" t="e">
        <f t="shared" si="13"/>
        <v>#DIV/0!</v>
      </c>
      <c r="R182" s="64" t="e">
        <f t="shared" si="14"/>
        <v>#DIV/0!</v>
      </c>
      <c r="S182" s="67" t="e">
        <f t="shared" si="15"/>
        <v>#DIV/0!</v>
      </c>
      <c r="T182" s="64" t="e">
        <f t="shared" si="16"/>
        <v>#DIV/0!</v>
      </c>
      <c r="U182" s="68" t="e">
        <f t="shared" si="17"/>
        <v>#DIV/0!</v>
      </c>
    </row>
    <row r="183" spans="1:21" x14ac:dyDescent="0.2">
      <c r="A183" s="61" t="s">
        <v>208</v>
      </c>
      <c r="B183" s="62" t="s">
        <v>320</v>
      </c>
      <c r="C183" s="62" t="s">
        <v>294</v>
      </c>
      <c r="D183" s="62" t="s">
        <v>433</v>
      </c>
      <c r="E183" s="62" t="s">
        <v>209</v>
      </c>
      <c r="F183" s="63" t="s">
        <v>373</v>
      </c>
      <c r="G183" s="62" t="s">
        <v>213</v>
      </c>
      <c r="H183" s="62" t="s">
        <v>154</v>
      </c>
      <c r="I183" s="62" t="s">
        <v>19</v>
      </c>
      <c r="J183" s="62" t="s">
        <v>140</v>
      </c>
      <c r="K183" s="64">
        <v>26</v>
      </c>
      <c r="L183" s="64">
        <f t="shared" si="12"/>
        <v>5.2</v>
      </c>
      <c r="M183" s="65">
        <f>prodnorm12</f>
        <v>0</v>
      </c>
      <c r="N183" s="66">
        <f>dagwerk12</f>
        <v>0</v>
      </c>
      <c r="O183" s="62" t="s">
        <v>44</v>
      </c>
      <c r="P183" s="67">
        <f>uurtarief12</f>
        <v>0</v>
      </c>
      <c r="Q183" s="64" t="e">
        <f t="shared" si="13"/>
        <v>#DIV/0!</v>
      </c>
      <c r="R183" s="64" t="e">
        <f t="shared" si="14"/>
        <v>#DIV/0!</v>
      </c>
      <c r="S183" s="67" t="e">
        <f t="shared" si="15"/>
        <v>#DIV/0!</v>
      </c>
      <c r="T183" s="64" t="e">
        <f t="shared" si="16"/>
        <v>#DIV/0!</v>
      </c>
      <c r="U183" s="68" t="e">
        <f t="shared" si="17"/>
        <v>#DIV/0!</v>
      </c>
    </row>
    <row r="184" spans="1:21" x14ac:dyDescent="0.2">
      <c r="A184" s="61" t="s">
        <v>208</v>
      </c>
      <c r="B184" s="62" t="s">
        <v>320</v>
      </c>
      <c r="C184" s="62" t="s">
        <v>294</v>
      </c>
      <c r="D184" s="62" t="s">
        <v>434</v>
      </c>
      <c r="E184" s="62" t="s">
        <v>209</v>
      </c>
      <c r="F184" s="63" t="s">
        <v>254</v>
      </c>
      <c r="G184" s="62" t="s">
        <v>234</v>
      </c>
      <c r="H184" s="62" t="s">
        <v>164</v>
      </c>
      <c r="I184" s="62" t="s">
        <v>10</v>
      </c>
      <c r="J184" s="62" t="s">
        <v>140</v>
      </c>
      <c r="K184" s="64">
        <v>2</v>
      </c>
      <c r="L184" s="64">
        <f t="shared" si="12"/>
        <v>2</v>
      </c>
      <c r="M184" s="65">
        <f>prodnorm21</f>
        <v>0</v>
      </c>
      <c r="N184" s="66">
        <f>dagwerk21</f>
        <v>0</v>
      </c>
      <c r="O184" s="62" t="s">
        <v>44</v>
      </c>
      <c r="P184" s="67">
        <f>uurtarief21</f>
        <v>0</v>
      </c>
      <c r="Q184" s="64" t="e">
        <f t="shared" si="13"/>
        <v>#DIV/0!</v>
      </c>
      <c r="R184" s="64" t="e">
        <f t="shared" si="14"/>
        <v>#DIV/0!</v>
      </c>
      <c r="S184" s="67" t="e">
        <f t="shared" si="15"/>
        <v>#DIV/0!</v>
      </c>
      <c r="T184" s="64" t="e">
        <f t="shared" si="16"/>
        <v>#DIV/0!</v>
      </c>
      <c r="U184" s="68" t="e">
        <f t="shared" si="17"/>
        <v>#DIV/0!</v>
      </c>
    </row>
    <row r="185" spans="1:21" x14ac:dyDescent="0.2">
      <c r="A185" s="61" t="s">
        <v>208</v>
      </c>
      <c r="B185" s="62" t="s">
        <v>320</v>
      </c>
      <c r="C185" s="62" t="s">
        <v>294</v>
      </c>
      <c r="D185" s="62" t="s">
        <v>435</v>
      </c>
      <c r="E185" s="62" t="s">
        <v>209</v>
      </c>
      <c r="F185" s="63" t="s">
        <v>261</v>
      </c>
      <c r="G185" s="62" t="s">
        <v>234</v>
      </c>
      <c r="H185" s="62" t="s">
        <v>158</v>
      </c>
      <c r="I185" s="62" t="s">
        <v>10</v>
      </c>
      <c r="J185" s="62" t="s">
        <v>140</v>
      </c>
      <c r="K185" s="64">
        <v>10.8</v>
      </c>
      <c r="L185" s="64">
        <f t="shared" si="12"/>
        <v>10.8</v>
      </c>
      <c r="M185" s="65">
        <f>prodnorm17</f>
        <v>0</v>
      </c>
      <c r="N185" s="66">
        <f>dagwerk17</f>
        <v>0</v>
      </c>
      <c r="O185" s="62" t="s">
        <v>44</v>
      </c>
      <c r="P185" s="67">
        <f>uurtarief17</f>
        <v>0</v>
      </c>
      <c r="Q185" s="64" t="e">
        <f t="shared" si="13"/>
        <v>#DIV/0!</v>
      </c>
      <c r="R185" s="64" t="e">
        <f t="shared" si="14"/>
        <v>#DIV/0!</v>
      </c>
      <c r="S185" s="67" t="e">
        <f t="shared" si="15"/>
        <v>#DIV/0!</v>
      </c>
      <c r="T185" s="64" t="e">
        <f t="shared" si="16"/>
        <v>#DIV/0!</v>
      </c>
      <c r="U185" s="68" t="e">
        <f t="shared" si="17"/>
        <v>#DIV/0!</v>
      </c>
    </row>
    <row r="186" spans="1:21" x14ac:dyDescent="0.2">
      <c r="A186" s="61" t="s">
        <v>208</v>
      </c>
      <c r="B186" s="62" t="s">
        <v>320</v>
      </c>
      <c r="C186" s="62" t="s">
        <v>294</v>
      </c>
      <c r="D186" s="62" t="s">
        <v>436</v>
      </c>
      <c r="E186" s="62" t="s">
        <v>209</v>
      </c>
      <c r="F186" s="63" t="s">
        <v>259</v>
      </c>
      <c r="G186" s="62" t="s">
        <v>213</v>
      </c>
      <c r="H186" s="62" t="s">
        <v>146</v>
      </c>
      <c r="I186" s="62" t="s">
        <v>19</v>
      </c>
      <c r="J186" s="62" t="s">
        <v>140</v>
      </c>
      <c r="K186" s="64">
        <v>10</v>
      </c>
      <c r="L186" s="64">
        <f t="shared" si="12"/>
        <v>2</v>
      </c>
      <c r="M186" s="65">
        <f>prodnorm7</f>
        <v>0</v>
      </c>
      <c r="N186" s="66">
        <f>dagwerk7</f>
        <v>0</v>
      </c>
      <c r="O186" s="62" t="s">
        <v>44</v>
      </c>
      <c r="P186" s="67">
        <f>uurtarief7</f>
        <v>0</v>
      </c>
      <c r="Q186" s="64" t="e">
        <f t="shared" si="13"/>
        <v>#DIV/0!</v>
      </c>
      <c r="R186" s="64" t="e">
        <f t="shared" si="14"/>
        <v>#DIV/0!</v>
      </c>
      <c r="S186" s="67" t="e">
        <f t="shared" si="15"/>
        <v>#DIV/0!</v>
      </c>
      <c r="T186" s="64" t="e">
        <f t="shared" si="16"/>
        <v>#DIV/0!</v>
      </c>
      <c r="U186" s="68" t="e">
        <f t="shared" si="17"/>
        <v>#DIV/0!</v>
      </c>
    </row>
    <row r="187" spans="1:21" x14ac:dyDescent="0.2">
      <c r="A187" s="61" t="s">
        <v>208</v>
      </c>
      <c r="B187" s="62" t="s">
        <v>320</v>
      </c>
      <c r="C187" s="62" t="s">
        <v>294</v>
      </c>
      <c r="D187" s="62" t="s">
        <v>437</v>
      </c>
      <c r="E187" s="62" t="s">
        <v>209</v>
      </c>
      <c r="F187" s="63" t="s">
        <v>254</v>
      </c>
      <c r="G187" s="62" t="s">
        <v>234</v>
      </c>
      <c r="H187" s="62" t="s">
        <v>164</v>
      </c>
      <c r="I187" s="62" t="s">
        <v>10</v>
      </c>
      <c r="J187" s="62" t="s">
        <v>140</v>
      </c>
      <c r="K187" s="64">
        <v>6.8</v>
      </c>
      <c r="L187" s="64">
        <f t="shared" si="12"/>
        <v>6.8</v>
      </c>
      <c r="M187" s="65">
        <f>prodnorm21</f>
        <v>0</v>
      </c>
      <c r="N187" s="66">
        <f>dagwerk21</f>
        <v>0</v>
      </c>
      <c r="O187" s="62" t="s">
        <v>44</v>
      </c>
      <c r="P187" s="67">
        <f>uurtarief21</f>
        <v>0</v>
      </c>
      <c r="Q187" s="64" t="e">
        <f t="shared" si="13"/>
        <v>#DIV/0!</v>
      </c>
      <c r="R187" s="64" t="e">
        <f t="shared" si="14"/>
        <v>#DIV/0!</v>
      </c>
      <c r="S187" s="67" t="e">
        <f t="shared" si="15"/>
        <v>#DIV/0!</v>
      </c>
      <c r="T187" s="64" t="e">
        <f t="shared" si="16"/>
        <v>#DIV/0!</v>
      </c>
      <c r="U187" s="68" t="e">
        <f t="shared" si="17"/>
        <v>#DIV/0!</v>
      </c>
    </row>
    <row r="188" spans="1:21" x14ac:dyDescent="0.2">
      <c r="A188" s="61" t="s">
        <v>208</v>
      </c>
      <c r="B188" s="62" t="s">
        <v>320</v>
      </c>
      <c r="C188" s="62" t="s">
        <v>294</v>
      </c>
      <c r="D188" s="62" t="s">
        <v>438</v>
      </c>
      <c r="E188" s="62" t="s">
        <v>209</v>
      </c>
      <c r="F188" s="63" t="s">
        <v>257</v>
      </c>
      <c r="G188" s="62" t="s">
        <v>234</v>
      </c>
      <c r="H188" s="62" t="s">
        <v>146</v>
      </c>
      <c r="I188" s="62" t="s">
        <v>10</v>
      </c>
      <c r="J188" s="62" t="s">
        <v>140</v>
      </c>
      <c r="K188" s="64">
        <v>4</v>
      </c>
      <c r="L188" s="64">
        <f t="shared" si="12"/>
        <v>4</v>
      </c>
      <c r="M188" s="65">
        <f>prodnorm8</f>
        <v>0</v>
      </c>
      <c r="N188" s="66">
        <f>dagwerk8</f>
        <v>0</v>
      </c>
      <c r="O188" s="62" t="s">
        <v>44</v>
      </c>
      <c r="P188" s="67">
        <f>uurtarief8</f>
        <v>0</v>
      </c>
      <c r="Q188" s="64" t="e">
        <f t="shared" si="13"/>
        <v>#DIV/0!</v>
      </c>
      <c r="R188" s="64" t="e">
        <f t="shared" si="14"/>
        <v>#DIV/0!</v>
      </c>
      <c r="S188" s="67" t="e">
        <f t="shared" si="15"/>
        <v>#DIV/0!</v>
      </c>
      <c r="T188" s="64" t="e">
        <f t="shared" si="16"/>
        <v>#DIV/0!</v>
      </c>
      <c r="U188" s="68" t="e">
        <f t="shared" si="17"/>
        <v>#DIV/0!</v>
      </c>
    </row>
    <row r="189" spans="1:21" x14ac:dyDescent="0.2">
      <c r="A189" s="61" t="s">
        <v>208</v>
      </c>
      <c r="B189" s="62" t="s">
        <v>320</v>
      </c>
      <c r="C189" s="62" t="s">
        <v>294</v>
      </c>
      <c r="D189" s="62" t="s">
        <v>439</v>
      </c>
      <c r="E189" s="62" t="s">
        <v>209</v>
      </c>
      <c r="F189" s="63" t="s">
        <v>254</v>
      </c>
      <c r="G189" s="62" t="s">
        <v>234</v>
      </c>
      <c r="H189" s="62" t="s">
        <v>164</v>
      </c>
      <c r="I189" s="62" t="s">
        <v>10</v>
      </c>
      <c r="J189" s="62" t="s">
        <v>140</v>
      </c>
      <c r="K189" s="64">
        <v>2</v>
      </c>
      <c r="L189" s="64">
        <f t="shared" si="12"/>
        <v>2</v>
      </c>
      <c r="M189" s="65">
        <f>prodnorm21</f>
        <v>0</v>
      </c>
      <c r="N189" s="66">
        <f>dagwerk21</f>
        <v>0</v>
      </c>
      <c r="O189" s="62" t="s">
        <v>44</v>
      </c>
      <c r="P189" s="67">
        <f>uurtarief21</f>
        <v>0</v>
      </c>
      <c r="Q189" s="64" t="e">
        <f t="shared" si="13"/>
        <v>#DIV/0!</v>
      </c>
      <c r="R189" s="64" t="e">
        <f t="shared" si="14"/>
        <v>#DIV/0!</v>
      </c>
      <c r="S189" s="67" t="e">
        <f t="shared" si="15"/>
        <v>#DIV/0!</v>
      </c>
      <c r="T189" s="64" t="e">
        <f t="shared" si="16"/>
        <v>#DIV/0!</v>
      </c>
      <c r="U189" s="68" t="e">
        <f t="shared" si="17"/>
        <v>#DIV/0!</v>
      </c>
    </row>
    <row r="190" spans="1:21" x14ac:dyDescent="0.2">
      <c r="A190" s="61" t="s">
        <v>208</v>
      </c>
      <c r="B190" s="62" t="s">
        <v>320</v>
      </c>
      <c r="C190" s="62" t="s">
        <v>294</v>
      </c>
      <c r="D190" s="62" t="s">
        <v>440</v>
      </c>
      <c r="E190" s="62" t="s">
        <v>209</v>
      </c>
      <c r="F190" s="63" t="s">
        <v>257</v>
      </c>
      <c r="G190" s="62" t="s">
        <v>234</v>
      </c>
      <c r="H190" s="62" t="s">
        <v>146</v>
      </c>
      <c r="I190" s="62" t="s">
        <v>10</v>
      </c>
      <c r="J190" s="62" t="s">
        <v>140</v>
      </c>
      <c r="K190" s="64">
        <v>2.1</v>
      </c>
      <c r="L190" s="64">
        <f t="shared" si="12"/>
        <v>2.1</v>
      </c>
      <c r="M190" s="65">
        <f>prodnorm8</f>
        <v>0</v>
      </c>
      <c r="N190" s="66">
        <f>dagwerk8</f>
        <v>0</v>
      </c>
      <c r="O190" s="62" t="s">
        <v>44</v>
      </c>
      <c r="P190" s="67">
        <f>uurtarief8</f>
        <v>0</v>
      </c>
      <c r="Q190" s="64" t="e">
        <f t="shared" si="13"/>
        <v>#DIV/0!</v>
      </c>
      <c r="R190" s="64" t="e">
        <f t="shared" si="14"/>
        <v>#DIV/0!</v>
      </c>
      <c r="S190" s="67" t="e">
        <f t="shared" si="15"/>
        <v>#DIV/0!</v>
      </c>
      <c r="T190" s="64" t="e">
        <f t="shared" si="16"/>
        <v>#DIV/0!</v>
      </c>
      <c r="U190" s="68" t="e">
        <f t="shared" si="17"/>
        <v>#DIV/0!</v>
      </c>
    </row>
    <row r="191" spans="1:21" x14ac:dyDescent="0.2">
      <c r="A191" s="61" t="s">
        <v>208</v>
      </c>
      <c r="B191" s="62" t="s">
        <v>320</v>
      </c>
      <c r="C191" s="62" t="s">
        <v>294</v>
      </c>
      <c r="D191" s="62" t="s">
        <v>441</v>
      </c>
      <c r="E191" s="62" t="s">
        <v>209</v>
      </c>
      <c r="F191" s="63" t="s">
        <v>254</v>
      </c>
      <c r="G191" s="62" t="s">
        <v>234</v>
      </c>
      <c r="H191" s="62" t="s">
        <v>164</v>
      </c>
      <c r="I191" s="62" t="s">
        <v>10</v>
      </c>
      <c r="J191" s="62" t="s">
        <v>140</v>
      </c>
      <c r="K191" s="64">
        <v>2.2999999999999998</v>
      </c>
      <c r="L191" s="64">
        <f t="shared" si="12"/>
        <v>2.2999999999999998</v>
      </c>
      <c r="M191" s="65">
        <f>prodnorm21</f>
        <v>0</v>
      </c>
      <c r="N191" s="66">
        <f>dagwerk21</f>
        <v>0</v>
      </c>
      <c r="O191" s="62" t="s">
        <v>44</v>
      </c>
      <c r="P191" s="67">
        <f>uurtarief21</f>
        <v>0</v>
      </c>
      <c r="Q191" s="64" t="e">
        <f t="shared" si="13"/>
        <v>#DIV/0!</v>
      </c>
      <c r="R191" s="64" t="e">
        <f t="shared" si="14"/>
        <v>#DIV/0!</v>
      </c>
      <c r="S191" s="67" t="e">
        <f t="shared" si="15"/>
        <v>#DIV/0!</v>
      </c>
      <c r="T191" s="64" t="e">
        <f t="shared" si="16"/>
        <v>#DIV/0!</v>
      </c>
      <c r="U191" s="68" t="e">
        <f t="shared" si="17"/>
        <v>#DIV/0!</v>
      </c>
    </row>
    <row r="192" spans="1:21" x14ac:dyDescent="0.2">
      <c r="A192" s="61" t="s">
        <v>208</v>
      </c>
      <c r="B192" s="62" t="s">
        <v>320</v>
      </c>
      <c r="C192" s="62" t="s">
        <v>294</v>
      </c>
      <c r="D192" s="62" t="s">
        <v>442</v>
      </c>
      <c r="E192" s="62" t="s">
        <v>209</v>
      </c>
      <c r="F192" s="63" t="s">
        <v>257</v>
      </c>
      <c r="G192" s="62" t="s">
        <v>234</v>
      </c>
      <c r="H192" s="62" t="s">
        <v>146</v>
      </c>
      <c r="I192" s="62" t="s">
        <v>10</v>
      </c>
      <c r="J192" s="62" t="s">
        <v>140</v>
      </c>
      <c r="K192" s="64">
        <v>2.2000000000000002</v>
      </c>
      <c r="L192" s="64">
        <f t="shared" si="12"/>
        <v>2.2000000000000002</v>
      </c>
      <c r="M192" s="65">
        <f>prodnorm8</f>
        <v>0</v>
      </c>
      <c r="N192" s="66">
        <f>dagwerk8</f>
        <v>0</v>
      </c>
      <c r="O192" s="62" t="s">
        <v>44</v>
      </c>
      <c r="P192" s="67">
        <f>uurtarief8</f>
        <v>0</v>
      </c>
      <c r="Q192" s="64" t="e">
        <f t="shared" si="13"/>
        <v>#DIV/0!</v>
      </c>
      <c r="R192" s="64" t="e">
        <f t="shared" si="14"/>
        <v>#DIV/0!</v>
      </c>
      <c r="S192" s="67" t="e">
        <f t="shared" si="15"/>
        <v>#DIV/0!</v>
      </c>
      <c r="T192" s="64" t="e">
        <f t="shared" si="16"/>
        <v>#DIV/0!</v>
      </c>
      <c r="U192" s="68" t="e">
        <f t="shared" si="17"/>
        <v>#DIV/0!</v>
      </c>
    </row>
    <row r="193" spans="1:21" x14ac:dyDescent="0.2">
      <c r="A193" s="61" t="s">
        <v>208</v>
      </c>
      <c r="B193" s="62" t="s">
        <v>320</v>
      </c>
      <c r="C193" s="62" t="s">
        <v>294</v>
      </c>
      <c r="D193" s="62" t="s">
        <v>443</v>
      </c>
      <c r="E193" s="62" t="s">
        <v>209</v>
      </c>
      <c r="F193" s="63" t="s">
        <v>254</v>
      </c>
      <c r="G193" s="62" t="s">
        <v>234</v>
      </c>
      <c r="H193" s="62" t="s">
        <v>164</v>
      </c>
      <c r="I193" s="62" t="s">
        <v>10</v>
      </c>
      <c r="J193" s="62" t="s">
        <v>140</v>
      </c>
      <c r="K193" s="64">
        <v>2.1</v>
      </c>
      <c r="L193" s="64">
        <f t="shared" si="12"/>
        <v>2.1</v>
      </c>
      <c r="M193" s="65">
        <f>prodnorm21</f>
        <v>0</v>
      </c>
      <c r="N193" s="66">
        <f>dagwerk21</f>
        <v>0</v>
      </c>
      <c r="O193" s="62" t="s">
        <v>44</v>
      </c>
      <c r="P193" s="67">
        <f>uurtarief21</f>
        <v>0</v>
      </c>
      <c r="Q193" s="64" t="e">
        <f t="shared" si="13"/>
        <v>#DIV/0!</v>
      </c>
      <c r="R193" s="64" t="e">
        <f t="shared" si="14"/>
        <v>#DIV/0!</v>
      </c>
      <c r="S193" s="67" t="e">
        <f t="shared" si="15"/>
        <v>#DIV/0!</v>
      </c>
      <c r="T193" s="64" t="e">
        <f t="shared" si="16"/>
        <v>#DIV/0!</v>
      </c>
      <c r="U193" s="68" t="e">
        <f t="shared" si="17"/>
        <v>#DIV/0!</v>
      </c>
    </row>
    <row r="194" spans="1:21" x14ac:dyDescent="0.2">
      <c r="A194" s="61" t="s">
        <v>208</v>
      </c>
      <c r="B194" s="62" t="s">
        <v>320</v>
      </c>
      <c r="C194" s="62" t="s">
        <v>294</v>
      </c>
      <c r="D194" s="62" t="s">
        <v>444</v>
      </c>
      <c r="E194" s="62" t="s">
        <v>209</v>
      </c>
      <c r="F194" s="63" t="s">
        <v>257</v>
      </c>
      <c r="G194" s="62" t="s">
        <v>234</v>
      </c>
      <c r="H194" s="62" t="s">
        <v>146</v>
      </c>
      <c r="I194" s="62" t="s">
        <v>10</v>
      </c>
      <c r="J194" s="62" t="s">
        <v>140</v>
      </c>
      <c r="K194" s="64">
        <v>2.1</v>
      </c>
      <c r="L194" s="64">
        <f t="shared" si="12"/>
        <v>2.1</v>
      </c>
      <c r="M194" s="65">
        <f>prodnorm8</f>
        <v>0</v>
      </c>
      <c r="N194" s="66">
        <f>dagwerk8</f>
        <v>0</v>
      </c>
      <c r="O194" s="62" t="s">
        <v>44</v>
      </c>
      <c r="P194" s="67">
        <f>uurtarief8</f>
        <v>0</v>
      </c>
      <c r="Q194" s="64" t="e">
        <f t="shared" si="13"/>
        <v>#DIV/0!</v>
      </c>
      <c r="R194" s="64" t="e">
        <f t="shared" si="14"/>
        <v>#DIV/0!</v>
      </c>
      <c r="S194" s="67" t="e">
        <f t="shared" si="15"/>
        <v>#DIV/0!</v>
      </c>
      <c r="T194" s="64" t="e">
        <f t="shared" si="16"/>
        <v>#DIV/0!</v>
      </c>
      <c r="U194" s="68" t="e">
        <f t="shared" si="17"/>
        <v>#DIV/0!</v>
      </c>
    </row>
    <row r="195" spans="1:21" x14ac:dyDescent="0.2">
      <c r="A195" s="61" t="s">
        <v>208</v>
      </c>
      <c r="B195" s="62" t="s">
        <v>320</v>
      </c>
      <c r="C195" s="62" t="s">
        <v>294</v>
      </c>
      <c r="D195" s="62" t="s">
        <v>445</v>
      </c>
      <c r="E195" s="62" t="s">
        <v>209</v>
      </c>
      <c r="F195" s="63" t="s">
        <v>215</v>
      </c>
      <c r="G195" s="62" t="s">
        <v>213</v>
      </c>
      <c r="H195" s="62" t="s">
        <v>168</v>
      </c>
      <c r="I195" s="62" t="s">
        <v>10</v>
      </c>
      <c r="J195" s="62" t="s">
        <v>140</v>
      </c>
      <c r="K195" s="64">
        <v>72.5</v>
      </c>
      <c r="L195" s="64">
        <f t="shared" si="12"/>
        <v>72.5</v>
      </c>
      <c r="M195" s="65">
        <f>prodnorm24</f>
        <v>0</v>
      </c>
      <c r="N195" s="66">
        <f>dagwerk24</f>
        <v>0</v>
      </c>
      <c r="O195" s="62" t="s">
        <v>44</v>
      </c>
      <c r="P195" s="67">
        <f>uurtarief24</f>
        <v>0</v>
      </c>
      <c r="Q195" s="64" t="e">
        <f t="shared" si="13"/>
        <v>#DIV/0!</v>
      </c>
      <c r="R195" s="64" t="e">
        <f t="shared" si="14"/>
        <v>#DIV/0!</v>
      </c>
      <c r="S195" s="67" t="e">
        <f t="shared" si="15"/>
        <v>#DIV/0!</v>
      </c>
      <c r="T195" s="64" t="e">
        <f t="shared" si="16"/>
        <v>#DIV/0!</v>
      </c>
      <c r="U195" s="68" t="e">
        <f t="shared" si="17"/>
        <v>#DIV/0!</v>
      </c>
    </row>
    <row r="196" spans="1:21" x14ac:dyDescent="0.2">
      <c r="A196" s="61" t="s">
        <v>208</v>
      </c>
      <c r="B196" s="62" t="s">
        <v>320</v>
      </c>
      <c r="C196" s="62" t="s">
        <v>307</v>
      </c>
      <c r="D196" s="62" t="s">
        <v>446</v>
      </c>
      <c r="E196" s="62" t="s">
        <v>209</v>
      </c>
      <c r="F196" s="63" t="s">
        <v>212</v>
      </c>
      <c r="G196" s="62" t="s">
        <v>213</v>
      </c>
      <c r="H196" s="62" t="s">
        <v>166</v>
      </c>
      <c r="I196" s="62" t="s">
        <v>10</v>
      </c>
      <c r="J196" s="62" t="s">
        <v>140</v>
      </c>
      <c r="K196" s="64">
        <v>48.7</v>
      </c>
      <c r="L196" s="64">
        <f t="shared" si="12"/>
        <v>48.7</v>
      </c>
      <c r="M196" s="65">
        <f>prodnorm22</f>
        <v>0</v>
      </c>
      <c r="N196" s="66">
        <f>dagwerk22</f>
        <v>0</v>
      </c>
      <c r="O196" s="62" t="s">
        <v>44</v>
      </c>
      <c r="P196" s="67">
        <f>uurtarief22</f>
        <v>0</v>
      </c>
      <c r="Q196" s="64" t="e">
        <f t="shared" si="13"/>
        <v>#DIV/0!</v>
      </c>
      <c r="R196" s="64" t="e">
        <f t="shared" si="14"/>
        <v>#DIV/0!</v>
      </c>
      <c r="S196" s="67" t="e">
        <f t="shared" si="15"/>
        <v>#DIV/0!</v>
      </c>
      <c r="T196" s="64" t="e">
        <f t="shared" si="16"/>
        <v>#DIV/0!</v>
      </c>
      <c r="U196" s="68" t="e">
        <f t="shared" si="17"/>
        <v>#DIV/0!</v>
      </c>
    </row>
    <row r="197" spans="1:21" x14ac:dyDescent="0.2">
      <c r="A197" s="61" t="s">
        <v>208</v>
      </c>
      <c r="B197" s="62" t="s">
        <v>320</v>
      </c>
      <c r="C197" s="62" t="s">
        <v>307</v>
      </c>
      <c r="D197" s="62" t="s">
        <v>447</v>
      </c>
      <c r="E197" s="62" t="s">
        <v>209</v>
      </c>
      <c r="F197" s="63" t="s">
        <v>366</v>
      </c>
      <c r="G197" s="62" t="s">
        <v>213</v>
      </c>
      <c r="H197" s="62" t="s">
        <v>142</v>
      </c>
      <c r="I197" s="62" t="s">
        <v>19</v>
      </c>
      <c r="J197" s="62" t="s">
        <v>140</v>
      </c>
      <c r="K197" s="64">
        <v>10</v>
      </c>
      <c r="L197" s="64">
        <f t="shared" ref="L197:L260" si="18">K197*VLOOKUP(I197,dagsoorttabel1,2,FALSE)</f>
        <v>2</v>
      </c>
      <c r="M197" s="65">
        <f>prodnorm4</f>
        <v>0</v>
      </c>
      <c r="N197" s="66">
        <f>dagwerk4</f>
        <v>0</v>
      </c>
      <c r="O197" s="62" t="s">
        <v>44</v>
      </c>
      <c r="P197" s="67">
        <f>uurtarief4</f>
        <v>0</v>
      </c>
      <c r="Q197" s="64" t="e">
        <f t="shared" ref="Q197:Q235" si="19">IF(ISBLANK(M197),0,L197/ROUND(M197,4))</f>
        <v>#DIV/0!</v>
      </c>
      <c r="R197" s="64" t="e">
        <f t="shared" ref="R197:R260" si="20">IF(ISBLANK(M197),0,Q197*ROUND(N197,2))</f>
        <v>#DIV/0!</v>
      </c>
      <c r="S197" s="67" t="e">
        <f t="shared" ref="S197:S235" si="21">ROUND(P197,2)*Q197</f>
        <v>#DIV/0!</v>
      </c>
      <c r="T197" s="64" t="e">
        <f t="shared" ref="T197:T235" si="22">Q197*dagenperjaar1</f>
        <v>#DIV/0!</v>
      </c>
      <c r="U197" s="68" t="e">
        <f t="shared" ref="U197:U260" si="23">T197*ROUND(P197,2)</f>
        <v>#DIV/0!</v>
      </c>
    </row>
    <row r="198" spans="1:21" x14ac:dyDescent="0.2">
      <c r="A198" s="61" t="s">
        <v>208</v>
      </c>
      <c r="B198" s="62" t="s">
        <v>320</v>
      </c>
      <c r="C198" s="62" t="s">
        <v>307</v>
      </c>
      <c r="D198" s="62" t="s">
        <v>448</v>
      </c>
      <c r="E198" s="62" t="s">
        <v>209</v>
      </c>
      <c r="F198" s="63" t="s">
        <v>449</v>
      </c>
      <c r="G198" s="62" t="s">
        <v>234</v>
      </c>
      <c r="H198" s="62" t="s">
        <v>164</v>
      </c>
      <c r="I198" s="62" t="s">
        <v>10</v>
      </c>
      <c r="J198" s="62" t="s">
        <v>140</v>
      </c>
      <c r="K198" s="64">
        <v>10.4</v>
      </c>
      <c r="L198" s="64">
        <f t="shared" si="18"/>
        <v>10.4</v>
      </c>
      <c r="M198" s="65">
        <f>prodnorm21</f>
        <v>0</v>
      </c>
      <c r="N198" s="66">
        <f>dagwerk21</f>
        <v>0</v>
      </c>
      <c r="O198" s="62" t="s">
        <v>44</v>
      </c>
      <c r="P198" s="67">
        <f>uurtarief21</f>
        <v>0</v>
      </c>
      <c r="Q198" s="64" t="e">
        <f t="shared" si="19"/>
        <v>#DIV/0!</v>
      </c>
      <c r="R198" s="64" t="e">
        <f t="shared" si="20"/>
        <v>#DIV/0!</v>
      </c>
      <c r="S198" s="67" t="e">
        <f t="shared" si="21"/>
        <v>#DIV/0!</v>
      </c>
      <c r="T198" s="64" t="e">
        <f t="shared" si="22"/>
        <v>#DIV/0!</v>
      </c>
      <c r="U198" s="68" t="e">
        <f t="shared" si="23"/>
        <v>#DIV/0!</v>
      </c>
    </row>
    <row r="199" spans="1:21" x14ac:dyDescent="0.2">
      <c r="A199" s="61" t="s">
        <v>208</v>
      </c>
      <c r="B199" s="62" t="s">
        <v>320</v>
      </c>
      <c r="C199" s="62" t="s">
        <v>307</v>
      </c>
      <c r="D199" s="62" t="s">
        <v>450</v>
      </c>
      <c r="E199" s="62" t="s">
        <v>209</v>
      </c>
      <c r="F199" s="63" t="s">
        <v>215</v>
      </c>
      <c r="G199" s="62" t="s">
        <v>213</v>
      </c>
      <c r="H199" s="62" t="s">
        <v>168</v>
      </c>
      <c r="I199" s="62" t="s">
        <v>10</v>
      </c>
      <c r="J199" s="62" t="s">
        <v>140</v>
      </c>
      <c r="K199" s="64">
        <v>50.6</v>
      </c>
      <c r="L199" s="64">
        <f t="shared" si="18"/>
        <v>50.6</v>
      </c>
      <c r="M199" s="65">
        <f>prodnorm24</f>
        <v>0</v>
      </c>
      <c r="N199" s="66">
        <f>dagwerk24</f>
        <v>0</v>
      </c>
      <c r="O199" s="62" t="s">
        <v>44</v>
      </c>
      <c r="P199" s="67">
        <f>uurtarief24</f>
        <v>0</v>
      </c>
      <c r="Q199" s="64" t="e">
        <f t="shared" si="19"/>
        <v>#DIV/0!</v>
      </c>
      <c r="R199" s="64" t="e">
        <f t="shared" si="20"/>
        <v>#DIV/0!</v>
      </c>
      <c r="S199" s="67" t="e">
        <f t="shared" si="21"/>
        <v>#DIV/0!</v>
      </c>
      <c r="T199" s="64" t="e">
        <f t="shared" si="22"/>
        <v>#DIV/0!</v>
      </c>
      <c r="U199" s="68" t="e">
        <f t="shared" si="23"/>
        <v>#DIV/0!</v>
      </c>
    </row>
    <row r="200" spans="1:21" x14ac:dyDescent="0.2">
      <c r="A200" s="61" t="s">
        <v>208</v>
      </c>
      <c r="B200" s="62" t="s">
        <v>320</v>
      </c>
      <c r="C200" s="62" t="s">
        <v>307</v>
      </c>
      <c r="D200" s="62" t="s">
        <v>451</v>
      </c>
      <c r="E200" s="62" t="s">
        <v>209</v>
      </c>
      <c r="F200" s="63" t="s">
        <v>392</v>
      </c>
      <c r="G200" s="62" t="s">
        <v>213</v>
      </c>
      <c r="H200" s="62" t="s">
        <v>154</v>
      </c>
      <c r="I200" s="62" t="s">
        <v>19</v>
      </c>
      <c r="J200" s="62" t="s">
        <v>140</v>
      </c>
      <c r="K200" s="64">
        <v>12</v>
      </c>
      <c r="L200" s="64">
        <f t="shared" si="18"/>
        <v>2.4000000000000004</v>
      </c>
      <c r="M200" s="65">
        <f>prodnorm12</f>
        <v>0</v>
      </c>
      <c r="N200" s="66">
        <f>dagwerk12</f>
        <v>0</v>
      </c>
      <c r="O200" s="62" t="s">
        <v>44</v>
      </c>
      <c r="P200" s="67">
        <f>uurtarief12</f>
        <v>0</v>
      </c>
      <c r="Q200" s="64" t="e">
        <f t="shared" si="19"/>
        <v>#DIV/0!</v>
      </c>
      <c r="R200" s="64" t="e">
        <f t="shared" si="20"/>
        <v>#DIV/0!</v>
      </c>
      <c r="S200" s="67" t="e">
        <f t="shared" si="21"/>
        <v>#DIV/0!</v>
      </c>
      <c r="T200" s="64" t="e">
        <f t="shared" si="22"/>
        <v>#DIV/0!</v>
      </c>
      <c r="U200" s="68" t="e">
        <f t="shared" si="23"/>
        <v>#DIV/0!</v>
      </c>
    </row>
    <row r="201" spans="1:21" x14ac:dyDescent="0.2">
      <c r="A201" s="61" t="s">
        <v>208</v>
      </c>
      <c r="B201" s="62" t="s">
        <v>320</v>
      </c>
      <c r="C201" s="62" t="s">
        <v>307</v>
      </c>
      <c r="D201" s="62" t="s">
        <v>452</v>
      </c>
      <c r="E201" s="62" t="s">
        <v>209</v>
      </c>
      <c r="F201" s="63" t="s">
        <v>366</v>
      </c>
      <c r="G201" s="62" t="s">
        <v>213</v>
      </c>
      <c r="H201" s="62" t="s">
        <v>142</v>
      </c>
      <c r="I201" s="62" t="s">
        <v>19</v>
      </c>
      <c r="J201" s="62" t="s">
        <v>140</v>
      </c>
      <c r="K201" s="64">
        <v>10</v>
      </c>
      <c r="L201" s="64">
        <f t="shared" si="18"/>
        <v>2</v>
      </c>
      <c r="M201" s="65">
        <f>prodnorm4</f>
        <v>0</v>
      </c>
      <c r="N201" s="66">
        <f>dagwerk4</f>
        <v>0</v>
      </c>
      <c r="O201" s="62" t="s">
        <v>44</v>
      </c>
      <c r="P201" s="67">
        <f>uurtarief4</f>
        <v>0</v>
      </c>
      <c r="Q201" s="64" t="e">
        <f t="shared" si="19"/>
        <v>#DIV/0!</v>
      </c>
      <c r="R201" s="64" t="e">
        <f t="shared" si="20"/>
        <v>#DIV/0!</v>
      </c>
      <c r="S201" s="67" t="e">
        <f t="shared" si="21"/>
        <v>#DIV/0!</v>
      </c>
      <c r="T201" s="64" t="e">
        <f t="shared" si="22"/>
        <v>#DIV/0!</v>
      </c>
      <c r="U201" s="68" t="e">
        <f t="shared" si="23"/>
        <v>#DIV/0!</v>
      </c>
    </row>
    <row r="202" spans="1:21" x14ac:dyDescent="0.2">
      <c r="A202" s="61" t="s">
        <v>208</v>
      </c>
      <c r="B202" s="62" t="s">
        <v>320</v>
      </c>
      <c r="C202" s="62" t="s">
        <v>307</v>
      </c>
      <c r="D202" s="62" t="s">
        <v>453</v>
      </c>
      <c r="E202" s="62" t="s">
        <v>209</v>
      </c>
      <c r="F202" s="63" t="s">
        <v>257</v>
      </c>
      <c r="G202" s="62" t="s">
        <v>234</v>
      </c>
      <c r="H202" s="62" t="s">
        <v>146</v>
      </c>
      <c r="I202" s="62" t="s">
        <v>10</v>
      </c>
      <c r="J202" s="62" t="s">
        <v>140</v>
      </c>
      <c r="K202" s="64">
        <v>2</v>
      </c>
      <c r="L202" s="64">
        <f t="shared" si="18"/>
        <v>2</v>
      </c>
      <c r="M202" s="65">
        <f>prodnorm8</f>
        <v>0</v>
      </c>
      <c r="N202" s="66">
        <f>dagwerk8</f>
        <v>0</v>
      </c>
      <c r="O202" s="62" t="s">
        <v>44</v>
      </c>
      <c r="P202" s="67">
        <f>uurtarief8</f>
        <v>0</v>
      </c>
      <c r="Q202" s="64" t="e">
        <f t="shared" si="19"/>
        <v>#DIV/0!</v>
      </c>
      <c r="R202" s="64" t="e">
        <f t="shared" si="20"/>
        <v>#DIV/0!</v>
      </c>
      <c r="S202" s="67" t="e">
        <f t="shared" si="21"/>
        <v>#DIV/0!</v>
      </c>
      <c r="T202" s="64" t="e">
        <f t="shared" si="22"/>
        <v>#DIV/0!</v>
      </c>
      <c r="U202" s="68" t="e">
        <f t="shared" si="23"/>
        <v>#DIV/0!</v>
      </c>
    </row>
    <row r="203" spans="1:21" x14ac:dyDescent="0.2">
      <c r="A203" s="61" t="s">
        <v>208</v>
      </c>
      <c r="B203" s="62" t="s">
        <v>320</v>
      </c>
      <c r="C203" s="62" t="s">
        <v>307</v>
      </c>
      <c r="D203" s="62" t="s">
        <v>454</v>
      </c>
      <c r="E203" s="62" t="s">
        <v>209</v>
      </c>
      <c r="F203" s="63" t="s">
        <v>373</v>
      </c>
      <c r="G203" s="62" t="s">
        <v>213</v>
      </c>
      <c r="H203" s="62" t="s">
        <v>154</v>
      </c>
      <c r="I203" s="62" t="s">
        <v>19</v>
      </c>
      <c r="J203" s="62" t="s">
        <v>140</v>
      </c>
      <c r="K203" s="64">
        <v>26</v>
      </c>
      <c r="L203" s="64">
        <f t="shared" si="18"/>
        <v>5.2</v>
      </c>
      <c r="M203" s="65">
        <f>prodnorm12</f>
        <v>0</v>
      </c>
      <c r="N203" s="66">
        <f>dagwerk12</f>
        <v>0</v>
      </c>
      <c r="O203" s="62" t="s">
        <v>44</v>
      </c>
      <c r="P203" s="67">
        <f>uurtarief12</f>
        <v>0</v>
      </c>
      <c r="Q203" s="64" t="e">
        <f t="shared" si="19"/>
        <v>#DIV/0!</v>
      </c>
      <c r="R203" s="64" t="e">
        <f t="shared" si="20"/>
        <v>#DIV/0!</v>
      </c>
      <c r="S203" s="67" t="e">
        <f t="shared" si="21"/>
        <v>#DIV/0!</v>
      </c>
      <c r="T203" s="64" t="e">
        <f t="shared" si="22"/>
        <v>#DIV/0!</v>
      </c>
      <c r="U203" s="68" t="e">
        <f t="shared" si="23"/>
        <v>#DIV/0!</v>
      </c>
    </row>
    <row r="204" spans="1:21" x14ac:dyDescent="0.2">
      <c r="A204" s="61" t="s">
        <v>208</v>
      </c>
      <c r="B204" s="62" t="s">
        <v>320</v>
      </c>
      <c r="C204" s="62" t="s">
        <v>307</v>
      </c>
      <c r="D204" s="62" t="s">
        <v>455</v>
      </c>
      <c r="E204" s="62" t="s">
        <v>209</v>
      </c>
      <c r="F204" s="63" t="s">
        <v>254</v>
      </c>
      <c r="G204" s="62" t="s">
        <v>234</v>
      </c>
      <c r="H204" s="62" t="s">
        <v>164</v>
      </c>
      <c r="I204" s="62" t="s">
        <v>10</v>
      </c>
      <c r="J204" s="62" t="s">
        <v>140</v>
      </c>
      <c r="K204" s="64">
        <v>2</v>
      </c>
      <c r="L204" s="64">
        <f t="shared" si="18"/>
        <v>2</v>
      </c>
      <c r="M204" s="65">
        <f>prodnorm21</f>
        <v>0</v>
      </c>
      <c r="N204" s="66">
        <f>dagwerk21</f>
        <v>0</v>
      </c>
      <c r="O204" s="62" t="s">
        <v>44</v>
      </c>
      <c r="P204" s="67">
        <f>uurtarief21</f>
        <v>0</v>
      </c>
      <c r="Q204" s="64" t="e">
        <f t="shared" si="19"/>
        <v>#DIV/0!</v>
      </c>
      <c r="R204" s="64" t="e">
        <f t="shared" si="20"/>
        <v>#DIV/0!</v>
      </c>
      <c r="S204" s="67" t="e">
        <f t="shared" si="21"/>
        <v>#DIV/0!</v>
      </c>
      <c r="T204" s="64" t="e">
        <f t="shared" si="22"/>
        <v>#DIV/0!</v>
      </c>
      <c r="U204" s="68" t="e">
        <f t="shared" si="23"/>
        <v>#DIV/0!</v>
      </c>
    </row>
    <row r="205" spans="1:21" x14ac:dyDescent="0.2">
      <c r="A205" s="61" t="s">
        <v>208</v>
      </c>
      <c r="B205" s="62" t="s">
        <v>320</v>
      </c>
      <c r="C205" s="62" t="s">
        <v>307</v>
      </c>
      <c r="D205" s="62" t="s">
        <v>456</v>
      </c>
      <c r="E205" s="62" t="s">
        <v>209</v>
      </c>
      <c r="F205" s="63" t="s">
        <v>261</v>
      </c>
      <c r="G205" s="62" t="s">
        <v>234</v>
      </c>
      <c r="H205" s="62" t="s">
        <v>158</v>
      </c>
      <c r="I205" s="62" t="s">
        <v>10</v>
      </c>
      <c r="J205" s="62" t="s">
        <v>140</v>
      </c>
      <c r="K205" s="64">
        <v>10.8</v>
      </c>
      <c r="L205" s="64">
        <f t="shared" si="18"/>
        <v>10.8</v>
      </c>
      <c r="M205" s="65">
        <f>prodnorm17</f>
        <v>0</v>
      </c>
      <c r="N205" s="66">
        <f>dagwerk17</f>
        <v>0</v>
      </c>
      <c r="O205" s="62" t="s">
        <v>44</v>
      </c>
      <c r="P205" s="67">
        <f>uurtarief17</f>
        <v>0</v>
      </c>
      <c r="Q205" s="64" t="e">
        <f t="shared" si="19"/>
        <v>#DIV/0!</v>
      </c>
      <c r="R205" s="64" t="e">
        <f t="shared" si="20"/>
        <v>#DIV/0!</v>
      </c>
      <c r="S205" s="67" t="e">
        <f t="shared" si="21"/>
        <v>#DIV/0!</v>
      </c>
      <c r="T205" s="64" t="e">
        <f t="shared" si="22"/>
        <v>#DIV/0!</v>
      </c>
      <c r="U205" s="68" t="e">
        <f t="shared" si="23"/>
        <v>#DIV/0!</v>
      </c>
    </row>
    <row r="206" spans="1:21" x14ac:dyDescent="0.2">
      <c r="A206" s="61" t="s">
        <v>208</v>
      </c>
      <c r="B206" s="62" t="s">
        <v>320</v>
      </c>
      <c r="C206" s="62" t="s">
        <v>307</v>
      </c>
      <c r="D206" s="62" t="s">
        <v>457</v>
      </c>
      <c r="E206" s="62" t="s">
        <v>209</v>
      </c>
      <c r="F206" s="63" t="s">
        <v>259</v>
      </c>
      <c r="G206" s="62" t="s">
        <v>213</v>
      </c>
      <c r="H206" s="62" t="s">
        <v>146</v>
      </c>
      <c r="I206" s="62" t="s">
        <v>19</v>
      </c>
      <c r="J206" s="62" t="s">
        <v>140</v>
      </c>
      <c r="K206" s="64">
        <v>10</v>
      </c>
      <c r="L206" s="64">
        <f t="shared" si="18"/>
        <v>2</v>
      </c>
      <c r="M206" s="65">
        <f>prodnorm7</f>
        <v>0</v>
      </c>
      <c r="N206" s="66">
        <f>dagwerk7</f>
        <v>0</v>
      </c>
      <c r="O206" s="62" t="s">
        <v>44</v>
      </c>
      <c r="P206" s="67">
        <f>uurtarief7</f>
        <v>0</v>
      </c>
      <c r="Q206" s="64" t="e">
        <f t="shared" si="19"/>
        <v>#DIV/0!</v>
      </c>
      <c r="R206" s="64" t="e">
        <f t="shared" si="20"/>
        <v>#DIV/0!</v>
      </c>
      <c r="S206" s="67" t="e">
        <f t="shared" si="21"/>
        <v>#DIV/0!</v>
      </c>
      <c r="T206" s="64" t="e">
        <f t="shared" si="22"/>
        <v>#DIV/0!</v>
      </c>
      <c r="U206" s="68" t="e">
        <f t="shared" si="23"/>
        <v>#DIV/0!</v>
      </c>
    </row>
    <row r="207" spans="1:21" x14ac:dyDescent="0.2">
      <c r="A207" s="61" t="s">
        <v>208</v>
      </c>
      <c r="B207" s="62" t="s">
        <v>320</v>
      </c>
      <c r="C207" s="62" t="s">
        <v>307</v>
      </c>
      <c r="D207" s="62" t="s">
        <v>458</v>
      </c>
      <c r="E207" s="62" t="s">
        <v>209</v>
      </c>
      <c r="F207" s="63" t="s">
        <v>254</v>
      </c>
      <c r="G207" s="62" t="s">
        <v>234</v>
      </c>
      <c r="H207" s="62" t="s">
        <v>164</v>
      </c>
      <c r="I207" s="62" t="s">
        <v>10</v>
      </c>
      <c r="J207" s="62" t="s">
        <v>140</v>
      </c>
      <c r="K207" s="64">
        <v>6.6</v>
      </c>
      <c r="L207" s="64">
        <f t="shared" si="18"/>
        <v>6.6</v>
      </c>
      <c r="M207" s="65">
        <f>prodnorm21</f>
        <v>0</v>
      </c>
      <c r="N207" s="66">
        <f>dagwerk21</f>
        <v>0</v>
      </c>
      <c r="O207" s="62" t="s">
        <v>44</v>
      </c>
      <c r="P207" s="67">
        <f>uurtarief21</f>
        <v>0</v>
      </c>
      <c r="Q207" s="64" t="e">
        <f t="shared" si="19"/>
        <v>#DIV/0!</v>
      </c>
      <c r="R207" s="64" t="e">
        <f t="shared" si="20"/>
        <v>#DIV/0!</v>
      </c>
      <c r="S207" s="67" t="e">
        <f t="shared" si="21"/>
        <v>#DIV/0!</v>
      </c>
      <c r="T207" s="64" t="e">
        <f t="shared" si="22"/>
        <v>#DIV/0!</v>
      </c>
      <c r="U207" s="68" t="e">
        <f t="shared" si="23"/>
        <v>#DIV/0!</v>
      </c>
    </row>
    <row r="208" spans="1:21" x14ac:dyDescent="0.2">
      <c r="A208" s="61" t="s">
        <v>208</v>
      </c>
      <c r="B208" s="62" t="s">
        <v>320</v>
      </c>
      <c r="C208" s="62" t="s">
        <v>307</v>
      </c>
      <c r="D208" s="62" t="s">
        <v>459</v>
      </c>
      <c r="E208" s="62" t="s">
        <v>209</v>
      </c>
      <c r="F208" s="63" t="s">
        <v>257</v>
      </c>
      <c r="G208" s="62" t="s">
        <v>234</v>
      </c>
      <c r="H208" s="62" t="s">
        <v>146</v>
      </c>
      <c r="I208" s="62" t="s">
        <v>10</v>
      </c>
      <c r="J208" s="62" t="s">
        <v>140</v>
      </c>
      <c r="K208" s="64">
        <v>4</v>
      </c>
      <c r="L208" s="64">
        <f t="shared" si="18"/>
        <v>4</v>
      </c>
      <c r="M208" s="65">
        <f>prodnorm8</f>
        <v>0</v>
      </c>
      <c r="N208" s="66">
        <f>dagwerk8</f>
        <v>0</v>
      </c>
      <c r="O208" s="62" t="s">
        <v>44</v>
      </c>
      <c r="P208" s="67">
        <f>uurtarief8</f>
        <v>0</v>
      </c>
      <c r="Q208" s="64" t="e">
        <f t="shared" si="19"/>
        <v>#DIV/0!</v>
      </c>
      <c r="R208" s="64" t="e">
        <f t="shared" si="20"/>
        <v>#DIV/0!</v>
      </c>
      <c r="S208" s="67" t="e">
        <f t="shared" si="21"/>
        <v>#DIV/0!</v>
      </c>
      <c r="T208" s="64" t="e">
        <f t="shared" si="22"/>
        <v>#DIV/0!</v>
      </c>
      <c r="U208" s="68" t="e">
        <f t="shared" si="23"/>
        <v>#DIV/0!</v>
      </c>
    </row>
    <row r="209" spans="1:21" x14ac:dyDescent="0.2">
      <c r="A209" s="61" t="s">
        <v>208</v>
      </c>
      <c r="B209" s="62" t="s">
        <v>320</v>
      </c>
      <c r="C209" s="62" t="s">
        <v>307</v>
      </c>
      <c r="D209" s="62" t="s">
        <v>460</v>
      </c>
      <c r="E209" s="62" t="s">
        <v>209</v>
      </c>
      <c r="F209" s="63" t="s">
        <v>254</v>
      </c>
      <c r="G209" s="62" t="s">
        <v>234</v>
      </c>
      <c r="H209" s="62" t="s">
        <v>164</v>
      </c>
      <c r="I209" s="62" t="s">
        <v>10</v>
      </c>
      <c r="J209" s="62" t="s">
        <v>140</v>
      </c>
      <c r="K209" s="64">
        <v>2</v>
      </c>
      <c r="L209" s="64">
        <f t="shared" si="18"/>
        <v>2</v>
      </c>
      <c r="M209" s="65">
        <f>prodnorm21</f>
        <v>0</v>
      </c>
      <c r="N209" s="66">
        <f>dagwerk21</f>
        <v>0</v>
      </c>
      <c r="O209" s="62" t="s">
        <v>44</v>
      </c>
      <c r="P209" s="67">
        <f>uurtarief21</f>
        <v>0</v>
      </c>
      <c r="Q209" s="64" t="e">
        <f t="shared" si="19"/>
        <v>#DIV/0!</v>
      </c>
      <c r="R209" s="64" t="e">
        <f t="shared" si="20"/>
        <v>#DIV/0!</v>
      </c>
      <c r="S209" s="67" t="e">
        <f t="shared" si="21"/>
        <v>#DIV/0!</v>
      </c>
      <c r="T209" s="64" t="e">
        <f t="shared" si="22"/>
        <v>#DIV/0!</v>
      </c>
      <c r="U209" s="68" t="e">
        <f t="shared" si="23"/>
        <v>#DIV/0!</v>
      </c>
    </row>
    <row r="210" spans="1:21" x14ac:dyDescent="0.2">
      <c r="A210" s="61" t="s">
        <v>208</v>
      </c>
      <c r="B210" s="62" t="s">
        <v>320</v>
      </c>
      <c r="C210" s="62" t="s">
        <v>307</v>
      </c>
      <c r="D210" s="62" t="s">
        <v>461</v>
      </c>
      <c r="E210" s="62" t="s">
        <v>209</v>
      </c>
      <c r="F210" s="63" t="s">
        <v>257</v>
      </c>
      <c r="G210" s="62" t="s">
        <v>234</v>
      </c>
      <c r="H210" s="62" t="s">
        <v>146</v>
      </c>
      <c r="I210" s="62" t="s">
        <v>10</v>
      </c>
      <c r="J210" s="62" t="s">
        <v>140</v>
      </c>
      <c r="K210" s="64">
        <v>2</v>
      </c>
      <c r="L210" s="64">
        <f t="shared" si="18"/>
        <v>2</v>
      </c>
      <c r="M210" s="65">
        <f>prodnorm8</f>
        <v>0</v>
      </c>
      <c r="N210" s="66">
        <f>dagwerk8</f>
        <v>0</v>
      </c>
      <c r="O210" s="62" t="s">
        <v>44</v>
      </c>
      <c r="P210" s="67">
        <f>uurtarief8</f>
        <v>0</v>
      </c>
      <c r="Q210" s="64" t="e">
        <f t="shared" si="19"/>
        <v>#DIV/0!</v>
      </c>
      <c r="R210" s="64" t="e">
        <f t="shared" si="20"/>
        <v>#DIV/0!</v>
      </c>
      <c r="S210" s="67" t="e">
        <f t="shared" si="21"/>
        <v>#DIV/0!</v>
      </c>
      <c r="T210" s="64" t="e">
        <f t="shared" si="22"/>
        <v>#DIV/0!</v>
      </c>
      <c r="U210" s="68" t="e">
        <f t="shared" si="23"/>
        <v>#DIV/0!</v>
      </c>
    </row>
    <row r="211" spans="1:21" x14ac:dyDescent="0.2">
      <c r="A211" s="61" t="s">
        <v>208</v>
      </c>
      <c r="B211" s="62" t="s">
        <v>320</v>
      </c>
      <c r="C211" s="62" t="s">
        <v>307</v>
      </c>
      <c r="D211" s="62" t="s">
        <v>462</v>
      </c>
      <c r="E211" s="62" t="s">
        <v>209</v>
      </c>
      <c r="F211" s="63" t="s">
        <v>254</v>
      </c>
      <c r="G211" s="62" t="s">
        <v>234</v>
      </c>
      <c r="H211" s="62" t="s">
        <v>164</v>
      </c>
      <c r="I211" s="62" t="s">
        <v>10</v>
      </c>
      <c r="J211" s="62" t="s">
        <v>140</v>
      </c>
      <c r="K211" s="64">
        <v>2.2999999999999998</v>
      </c>
      <c r="L211" s="64">
        <f t="shared" si="18"/>
        <v>2.2999999999999998</v>
      </c>
      <c r="M211" s="65">
        <f>prodnorm21</f>
        <v>0</v>
      </c>
      <c r="N211" s="66">
        <f>dagwerk21</f>
        <v>0</v>
      </c>
      <c r="O211" s="62" t="s">
        <v>44</v>
      </c>
      <c r="P211" s="67">
        <f>uurtarief21</f>
        <v>0</v>
      </c>
      <c r="Q211" s="64" t="e">
        <f t="shared" si="19"/>
        <v>#DIV/0!</v>
      </c>
      <c r="R211" s="64" t="e">
        <f t="shared" si="20"/>
        <v>#DIV/0!</v>
      </c>
      <c r="S211" s="67" t="e">
        <f t="shared" si="21"/>
        <v>#DIV/0!</v>
      </c>
      <c r="T211" s="64" t="e">
        <f t="shared" si="22"/>
        <v>#DIV/0!</v>
      </c>
      <c r="U211" s="68" t="e">
        <f t="shared" si="23"/>
        <v>#DIV/0!</v>
      </c>
    </row>
    <row r="212" spans="1:21" x14ac:dyDescent="0.2">
      <c r="A212" s="61" t="s">
        <v>208</v>
      </c>
      <c r="B212" s="62" t="s">
        <v>320</v>
      </c>
      <c r="C212" s="62" t="s">
        <v>307</v>
      </c>
      <c r="D212" s="62" t="s">
        <v>463</v>
      </c>
      <c r="E212" s="62" t="s">
        <v>209</v>
      </c>
      <c r="F212" s="63" t="s">
        <v>257</v>
      </c>
      <c r="G212" s="62" t="s">
        <v>234</v>
      </c>
      <c r="H212" s="62" t="s">
        <v>146</v>
      </c>
      <c r="I212" s="62" t="s">
        <v>10</v>
      </c>
      <c r="J212" s="62" t="s">
        <v>140</v>
      </c>
      <c r="K212" s="64">
        <v>2.2000000000000002</v>
      </c>
      <c r="L212" s="64">
        <f t="shared" si="18"/>
        <v>2.2000000000000002</v>
      </c>
      <c r="M212" s="65">
        <f>prodnorm8</f>
        <v>0</v>
      </c>
      <c r="N212" s="66">
        <f>dagwerk8</f>
        <v>0</v>
      </c>
      <c r="O212" s="62" t="s">
        <v>44</v>
      </c>
      <c r="P212" s="67">
        <f>uurtarief8</f>
        <v>0</v>
      </c>
      <c r="Q212" s="64" t="e">
        <f t="shared" si="19"/>
        <v>#DIV/0!</v>
      </c>
      <c r="R212" s="64" t="e">
        <f t="shared" si="20"/>
        <v>#DIV/0!</v>
      </c>
      <c r="S212" s="67" t="e">
        <f t="shared" si="21"/>
        <v>#DIV/0!</v>
      </c>
      <c r="T212" s="64" t="e">
        <f t="shared" si="22"/>
        <v>#DIV/0!</v>
      </c>
      <c r="U212" s="68" t="e">
        <f t="shared" si="23"/>
        <v>#DIV/0!</v>
      </c>
    </row>
    <row r="213" spans="1:21" x14ac:dyDescent="0.2">
      <c r="A213" s="61" t="s">
        <v>208</v>
      </c>
      <c r="B213" s="62" t="s">
        <v>320</v>
      </c>
      <c r="C213" s="62" t="s">
        <v>307</v>
      </c>
      <c r="D213" s="62" t="s">
        <v>464</v>
      </c>
      <c r="E213" s="62" t="s">
        <v>209</v>
      </c>
      <c r="F213" s="63" t="s">
        <v>254</v>
      </c>
      <c r="G213" s="62" t="s">
        <v>234</v>
      </c>
      <c r="H213" s="62" t="s">
        <v>164</v>
      </c>
      <c r="I213" s="62" t="s">
        <v>10</v>
      </c>
      <c r="J213" s="62" t="s">
        <v>140</v>
      </c>
      <c r="K213" s="64">
        <v>2.1</v>
      </c>
      <c r="L213" s="64">
        <f t="shared" si="18"/>
        <v>2.1</v>
      </c>
      <c r="M213" s="65">
        <f>prodnorm21</f>
        <v>0</v>
      </c>
      <c r="N213" s="66">
        <f>dagwerk21</f>
        <v>0</v>
      </c>
      <c r="O213" s="62" t="s">
        <v>44</v>
      </c>
      <c r="P213" s="67">
        <f>uurtarief21</f>
        <v>0</v>
      </c>
      <c r="Q213" s="64" t="e">
        <f t="shared" si="19"/>
        <v>#DIV/0!</v>
      </c>
      <c r="R213" s="64" t="e">
        <f t="shared" si="20"/>
        <v>#DIV/0!</v>
      </c>
      <c r="S213" s="67" t="e">
        <f t="shared" si="21"/>
        <v>#DIV/0!</v>
      </c>
      <c r="T213" s="64" t="e">
        <f t="shared" si="22"/>
        <v>#DIV/0!</v>
      </c>
      <c r="U213" s="68" t="e">
        <f t="shared" si="23"/>
        <v>#DIV/0!</v>
      </c>
    </row>
    <row r="214" spans="1:21" x14ac:dyDescent="0.2">
      <c r="A214" s="61" t="s">
        <v>208</v>
      </c>
      <c r="B214" s="62" t="s">
        <v>320</v>
      </c>
      <c r="C214" s="62" t="s">
        <v>307</v>
      </c>
      <c r="D214" s="62" t="s">
        <v>465</v>
      </c>
      <c r="E214" s="62" t="s">
        <v>209</v>
      </c>
      <c r="F214" s="63" t="s">
        <v>257</v>
      </c>
      <c r="G214" s="62" t="s">
        <v>234</v>
      </c>
      <c r="H214" s="62" t="s">
        <v>146</v>
      </c>
      <c r="I214" s="62" t="s">
        <v>10</v>
      </c>
      <c r="J214" s="62" t="s">
        <v>140</v>
      </c>
      <c r="K214" s="64">
        <v>2.1</v>
      </c>
      <c r="L214" s="64">
        <f t="shared" si="18"/>
        <v>2.1</v>
      </c>
      <c r="M214" s="65">
        <f>prodnorm8</f>
        <v>0</v>
      </c>
      <c r="N214" s="66">
        <f>dagwerk8</f>
        <v>0</v>
      </c>
      <c r="O214" s="62" t="s">
        <v>44</v>
      </c>
      <c r="P214" s="67">
        <f>uurtarief8</f>
        <v>0</v>
      </c>
      <c r="Q214" s="64" t="e">
        <f t="shared" si="19"/>
        <v>#DIV/0!</v>
      </c>
      <c r="R214" s="64" t="e">
        <f t="shared" si="20"/>
        <v>#DIV/0!</v>
      </c>
      <c r="S214" s="67" t="e">
        <f t="shared" si="21"/>
        <v>#DIV/0!</v>
      </c>
      <c r="T214" s="64" t="e">
        <f t="shared" si="22"/>
        <v>#DIV/0!</v>
      </c>
      <c r="U214" s="68" t="e">
        <f t="shared" si="23"/>
        <v>#DIV/0!</v>
      </c>
    </row>
    <row r="215" spans="1:21" x14ac:dyDescent="0.2">
      <c r="A215" s="61" t="s">
        <v>208</v>
      </c>
      <c r="B215" s="62" t="s">
        <v>320</v>
      </c>
      <c r="C215" s="62" t="s">
        <v>307</v>
      </c>
      <c r="D215" s="62" t="s">
        <v>466</v>
      </c>
      <c r="E215" s="62" t="s">
        <v>209</v>
      </c>
      <c r="F215" s="63" t="s">
        <v>215</v>
      </c>
      <c r="G215" s="62" t="s">
        <v>213</v>
      </c>
      <c r="H215" s="62" t="s">
        <v>168</v>
      </c>
      <c r="I215" s="62" t="s">
        <v>10</v>
      </c>
      <c r="J215" s="62" t="s">
        <v>140</v>
      </c>
      <c r="K215" s="64">
        <v>72.599999999999994</v>
      </c>
      <c r="L215" s="64">
        <f t="shared" si="18"/>
        <v>72.599999999999994</v>
      </c>
      <c r="M215" s="65">
        <f>prodnorm24</f>
        <v>0</v>
      </c>
      <c r="N215" s="66">
        <f>dagwerk24</f>
        <v>0</v>
      </c>
      <c r="O215" s="62" t="s">
        <v>44</v>
      </c>
      <c r="P215" s="67">
        <f>uurtarief24</f>
        <v>0</v>
      </c>
      <c r="Q215" s="64" t="e">
        <f t="shared" si="19"/>
        <v>#DIV/0!</v>
      </c>
      <c r="R215" s="64" t="e">
        <f t="shared" si="20"/>
        <v>#DIV/0!</v>
      </c>
      <c r="S215" s="67" t="e">
        <f t="shared" si="21"/>
        <v>#DIV/0!</v>
      </c>
      <c r="T215" s="64" t="e">
        <f t="shared" si="22"/>
        <v>#DIV/0!</v>
      </c>
      <c r="U215" s="68" t="e">
        <f t="shared" si="23"/>
        <v>#DIV/0!</v>
      </c>
    </row>
    <row r="216" spans="1:21" x14ac:dyDescent="0.2">
      <c r="A216" s="61" t="s">
        <v>208</v>
      </c>
      <c r="B216" s="62" t="s">
        <v>320</v>
      </c>
      <c r="C216" s="62" t="s">
        <v>467</v>
      </c>
      <c r="D216" s="62" t="s">
        <v>468</v>
      </c>
      <c r="E216" s="62" t="s">
        <v>209</v>
      </c>
      <c r="F216" s="63" t="s">
        <v>212</v>
      </c>
      <c r="G216" s="62" t="s">
        <v>213</v>
      </c>
      <c r="H216" s="62" t="s">
        <v>166</v>
      </c>
      <c r="I216" s="62" t="s">
        <v>10</v>
      </c>
      <c r="J216" s="62" t="s">
        <v>140</v>
      </c>
      <c r="K216" s="64">
        <v>48.7</v>
      </c>
      <c r="L216" s="64">
        <f t="shared" si="18"/>
        <v>48.7</v>
      </c>
      <c r="M216" s="65">
        <f>prodnorm22</f>
        <v>0</v>
      </c>
      <c r="N216" s="66">
        <f>dagwerk22</f>
        <v>0</v>
      </c>
      <c r="O216" s="62" t="s">
        <v>44</v>
      </c>
      <c r="P216" s="67">
        <f>uurtarief22</f>
        <v>0</v>
      </c>
      <c r="Q216" s="64" t="e">
        <f t="shared" si="19"/>
        <v>#DIV/0!</v>
      </c>
      <c r="R216" s="64" t="e">
        <f t="shared" si="20"/>
        <v>#DIV/0!</v>
      </c>
      <c r="S216" s="67" t="e">
        <f t="shared" si="21"/>
        <v>#DIV/0!</v>
      </c>
      <c r="T216" s="64" t="e">
        <f t="shared" si="22"/>
        <v>#DIV/0!</v>
      </c>
      <c r="U216" s="68" t="e">
        <f t="shared" si="23"/>
        <v>#DIV/0!</v>
      </c>
    </row>
    <row r="217" spans="1:21" x14ac:dyDescent="0.2">
      <c r="A217" s="61" t="s">
        <v>208</v>
      </c>
      <c r="B217" s="62" t="s">
        <v>320</v>
      </c>
      <c r="C217" s="62" t="s">
        <v>467</v>
      </c>
      <c r="D217" s="62" t="s">
        <v>469</v>
      </c>
      <c r="E217" s="62" t="s">
        <v>209</v>
      </c>
      <c r="F217" s="63" t="s">
        <v>366</v>
      </c>
      <c r="G217" s="62" t="s">
        <v>213</v>
      </c>
      <c r="H217" s="62" t="s">
        <v>142</v>
      </c>
      <c r="I217" s="62" t="s">
        <v>19</v>
      </c>
      <c r="J217" s="62" t="s">
        <v>140</v>
      </c>
      <c r="K217" s="64">
        <v>10</v>
      </c>
      <c r="L217" s="64">
        <f t="shared" si="18"/>
        <v>2</v>
      </c>
      <c r="M217" s="65">
        <f>prodnorm4</f>
        <v>0</v>
      </c>
      <c r="N217" s="66">
        <f>dagwerk4</f>
        <v>0</v>
      </c>
      <c r="O217" s="62" t="s">
        <v>44</v>
      </c>
      <c r="P217" s="67">
        <f>uurtarief4</f>
        <v>0</v>
      </c>
      <c r="Q217" s="64" t="e">
        <f t="shared" si="19"/>
        <v>#DIV/0!</v>
      </c>
      <c r="R217" s="64" t="e">
        <f t="shared" si="20"/>
        <v>#DIV/0!</v>
      </c>
      <c r="S217" s="67" t="e">
        <f t="shared" si="21"/>
        <v>#DIV/0!</v>
      </c>
      <c r="T217" s="64" t="e">
        <f t="shared" si="22"/>
        <v>#DIV/0!</v>
      </c>
      <c r="U217" s="68" t="e">
        <f t="shared" si="23"/>
        <v>#DIV/0!</v>
      </c>
    </row>
    <row r="218" spans="1:21" x14ac:dyDescent="0.2">
      <c r="A218" s="61" t="s">
        <v>208</v>
      </c>
      <c r="B218" s="62" t="s">
        <v>320</v>
      </c>
      <c r="C218" s="62" t="s">
        <v>467</v>
      </c>
      <c r="D218" s="62" t="s">
        <v>470</v>
      </c>
      <c r="E218" s="62" t="s">
        <v>209</v>
      </c>
      <c r="F218" s="63" t="s">
        <v>387</v>
      </c>
      <c r="G218" s="62" t="s">
        <v>234</v>
      </c>
      <c r="H218" s="62" t="s">
        <v>164</v>
      </c>
      <c r="I218" s="62" t="s">
        <v>10</v>
      </c>
      <c r="J218" s="62" t="s">
        <v>140</v>
      </c>
      <c r="K218" s="64">
        <v>6.4</v>
      </c>
      <c r="L218" s="64">
        <f t="shared" si="18"/>
        <v>6.4</v>
      </c>
      <c r="M218" s="65">
        <f>prodnorm21</f>
        <v>0</v>
      </c>
      <c r="N218" s="66">
        <f>dagwerk21</f>
        <v>0</v>
      </c>
      <c r="O218" s="62" t="s">
        <v>44</v>
      </c>
      <c r="P218" s="67">
        <f>uurtarief21</f>
        <v>0</v>
      </c>
      <c r="Q218" s="64" t="e">
        <f t="shared" si="19"/>
        <v>#DIV/0!</v>
      </c>
      <c r="R218" s="64" t="e">
        <f t="shared" si="20"/>
        <v>#DIV/0!</v>
      </c>
      <c r="S218" s="67" t="e">
        <f t="shared" si="21"/>
        <v>#DIV/0!</v>
      </c>
      <c r="T218" s="64" t="e">
        <f t="shared" si="22"/>
        <v>#DIV/0!</v>
      </c>
      <c r="U218" s="68" t="e">
        <f t="shared" si="23"/>
        <v>#DIV/0!</v>
      </c>
    </row>
    <row r="219" spans="1:21" x14ac:dyDescent="0.2">
      <c r="A219" s="61" t="s">
        <v>208</v>
      </c>
      <c r="B219" s="62" t="s">
        <v>320</v>
      </c>
      <c r="C219" s="62" t="s">
        <v>467</v>
      </c>
      <c r="D219" s="62" t="s">
        <v>471</v>
      </c>
      <c r="E219" s="62" t="s">
        <v>209</v>
      </c>
      <c r="F219" s="63" t="s">
        <v>257</v>
      </c>
      <c r="G219" s="62" t="s">
        <v>234</v>
      </c>
      <c r="H219" s="62" t="s">
        <v>146</v>
      </c>
      <c r="I219" s="62" t="s">
        <v>10</v>
      </c>
      <c r="J219" s="62" t="s">
        <v>140</v>
      </c>
      <c r="K219" s="64">
        <v>4</v>
      </c>
      <c r="L219" s="64">
        <f t="shared" si="18"/>
        <v>4</v>
      </c>
      <c r="M219" s="65">
        <f>prodnorm8</f>
        <v>0</v>
      </c>
      <c r="N219" s="66">
        <f>dagwerk8</f>
        <v>0</v>
      </c>
      <c r="O219" s="62" t="s">
        <v>44</v>
      </c>
      <c r="P219" s="67">
        <f>uurtarief8</f>
        <v>0</v>
      </c>
      <c r="Q219" s="64" t="e">
        <f t="shared" si="19"/>
        <v>#DIV/0!</v>
      </c>
      <c r="R219" s="64" t="e">
        <f t="shared" si="20"/>
        <v>#DIV/0!</v>
      </c>
      <c r="S219" s="67" t="e">
        <f t="shared" si="21"/>
        <v>#DIV/0!</v>
      </c>
      <c r="T219" s="64" t="e">
        <f t="shared" si="22"/>
        <v>#DIV/0!</v>
      </c>
      <c r="U219" s="68" t="e">
        <f t="shared" si="23"/>
        <v>#DIV/0!</v>
      </c>
    </row>
    <row r="220" spans="1:21" x14ac:dyDescent="0.2">
      <c r="A220" s="61" t="s">
        <v>208</v>
      </c>
      <c r="B220" s="62" t="s">
        <v>320</v>
      </c>
      <c r="C220" s="62" t="s">
        <v>467</v>
      </c>
      <c r="D220" s="62" t="s">
        <v>472</v>
      </c>
      <c r="E220" s="62" t="s">
        <v>209</v>
      </c>
      <c r="F220" s="63" t="s">
        <v>215</v>
      </c>
      <c r="G220" s="62" t="s">
        <v>213</v>
      </c>
      <c r="H220" s="62" t="s">
        <v>168</v>
      </c>
      <c r="I220" s="62" t="s">
        <v>10</v>
      </c>
      <c r="J220" s="62" t="s">
        <v>140</v>
      </c>
      <c r="K220" s="64">
        <v>51</v>
      </c>
      <c r="L220" s="64">
        <f t="shared" si="18"/>
        <v>51</v>
      </c>
      <c r="M220" s="65">
        <f>prodnorm24</f>
        <v>0</v>
      </c>
      <c r="N220" s="66">
        <f>dagwerk24</f>
        <v>0</v>
      </c>
      <c r="O220" s="62" t="s">
        <v>44</v>
      </c>
      <c r="P220" s="67">
        <f>uurtarief24</f>
        <v>0</v>
      </c>
      <c r="Q220" s="64" t="e">
        <f t="shared" si="19"/>
        <v>#DIV/0!</v>
      </c>
      <c r="R220" s="64" t="e">
        <f t="shared" si="20"/>
        <v>#DIV/0!</v>
      </c>
      <c r="S220" s="67" t="e">
        <f t="shared" si="21"/>
        <v>#DIV/0!</v>
      </c>
      <c r="T220" s="64" t="e">
        <f t="shared" si="22"/>
        <v>#DIV/0!</v>
      </c>
      <c r="U220" s="68" t="e">
        <f t="shared" si="23"/>
        <v>#DIV/0!</v>
      </c>
    </row>
    <row r="221" spans="1:21" x14ac:dyDescent="0.2">
      <c r="A221" s="61" t="s">
        <v>208</v>
      </c>
      <c r="B221" s="62" t="s">
        <v>320</v>
      </c>
      <c r="C221" s="62" t="s">
        <v>467</v>
      </c>
      <c r="D221" s="62" t="s">
        <v>473</v>
      </c>
      <c r="E221" s="62" t="s">
        <v>209</v>
      </c>
      <c r="F221" s="63" t="s">
        <v>351</v>
      </c>
      <c r="G221" s="62" t="s">
        <v>234</v>
      </c>
      <c r="H221" s="62" t="s">
        <v>164</v>
      </c>
      <c r="I221" s="62" t="s">
        <v>10</v>
      </c>
      <c r="J221" s="62" t="s">
        <v>140</v>
      </c>
      <c r="K221" s="64">
        <v>1.1000000000000001</v>
      </c>
      <c r="L221" s="64">
        <f t="shared" si="18"/>
        <v>1.1000000000000001</v>
      </c>
      <c r="M221" s="65">
        <f>prodnorm21</f>
        <v>0</v>
      </c>
      <c r="N221" s="66">
        <f>dagwerk21</f>
        <v>0</v>
      </c>
      <c r="O221" s="62" t="s">
        <v>44</v>
      </c>
      <c r="P221" s="67">
        <f>uurtarief21</f>
        <v>0</v>
      </c>
      <c r="Q221" s="64" t="e">
        <f t="shared" si="19"/>
        <v>#DIV/0!</v>
      </c>
      <c r="R221" s="64" t="e">
        <f t="shared" si="20"/>
        <v>#DIV/0!</v>
      </c>
      <c r="S221" s="67" t="e">
        <f t="shared" si="21"/>
        <v>#DIV/0!</v>
      </c>
      <c r="T221" s="64" t="e">
        <f t="shared" si="22"/>
        <v>#DIV/0!</v>
      </c>
      <c r="U221" s="68" t="e">
        <f t="shared" si="23"/>
        <v>#DIV/0!</v>
      </c>
    </row>
    <row r="222" spans="1:21" x14ac:dyDescent="0.2">
      <c r="A222" s="61" t="s">
        <v>208</v>
      </c>
      <c r="B222" s="62" t="s">
        <v>320</v>
      </c>
      <c r="C222" s="62" t="s">
        <v>467</v>
      </c>
      <c r="D222" s="62" t="s">
        <v>474</v>
      </c>
      <c r="E222" s="62" t="s">
        <v>209</v>
      </c>
      <c r="F222" s="63" t="s">
        <v>392</v>
      </c>
      <c r="G222" s="62" t="s">
        <v>213</v>
      </c>
      <c r="H222" s="62" t="s">
        <v>142</v>
      </c>
      <c r="I222" s="62" t="s">
        <v>19</v>
      </c>
      <c r="J222" s="62" t="s">
        <v>140</v>
      </c>
      <c r="K222" s="64">
        <v>12</v>
      </c>
      <c r="L222" s="64">
        <f t="shared" si="18"/>
        <v>2.4000000000000004</v>
      </c>
      <c r="M222" s="65">
        <f>prodnorm4</f>
        <v>0</v>
      </c>
      <c r="N222" s="66">
        <f>dagwerk4</f>
        <v>0</v>
      </c>
      <c r="O222" s="62" t="s">
        <v>44</v>
      </c>
      <c r="P222" s="67">
        <f>uurtarief4</f>
        <v>0</v>
      </c>
      <c r="Q222" s="64" t="e">
        <f t="shared" si="19"/>
        <v>#DIV/0!</v>
      </c>
      <c r="R222" s="64" t="e">
        <f t="shared" si="20"/>
        <v>#DIV/0!</v>
      </c>
      <c r="S222" s="67" t="e">
        <f t="shared" si="21"/>
        <v>#DIV/0!</v>
      </c>
      <c r="T222" s="64" t="e">
        <f t="shared" si="22"/>
        <v>#DIV/0!</v>
      </c>
      <c r="U222" s="68" t="e">
        <f t="shared" si="23"/>
        <v>#DIV/0!</v>
      </c>
    </row>
    <row r="223" spans="1:21" x14ac:dyDescent="0.2">
      <c r="A223" s="61" t="s">
        <v>208</v>
      </c>
      <c r="B223" s="62" t="s">
        <v>320</v>
      </c>
      <c r="C223" s="62" t="s">
        <v>467</v>
      </c>
      <c r="D223" s="62" t="s">
        <v>475</v>
      </c>
      <c r="E223" s="62" t="s">
        <v>209</v>
      </c>
      <c r="F223" s="63" t="s">
        <v>366</v>
      </c>
      <c r="G223" s="62" t="s">
        <v>213</v>
      </c>
      <c r="H223" s="62" t="s">
        <v>142</v>
      </c>
      <c r="I223" s="62" t="s">
        <v>19</v>
      </c>
      <c r="J223" s="62" t="s">
        <v>140</v>
      </c>
      <c r="K223" s="64">
        <v>8</v>
      </c>
      <c r="L223" s="64">
        <f t="shared" si="18"/>
        <v>1.6</v>
      </c>
      <c r="M223" s="65">
        <f>prodnorm4</f>
        <v>0</v>
      </c>
      <c r="N223" s="66">
        <f>dagwerk4</f>
        <v>0</v>
      </c>
      <c r="O223" s="62" t="s">
        <v>44</v>
      </c>
      <c r="P223" s="67">
        <f>uurtarief4</f>
        <v>0</v>
      </c>
      <c r="Q223" s="64" t="e">
        <f t="shared" si="19"/>
        <v>#DIV/0!</v>
      </c>
      <c r="R223" s="64" t="e">
        <f t="shared" si="20"/>
        <v>#DIV/0!</v>
      </c>
      <c r="S223" s="67" t="e">
        <f t="shared" si="21"/>
        <v>#DIV/0!</v>
      </c>
      <c r="T223" s="64" t="e">
        <f t="shared" si="22"/>
        <v>#DIV/0!</v>
      </c>
      <c r="U223" s="68" t="e">
        <f t="shared" si="23"/>
        <v>#DIV/0!</v>
      </c>
    </row>
    <row r="224" spans="1:21" x14ac:dyDescent="0.2">
      <c r="A224" s="61" t="s">
        <v>208</v>
      </c>
      <c r="B224" s="62" t="s">
        <v>320</v>
      </c>
      <c r="C224" s="62" t="s">
        <v>467</v>
      </c>
      <c r="D224" s="62" t="s">
        <v>476</v>
      </c>
      <c r="E224" s="62" t="s">
        <v>209</v>
      </c>
      <c r="F224" s="63" t="s">
        <v>257</v>
      </c>
      <c r="G224" s="62" t="s">
        <v>234</v>
      </c>
      <c r="H224" s="62" t="s">
        <v>146</v>
      </c>
      <c r="I224" s="62" t="s">
        <v>10</v>
      </c>
      <c r="J224" s="62" t="s">
        <v>140</v>
      </c>
      <c r="K224" s="64">
        <v>1.8</v>
      </c>
      <c r="L224" s="64">
        <f t="shared" si="18"/>
        <v>1.8</v>
      </c>
      <c r="M224" s="65">
        <f>prodnorm8</f>
        <v>0</v>
      </c>
      <c r="N224" s="66">
        <f>dagwerk8</f>
        <v>0</v>
      </c>
      <c r="O224" s="62" t="s">
        <v>44</v>
      </c>
      <c r="P224" s="67">
        <f>uurtarief8</f>
        <v>0</v>
      </c>
      <c r="Q224" s="64" t="e">
        <f t="shared" si="19"/>
        <v>#DIV/0!</v>
      </c>
      <c r="R224" s="64" t="e">
        <f t="shared" si="20"/>
        <v>#DIV/0!</v>
      </c>
      <c r="S224" s="67" t="e">
        <f t="shared" si="21"/>
        <v>#DIV/0!</v>
      </c>
      <c r="T224" s="64" t="e">
        <f t="shared" si="22"/>
        <v>#DIV/0!</v>
      </c>
      <c r="U224" s="68" t="e">
        <f t="shared" si="23"/>
        <v>#DIV/0!</v>
      </c>
    </row>
    <row r="225" spans="1:21" x14ac:dyDescent="0.2">
      <c r="A225" s="61" t="s">
        <v>208</v>
      </c>
      <c r="B225" s="62" t="s">
        <v>320</v>
      </c>
      <c r="C225" s="62" t="s">
        <v>467</v>
      </c>
      <c r="D225" s="62" t="s">
        <v>477</v>
      </c>
      <c r="E225" s="62" t="s">
        <v>209</v>
      </c>
      <c r="F225" s="63" t="s">
        <v>373</v>
      </c>
      <c r="G225" s="62" t="s">
        <v>213</v>
      </c>
      <c r="H225" s="62" t="s">
        <v>154</v>
      </c>
      <c r="I225" s="62" t="s">
        <v>19</v>
      </c>
      <c r="J225" s="62" t="s">
        <v>140</v>
      </c>
      <c r="K225" s="64">
        <v>26</v>
      </c>
      <c r="L225" s="64">
        <f t="shared" si="18"/>
        <v>5.2</v>
      </c>
      <c r="M225" s="65">
        <f>prodnorm12</f>
        <v>0</v>
      </c>
      <c r="N225" s="66">
        <f>dagwerk12</f>
        <v>0</v>
      </c>
      <c r="O225" s="62" t="s">
        <v>44</v>
      </c>
      <c r="P225" s="67">
        <f>uurtarief12</f>
        <v>0</v>
      </c>
      <c r="Q225" s="64" t="e">
        <f t="shared" si="19"/>
        <v>#DIV/0!</v>
      </c>
      <c r="R225" s="64" t="e">
        <f t="shared" si="20"/>
        <v>#DIV/0!</v>
      </c>
      <c r="S225" s="67" t="e">
        <f t="shared" si="21"/>
        <v>#DIV/0!</v>
      </c>
      <c r="T225" s="64" t="e">
        <f t="shared" si="22"/>
        <v>#DIV/0!</v>
      </c>
      <c r="U225" s="68" t="e">
        <f t="shared" si="23"/>
        <v>#DIV/0!</v>
      </c>
    </row>
    <row r="226" spans="1:21" x14ac:dyDescent="0.2">
      <c r="A226" s="61" t="s">
        <v>208</v>
      </c>
      <c r="B226" s="62" t="s">
        <v>320</v>
      </c>
      <c r="C226" s="62" t="s">
        <v>467</v>
      </c>
      <c r="D226" s="62" t="s">
        <v>478</v>
      </c>
      <c r="E226" s="62" t="s">
        <v>209</v>
      </c>
      <c r="F226" s="63" t="s">
        <v>254</v>
      </c>
      <c r="G226" s="62" t="s">
        <v>234</v>
      </c>
      <c r="H226" s="62" t="s">
        <v>164</v>
      </c>
      <c r="I226" s="62" t="s">
        <v>10</v>
      </c>
      <c r="J226" s="62" t="s">
        <v>140</v>
      </c>
      <c r="K226" s="64">
        <v>1.8</v>
      </c>
      <c r="L226" s="64">
        <f t="shared" si="18"/>
        <v>1.8</v>
      </c>
      <c r="M226" s="65">
        <f>prodnorm21</f>
        <v>0</v>
      </c>
      <c r="N226" s="66">
        <f>dagwerk21</f>
        <v>0</v>
      </c>
      <c r="O226" s="62" t="s">
        <v>44</v>
      </c>
      <c r="P226" s="67">
        <f>uurtarief21</f>
        <v>0</v>
      </c>
      <c r="Q226" s="64" t="e">
        <f t="shared" si="19"/>
        <v>#DIV/0!</v>
      </c>
      <c r="R226" s="64" t="e">
        <f t="shared" si="20"/>
        <v>#DIV/0!</v>
      </c>
      <c r="S226" s="67" t="e">
        <f t="shared" si="21"/>
        <v>#DIV/0!</v>
      </c>
      <c r="T226" s="64" t="e">
        <f t="shared" si="22"/>
        <v>#DIV/0!</v>
      </c>
      <c r="U226" s="68" t="e">
        <f t="shared" si="23"/>
        <v>#DIV/0!</v>
      </c>
    </row>
    <row r="227" spans="1:21" x14ac:dyDescent="0.2">
      <c r="A227" s="61" t="s">
        <v>208</v>
      </c>
      <c r="B227" s="62" t="s">
        <v>320</v>
      </c>
      <c r="C227" s="62" t="s">
        <v>467</v>
      </c>
      <c r="D227" s="62" t="s">
        <v>479</v>
      </c>
      <c r="E227" s="62" t="s">
        <v>209</v>
      </c>
      <c r="F227" s="63" t="s">
        <v>261</v>
      </c>
      <c r="G227" s="62" t="s">
        <v>234</v>
      </c>
      <c r="H227" s="62" t="s">
        <v>158</v>
      </c>
      <c r="I227" s="62" t="s">
        <v>10</v>
      </c>
      <c r="J227" s="62" t="s">
        <v>140</v>
      </c>
      <c r="K227" s="64">
        <v>10.8</v>
      </c>
      <c r="L227" s="64">
        <f t="shared" si="18"/>
        <v>10.8</v>
      </c>
      <c r="M227" s="65">
        <f>prodnorm17</f>
        <v>0</v>
      </c>
      <c r="N227" s="66">
        <f>dagwerk17</f>
        <v>0</v>
      </c>
      <c r="O227" s="62" t="s">
        <v>44</v>
      </c>
      <c r="P227" s="67">
        <f>uurtarief17</f>
        <v>0</v>
      </c>
      <c r="Q227" s="64" t="e">
        <f t="shared" si="19"/>
        <v>#DIV/0!</v>
      </c>
      <c r="R227" s="64" t="e">
        <f t="shared" si="20"/>
        <v>#DIV/0!</v>
      </c>
      <c r="S227" s="67" t="e">
        <f t="shared" si="21"/>
        <v>#DIV/0!</v>
      </c>
      <c r="T227" s="64" t="e">
        <f t="shared" si="22"/>
        <v>#DIV/0!</v>
      </c>
      <c r="U227" s="68" t="e">
        <f t="shared" si="23"/>
        <v>#DIV/0!</v>
      </c>
    </row>
    <row r="228" spans="1:21" x14ac:dyDescent="0.2">
      <c r="A228" s="61" t="s">
        <v>208</v>
      </c>
      <c r="B228" s="62" t="s">
        <v>320</v>
      </c>
      <c r="C228" s="62" t="s">
        <v>467</v>
      </c>
      <c r="D228" s="62" t="s">
        <v>480</v>
      </c>
      <c r="E228" s="62" t="s">
        <v>209</v>
      </c>
      <c r="F228" s="63" t="s">
        <v>259</v>
      </c>
      <c r="G228" s="62" t="s">
        <v>213</v>
      </c>
      <c r="H228" s="62" t="s">
        <v>146</v>
      </c>
      <c r="I228" s="62" t="s">
        <v>19</v>
      </c>
      <c r="J228" s="62" t="s">
        <v>140</v>
      </c>
      <c r="K228" s="64">
        <v>10</v>
      </c>
      <c r="L228" s="64">
        <f t="shared" si="18"/>
        <v>2</v>
      </c>
      <c r="M228" s="65">
        <f>prodnorm7</f>
        <v>0</v>
      </c>
      <c r="N228" s="66">
        <f>dagwerk7</f>
        <v>0</v>
      </c>
      <c r="O228" s="62" t="s">
        <v>44</v>
      </c>
      <c r="P228" s="67">
        <f>uurtarief7</f>
        <v>0</v>
      </c>
      <c r="Q228" s="64" t="e">
        <f t="shared" si="19"/>
        <v>#DIV/0!</v>
      </c>
      <c r="R228" s="64" t="e">
        <f t="shared" si="20"/>
        <v>#DIV/0!</v>
      </c>
      <c r="S228" s="67" t="e">
        <f t="shared" si="21"/>
        <v>#DIV/0!</v>
      </c>
      <c r="T228" s="64" t="e">
        <f t="shared" si="22"/>
        <v>#DIV/0!</v>
      </c>
      <c r="U228" s="68" t="e">
        <f t="shared" si="23"/>
        <v>#DIV/0!</v>
      </c>
    </row>
    <row r="229" spans="1:21" x14ac:dyDescent="0.2">
      <c r="A229" s="61" t="s">
        <v>208</v>
      </c>
      <c r="B229" s="62" t="s">
        <v>320</v>
      </c>
      <c r="C229" s="62" t="s">
        <v>467</v>
      </c>
      <c r="D229" s="62" t="s">
        <v>481</v>
      </c>
      <c r="E229" s="62" t="s">
        <v>209</v>
      </c>
      <c r="F229" s="63" t="s">
        <v>254</v>
      </c>
      <c r="G229" s="62" t="s">
        <v>234</v>
      </c>
      <c r="H229" s="62" t="s">
        <v>164</v>
      </c>
      <c r="I229" s="62" t="s">
        <v>10</v>
      </c>
      <c r="J229" s="62" t="s">
        <v>140</v>
      </c>
      <c r="K229" s="64">
        <v>6.6</v>
      </c>
      <c r="L229" s="64">
        <f t="shared" si="18"/>
        <v>6.6</v>
      </c>
      <c r="M229" s="65">
        <f>prodnorm21</f>
        <v>0</v>
      </c>
      <c r="N229" s="66">
        <f>dagwerk21</f>
        <v>0</v>
      </c>
      <c r="O229" s="62" t="s">
        <v>44</v>
      </c>
      <c r="P229" s="67">
        <f>uurtarief21</f>
        <v>0</v>
      </c>
      <c r="Q229" s="64" t="e">
        <f t="shared" si="19"/>
        <v>#DIV/0!</v>
      </c>
      <c r="R229" s="64" t="e">
        <f t="shared" si="20"/>
        <v>#DIV/0!</v>
      </c>
      <c r="S229" s="67" t="e">
        <f t="shared" si="21"/>
        <v>#DIV/0!</v>
      </c>
      <c r="T229" s="64" t="e">
        <f t="shared" si="22"/>
        <v>#DIV/0!</v>
      </c>
      <c r="U229" s="68" t="e">
        <f t="shared" si="23"/>
        <v>#DIV/0!</v>
      </c>
    </row>
    <row r="230" spans="1:21" x14ac:dyDescent="0.2">
      <c r="A230" s="61" t="s">
        <v>208</v>
      </c>
      <c r="B230" s="62" t="s">
        <v>320</v>
      </c>
      <c r="C230" s="62" t="s">
        <v>467</v>
      </c>
      <c r="D230" s="62" t="s">
        <v>482</v>
      </c>
      <c r="E230" s="62" t="s">
        <v>209</v>
      </c>
      <c r="F230" s="63" t="s">
        <v>257</v>
      </c>
      <c r="G230" s="62" t="s">
        <v>234</v>
      </c>
      <c r="H230" s="62" t="s">
        <v>146</v>
      </c>
      <c r="I230" s="62" t="s">
        <v>10</v>
      </c>
      <c r="J230" s="62" t="s">
        <v>140</v>
      </c>
      <c r="K230" s="64">
        <v>4</v>
      </c>
      <c r="L230" s="64">
        <f t="shared" si="18"/>
        <v>4</v>
      </c>
      <c r="M230" s="65">
        <f>prodnorm8</f>
        <v>0</v>
      </c>
      <c r="N230" s="66">
        <f>dagwerk8</f>
        <v>0</v>
      </c>
      <c r="O230" s="62" t="s">
        <v>44</v>
      </c>
      <c r="P230" s="67">
        <f>uurtarief8</f>
        <v>0</v>
      </c>
      <c r="Q230" s="64" t="e">
        <f t="shared" si="19"/>
        <v>#DIV/0!</v>
      </c>
      <c r="R230" s="64" t="e">
        <f t="shared" si="20"/>
        <v>#DIV/0!</v>
      </c>
      <c r="S230" s="67" t="e">
        <f t="shared" si="21"/>
        <v>#DIV/0!</v>
      </c>
      <c r="T230" s="64" t="e">
        <f t="shared" si="22"/>
        <v>#DIV/0!</v>
      </c>
      <c r="U230" s="68" t="e">
        <f t="shared" si="23"/>
        <v>#DIV/0!</v>
      </c>
    </row>
    <row r="231" spans="1:21" x14ac:dyDescent="0.2">
      <c r="A231" s="61" t="s">
        <v>208</v>
      </c>
      <c r="B231" s="62" t="s">
        <v>320</v>
      </c>
      <c r="C231" s="62" t="s">
        <v>467</v>
      </c>
      <c r="D231" s="62" t="s">
        <v>483</v>
      </c>
      <c r="E231" s="62" t="s">
        <v>209</v>
      </c>
      <c r="F231" s="63" t="s">
        <v>254</v>
      </c>
      <c r="G231" s="62" t="s">
        <v>234</v>
      </c>
      <c r="H231" s="62" t="s">
        <v>164</v>
      </c>
      <c r="I231" s="62" t="s">
        <v>10</v>
      </c>
      <c r="J231" s="62" t="s">
        <v>140</v>
      </c>
      <c r="K231" s="64">
        <v>1.8</v>
      </c>
      <c r="L231" s="64">
        <f t="shared" si="18"/>
        <v>1.8</v>
      </c>
      <c r="M231" s="65">
        <f>prodnorm21</f>
        <v>0</v>
      </c>
      <c r="N231" s="66">
        <f>dagwerk21</f>
        <v>0</v>
      </c>
      <c r="O231" s="62" t="s">
        <v>44</v>
      </c>
      <c r="P231" s="67">
        <f>uurtarief21</f>
        <v>0</v>
      </c>
      <c r="Q231" s="64" t="e">
        <f t="shared" si="19"/>
        <v>#DIV/0!</v>
      </c>
      <c r="R231" s="64" t="e">
        <f t="shared" si="20"/>
        <v>#DIV/0!</v>
      </c>
      <c r="S231" s="67" t="e">
        <f t="shared" si="21"/>
        <v>#DIV/0!</v>
      </c>
      <c r="T231" s="64" t="e">
        <f t="shared" si="22"/>
        <v>#DIV/0!</v>
      </c>
      <c r="U231" s="68" t="e">
        <f t="shared" si="23"/>
        <v>#DIV/0!</v>
      </c>
    </row>
    <row r="232" spans="1:21" x14ac:dyDescent="0.2">
      <c r="A232" s="61" t="s">
        <v>208</v>
      </c>
      <c r="B232" s="62" t="s">
        <v>320</v>
      </c>
      <c r="C232" s="62" t="s">
        <v>467</v>
      </c>
      <c r="D232" s="62" t="s">
        <v>484</v>
      </c>
      <c r="E232" s="62" t="s">
        <v>209</v>
      </c>
      <c r="F232" s="63" t="s">
        <v>257</v>
      </c>
      <c r="G232" s="62" t="s">
        <v>234</v>
      </c>
      <c r="H232" s="62" t="s">
        <v>146</v>
      </c>
      <c r="I232" s="62" t="s">
        <v>10</v>
      </c>
      <c r="J232" s="62" t="s">
        <v>140</v>
      </c>
      <c r="K232" s="64">
        <v>1.8</v>
      </c>
      <c r="L232" s="64">
        <f t="shared" si="18"/>
        <v>1.8</v>
      </c>
      <c r="M232" s="65">
        <f>prodnorm8</f>
        <v>0</v>
      </c>
      <c r="N232" s="66">
        <f>dagwerk8</f>
        <v>0</v>
      </c>
      <c r="O232" s="62" t="s">
        <v>44</v>
      </c>
      <c r="P232" s="67">
        <f>uurtarief8</f>
        <v>0</v>
      </c>
      <c r="Q232" s="64" t="e">
        <f t="shared" si="19"/>
        <v>#DIV/0!</v>
      </c>
      <c r="R232" s="64" t="e">
        <f t="shared" si="20"/>
        <v>#DIV/0!</v>
      </c>
      <c r="S232" s="67" t="e">
        <f t="shared" si="21"/>
        <v>#DIV/0!</v>
      </c>
      <c r="T232" s="64" t="e">
        <f t="shared" si="22"/>
        <v>#DIV/0!</v>
      </c>
      <c r="U232" s="68" t="e">
        <f t="shared" si="23"/>
        <v>#DIV/0!</v>
      </c>
    </row>
    <row r="233" spans="1:21" x14ac:dyDescent="0.2">
      <c r="A233" s="61" t="s">
        <v>208</v>
      </c>
      <c r="B233" s="62" t="s">
        <v>320</v>
      </c>
      <c r="C233" s="62" t="s">
        <v>467</v>
      </c>
      <c r="D233" s="62" t="s">
        <v>485</v>
      </c>
      <c r="E233" s="62" t="s">
        <v>209</v>
      </c>
      <c r="F233" s="63" t="s">
        <v>254</v>
      </c>
      <c r="G233" s="62" t="s">
        <v>234</v>
      </c>
      <c r="H233" s="62" t="s">
        <v>164</v>
      </c>
      <c r="I233" s="62" t="s">
        <v>10</v>
      </c>
      <c r="J233" s="62" t="s">
        <v>140</v>
      </c>
      <c r="K233" s="64">
        <v>2.1</v>
      </c>
      <c r="L233" s="64">
        <f t="shared" si="18"/>
        <v>2.1</v>
      </c>
      <c r="M233" s="65">
        <f>prodnorm21</f>
        <v>0</v>
      </c>
      <c r="N233" s="66">
        <f>dagwerk21</f>
        <v>0</v>
      </c>
      <c r="O233" s="62" t="s">
        <v>44</v>
      </c>
      <c r="P233" s="67">
        <f>uurtarief21</f>
        <v>0</v>
      </c>
      <c r="Q233" s="64" t="e">
        <f t="shared" si="19"/>
        <v>#DIV/0!</v>
      </c>
      <c r="R233" s="64" t="e">
        <f t="shared" si="20"/>
        <v>#DIV/0!</v>
      </c>
      <c r="S233" s="67" t="e">
        <f t="shared" si="21"/>
        <v>#DIV/0!</v>
      </c>
      <c r="T233" s="64" t="e">
        <f t="shared" si="22"/>
        <v>#DIV/0!</v>
      </c>
      <c r="U233" s="68" t="e">
        <f t="shared" si="23"/>
        <v>#DIV/0!</v>
      </c>
    </row>
    <row r="234" spans="1:21" x14ac:dyDescent="0.2">
      <c r="A234" s="61" t="s">
        <v>208</v>
      </c>
      <c r="B234" s="62" t="s">
        <v>320</v>
      </c>
      <c r="C234" s="62" t="s">
        <v>467</v>
      </c>
      <c r="D234" s="62" t="s">
        <v>485</v>
      </c>
      <c r="E234" s="62" t="s">
        <v>209</v>
      </c>
      <c r="F234" s="63" t="s">
        <v>257</v>
      </c>
      <c r="G234" s="62" t="s">
        <v>234</v>
      </c>
      <c r="H234" s="62" t="s">
        <v>146</v>
      </c>
      <c r="I234" s="62" t="s">
        <v>10</v>
      </c>
      <c r="J234" s="62" t="s">
        <v>140</v>
      </c>
      <c r="K234" s="64">
        <v>2.1</v>
      </c>
      <c r="L234" s="64">
        <f t="shared" si="18"/>
        <v>2.1</v>
      </c>
      <c r="M234" s="65">
        <f>prodnorm8</f>
        <v>0</v>
      </c>
      <c r="N234" s="66">
        <f>dagwerk8</f>
        <v>0</v>
      </c>
      <c r="O234" s="62" t="s">
        <v>44</v>
      </c>
      <c r="P234" s="67">
        <f>uurtarief8</f>
        <v>0</v>
      </c>
      <c r="Q234" s="64" t="e">
        <f t="shared" si="19"/>
        <v>#DIV/0!</v>
      </c>
      <c r="R234" s="64" t="e">
        <f t="shared" si="20"/>
        <v>#DIV/0!</v>
      </c>
      <c r="S234" s="67" t="e">
        <f t="shared" si="21"/>
        <v>#DIV/0!</v>
      </c>
      <c r="T234" s="64" t="e">
        <f t="shared" si="22"/>
        <v>#DIV/0!</v>
      </c>
      <c r="U234" s="68" t="e">
        <f t="shared" si="23"/>
        <v>#DIV/0!</v>
      </c>
    </row>
    <row r="235" spans="1:21" x14ac:dyDescent="0.2">
      <c r="A235" s="69" t="s">
        <v>208</v>
      </c>
      <c r="B235" s="70" t="s">
        <v>320</v>
      </c>
      <c r="C235" s="70" t="s">
        <v>467</v>
      </c>
      <c r="D235" s="70" t="s">
        <v>486</v>
      </c>
      <c r="E235" s="70" t="s">
        <v>209</v>
      </c>
      <c r="F235" s="71" t="s">
        <v>215</v>
      </c>
      <c r="G235" s="70" t="s">
        <v>213</v>
      </c>
      <c r="H235" s="70" t="s">
        <v>168</v>
      </c>
      <c r="I235" s="70" t="s">
        <v>10</v>
      </c>
      <c r="J235" s="70" t="s">
        <v>140</v>
      </c>
      <c r="K235" s="72">
        <v>70.5</v>
      </c>
      <c r="L235" s="72">
        <f t="shared" si="18"/>
        <v>70.5</v>
      </c>
      <c r="M235" s="73">
        <f>prodnorm24</f>
        <v>0</v>
      </c>
      <c r="N235" s="74">
        <f>dagwerk24</f>
        <v>0</v>
      </c>
      <c r="O235" s="70" t="s">
        <v>44</v>
      </c>
      <c r="P235" s="75">
        <f>uurtarief24</f>
        <v>0</v>
      </c>
      <c r="Q235" s="72" t="e">
        <f t="shared" si="19"/>
        <v>#DIV/0!</v>
      </c>
      <c r="R235" s="72" t="e">
        <f t="shared" si="20"/>
        <v>#DIV/0!</v>
      </c>
      <c r="S235" s="75" t="e">
        <f t="shared" si="21"/>
        <v>#DIV/0!</v>
      </c>
      <c r="T235" s="72" t="e">
        <f t="shared" si="22"/>
        <v>#DIV/0!</v>
      </c>
      <c r="U235" s="76" t="e">
        <f t="shared" si="23"/>
        <v>#DIV/0!</v>
      </c>
    </row>
    <row r="236" spans="1:21" x14ac:dyDescent="0.2">
      <c r="A236" s="43" t="s">
        <v>487</v>
      </c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6" t="e">
        <f>IF(_xlfn.SINGLE(object1_urenjaar1)&gt;0,_xlfn.SINGLE(object1_prijsjaar1)/_xlfn.SINGLE(object1_urenjaar1),0)</f>
        <v>#DIV/0!</v>
      </c>
      <c r="Q236" s="45" t="e">
        <f>SUM(Q5:Q235)</f>
        <v>#DIV/0!</v>
      </c>
      <c r="R236" s="45" t="e">
        <f>SUM(R5:R235)</f>
        <v>#DIV/0!</v>
      </c>
      <c r="S236" s="46" t="e">
        <f>SUM(S5:S235)</f>
        <v>#DIV/0!</v>
      </c>
      <c r="T236" s="45" t="e">
        <f>SUM(T5:T235)</f>
        <v>#DIV/0!</v>
      </c>
      <c r="U236" s="46" t="e">
        <f>SUM(U5:U235)</f>
        <v>#DIV/0!</v>
      </c>
    </row>
  </sheetData>
  <autoFilter ref="A3:U236" xr:uid="{D2559B52-7B39-44C9-90EA-492D7B4EEC06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6B28-3663-49AC-AFAD-E9D69C8F0D8E}">
  <dimension ref="A1:U181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I.2.4: ",tabeltype," ruimten werkdag Feest")</f>
        <v>Bijlage I.2.4: Invultabel ruimten werkdag Feest</v>
      </c>
    </row>
    <row r="3" spans="1:21" ht="38.25" x14ac:dyDescent="0.2">
      <c r="A3" s="50" t="s">
        <v>198</v>
      </c>
      <c r="B3" s="8" t="s">
        <v>199</v>
      </c>
      <c r="C3" s="8" t="s">
        <v>200</v>
      </c>
      <c r="D3" s="8" t="s">
        <v>201</v>
      </c>
      <c r="E3" s="8" t="s">
        <v>202</v>
      </c>
      <c r="F3" s="8" t="s">
        <v>203</v>
      </c>
      <c r="G3" s="8" t="s">
        <v>204</v>
      </c>
      <c r="H3" s="8" t="s">
        <v>131</v>
      </c>
      <c r="I3" s="8" t="s">
        <v>8</v>
      </c>
      <c r="J3" s="8" t="s">
        <v>205</v>
      </c>
      <c r="K3" s="8" t="s">
        <v>133</v>
      </c>
      <c r="L3" s="8" t="s">
        <v>134</v>
      </c>
      <c r="M3" s="8" t="s">
        <v>36</v>
      </c>
      <c r="N3" s="8" t="s">
        <v>37</v>
      </c>
      <c r="O3" s="8" t="s">
        <v>38</v>
      </c>
      <c r="P3" s="8" t="s">
        <v>39</v>
      </c>
      <c r="Q3" s="8" t="s">
        <v>135</v>
      </c>
      <c r="R3" s="8" t="s">
        <v>206</v>
      </c>
      <c r="S3" s="8" t="s">
        <v>136</v>
      </c>
      <c r="T3" s="8" t="s">
        <v>137</v>
      </c>
      <c r="U3" s="51" t="s">
        <v>138</v>
      </c>
    </row>
    <row r="4" spans="1:21" x14ac:dyDescent="0.2">
      <c r="A4" s="52" t="s">
        <v>207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208</v>
      </c>
      <c r="B5" s="54" t="s">
        <v>209</v>
      </c>
      <c r="C5" s="54" t="s">
        <v>210</v>
      </c>
      <c r="D5" s="54" t="s">
        <v>211</v>
      </c>
      <c r="E5" s="54" t="s">
        <v>209</v>
      </c>
      <c r="F5" s="55" t="s">
        <v>212</v>
      </c>
      <c r="G5" s="54" t="s">
        <v>213</v>
      </c>
      <c r="H5" s="54" t="s">
        <v>181</v>
      </c>
      <c r="I5" s="54" t="s">
        <v>26</v>
      </c>
      <c r="J5" s="54" t="s">
        <v>140</v>
      </c>
      <c r="K5" s="56">
        <v>170</v>
      </c>
      <c r="L5" s="56">
        <f t="shared" ref="L5:L36" si="0">K5*VLOOKUP(I5,dagsoorttabel1,2,FALSE)</f>
        <v>5.333333333333333</v>
      </c>
      <c r="M5" s="57">
        <f>prodnorm34</f>
        <v>0</v>
      </c>
      <c r="N5" s="58">
        <f>dagwerk34</f>
        <v>0</v>
      </c>
      <c r="O5" s="54" t="s">
        <v>44</v>
      </c>
      <c r="P5" s="59">
        <f>uurtarief34</f>
        <v>0</v>
      </c>
      <c r="Q5" s="56" t="e">
        <f t="shared" ref="Q5:Q36" si="1">IF(ISBLANK(M5),0,L5/ROUND(M5,4))</f>
        <v>#DIV/0!</v>
      </c>
      <c r="R5" s="56" t="e">
        <f t="shared" ref="R5:R36" si="2">IF(ISBLANK(M5),0,Q5*ROUND(N5,2))</f>
        <v>#DIV/0!</v>
      </c>
      <c r="S5" s="59" t="e">
        <f t="shared" ref="S5:S36" si="3">ROUND(P5,2)*Q5</f>
        <v>#DIV/0!</v>
      </c>
      <c r="T5" s="56" t="e">
        <f t="shared" ref="T5:T36" si="4">Q5*dagenperjaar1</f>
        <v>#DIV/0!</v>
      </c>
      <c r="U5" s="60" t="e">
        <f t="shared" ref="U5:U36" si="5">T5*ROUND(P5,2)</f>
        <v>#DIV/0!</v>
      </c>
    </row>
    <row r="6" spans="1:21" x14ac:dyDescent="0.2">
      <c r="A6" s="61" t="s">
        <v>208</v>
      </c>
      <c r="B6" s="62" t="s">
        <v>209</v>
      </c>
      <c r="C6" s="62" t="s">
        <v>210</v>
      </c>
      <c r="D6" s="62" t="s">
        <v>232</v>
      </c>
      <c r="E6" s="62" t="s">
        <v>209</v>
      </c>
      <c r="F6" s="63" t="s">
        <v>233</v>
      </c>
      <c r="G6" s="62" t="s">
        <v>234</v>
      </c>
      <c r="H6" s="62" t="s">
        <v>180</v>
      </c>
      <c r="I6" s="62" t="s">
        <v>26</v>
      </c>
      <c r="J6" s="62" t="s">
        <v>140</v>
      </c>
      <c r="K6" s="64">
        <v>24</v>
      </c>
      <c r="L6" s="64">
        <f t="shared" si="0"/>
        <v>0.75294117647058822</v>
      </c>
      <c r="M6" s="65">
        <f>prodnorm33</f>
        <v>0</v>
      </c>
      <c r="N6" s="66">
        <f>dagwerk33</f>
        <v>0</v>
      </c>
      <c r="O6" s="62" t="s">
        <v>44</v>
      </c>
      <c r="P6" s="67">
        <f>uurtarief33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208</v>
      </c>
      <c r="B7" s="62" t="s">
        <v>209</v>
      </c>
      <c r="C7" s="62" t="s">
        <v>210</v>
      </c>
      <c r="D7" s="62" t="s">
        <v>235</v>
      </c>
      <c r="E7" s="62" t="s">
        <v>209</v>
      </c>
      <c r="F7" s="63" t="s">
        <v>236</v>
      </c>
      <c r="G7" s="62" t="s">
        <v>213</v>
      </c>
      <c r="H7" s="62" t="s">
        <v>176</v>
      </c>
      <c r="I7" s="62" t="s">
        <v>26</v>
      </c>
      <c r="J7" s="62" t="s">
        <v>140</v>
      </c>
      <c r="K7" s="64">
        <v>6.6</v>
      </c>
      <c r="L7" s="64">
        <f t="shared" si="0"/>
        <v>0.20705882352941174</v>
      </c>
      <c r="M7" s="65">
        <f>prodnorm29</f>
        <v>0</v>
      </c>
      <c r="N7" s="66">
        <f>dagwerk29</f>
        <v>0</v>
      </c>
      <c r="O7" s="62" t="s">
        <v>44</v>
      </c>
      <c r="P7" s="67">
        <f>uurtarief29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208</v>
      </c>
      <c r="B8" s="62" t="s">
        <v>209</v>
      </c>
      <c r="C8" s="62" t="s">
        <v>210</v>
      </c>
      <c r="D8" s="62" t="s">
        <v>237</v>
      </c>
      <c r="E8" s="62" t="s">
        <v>209</v>
      </c>
      <c r="F8" s="63" t="s">
        <v>236</v>
      </c>
      <c r="G8" s="62" t="s">
        <v>213</v>
      </c>
      <c r="H8" s="62" t="s">
        <v>176</v>
      </c>
      <c r="I8" s="62" t="s">
        <v>26</v>
      </c>
      <c r="J8" s="62" t="s">
        <v>140</v>
      </c>
      <c r="K8" s="64">
        <v>6.6</v>
      </c>
      <c r="L8" s="64">
        <f t="shared" si="0"/>
        <v>0.20705882352941174</v>
      </c>
      <c r="M8" s="65">
        <f>prodnorm29</f>
        <v>0</v>
      </c>
      <c r="N8" s="66">
        <f>dagwerk29</f>
        <v>0</v>
      </c>
      <c r="O8" s="62" t="s">
        <v>44</v>
      </c>
      <c r="P8" s="67">
        <f>uurtarief29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208</v>
      </c>
      <c r="B9" s="62" t="s">
        <v>209</v>
      </c>
      <c r="C9" s="62" t="s">
        <v>210</v>
      </c>
      <c r="D9" s="62" t="s">
        <v>238</v>
      </c>
      <c r="E9" s="62" t="s">
        <v>209</v>
      </c>
      <c r="F9" s="63" t="s">
        <v>239</v>
      </c>
      <c r="G9" s="62" t="s">
        <v>213</v>
      </c>
      <c r="H9" s="62" t="s">
        <v>177</v>
      </c>
      <c r="I9" s="62" t="s">
        <v>26</v>
      </c>
      <c r="J9" s="62" t="s">
        <v>140</v>
      </c>
      <c r="K9" s="64">
        <v>260</v>
      </c>
      <c r="L9" s="64">
        <f t="shared" si="0"/>
        <v>8.1568627450980387</v>
      </c>
      <c r="M9" s="65">
        <f>prodnorm30</f>
        <v>0</v>
      </c>
      <c r="N9" s="66">
        <f>dagwerk30</f>
        <v>0</v>
      </c>
      <c r="O9" s="62" t="s">
        <v>44</v>
      </c>
      <c r="P9" s="67">
        <f>uurtarief30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208</v>
      </c>
      <c r="B10" s="62" t="s">
        <v>209</v>
      </c>
      <c r="C10" s="62" t="s">
        <v>210</v>
      </c>
      <c r="D10" s="62" t="s">
        <v>240</v>
      </c>
      <c r="E10" s="62" t="s">
        <v>209</v>
      </c>
      <c r="F10" s="63" t="s">
        <v>215</v>
      </c>
      <c r="G10" s="62" t="s">
        <v>213</v>
      </c>
      <c r="H10" s="62" t="s">
        <v>182</v>
      </c>
      <c r="I10" s="62" t="s">
        <v>26</v>
      </c>
      <c r="J10" s="62" t="s">
        <v>140</v>
      </c>
      <c r="K10" s="64">
        <v>50</v>
      </c>
      <c r="L10" s="64">
        <f t="shared" si="0"/>
        <v>1.5686274509803921</v>
      </c>
      <c r="M10" s="65">
        <f>prodnorm35</f>
        <v>0</v>
      </c>
      <c r="N10" s="66">
        <f>dagwerk35</f>
        <v>0</v>
      </c>
      <c r="O10" s="62" t="s">
        <v>44</v>
      </c>
      <c r="P10" s="67">
        <f>uurtarief35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208</v>
      </c>
      <c r="B11" s="62" t="s">
        <v>209</v>
      </c>
      <c r="C11" s="62" t="s">
        <v>210</v>
      </c>
      <c r="D11" s="62" t="s">
        <v>241</v>
      </c>
      <c r="E11" s="62" t="s">
        <v>209</v>
      </c>
      <c r="F11" s="63" t="s">
        <v>242</v>
      </c>
      <c r="G11" s="62" t="s">
        <v>234</v>
      </c>
      <c r="H11" s="62" t="s">
        <v>180</v>
      </c>
      <c r="I11" s="62" t="s">
        <v>26</v>
      </c>
      <c r="J11" s="62" t="s">
        <v>140</v>
      </c>
      <c r="K11" s="64">
        <v>2</v>
      </c>
      <c r="L11" s="64">
        <f t="shared" si="0"/>
        <v>6.2745098039215685E-2</v>
      </c>
      <c r="M11" s="65">
        <f>prodnorm33</f>
        <v>0</v>
      </c>
      <c r="N11" s="66">
        <f>dagwerk33</f>
        <v>0</v>
      </c>
      <c r="O11" s="62" t="s">
        <v>44</v>
      </c>
      <c r="P11" s="67">
        <f>uurtarief33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208</v>
      </c>
      <c r="B12" s="62" t="s">
        <v>209</v>
      </c>
      <c r="C12" s="62" t="s">
        <v>248</v>
      </c>
      <c r="D12" s="62" t="s">
        <v>249</v>
      </c>
      <c r="E12" s="62" t="s">
        <v>209</v>
      </c>
      <c r="F12" s="63" t="s">
        <v>250</v>
      </c>
      <c r="G12" s="62" t="s">
        <v>213</v>
      </c>
      <c r="H12" s="62" t="s">
        <v>182</v>
      </c>
      <c r="I12" s="62" t="s">
        <v>26</v>
      </c>
      <c r="J12" s="62" t="s">
        <v>140</v>
      </c>
      <c r="K12" s="64">
        <v>24.1</v>
      </c>
      <c r="L12" s="64">
        <f t="shared" si="0"/>
        <v>0.75607843137254904</v>
      </c>
      <c r="M12" s="65">
        <f>prodnorm35</f>
        <v>0</v>
      </c>
      <c r="N12" s="66">
        <f>dagwerk35</f>
        <v>0</v>
      </c>
      <c r="O12" s="62" t="s">
        <v>44</v>
      </c>
      <c r="P12" s="67">
        <f>uurtarief35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208</v>
      </c>
      <c r="B13" s="62" t="s">
        <v>209</v>
      </c>
      <c r="C13" s="62" t="s">
        <v>248</v>
      </c>
      <c r="D13" s="62" t="s">
        <v>251</v>
      </c>
      <c r="E13" s="62" t="s">
        <v>209</v>
      </c>
      <c r="F13" s="63" t="s">
        <v>215</v>
      </c>
      <c r="G13" s="62" t="s">
        <v>213</v>
      </c>
      <c r="H13" s="62" t="s">
        <v>182</v>
      </c>
      <c r="I13" s="62" t="s">
        <v>26</v>
      </c>
      <c r="J13" s="62" t="s">
        <v>140</v>
      </c>
      <c r="K13" s="64">
        <v>53.8</v>
      </c>
      <c r="L13" s="64">
        <f t="shared" si="0"/>
        <v>1.6878431372549019</v>
      </c>
      <c r="M13" s="65">
        <f>prodnorm35</f>
        <v>0</v>
      </c>
      <c r="N13" s="66">
        <f>dagwerk35</f>
        <v>0</v>
      </c>
      <c r="O13" s="62" t="s">
        <v>44</v>
      </c>
      <c r="P13" s="67">
        <f>uurtarief35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208</v>
      </c>
      <c r="B14" s="62" t="s">
        <v>209</v>
      </c>
      <c r="C14" s="62" t="s">
        <v>248</v>
      </c>
      <c r="D14" s="62" t="s">
        <v>252</v>
      </c>
      <c r="E14" s="62" t="s">
        <v>209</v>
      </c>
      <c r="F14" s="63" t="s">
        <v>215</v>
      </c>
      <c r="G14" s="62" t="s">
        <v>213</v>
      </c>
      <c r="H14" s="62" t="s">
        <v>182</v>
      </c>
      <c r="I14" s="62" t="s">
        <v>26</v>
      </c>
      <c r="J14" s="62" t="s">
        <v>140</v>
      </c>
      <c r="K14" s="64">
        <v>68.2</v>
      </c>
      <c r="L14" s="64">
        <f t="shared" si="0"/>
        <v>2.1396078431372549</v>
      </c>
      <c r="M14" s="65">
        <f>prodnorm35</f>
        <v>0</v>
      </c>
      <c r="N14" s="66">
        <f>dagwerk35</f>
        <v>0</v>
      </c>
      <c r="O14" s="62" t="s">
        <v>44</v>
      </c>
      <c r="P14" s="67">
        <f>uurtarief35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208</v>
      </c>
      <c r="B15" s="62" t="s">
        <v>209</v>
      </c>
      <c r="C15" s="62" t="s">
        <v>248</v>
      </c>
      <c r="D15" s="62" t="s">
        <v>253</v>
      </c>
      <c r="E15" s="62" t="s">
        <v>209</v>
      </c>
      <c r="F15" s="63" t="s">
        <v>254</v>
      </c>
      <c r="G15" s="62" t="s">
        <v>234</v>
      </c>
      <c r="H15" s="62" t="s">
        <v>180</v>
      </c>
      <c r="I15" s="62" t="s">
        <v>26</v>
      </c>
      <c r="J15" s="62" t="s">
        <v>140</v>
      </c>
      <c r="K15" s="64">
        <v>10</v>
      </c>
      <c r="L15" s="64">
        <f t="shared" si="0"/>
        <v>0.31372549019607843</v>
      </c>
      <c r="M15" s="65">
        <f>prodnorm33</f>
        <v>0</v>
      </c>
      <c r="N15" s="66">
        <f>dagwerk33</f>
        <v>0</v>
      </c>
      <c r="O15" s="62" t="s">
        <v>44</v>
      </c>
      <c r="P15" s="67">
        <f>uurtarief33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208</v>
      </c>
      <c r="B16" s="62" t="s">
        <v>209</v>
      </c>
      <c r="C16" s="62" t="s">
        <v>248</v>
      </c>
      <c r="D16" s="62" t="s">
        <v>255</v>
      </c>
      <c r="E16" s="62" t="s">
        <v>209</v>
      </c>
      <c r="F16" s="63" t="s">
        <v>254</v>
      </c>
      <c r="G16" s="62" t="s">
        <v>234</v>
      </c>
      <c r="H16" s="62" t="s">
        <v>180</v>
      </c>
      <c r="I16" s="62" t="s">
        <v>26</v>
      </c>
      <c r="J16" s="62" t="s">
        <v>140</v>
      </c>
      <c r="K16" s="64">
        <v>5.5</v>
      </c>
      <c r="L16" s="64">
        <f t="shared" si="0"/>
        <v>0.17254901960784313</v>
      </c>
      <c r="M16" s="65">
        <f>prodnorm33</f>
        <v>0</v>
      </c>
      <c r="N16" s="66">
        <f>dagwerk33</f>
        <v>0</v>
      </c>
      <c r="O16" s="62" t="s">
        <v>44</v>
      </c>
      <c r="P16" s="67">
        <f>uurtarief33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208</v>
      </c>
      <c r="B17" s="62" t="s">
        <v>209</v>
      </c>
      <c r="C17" s="62" t="s">
        <v>248</v>
      </c>
      <c r="D17" s="62" t="s">
        <v>256</v>
      </c>
      <c r="E17" s="62" t="s">
        <v>209</v>
      </c>
      <c r="F17" s="63" t="s">
        <v>257</v>
      </c>
      <c r="G17" s="62" t="s">
        <v>234</v>
      </c>
      <c r="H17" s="62" t="s">
        <v>174</v>
      </c>
      <c r="I17" s="62" t="s">
        <v>26</v>
      </c>
      <c r="J17" s="62" t="s">
        <v>140</v>
      </c>
      <c r="K17" s="64">
        <v>4</v>
      </c>
      <c r="L17" s="64">
        <f t="shared" si="0"/>
        <v>0.12549019607843137</v>
      </c>
      <c r="M17" s="65">
        <f>prodnorm27</f>
        <v>0</v>
      </c>
      <c r="N17" s="66">
        <f>dagwerk27</f>
        <v>0</v>
      </c>
      <c r="O17" s="62" t="s">
        <v>44</v>
      </c>
      <c r="P17" s="67">
        <f>uurtarief27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208</v>
      </c>
      <c r="B18" s="62" t="s">
        <v>209</v>
      </c>
      <c r="C18" s="62" t="s">
        <v>248</v>
      </c>
      <c r="D18" s="62" t="s">
        <v>260</v>
      </c>
      <c r="E18" s="62" t="s">
        <v>209</v>
      </c>
      <c r="F18" s="63" t="s">
        <v>261</v>
      </c>
      <c r="G18" s="62" t="s">
        <v>234</v>
      </c>
      <c r="H18" s="62" t="s">
        <v>178</v>
      </c>
      <c r="I18" s="62" t="s">
        <v>26</v>
      </c>
      <c r="J18" s="62" t="s">
        <v>140</v>
      </c>
      <c r="K18" s="64">
        <v>12</v>
      </c>
      <c r="L18" s="64">
        <f t="shared" si="0"/>
        <v>0.37647058823529411</v>
      </c>
      <c r="M18" s="65">
        <f>prodnorm31</f>
        <v>0</v>
      </c>
      <c r="N18" s="66">
        <f>dagwerk31</f>
        <v>0</v>
      </c>
      <c r="O18" s="62" t="s">
        <v>44</v>
      </c>
      <c r="P18" s="67">
        <f>uurtarief31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208</v>
      </c>
      <c r="B19" s="62" t="s">
        <v>209</v>
      </c>
      <c r="C19" s="62" t="s">
        <v>248</v>
      </c>
      <c r="D19" s="62" t="s">
        <v>262</v>
      </c>
      <c r="E19" s="62" t="s">
        <v>209</v>
      </c>
      <c r="F19" s="63" t="s">
        <v>254</v>
      </c>
      <c r="G19" s="62" t="s">
        <v>234</v>
      </c>
      <c r="H19" s="62" t="s">
        <v>180</v>
      </c>
      <c r="I19" s="62" t="s">
        <v>26</v>
      </c>
      <c r="J19" s="62" t="s">
        <v>140</v>
      </c>
      <c r="K19" s="64">
        <v>4.2</v>
      </c>
      <c r="L19" s="64">
        <f t="shared" si="0"/>
        <v>0.13176470588235295</v>
      </c>
      <c r="M19" s="65">
        <f>prodnorm33</f>
        <v>0</v>
      </c>
      <c r="N19" s="66">
        <f>dagwerk33</f>
        <v>0</v>
      </c>
      <c r="O19" s="62" t="s">
        <v>44</v>
      </c>
      <c r="P19" s="67">
        <f>uurtarief33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208</v>
      </c>
      <c r="B20" s="62" t="s">
        <v>209</v>
      </c>
      <c r="C20" s="62" t="s">
        <v>248</v>
      </c>
      <c r="D20" s="62" t="s">
        <v>263</v>
      </c>
      <c r="E20" s="62" t="s">
        <v>209</v>
      </c>
      <c r="F20" s="63" t="s">
        <v>257</v>
      </c>
      <c r="G20" s="62" t="s">
        <v>234</v>
      </c>
      <c r="H20" s="62" t="s">
        <v>174</v>
      </c>
      <c r="I20" s="62" t="s">
        <v>26</v>
      </c>
      <c r="J20" s="62" t="s">
        <v>140</v>
      </c>
      <c r="K20" s="64">
        <v>5</v>
      </c>
      <c r="L20" s="64">
        <f t="shared" si="0"/>
        <v>0.15686274509803921</v>
      </c>
      <c r="M20" s="65">
        <f>prodnorm27</f>
        <v>0</v>
      </c>
      <c r="N20" s="66">
        <f>dagwerk27</f>
        <v>0</v>
      </c>
      <c r="O20" s="62" t="s">
        <v>44</v>
      </c>
      <c r="P20" s="67">
        <f>uurtarief27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208</v>
      </c>
      <c r="B21" s="62" t="s">
        <v>209</v>
      </c>
      <c r="C21" s="62" t="s">
        <v>248</v>
      </c>
      <c r="D21" s="62" t="s">
        <v>264</v>
      </c>
      <c r="E21" s="62" t="s">
        <v>209</v>
      </c>
      <c r="F21" s="63" t="s">
        <v>257</v>
      </c>
      <c r="G21" s="62" t="s">
        <v>234</v>
      </c>
      <c r="H21" s="62" t="s">
        <v>174</v>
      </c>
      <c r="I21" s="62" t="s">
        <v>26</v>
      </c>
      <c r="J21" s="62" t="s">
        <v>140</v>
      </c>
      <c r="K21" s="64">
        <v>13.2</v>
      </c>
      <c r="L21" s="64">
        <f t="shared" si="0"/>
        <v>0.41411764705882348</v>
      </c>
      <c r="M21" s="65">
        <f>prodnorm27</f>
        <v>0</v>
      </c>
      <c r="N21" s="66">
        <f>dagwerk27</f>
        <v>0</v>
      </c>
      <c r="O21" s="62" t="s">
        <v>44</v>
      </c>
      <c r="P21" s="67">
        <f>uurtarief27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208</v>
      </c>
      <c r="B22" s="62" t="s">
        <v>209</v>
      </c>
      <c r="C22" s="62" t="s">
        <v>248</v>
      </c>
      <c r="D22" s="62" t="s">
        <v>265</v>
      </c>
      <c r="E22" s="62" t="s">
        <v>209</v>
      </c>
      <c r="F22" s="63" t="s">
        <v>266</v>
      </c>
      <c r="G22" s="62" t="s">
        <v>213</v>
      </c>
      <c r="H22" s="62" t="s">
        <v>181</v>
      </c>
      <c r="I22" s="62" t="s">
        <v>26</v>
      </c>
      <c r="J22" s="62" t="s">
        <v>140</v>
      </c>
      <c r="K22" s="64">
        <v>5.4</v>
      </c>
      <c r="L22" s="64">
        <f t="shared" si="0"/>
        <v>0.16941176470588237</v>
      </c>
      <c r="M22" s="65">
        <f>prodnorm34</f>
        <v>0</v>
      </c>
      <c r="N22" s="66">
        <f>dagwerk34</f>
        <v>0</v>
      </c>
      <c r="O22" s="62" t="s">
        <v>44</v>
      </c>
      <c r="P22" s="67">
        <f>uurtarief34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208</v>
      </c>
      <c r="B23" s="62" t="s">
        <v>209</v>
      </c>
      <c r="C23" s="62" t="s">
        <v>267</v>
      </c>
      <c r="D23" s="62" t="s">
        <v>268</v>
      </c>
      <c r="E23" s="62" t="s">
        <v>209</v>
      </c>
      <c r="F23" s="63" t="s">
        <v>250</v>
      </c>
      <c r="G23" s="62" t="s">
        <v>213</v>
      </c>
      <c r="H23" s="62" t="s">
        <v>182</v>
      </c>
      <c r="I23" s="62" t="s">
        <v>26</v>
      </c>
      <c r="J23" s="62" t="s">
        <v>140</v>
      </c>
      <c r="K23" s="64">
        <v>24.1</v>
      </c>
      <c r="L23" s="64">
        <f t="shared" si="0"/>
        <v>0.75607843137254904</v>
      </c>
      <c r="M23" s="65">
        <f>prodnorm35</f>
        <v>0</v>
      </c>
      <c r="N23" s="66">
        <f>dagwerk35</f>
        <v>0</v>
      </c>
      <c r="O23" s="62" t="s">
        <v>44</v>
      </c>
      <c r="P23" s="67">
        <f>uurtarief35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208</v>
      </c>
      <c r="B24" s="62" t="s">
        <v>209</v>
      </c>
      <c r="C24" s="62" t="s">
        <v>267</v>
      </c>
      <c r="D24" s="62" t="s">
        <v>269</v>
      </c>
      <c r="E24" s="62" t="s">
        <v>209</v>
      </c>
      <c r="F24" s="63" t="s">
        <v>215</v>
      </c>
      <c r="G24" s="62" t="s">
        <v>213</v>
      </c>
      <c r="H24" s="62" t="s">
        <v>182</v>
      </c>
      <c r="I24" s="62" t="s">
        <v>26</v>
      </c>
      <c r="J24" s="62" t="s">
        <v>140</v>
      </c>
      <c r="K24" s="64">
        <v>53.8</v>
      </c>
      <c r="L24" s="64">
        <f t="shared" si="0"/>
        <v>1.6878431372549019</v>
      </c>
      <c r="M24" s="65">
        <f>prodnorm35</f>
        <v>0</v>
      </c>
      <c r="N24" s="66">
        <f>dagwerk35</f>
        <v>0</v>
      </c>
      <c r="O24" s="62" t="s">
        <v>44</v>
      </c>
      <c r="P24" s="67">
        <f>uurtarief35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208</v>
      </c>
      <c r="B25" s="62" t="s">
        <v>209</v>
      </c>
      <c r="C25" s="62" t="s">
        <v>267</v>
      </c>
      <c r="D25" s="62" t="s">
        <v>270</v>
      </c>
      <c r="E25" s="62" t="s">
        <v>209</v>
      </c>
      <c r="F25" s="63" t="s">
        <v>215</v>
      </c>
      <c r="G25" s="62" t="s">
        <v>213</v>
      </c>
      <c r="H25" s="62" t="s">
        <v>182</v>
      </c>
      <c r="I25" s="62" t="s">
        <v>26</v>
      </c>
      <c r="J25" s="62" t="s">
        <v>140</v>
      </c>
      <c r="K25" s="64">
        <v>68.2</v>
      </c>
      <c r="L25" s="64">
        <f t="shared" si="0"/>
        <v>2.1396078431372549</v>
      </c>
      <c r="M25" s="65">
        <f>prodnorm35</f>
        <v>0</v>
      </c>
      <c r="N25" s="66">
        <f>dagwerk35</f>
        <v>0</v>
      </c>
      <c r="O25" s="62" t="s">
        <v>44</v>
      </c>
      <c r="P25" s="67">
        <f>uurtarief35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208</v>
      </c>
      <c r="B26" s="62" t="s">
        <v>209</v>
      </c>
      <c r="C26" s="62" t="s">
        <v>267</v>
      </c>
      <c r="D26" s="62" t="s">
        <v>271</v>
      </c>
      <c r="E26" s="62" t="s">
        <v>209</v>
      </c>
      <c r="F26" s="63" t="s">
        <v>254</v>
      </c>
      <c r="G26" s="62" t="s">
        <v>234</v>
      </c>
      <c r="H26" s="62" t="s">
        <v>180</v>
      </c>
      <c r="I26" s="62" t="s">
        <v>26</v>
      </c>
      <c r="J26" s="62" t="s">
        <v>140</v>
      </c>
      <c r="K26" s="64">
        <v>10</v>
      </c>
      <c r="L26" s="64">
        <f t="shared" si="0"/>
        <v>0.31372549019607843</v>
      </c>
      <c r="M26" s="65">
        <f>prodnorm33</f>
        <v>0</v>
      </c>
      <c r="N26" s="66">
        <f>dagwerk33</f>
        <v>0</v>
      </c>
      <c r="O26" s="62" t="s">
        <v>44</v>
      </c>
      <c r="P26" s="67">
        <f>uurtarief33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208</v>
      </c>
      <c r="B27" s="62" t="s">
        <v>209</v>
      </c>
      <c r="C27" s="62" t="s">
        <v>267</v>
      </c>
      <c r="D27" s="62" t="s">
        <v>272</v>
      </c>
      <c r="E27" s="62" t="s">
        <v>209</v>
      </c>
      <c r="F27" s="63" t="s">
        <v>254</v>
      </c>
      <c r="G27" s="62" t="s">
        <v>234</v>
      </c>
      <c r="H27" s="62" t="s">
        <v>180</v>
      </c>
      <c r="I27" s="62" t="s">
        <v>26</v>
      </c>
      <c r="J27" s="62" t="s">
        <v>140</v>
      </c>
      <c r="K27" s="64">
        <v>5.5</v>
      </c>
      <c r="L27" s="64">
        <f t="shared" si="0"/>
        <v>0.17254901960784313</v>
      </c>
      <c r="M27" s="65">
        <f>prodnorm33</f>
        <v>0</v>
      </c>
      <c r="N27" s="66">
        <f>dagwerk33</f>
        <v>0</v>
      </c>
      <c r="O27" s="62" t="s">
        <v>44</v>
      </c>
      <c r="P27" s="67">
        <f>uurtarief33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208</v>
      </c>
      <c r="B28" s="62" t="s">
        <v>209</v>
      </c>
      <c r="C28" s="62" t="s">
        <v>267</v>
      </c>
      <c r="D28" s="62" t="s">
        <v>273</v>
      </c>
      <c r="E28" s="62" t="s">
        <v>209</v>
      </c>
      <c r="F28" s="63" t="s">
        <v>257</v>
      </c>
      <c r="G28" s="62" t="s">
        <v>234</v>
      </c>
      <c r="H28" s="62" t="s">
        <v>174</v>
      </c>
      <c r="I28" s="62" t="s">
        <v>26</v>
      </c>
      <c r="J28" s="62" t="s">
        <v>140</v>
      </c>
      <c r="K28" s="64">
        <v>4</v>
      </c>
      <c r="L28" s="64">
        <f t="shared" si="0"/>
        <v>0.12549019607843137</v>
      </c>
      <c r="M28" s="65">
        <f>prodnorm27</f>
        <v>0</v>
      </c>
      <c r="N28" s="66">
        <f>dagwerk27</f>
        <v>0</v>
      </c>
      <c r="O28" s="62" t="s">
        <v>44</v>
      </c>
      <c r="P28" s="67">
        <f>uurtarief27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208</v>
      </c>
      <c r="B29" s="62" t="s">
        <v>209</v>
      </c>
      <c r="C29" s="62" t="s">
        <v>267</v>
      </c>
      <c r="D29" s="62" t="s">
        <v>275</v>
      </c>
      <c r="E29" s="62" t="s">
        <v>209</v>
      </c>
      <c r="F29" s="63" t="s">
        <v>261</v>
      </c>
      <c r="G29" s="62" t="s">
        <v>234</v>
      </c>
      <c r="H29" s="62" t="s">
        <v>178</v>
      </c>
      <c r="I29" s="62" t="s">
        <v>26</v>
      </c>
      <c r="J29" s="62" t="s">
        <v>140</v>
      </c>
      <c r="K29" s="64">
        <v>12</v>
      </c>
      <c r="L29" s="64">
        <f t="shared" si="0"/>
        <v>0.37647058823529411</v>
      </c>
      <c r="M29" s="65">
        <f>prodnorm31</f>
        <v>0</v>
      </c>
      <c r="N29" s="66">
        <f>dagwerk31</f>
        <v>0</v>
      </c>
      <c r="O29" s="62" t="s">
        <v>44</v>
      </c>
      <c r="P29" s="67">
        <f>uurtarief31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208</v>
      </c>
      <c r="B30" s="62" t="s">
        <v>209</v>
      </c>
      <c r="C30" s="62" t="s">
        <v>267</v>
      </c>
      <c r="D30" s="62" t="s">
        <v>276</v>
      </c>
      <c r="E30" s="62" t="s">
        <v>209</v>
      </c>
      <c r="F30" s="63" t="s">
        <v>254</v>
      </c>
      <c r="G30" s="62" t="s">
        <v>234</v>
      </c>
      <c r="H30" s="62" t="s">
        <v>180</v>
      </c>
      <c r="I30" s="62" t="s">
        <v>26</v>
      </c>
      <c r="J30" s="62" t="s">
        <v>140</v>
      </c>
      <c r="K30" s="64">
        <v>4.2</v>
      </c>
      <c r="L30" s="64">
        <f t="shared" si="0"/>
        <v>0.13176470588235295</v>
      </c>
      <c r="M30" s="65">
        <f>prodnorm33</f>
        <v>0</v>
      </c>
      <c r="N30" s="66">
        <f>dagwerk33</f>
        <v>0</v>
      </c>
      <c r="O30" s="62" t="s">
        <v>44</v>
      </c>
      <c r="P30" s="67">
        <f>uurtarief33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208</v>
      </c>
      <c r="B31" s="62" t="s">
        <v>209</v>
      </c>
      <c r="C31" s="62" t="s">
        <v>267</v>
      </c>
      <c r="D31" s="62" t="s">
        <v>277</v>
      </c>
      <c r="E31" s="62" t="s">
        <v>209</v>
      </c>
      <c r="F31" s="63" t="s">
        <v>257</v>
      </c>
      <c r="G31" s="62" t="s">
        <v>234</v>
      </c>
      <c r="H31" s="62" t="s">
        <v>174</v>
      </c>
      <c r="I31" s="62" t="s">
        <v>26</v>
      </c>
      <c r="J31" s="62" t="s">
        <v>140</v>
      </c>
      <c r="K31" s="64">
        <v>5</v>
      </c>
      <c r="L31" s="64">
        <f t="shared" si="0"/>
        <v>0.15686274509803921</v>
      </c>
      <c r="M31" s="65">
        <f>prodnorm27</f>
        <v>0</v>
      </c>
      <c r="N31" s="66">
        <f>dagwerk27</f>
        <v>0</v>
      </c>
      <c r="O31" s="62" t="s">
        <v>44</v>
      </c>
      <c r="P31" s="67">
        <f>uurtarief27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208</v>
      </c>
      <c r="B32" s="62" t="s">
        <v>209</v>
      </c>
      <c r="C32" s="62" t="s">
        <v>267</v>
      </c>
      <c r="D32" s="62" t="s">
        <v>278</v>
      </c>
      <c r="E32" s="62" t="s">
        <v>209</v>
      </c>
      <c r="F32" s="63" t="s">
        <v>257</v>
      </c>
      <c r="G32" s="62" t="s">
        <v>234</v>
      </c>
      <c r="H32" s="62" t="s">
        <v>174</v>
      </c>
      <c r="I32" s="62" t="s">
        <v>26</v>
      </c>
      <c r="J32" s="62" t="s">
        <v>140</v>
      </c>
      <c r="K32" s="64">
        <v>13.2</v>
      </c>
      <c r="L32" s="64">
        <f t="shared" si="0"/>
        <v>0.41411764705882348</v>
      </c>
      <c r="M32" s="65">
        <f>prodnorm27</f>
        <v>0</v>
      </c>
      <c r="N32" s="66">
        <f>dagwerk27</f>
        <v>0</v>
      </c>
      <c r="O32" s="62" t="s">
        <v>44</v>
      </c>
      <c r="P32" s="67">
        <f>uurtarief27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208</v>
      </c>
      <c r="B33" s="62" t="s">
        <v>209</v>
      </c>
      <c r="C33" s="62" t="s">
        <v>267</v>
      </c>
      <c r="D33" s="62" t="s">
        <v>279</v>
      </c>
      <c r="E33" s="62" t="s">
        <v>209</v>
      </c>
      <c r="F33" s="63" t="s">
        <v>266</v>
      </c>
      <c r="G33" s="62" t="s">
        <v>213</v>
      </c>
      <c r="H33" s="62" t="s">
        <v>181</v>
      </c>
      <c r="I33" s="62" t="s">
        <v>26</v>
      </c>
      <c r="J33" s="62" t="s">
        <v>140</v>
      </c>
      <c r="K33" s="64">
        <v>5.4</v>
      </c>
      <c r="L33" s="64">
        <f t="shared" si="0"/>
        <v>0.16941176470588237</v>
      </c>
      <c r="M33" s="65">
        <f>prodnorm34</f>
        <v>0</v>
      </c>
      <c r="N33" s="66">
        <f>dagwerk34</f>
        <v>0</v>
      </c>
      <c r="O33" s="62" t="s">
        <v>44</v>
      </c>
      <c r="P33" s="67">
        <f>uurtarief34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208</v>
      </c>
      <c r="B34" s="62" t="s">
        <v>209</v>
      </c>
      <c r="C34" s="62" t="s">
        <v>280</v>
      </c>
      <c r="D34" s="62" t="s">
        <v>281</v>
      </c>
      <c r="E34" s="62" t="s">
        <v>209</v>
      </c>
      <c r="F34" s="63" t="s">
        <v>250</v>
      </c>
      <c r="G34" s="62" t="s">
        <v>213</v>
      </c>
      <c r="H34" s="62" t="s">
        <v>182</v>
      </c>
      <c r="I34" s="62" t="s">
        <v>26</v>
      </c>
      <c r="J34" s="62" t="s">
        <v>140</v>
      </c>
      <c r="K34" s="64">
        <v>24.1</v>
      </c>
      <c r="L34" s="64">
        <f t="shared" si="0"/>
        <v>0.75607843137254904</v>
      </c>
      <c r="M34" s="65">
        <f>prodnorm35</f>
        <v>0</v>
      </c>
      <c r="N34" s="66">
        <f>dagwerk35</f>
        <v>0</v>
      </c>
      <c r="O34" s="62" t="s">
        <v>44</v>
      </c>
      <c r="P34" s="67">
        <f>uurtarief35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208</v>
      </c>
      <c r="B35" s="62" t="s">
        <v>209</v>
      </c>
      <c r="C35" s="62" t="s">
        <v>280</v>
      </c>
      <c r="D35" s="62" t="s">
        <v>282</v>
      </c>
      <c r="E35" s="62" t="s">
        <v>209</v>
      </c>
      <c r="F35" s="63" t="s">
        <v>215</v>
      </c>
      <c r="G35" s="62" t="s">
        <v>213</v>
      </c>
      <c r="H35" s="62" t="s">
        <v>182</v>
      </c>
      <c r="I35" s="62" t="s">
        <v>26</v>
      </c>
      <c r="J35" s="62" t="s">
        <v>140</v>
      </c>
      <c r="K35" s="64">
        <v>53.8</v>
      </c>
      <c r="L35" s="64">
        <f t="shared" si="0"/>
        <v>1.6878431372549019</v>
      </c>
      <c r="M35" s="65">
        <f>prodnorm35</f>
        <v>0</v>
      </c>
      <c r="N35" s="66">
        <f>dagwerk35</f>
        <v>0</v>
      </c>
      <c r="O35" s="62" t="s">
        <v>44</v>
      </c>
      <c r="P35" s="67">
        <f>uurtarief35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208</v>
      </c>
      <c r="B36" s="62" t="s">
        <v>209</v>
      </c>
      <c r="C36" s="62" t="s">
        <v>280</v>
      </c>
      <c r="D36" s="62" t="s">
        <v>283</v>
      </c>
      <c r="E36" s="62" t="s">
        <v>209</v>
      </c>
      <c r="F36" s="63" t="s">
        <v>215</v>
      </c>
      <c r="G36" s="62" t="s">
        <v>213</v>
      </c>
      <c r="H36" s="62" t="s">
        <v>182</v>
      </c>
      <c r="I36" s="62" t="s">
        <v>26</v>
      </c>
      <c r="J36" s="62" t="s">
        <v>140</v>
      </c>
      <c r="K36" s="64">
        <v>68.2</v>
      </c>
      <c r="L36" s="64">
        <f t="shared" si="0"/>
        <v>2.1396078431372549</v>
      </c>
      <c r="M36" s="65">
        <f>prodnorm35</f>
        <v>0</v>
      </c>
      <c r="N36" s="66">
        <f>dagwerk35</f>
        <v>0</v>
      </c>
      <c r="O36" s="62" t="s">
        <v>44</v>
      </c>
      <c r="P36" s="67">
        <f>uurtarief35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208</v>
      </c>
      <c r="B37" s="62" t="s">
        <v>209</v>
      </c>
      <c r="C37" s="62" t="s">
        <v>280</v>
      </c>
      <c r="D37" s="62" t="s">
        <v>284</v>
      </c>
      <c r="E37" s="62" t="s">
        <v>209</v>
      </c>
      <c r="F37" s="63" t="s">
        <v>254</v>
      </c>
      <c r="G37" s="62" t="s">
        <v>234</v>
      </c>
      <c r="H37" s="62" t="s">
        <v>180</v>
      </c>
      <c r="I37" s="62" t="s">
        <v>26</v>
      </c>
      <c r="J37" s="62" t="s">
        <v>140</v>
      </c>
      <c r="K37" s="64">
        <v>10</v>
      </c>
      <c r="L37" s="64">
        <f t="shared" ref="L37:L68" si="6">K37*VLOOKUP(I37,dagsoorttabel1,2,FALSE)</f>
        <v>0.31372549019607843</v>
      </c>
      <c r="M37" s="65">
        <f>prodnorm33</f>
        <v>0</v>
      </c>
      <c r="N37" s="66">
        <f>dagwerk33</f>
        <v>0</v>
      </c>
      <c r="O37" s="62" t="s">
        <v>44</v>
      </c>
      <c r="P37" s="67">
        <f>uurtarief33</f>
        <v>0</v>
      </c>
      <c r="Q37" s="64" t="e">
        <f t="shared" ref="Q37:Q68" si="7">IF(ISBLANK(M37),0,L37/ROUND(M37,4))</f>
        <v>#DIV/0!</v>
      </c>
      <c r="R37" s="64" t="e">
        <f t="shared" ref="R37:R68" si="8">IF(ISBLANK(M37),0,Q37*ROUND(N37,2))</f>
        <v>#DIV/0!</v>
      </c>
      <c r="S37" s="67" t="e">
        <f t="shared" ref="S37:S68" si="9">ROUND(P37,2)*Q37</f>
        <v>#DIV/0!</v>
      </c>
      <c r="T37" s="64" t="e">
        <f t="shared" ref="T37:T68" si="10">Q37*dagenperjaar1</f>
        <v>#DIV/0!</v>
      </c>
      <c r="U37" s="68" t="e">
        <f t="shared" ref="U37:U68" si="11">T37*ROUND(P37,2)</f>
        <v>#DIV/0!</v>
      </c>
    </row>
    <row r="38" spans="1:21" x14ac:dyDescent="0.2">
      <c r="A38" s="61" t="s">
        <v>208</v>
      </c>
      <c r="B38" s="62" t="s">
        <v>209</v>
      </c>
      <c r="C38" s="62" t="s">
        <v>280</v>
      </c>
      <c r="D38" s="62" t="s">
        <v>285</v>
      </c>
      <c r="E38" s="62" t="s">
        <v>209</v>
      </c>
      <c r="F38" s="63" t="s">
        <v>254</v>
      </c>
      <c r="G38" s="62" t="s">
        <v>234</v>
      </c>
      <c r="H38" s="62" t="s">
        <v>180</v>
      </c>
      <c r="I38" s="62" t="s">
        <v>26</v>
      </c>
      <c r="J38" s="62" t="s">
        <v>140</v>
      </c>
      <c r="K38" s="64">
        <v>5.5</v>
      </c>
      <c r="L38" s="64">
        <f t="shared" si="6"/>
        <v>0.17254901960784313</v>
      </c>
      <c r="M38" s="65">
        <f>prodnorm33</f>
        <v>0</v>
      </c>
      <c r="N38" s="66">
        <f>dagwerk33</f>
        <v>0</v>
      </c>
      <c r="O38" s="62" t="s">
        <v>44</v>
      </c>
      <c r="P38" s="67">
        <f>uurtarief33</f>
        <v>0</v>
      </c>
      <c r="Q38" s="64" t="e">
        <f t="shared" si="7"/>
        <v>#DIV/0!</v>
      </c>
      <c r="R38" s="64" t="e">
        <f t="shared" si="8"/>
        <v>#DIV/0!</v>
      </c>
      <c r="S38" s="67" t="e">
        <f t="shared" si="9"/>
        <v>#DIV/0!</v>
      </c>
      <c r="T38" s="64" t="e">
        <f t="shared" si="10"/>
        <v>#DIV/0!</v>
      </c>
      <c r="U38" s="68" t="e">
        <f t="shared" si="11"/>
        <v>#DIV/0!</v>
      </c>
    </row>
    <row r="39" spans="1:21" x14ac:dyDescent="0.2">
      <c r="A39" s="61" t="s">
        <v>208</v>
      </c>
      <c r="B39" s="62" t="s">
        <v>209</v>
      </c>
      <c r="C39" s="62" t="s">
        <v>280</v>
      </c>
      <c r="D39" s="62" t="s">
        <v>286</v>
      </c>
      <c r="E39" s="62" t="s">
        <v>209</v>
      </c>
      <c r="F39" s="63" t="s">
        <v>257</v>
      </c>
      <c r="G39" s="62" t="s">
        <v>234</v>
      </c>
      <c r="H39" s="62" t="s">
        <v>174</v>
      </c>
      <c r="I39" s="62" t="s">
        <v>26</v>
      </c>
      <c r="J39" s="62" t="s">
        <v>140</v>
      </c>
      <c r="K39" s="64">
        <v>4</v>
      </c>
      <c r="L39" s="64">
        <f t="shared" si="6"/>
        <v>0.12549019607843137</v>
      </c>
      <c r="M39" s="65">
        <f>prodnorm27</f>
        <v>0</v>
      </c>
      <c r="N39" s="66">
        <f>dagwerk27</f>
        <v>0</v>
      </c>
      <c r="O39" s="62" t="s">
        <v>44</v>
      </c>
      <c r="P39" s="67">
        <f>uurtarief27</f>
        <v>0</v>
      </c>
      <c r="Q39" s="64" t="e">
        <f t="shared" si="7"/>
        <v>#DIV/0!</v>
      </c>
      <c r="R39" s="64" t="e">
        <f t="shared" si="8"/>
        <v>#DIV/0!</v>
      </c>
      <c r="S39" s="67" t="e">
        <f t="shared" si="9"/>
        <v>#DIV/0!</v>
      </c>
      <c r="T39" s="64" t="e">
        <f t="shared" si="10"/>
        <v>#DIV/0!</v>
      </c>
      <c r="U39" s="68" t="e">
        <f t="shared" si="11"/>
        <v>#DIV/0!</v>
      </c>
    </row>
    <row r="40" spans="1:21" x14ac:dyDescent="0.2">
      <c r="A40" s="61" t="s">
        <v>208</v>
      </c>
      <c r="B40" s="62" t="s">
        <v>209</v>
      </c>
      <c r="C40" s="62" t="s">
        <v>280</v>
      </c>
      <c r="D40" s="62" t="s">
        <v>288</v>
      </c>
      <c r="E40" s="62" t="s">
        <v>209</v>
      </c>
      <c r="F40" s="63" t="s">
        <v>261</v>
      </c>
      <c r="G40" s="62" t="s">
        <v>234</v>
      </c>
      <c r="H40" s="62" t="s">
        <v>178</v>
      </c>
      <c r="I40" s="62" t="s">
        <v>26</v>
      </c>
      <c r="J40" s="62" t="s">
        <v>140</v>
      </c>
      <c r="K40" s="64">
        <v>12</v>
      </c>
      <c r="L40" s="64">
        <f t="shared" si="6"/>
        <v>0.37647058823529411</v>
      </c>
      <c r="M40" s="65">
        <f>prodnorm31</f>
        <v>0</v>
      </c>
      <c r="N40" s="66">
        <f>dagwerk31</f>
        <v>0</v>
      </c>
      <c r="O40" s="62" t="s">
        <v>44</v>
      </c>
      <c r="P40" s="67">
        <f>uurtarief31</f>
        <v>0</v>
      </c>
      <c r="Q40" s="64" t="e">
        <f t="shared" si="7"/>
        <v>#DIV/0!</v>
      </c>
      <c r="R40" s="64" t="e">
        <f t="shared" si="8"/>
        <v>#DIV/0!</v>
      </c>
      <c r="S40" s="67" t="e">
        <f t="shared" si="9"/>
        <v>#DIV/0!</v>
      </c>
      <c r="T40" s="64" t="e">
        <f t="shared" si="10"/>
        <v>#DIV/0!</v>
      </c>
      <c r="U40" s="68" t="e">
        <f t="shared" si="11"/>
        <v>#DIV/0!</v>
      </c>
    </row>
    <row r="41" spans="1:21" x14ac:dyDescent="0.2">
      <c r="A41" s="61" t="s">
        <v>208</v>
      </c>
      <c r="B41" s="62" t="s">
        <v>209</v>
      </c>
      <c r="C41" s="62" t="s">
        <v>280</v>
      </c>
      <c r="D41" s="62" t="s">
        <v>289</v>
      </c>
      <c r="E41" s="62" t="s">
        <v>209</v>
      </c>
      <c r="F41" s="63" t="s">
        <v>254</v>
      </c>
      <c r="G41" s="62" t="s">
        <v>234</v>
      </c>
      <c r="H41" s="62" t="s">
        <v>180</v>
      </c>
      <c r="I41" s="62" t="s">
        <v>26</v>
      </c>
      <c r="J41" s="62" t="s">
        <v>140</v>
      </c>
      <c r="K41" s="64">
        <v>4.2</v>
      </c>
      <c r="L41" s="64">
        <f t="shared" si="6"/>
        <v>0.13176470588235295</v>
      </c>
      <c r="M41" s="65">
        <f>prodnorm33</f>
        <v>0</v>
      </c>
      <c r="N41" s="66">
        <f>dagwerk33</f>
        <v>0</v>
      </c>
      <c r="O41" s="62" t="s">
        <v>44</v>
      </c>
      <c r="P41" s="67">
        <f>uurtarief33</f>
        <v>0</v>
      </c>
      <c r="Q41" s="64" t="e">
        <f t="shared" si="7"/>
        <v>#DIV/0!</v>
      </c>
      <c r="R41" s="64" t="e">
        <f t="shared" si="8"/>
        <v>#DIV/0!</v>
      </c>
      <c r="S41" s="67" t="e">
        <f t="shared" si="9"/>
        <v>#DIV/0!</v>
      </c>
      <c r="T41" s="64" t="e">
        <f t="shared" si="10"/>
        <v>#DIV/0!</v>
      </c>
      <c r="U41" s="68" t="e">
        <f t="shared" si="11"/>
        <v>#DIV/0!</v>
      </c>
    </row>
    <row r="42" spans="1:21" x14ac:dyDescent="0.2">
      <c r="A42" s="61" t="s">
        <v>208</v>
      </c>
      <c r="B42" s="62" t="s">
        <v>209</v>
      </c>
      <c r="C42" s="62" t="s">
        <v>280</v>
      </c>
      <c r="D42" s="62" t="s">
        <v>290</v>
      </c>
      <c r="E42" s="62" t="s">
        <v>209</v>
      </c>
      <c r="F42" s="63" t="s">
        <v>257</v>
      </c>
      <c r="G42" s="62" t="s">
        <v>234</v>
      </c>
      <c r="H42" s="62" t="s">
        <v>174</v>
      </c>
      <c r="I42" s="62" t="s">
        <v>26</v>
      </c>
      <c r="J42" s="62" t="s">
        <v>140</v>
      </c>
      <c r="K42" s="64">
        <v>5</v>
      </c>
      <c r="L42" s="64">
        <f t="shared" si="6"/>
        <v>0.15686274509803921</v>
      </c>
      <c r="M42" s="65">
        <f>prodnorm27</f>
        <v>0</v>
      </c>
      <c r="N42" s="66">
        <f>dagwerk27</f>
        <v>0</v>
      </c>
      <c r="O42" s="62" t="s">
        <v>44</v>
      </c>
      <c r="P42" s="67">
        <f>uurtarief27</f>
        <v>0</v>
      </c>
      <c r="Q42" s="64" t="e">
        <f t="shared" si="7"/>
        <v>#DIV/0!</v>
      </c>
      <c r="R42" s="64" t="e">
        <f t="shared" si="8"/>
        <v>#DIV/0!</v>
      </c>
      <c r="S42" s="67" t="e">
        <f t="shared" si="9"/>
        <v>#DIV/0!</v>
      </c>
      <c r="T42" s="64" t="e">
        <f t="shared" si="10"/>
        <v>#DIV/0!</v>
      </c>
      <c r="U42" s="68" t="e">
        <f t="shared" si="11"/>
        <v>#DIV/0!</v>
      </c>
    </row>
    <row r="43" spans="1:21" x14ac:dyDescent="0.2">
      <c r="A43" s="61" t="s">
        <v>208</v>
      </c>
      <c r="B43" s="62" t="s">
        <v>209</v>
      </c>
      <c r="C43" s="62" t="s">
        <v>280</v>
      </c>
      <c r="D43" s="62" t="s">
        <v>291</v>
      </c>
      <c r="E43" s="62" t="s">
        <v>209</v>
      </c>
      <c r="F43" s="63" t="s">
        <v>257</v>
      </c>
      <c r="G43" s="62" t="s">
        <v>234</v>
      </c>
      <c r="H43" s="62" t="s">
        <v>174</v>
      </c>
      <c r="I43" s="62" t="s">
        <v>26</v>
      </c>
      <c r="J43" s="62" t="s">
        <v>140</v>
      </c>
      <c r="K43" s="64">
        <v>13.2</v>
      </c>
      <c r="L43" s="64">
        <f t="shared" si="6"/>
        <v>0.41411764705882348</v>
      </c>
      <c r="M43" s="65">
        <f>prodnorm27</f>
        <v>0</v>
      </c>
      <c r="N43" s="66">
        <f>dagwerk27</f>
        <v>0</v>
      </c>
      <c r="O43" s="62" t="s">
        <v>44</v>
      </c>
      <c r="P43" s="67">
        <f>uurtarief27</f>
        <v>0</v>
      </c>
      <c r="Q43" s="64" t="e">
        <f t="shared" si="7"/>
        <v>#DIV/0!</v>
      </c>
      <c r="R43" s="64" t="e">
        <f t="shared" si="8"/>
        <v>#DIV/0!</v>
      </c>
      <c r="S43" s="67" t="e">
        <f t="shared" si="9"/>
        <v>#DIV/0!</v>
      </c>
      <c r="T43" s="64" t="e">
        <f t="shared" si="10"/>
        <v>#DIV/0!</v>
      </c>
      <c r="U43" s="68" t="e">
        <f t="shared" si="11"/>
        <v>#DIV/0!</v>
      </c>
    </row>
    <row r="44" spans="1:21" x14ac:dyDescent="0.2">
      <c r="A44" s="61" t="s">
        <v>208</v>
      </c>
      <c r="B44" s="62" t="s">
        <v>209</v>
      </c>
      <c r="C44" s="62" t="s">
        <v>280</v>
      </c>
      <c r="D44" s="62" t="s">
        <v>292</v>
      </c>
      <c r="E44" s="62" t="s">
        <v>209</v>
      </c>
      <c r="F44" s="63" t="s">
        <v>261</v>
      </c>
      <c r="G44" s="62" t="s">
        <v>213</v>
      </c>
      <c r="H44" s="62" t="s">
        <v>178</v>
      </c>
      <c r="I44" s="62" t="s">
        <v>26</v>
      </c>
      <c r="J44" s="62" t="s">
        <v>140</v>
      </c>
      <c r="K44" s="64">
        <v>33.4</v>
      </c>
      <c r="L44" s="64">
        <f t="shared" si="6"/>
        <v>1.047843137254902</v>
      </c>
      <c r="M44" s="65">
        <f>prodnorm31</f>
        <v>0</v>
      </c>
      <c r="N44" s="66">
        <f>dagwerk31</f>
        <v>0</v>
      </c>
      <c r="O44" s="62" t="s">
        <v>44</v>
      </c>
      <c r="P44" s="67">
        <f>uurtarief31</f>
        <v>0</v>
      </c>
      <c r="Q44" s="64" t="e">
        <f t="shared" si="7"/>
        <v>#DIV/0!</v>
      </c>
      <c r="R44" s="64" t="e">
        <f t="shared" si="8"/>
        <v>#DIV/0!</v>
      </c>
      <c r="S44" s="67" t="e">
        <f t="shared" si="9"/>
        <v>#DIV/0!</v>
      </c>
      <c r="T44" s="64" t="e">
        <f t="shared" si="10"/>
        <v>#DIV/0!</v>
      </c>
      <c r="U44" s="68" t="e">
        <f t="shared" si="11"/>
        <v>#DIV/0!</v>
      </c>
    </row>
    <row r="45" spans="1:21" x14ac:dyDescent="0.2">
      <c r="A45" s="61" t="s">
        <v>208</v>
      </c>
      <c r="B45" s="62" t="s">
        <v>209</v>
      </c>
      <c r="C45" s="62" t="s">
        <v>280</v>
      </c>
      <c r="D45" s="62" t="s">
        <v>293</v>
      </c>
      <c r="E45" s="62" t="s">
        <v>209</v>
      </c>
      <c r="F45" s="63" t="s">
        <v>266</v>
      </c>
      <c r="G45" s="62" t="s">
        <v>213</v>
      </c>
      <c r="H45" s="62" t="s">
        <v>181</v>
      </c>
      <c r="I45" s="62" t="s">
        <v>26</v>
      </c>
      <c r="J45" s="62" t="s">
        <v>140</v>
      </c>
      <c r="K45" s="64">
        <v>5.4</v>
      </c>
      <c r="L45" s="64">
        <f t="shared" si="6"/>
        <v>0.16941176470588237</v>
      </c>
      <c r="M45" s="65">
        <f>prodnorm34</f>
        <v>0</v>
      </c>
      <c r="N45" s="66">
        <f>dagwerk34</f>
        <v>0</v>
      </c>
      <c r="O45" s="62" t="s">
        <v>44</v>
      </c>
      <c r="P45" s="67">
        <f>uurtarief34</f>
        <v>0</v>
      </c>
      <c r="Q45" s="64" t="e">
        <f t="shared" si="7"/>
        <v>#DIV/0!</v>
      </c>
      <c r="R45" s="64" t="e">
        <f t="shared" si="8"/>
        <v>#DIV/0!</v>
      </c>
      <c r="S45" s="67" t="e">
        <f t="shared" si="9"/>
        <v>#DIV/0!</v>
      </c>
      <c r="T45" s="64" t="e">
        <f t="shared" si="10"/>
        <v>#DIV/0!</v>
      </c>
      <c r="U45" s="68" t="e">
        <f t="shared" si="11"/>
        <v>#DIV/0!</v>
      </c>
    </row>
    <row r="46" spans="1:21" x14ac:dyDescent="0.2">
      <c r="A46" s="61" t="s">
        <v>208</v>
      </c>
      <c r="B46" s="62" t="s">
        <v>209</v>
      </c>
      <c r="C46" s="62" t="s">
        <v>294</v>
      </c>
      <c r="D46" s="62" t="s">
        <v>295</v>
      </c>
      <c r="E46" s="62" t="s">
        <v>209</v>
      </c>
      <c r="F46" s="63" t="s">
        <v>250</v>
      </c>
      <c r="G46" s="62" t="s">
        <v>213</v>
      </c>
      <c r="H46" s="62" t="s">
        <v>182</v>
      </c>
      <c r="I46" s="62" t="s">
        <v>26</v>
      </c>
      <c r="J46" s="62" t="s">
        <v>140</v>
      </c>
      <c r="K46" s="64">
        <v>24.1</v>
      </c>
      <c r="L46" s="64">
        <f t="shared" si="6"/>
        <v>0.75607843137254904</v>
      </c>
      <c r="M46" s="65">
        <f>prodnorm35</f>
        <v>0</v>
      </c>
      <c r="N46" s="66">
        <f>dagwerk35</f>
        <v>0</v>
      </c>
      <c r="O46" s="62" t="s">
        <v>44</v>
      </c>
      <c r="P46" s="67">
        <f>uurtarief35</f>
        <v>0</v>
      </c>
      <c r="Q46" s="64" t="e">
        <f t="shared" si="7"/>
        <v>#DIV/0!</v>
      </c>
      <c r="R46" s="64" t="e">
        <f t="shared" si="8"/>
        <v>#DIV/0!</v>
      </c>
      <c r="S46" s="67" t="e">
        <f t="shared" si="9"/>
        <v>#DIV/0!</v>
      </c>
      <c r="T46" s="64" t="e">
        <f t="shared" si="10"/>
        <v>#DIV/0!</v>
      </c>
      <c r="U46" s="68" t="e">
        <f t="shared" si="11"/>
        <v>#DIV/0!</v>
      </c>
    </row>
    <row r="47" spans="1:21" x14ac:dyDescent="0.2">
      <c r="A47" s="61" t="s">
        <v>208</v>
      </c>
      <c r="B47" s="62" t="s">
        <v>209</v>
      </c>
      <c r="C47" s="62" t="s">
        <v>294</v>
      </c>
      <c r="D47" s="62" t="s">
        <v>488</v>
      </c>
      <c r="E47" s="62" t="s">
        <v>209</v>
      </c>
      <c r="F47" s="63" t="s">
        <v>215</v>
      </c>
      <c r="G47" s="62" t="s">
        <v>213</v>
      </c>
      <c r="H47" s="62" t="s">
        <v>182</v>
      </c>
      <c r="I47" s="62" t="s">
        <v>26</v>
      </c>
      <c r="J47" s="62" t="s">
        <v>140</v>
      </c>
      <c r="K47" s="64">
        <v>53.8</v>
      </c>
      <c r="L47" s="64">
        <f t="shared" si="6"/>
        <v>1.6878431372549019</v>
      </c>
      <c r="M47" s="65">
        <f>prodnorm35</f>
        <v>0</v>
      </c>
      <c r="N47" s="66">
        <f>dagwerk35</f>
        <v>0</v>
      </c>
      <c r="O47" s="62" t="s">
        <v>44</v>
      </c>
      <c r="P47" s="67">
        <f>uurtarief35</f>
        <v>0</v>
      </c>
      <c r="Q47" s="64" t="e">
        <f t="shared" si="7"/>
        <v>#DIV/0!</v>
      </c>
      <c r="R47" s="64" t="e">
        <f t="shared" si="8"/>
        <v>#DIV/0!</v>
      </c>
      <c r="S47" s="67" t="e">
        <f t="shared" si="9"/>
        <v>#DIV/0!</v>
      </c>
      <c r="T47" s="64" t="e">
        <f t="shared" si="10"/>
        <v>#DIV/0!</v>
      </c>
      <c r="U47" s="68" t="e">
        <f t="shared" si="11"/>
        <v>#DIV/0!</v>
      </c>
    </row>
    <row r="48" spans="1:21" x14ac:dyDescent="0.2">
      <c r="A48" s="61" t="s">
        <v>208</v>
      </c>
      <c r="B48" s="62" t="s">
        <v>209</v>
      </c>
      <c r="C48" s="62" t="s">
        <v>294</v>
      </c>
      <c r="D48" s="62" t="s">
        <v>296</v>
      </c>
      <c r="E48" s="62" t="s">
        <v>209</v>
      </c>
      <c r="F48" s="63" t="s">
        <v>215</v>
      </c>
      <c r="G48" s="62" t="s">
        <v>213</v>
      </c>
      <c r="H48" s="62" t="s">
        <v>182</v>
      </c>
      <c r="I48" s="62" t="s">
        <v>26</v>
      </c>
      <c r="J48" s="62" t="s">
        <v>140</v>
      </c>
      <c r="K48" s="64">
        <v>68.2</v>
      </c>
      <c r="L48" s="64">
        <f t="shared" si="6"/>
        <v>2.1396078431372549</v>
      </c>
      <c r="M48" s="65">
        <f>prodnorm35</f>
        <v>0</v>
      </c>
      <c r="N48" s="66">
        <f>dagwerk35</f>
        <v>0</v>
      </c>
      <c r="O48" s="62" t="s">
        <v>44</v>
      </c>
      <c r="P48" s="67">
        <f>uurtarief35</f>
        <v>0</v>
      </c>
      <c r="Q48" s="64" t="e">
        <f t="shared" si="7"/>
        <v>#DIV/0!</v>
      </c>
      <c r="R48" s="64" t="e">
        <f t="shared" si="8"/>
        <v>#DIV/0!</v>
      </c>
      <c r="S48" s="67" t="e">
        <f t="shared" si="9"/>
        <v>#DIV/0!</v>
      </c>
      <c r="T48" s="64" t="e">
        <f t="shared" si="10"/>
        <v>#DIV/0!</v>
      </c>
      <c r="U48" s="68" t="e">
        <f t="shared" si="11"/>
        <v>#DIV/0!</v>
      </c>
    </row>
    <row r="49" spans="1:21" x14ac:dyDescent="0.2">
      <c r="A49" s="61" t="s">
        <v>208</v>
      </c>
      <c r="B49" s="62" t="s">
        <v>209</v>
      </c>
      <c r="C49" s="62" t="s">
        <v>294</v>
      </c>
      <c r="D49" s="62" t="s">
        <v>297</v>
      </c>
      <c r="E49" s="62" t="s">
        <v>209</v>
      </c>
      <c r="F49" s="63" t="s">
        <v>254</v>
      </c>
      <c r="G49" s="62" t="s">
        <v>234</v>
      </c>
      <c r="H49" s="62" t="s">
        <v>180</v>
      </c>
      <c r="I49" s="62" t="s">
        <v>26</v>
      </c>
      <c r="J49" s="62" t="s">
        <v>140</v>
      </c>
      <c r="K49" s="64">
        <v>10</v>
      </c>
      <c r="L49" s="64">
        <f t="shared" si="6"/>
        <v>0.31372549019607843</v>
      </c>
      <c r="M49" s="65">
        <f>prodnorm33</f>
        <v>0</v>
      </c>
      <c r="N49" s="66">
        <f>dagwerk33</f>
        <v>0</v>
      </c>
      <c r="O49" s="62" t="s">
        <v>44</v>
      </c>
      <c r="P49" s="67">
        <f>uurtarief33</f>
        <v>0</v>
      </c>
      <c r="Q49" s="64" t="e">
        <f t="shared" si="7"/>
        <v>#DIV/0!</v>
      </c>
      <c r="R49" s="64" t="e">
        <f t="shared" si="8"/>
        <v>#DIV/0!</v>
      </c>
      <c r="S49" s="67" t="e">
        <f t="shared" si="9"/>
        <v>#DIV/0!</v>
      </c>
      <c r="T49" s="64" t="e">
        <f t="shared" si="10"/>
        <v>#DIV/0!</v>
      </c>
      <c r="U49" s="68" t="e">
        <f t="shared" si="11"/>
        <v>#DIV/0!</v>
      </c>
    </row>
    <row r="50" spans="1:21" x14ac:dyDescent="0.2">
      <c r="A50" s="61" t="s">
        <v>208</v>
      </c>
      <c r="B50" s="62" t="s">
        <v>209</v>
      </c>
      <c r="C50" s="62" t="s">
        <v>294</v>
      </c>
      <c r="D50" s="62" t="s">
        <v>298</v>
      </c>
      <c r="E50" s="62" t="s">
        <v>209</v>
      </c>
      <c r="F50" s="63" t="s">
        <v>254</v>
      </c>
      <c r="G50" s="62" t="s">
        <v>234</v>
      </c>
      <c r="H50" s="62" t="s">
        <v>180</v>
      </c>
      <c r="I50" s="62" t="s">
        <v>26</v>
      </c>
      <c r="J50" s="62" t="s">
        <v>140</v>
      </c>
      <c r="K50" s="64">
        <v>5.5</v>
      </c>
      <c r="L50" s="64">
        <f t="shared" si="6"/>
        <v>0.17254901960784313</v>
      </c>
      <c r="M50" s="65">
        <f>prodnorm33</f>
        <v>0</v>
      </c>
      <c r="N50" s="66">
        <f>dagwerk33</f>
        <v>0</v>
      </c>
      <c r="O50" s="62" t="s">
        <v>44</v>
      </c>
      <c r="P50" s="67">
        <f>uurtarief33</f>
        <v>0</v>
      </c>
      <c r="Q50" s="64" t="e">
        <f t="shared" si="7"/>
        <v>#DIV/0!</v>
      </c>
      <c r="R50" s="64" t="e">
        <f t="shared" si="8"/>
        <v>#DIV/0!</v>
      </c>
      <c r="S50" s="67" t="e">
        <f t="shared" si="9"/>
        <v>#DIV/0!</v>
      </c>
      <c r="T50" s="64" t="e">
        <f t="shared" si="10"/>
        <v>#DIV/0!</v>
      </c>
      <c r="U50" s="68" t="e">
        <f t="shared" si="11"/>
        <v>#DIV/0!</v>
      </c>
    </row>
    <row r="51" spans="1:21" x14ac:dyDescent="0.2">
      <c r="A51" s="61" t="s">
        <v>208</v>
      </c>
      <c r="B51" s="62" t="s">
        <v>209</v>
      </c>
      <c r="C51" s="62" t="s">
        <v>294</v>
      </c>
      <c r="D51" s="62" t="s">
        <v>299</v>
      </c>
      <c r="E51" s="62" t="s">
        <v>209</v>
      </c>
      <c r="F51" s="63" t="s">
        <v>257</v>
      </c>
      <c r="G51" s="62" t="s">
        <v>234</v>
      </c>
      <c r="H51" s="62" t="s">
        <v>174</v>
      </c>
      <c r="I51" s="62" t="s">
        <v>26</v>
      </c>
      <c r="J51" s="62" t="s">
        <v>140</v>
      </c>
      <c r="K51" s="64">
        <v>4</v>
      </c>
      <c r="L51" s="64">
        <f t="shared" si="6"/>
        <v>0.12549019607843137</v>
      </c>
      <c r="M51" s="65">
        <f>prodnorm27</f>
        <v>0</v>
      </c>
      <c r="N51" s="66">
        <f>dagwerk27</f>
        <v>0</v>
      </c>
      <c r="O51" s="62" t="s">
        <v>44</v>
      </c>
      <c r="P51" s="67">
        <f>uurtarief27</f>
        <v>0</v>
      </c>
      <c r="Q51" s="64" t="e">
        <f t="shared" si="7"/>
        <v>#DIV/0!</v>
      </c>
      <c r="R51" s="64" t="e">
        <f t="shared" si="8"/>
        <v>#DIV/0!</v>
      </c>
      <c r="S51" s="67" t="e">
        <f t="shared" si="9"/>
        <v>#DIV/0!</v>
      </c>
      <c r="T51" s="64" t="e">
        <f t="shared" si="10"/>
        <v>#DIV/0!</v>
      </c>
      <c r="U51" s="68" t="e">
        <f t="shared" si="11"/>
        <v>#DIV/0!</v>
      </c>
    </row>
    <row r="52" spans="1:21" x14ac:dyDescent="0.2">
      <c r="A52" s="61" t="s">
        <v>208</v>
      </c>
      <c r="B52" s="62" t="s">
        <v>209</v>
      </c>
      <c r="C52" s="62" t="s">
        <v>294</v>
      </c>
      <c r="D52" s="62" t="s">
        <v>301</v>
      </c>
      <c r="E52" s="62" t="s">
        <v>209</v>
      </c>
      <c r="F52" s="63" t="s">
        <v>261</v>
      </c>
      <c r="G52" s="62" t="s">
        <v>234</v>
      </c>
      <c r="H52" s="62" t="s">
        <v>178</v>
      </c>
      <c r="I52" s="62" t="s">
        <v>26</v>
      </c>
      <c r="J52" s="62" t="s">
        <v>140</v>
      </c>
      <c r="K52" s="64">
        <v>12</v>
      </c>
      <c r="L52" s="64">
        <f t="shared" si="6"/>
        <v>0.37647058823529411</v>
      </c>
      <c r="M52" s="65">
        <f>prodnorm31</f>
        <v>0</v>
      </c>
      <c r="N52" s="66">
        <f>dagwerk31</f>
        <v>0</v>
      </c>
      <c r="O52" s="62" t="s">
        <v>44</v>
      </c>
      <c r="P52" s="67">
        <f>uurtarief31</f>
        <v>0</v>
      </c>
      <c r="Q52" s="64" t="e">
        <f t="shared" si="7"/>
        <v>#DIV/0!</v>
      </c>
      <c r="R52" s="64" t="e">
        <f t="shared" si="8"/>
        <v>#DIV/0!</v>
      </c>
      <c r="S52" s="67" t="e">
        <f t="shared" si="9"/>
        <v>#DIV/0!</v>
      </c>
      <c r="T52" s="64" t="e">
        <f t="shared" si="10"/>
        <v>#DIV/0!</v>
      </c>
      <c r="U52" s="68" t="e">
        <f t="shared" si="11"/>
        <v>#DIV/0!</v>
      </c>
    </row>
    <row r="53" spans="1:21" x14ac:dyDescent="0.2">
      <c r="A53" s="61" t="s">
        <v>208</v>
      </c>
      <c r="B53" s="62" t="s">
        <v>209</v>
      </c>
      <c r="C53" s="62" t="s">
        <v>294</v>
      </c>
      <c r="D53" s="62" t="s">
        <v>302</v>
      </c>
      <c r="E53" s="62" t="s">
        <v>209</v>
      </c>
      <c r="F53" s="63" t="s">
        <v>254</v>
      </c>
      <c r="G53" s="62" t="s">
        <v>234</v>
      </c>
      <c r="H53" s="62" t="s">
        <v>180</v>
      </c>
      <c r="I53" s="62" t="s">
        <v>26</v>
      </c>
      <c r="J53" s="62" t="s">
        <v>140</v>
      </c>
      <c r="K53" s="64">
        <v>4.2</v>
      </c>
      <c r="L53" s="64">
        <f t="shared" si="6"/>
        <v>0.13176470588235295</v>
      </c>
      <c r="M53" s="65">
        <f>prodnorm33</f>
        <v>0</v>
      </c>
      <c r="N53" s="66">
        <f>dagwerk33</f>
        <v>0</v>
      </c>
      <c r="O53" s="62" t="s">
        <v>44</v>
      </c>
      <c r="P53" s="67">
        <f>uurtarief33</f>
        <v>0</v>
      </c>
      <c r="Q53" s="64" t="e">
        <f t="shared" si="7"/>
        <v>#DIV/0!</v>
      </c>
      <c r="R53" s="64" t="e">
        <f t="shared" si="8"/>
        <v>#DIV/0!</v>
      </c>
      <c r="S53" s="67" t="e">
        <f t="shared" si="9"/>
        <v>#DIV/0!</v>
      </c>
      <c r="T53" s="64" t="e">
        <f t="shared" si="10"/>
        <v>#DIV/0!</v>
      </c>
      <c r="U53" s="68" t="e">
        <f t="shared" si="11"/>
        <v>#DIV/0!</v>
      </c>
    </row>
    <row r="54" spans="1:21" x14ac:dyDescent="0.2">
      <c r="A54" s="61" t="s">
        <v>208</v>
      </c>
      <c r="B54" s="62" t="s">
        <v>209</v>
      </c>
      <c r="C54" s="62" t="s">
        <v>294</v>
      </c>
      <c r="D54" s="62" t="s">
        <v>303</v>
      </c>
      <c r="E54" s="62" t="s">
        <v>209</v>
      </c>
      <c r="F54" s="63" t="s">
        <v>257</v>
      </c>
      <c r="G54" s="62" t="s">
        <v>234</v>
      </c>
      <c r="H54" s="62" t="s">
        <v>174</v>
      </c>
      <c r="I54" s="62" t="s">
        <v>26</v>
      </c>
      <c r="J54" s="62" t="s">
        <v>140</v>
      </c>
      <c r="K54" s="64">
        <v>5</v>
      </c>
      <c r="L54" s="64">
        <f t="shared" si="6"/>
        <v>0.15686274509803921</v>
      </c>
      <c r="M54" s="65">
        <f>prodnorm27</f>
        <v>0</v>
      </c>
      <c r="N54" s="66">
        <f>dagwerk27</f>
        <v>0</v>
      </c>
      <c r="O54" s="62" t="s">
        <v>44</v>
      </c>
      <c r="P54" s="67">
        <f>uurtarief27</f>
        <v>0</v>
      </c>
      <c r="Q54" s="64" t="e">
        <f t="shared" si="7"/>
        <v>#DIV/0!</v>
      </c>
      <c r="R54" s="64" t="e">
        <f t="shared" si="8"/>
        <v>#DIV/0!</v>
      </c>
      <c r="S54" s="67" t="e">
        <f t="shared" si="9"/>
        <v>#DIV/0!</v>
      </c>
      <c r="T54" s="64" t="e">
        <f t="shared" si="10"/>
        <v>#DIV/0!</v>
      </c>
      <c r="U54" s="68" t="e">
        <f t="shared" si="11"/>
        <v>#DIV/0!</v>
      </c>
    </row>
    <row r="55" spans="1:21" x14ac:dyDescent="0.2">
      <c r="A55" s="61" t="s">
        <v>208</v>
      </c>
      <c r="B55" s="62" t="s">
        <v>209</v>
      </c>
      <c r="C55" s="62" t="s">
        <v>294</v>
      </c>
      <c r="D55" s="62" t="s">
        <v>304</v>
      </c>
      <c r="E55" s="62" t="s">
        <v>209</v>
      </c>
      <c r="F55" s="63" t="s">
        <v>257</v>
      </c>
      <c r="G55" s="62" t="s">
        <v>234</v>
      </c>
      <c r="H55" s="62" t="s">
        <v>174</v>
      </c>
      <c r="I55" s="62" t="s">
        <v>26</v>
      </c>
      <c r="J55" s="62" t="s">
        <v>140</v>
      </c>
      <c r="K55" s="64">
        <v>13.2</v>
      </c>
      <c r="L55" s="64">
        <f t="shared" si="6"/>
        <v>0.41411764705882348</v>
      </c>
      <c r="M55" s="65">
        <f>prodnorm27</f>
        <v>0</v>
      </c>
      <c r="N55" s="66">
        <f>dagwerk27</f>
        <v>0</v>
      </c>
      <c r="O55" s="62" t="s">
        <v>44</v>
      </c>
      <c r="P55" s="67">
        <f>uurtarief27</f>
        <v>0</v>
      </c>
      <c r="Q55" s="64" t="e">
        <f t="shared" si="7"/>
        <v>#DIV/0!</v>
      </c>
      <c r="R55" s="64" t="e">
        <f t="shared" si="8"/>
        <v>#DIV/0!</v>
      </c>
      <c r="S55" s="67" t="e">
        <f t="shared" si="9"/>
        <v>#DIV/0!</v>
      </c>
      <c r="T55" s="64" t="e">
        <f t="shared" si="10"/>
        <v>#DIV/0!</v>
      </c>
      <c r="U55" s="68" t="e">
        <f t="shared" si="11"/>
        <v>#DIV/0!</v>
      </c>
    </row>
    <row r="56" spans="1:21" x14ac:dyDescent="0.2">
      <c r="A56" s="61" t="s">
        <v>208</v>
      </c>
      <c r="B56" s="62" t="s">
        <v>209</v>
      </c>
      <c r="C56" s="62" t="s">
        <v>294</v>
      </c>
      <c r="D56" s="62" t="s">
        <v>305</v>
      </c>
      <c r="E56" s="62" t="s">
        <v>209</v>
      </c>
      <c r="F56" s="63" t="s">
        <v>261</v>
      </c>
      <c r="G56" s="62" t="s">
        <v>213</v>
      </c>
      <c r="H56" s="62" t="s">
        <v>178</v>
      </c>
      <c r="I56" s="62" t="s">
        <v>26</v>
      </c>
      <c r="J56" s="62" t="s">
        <v>140</v>
      </c>
      <c r="K56" s="64">
        <v>33.5</v>
      </c>
      <c r="L56" s="64">
        <f t="shared" si="6"/>
        <v>1.0509803921568628</v>
      </c>
      <c r="M56" s="65">
        <f>prodnorm31</f>
        <v>0</v>
      </c>
      <c r="N56" s="66">
        <f>dagwerk31</f>
        <v>0</v>
      </c>
      <c r="O56" s="62" t="s">
        <v>44</v>
      </c>
      <c r="P56" s="67">
        <f>uurtarief31</f>
        <v>0</v>
      </c>
      <c r="Q56" s="64" t="e">
        <f t="shared" si="7"/>
        <v>#DIV/0!</v>
      </c>
      <c r="R56" s="64" t="e">
        <f t="shared" si="8"/>
        <v>#DIV/0!</v>
      </c>
      <c r="S56" s="67" t="e">
        <f t="shared" si="9"/>
        <v>#DIV/0!</v>
      </c>
      <c r="T56" s="64" t="e">
        <f t="shared" si="10"/>
        <v>#DIV/0!</v>
      </c>
      <c r="U56" s="68" t="e">
        <f t="shared" si="11"/>
        <v>#DIV/0!</v>
      </c>
    </row>
    <row r="57" spans="1:21" x14ac:dyDescent="0.2">
      <c r="A57" s="61" t="s">
        <v>208</v>
      </c>
      <c r="B57" s="62" t="s">
        <v>209</v>
      </c>
      <c r="C57" s="62" t="s">
        <v>294</v>
      </c>
      <c r="D57" s="62" t="s">
        <v>306</v>
      </c>
      <c r="E57" s="62" t="s">
        <v>209</v>
      </c>
      <c r="F57" s="63" t="s">
        <v>266</v>
      </c>
      <c r="G57" s="62" t="s">
        <v>213</v>
      </c>
      <c r="H57" s="62" t="s">
        <v>181</v>
      </c>
      <c r="I57" s="62" t="s">
        <v>26</v>
      </c>
      <c r="J57" s="62" t="s">
        <v>140</v>
      </c>
      <c r="K57" s="64">
        <v>5.4</v>
      </c>
      <c r="L57" s="64">
        <f t="shared" si="6"/>
        <v>0.16941176470588237</v>
      </c>
      <c r="M57" s="65">
        <f>prodnorm34</f>
        <v>0</v>
      </c>
      <c r="N57" s="66">
        <f>dagwerk34</f>
        <v>0</v>
      </c>
      <c r="O57" s="62" t="s">
        <v>44</v>
      </c>
      <c r="P57" s="67">
        <f>uurtarief34</f>
        <v>0</v>
      </c>
      <c r="Q57" s="64" t="e">
        <f t="shared" si="7"/>
        <v>#DIV/0!</v>
      </c>
      <c r="R57" s="64" t="e">
        <f t="shared" si="8"/>
        <v>#DIV/0!</v>
      </c>
      <c r="S57" s="67" t="e">
        <f t="shared" si="9"/>
        <v>#DIV/0!</v>
      </c>
      <c r="T57" s="64" t="e">
        <f t="shared" si="10"/>
        <v>#DIV/0!</v>
      </c>
      <c r="U57" s="68" t="e">
        <f t="shared" si="11"/>
        <v>#DIV/0!</v>
      </c>
    </row>
    <row r="58" spans="1:21" x14ac:dyDescent="0.2">
      <c r="A58" s="61" t="s">
        <v>208</v>
      </c>
      <c r="B58" s="62" t="s">
        <v>209</v>
      </c>
      <c r="C58" s="62" t="s">
        <v>307</v>
      </c>
      <c r="D58" s="62" t="s">
        <v>308</v>
      </c>
      <c r="E58" s="62" t="s">
        <v>209</v>
      </c>
      <c r="F58" s="63" t="s">
        <v>257</v>
      </c>
      <c r="G58" s="62" t="s">
        <v>234</v>
      </c>
      <c r="H58" s="62" t="s">
        <v>174</v>
      </c>
      <c r="I58" s="62" t="s">
        <v>26</v>
      </c>
      <c r="J58" s="62" t="s">
        <v>140</v>
      </c>
      <c r="K58" s="64">
        <v>4</v>
      </c>
      <c r="L58" s="64">
        <f t="shared" si="6"/>
        <v>0.12549019607843137</v>
      </c>
      <c r="M58" s="65">
        <f>prodnorm27</f>
        <v>0</v>
      </c>
      <c r="N58" s="66">
        <f>dagwerk27</f>
        <v>0</v>
      </c>
      <c r="O58" s="62" t="s">
        <v>44</v>
      </c>
      <c r="P58" s="67">
        <f>uurtarief27</f>
        <v>0</v>
      </c>
      <c r="Q58" s="64" t="e">
        <f t="shared" si="7"/>
        <v>#DIV/0!</v>
      </c>
      <c r="R58" s="64" t="e">
        <f t="shared" si="8"/>
        <v>#DIV/0!</v>
      </c>
      <c r="S58" s="67" t="e">
        <f t="shared" si="9"/>
        <v>#DIV/0!</v>
      </c>
      <c r="T58" s="64" t="e">
        <f t="shared" si="10"/>
        <v>#DIV/0!</v>
      </c>
      <c r="U58" s="68" t="e">
        <f t="shared" si="11"/>
        <v>#DIV/0!</v>
      </c>
    </row>
    <row r="59" spans="1:21" x14ac:dyDescent="0.2">
      <c r="A59" s="61" t="s">
        <v>208</v>
      </c>
      <c r="B59" s="62" t="s">
        <v>209</v>
      </c>
      <c r="C59" s="62" t="s">
        <v>307</v>
      </c>
      <c r="D59" s="62" t="s">
        <v>309</v>
      </c>
      <c r="E59" s="62" t="s">
        <v>209</v>
      </c>
      <c r="F59" s="63" t="s">
        <v>250</v>
      </c>
      <c r="G59" s="62" t="s">
        <v>213</v>
      </c>
      <c r="H59" s="62" t="s">
        <v>182</v>
      </c>
      <c r="I59" s="62" t="s">
        <v>26</v>
      </c>
      <c r="J59" s="62" t="s">
        <v>140</v>
      </c>
      <c r="K59" s="64">
        <v>24.1</v>
      </c>
      <c r="L59" s="64">
        <f t="shared" si="6"/>
        <v>0.75607843137254904</v>
      </c>
      <c r="M59" s="65">
        <f>prodnorm35</f>
        <v>0</v>
      </c>
      <c r="N59" s="66">
        <f>dagwerk35</f>
        <v>0</v>
      </c>
      <c r="O59" s="62" t="s">
        <v>44</v>
      </c>
      <c r="P59" s="67">
        <f>uurtarief35</f>
        <v>0</v>
      </c>
      <c r="Q59" s="64" t="e">
        <f t="shared" si="7"/>
        <v>#DIV/0!</v>
      </c>
      <c r="R59" s="64" t="e">
        <f t="shared" si="8"/>
        <v>#DIV/0!</v>
      </c>
      <c r="S59" s="67" t="e">
        <f t="shared" si="9"/>
        <v>#DIV/0!</v>
      </c>
      <c r="T59" s="64" t="e">
        <f t="shared" si="10"/>
        <v>#DIV/0!</v>
      </c>
      <c r="U59" s="68" t="e">
        <f t="shared" si="11"/>
        <v>#DIV/0!</v>
      </c>
    </row>
    <row r="60" spans="1:21" x14ac:dyDescent="0.2">
      <c r="A60" s="61" t="s">
        <v>208</v>
      </c>
      <c r="B60" s="62" t="s">
        <v>209</v>
      </c>
      <c r="C60" s="62" t="s">
        <v>307</v>
      </c>
      <c r="D60" s="62" t="s">
        <v>310</v>
      </c>
      <c r="E60" s="62" t="s">
        <v>209</v>
      </c>
      <c r="F60" s="63" t="s">
        <v>215</v>
      </c>
      <c r="G60" s="62" t="s">
        <v>213</v>
      </c>
      <c r="H60" s="62" t="s">
        <v>182</v>
      </c>
      <c r="I60" s="62" t="s">
        <v>26</v>
      </c>
      <c r="J60" s="62" t="s">
        <v>140</v>
      </c>
      <c r="K60" s="64">
        <v>53.8</v>
      </c>
      <c r="L60" s="64">
        <f t="shared" si="6"/>
        <v>1.6878431372549019</v>
      </c>
      <c r="M60" s="65">
        <f>prodnorm35</f>
        <v>0</v>
      </c>
      <c r="N60" s="66">
        <f>dagwerk35</f>
        <v>0</v>
      </c>
      <c r="O60" s="62" t="s">
        <v>44</v>
      </c>
      <c r="P60" s="67">
        <f>uurtarief35</f>
        <v>0</v>
      </c>
      <c r="Q60" s="64" t="e">
        <f t="shared" si="7"/>
        <v>#DIV/0!</v>
      </c>
      <c r="R60" s="64" t="e">
        <f t="shared" si="8"/>
        <v>#DIV/0!</v>
      </c>
      <c r="S60" s="67" t="e">
        <f t="shared" si="9"/>
        <v>#DIV/0!</v>
      </c>
      <c r="T60" s="64" t="e">
        <f t="shared" si="10"/>
        <v>#DIV/0!</v>
      </c>
      <c r="U60" s="68" t="e">
        <f t="shared" si="11"/>
        <v>#DIV/0!</v>
      </c>
    </row>
    <row r="61" spans="1:21" x14ac:dyDescent="0.2">
      <c r="A61" s="61" t="s">
        <v>208</v>
      </c>
      <c r="B61" s="62" t="s">
        <v>209</v>
      </c>
      <c r="C61" s="62" t="s">
        <v>307</v>
      </c>
      <c r="D61" s="62" t="s">
        <v>311</v>
      </c>
      <c r="E61" s="62" t="s">
        <v>209</v>
      </c>
      <c r="F61" s="63" t="s">
        <v>215</v>
      </c>
      <c r="G61" s="62" t="s">
        <v>213</v>
      </c>
      <c r="H61" s="62" t="s">
        <v>182</v>
      </c>
      <c r="I61" s="62" t="s">
        <v>26</v>
      </c>
      <c r="J61" s="62" t="s">
        <v>140</v>
      </c>
      <c r="K61" s="64">
        <v>68.3</v>
      </c>
      <c r="L61" s="64">
        <f t="shared" si="6"/>
        <v>2.1427450980392155</v>
      </c>
      <c r="M61" s="65">
        <f>prodnorm35</f>
        <v>0</v>
      </c>
      <c r="N61" s="66">
        <f>dagwerk35</f>
        <v>0</v>
      </c>
      <c r="O61" s="62" t="s">
        <v>44</v>
      </c>
      <c r="P61" s="67">
        <f>uurtarief35</f>
        <v>0</v>
      </c>
      <c r="Q61" s="64" t="e">
        <f t="shared" si="7"/>
        <v>#DIV/0!</v>
      </c>
      <c r="R61" s="64" t="e">
        <f t="shared" si="8"/>
        <v>#DIV/0!</v>
      </c>
      <c r="S61" s="67" t="e">
        <f t="shared" si="9"/>
        <v>#DIV/0!</v>
      </c>
      <c r="T61" s="64" t="e">
        <f t="shared" si="10"/>
        <v>#DIV/0!</v>
      </c>
      <c r="U61" s="68" t="e">
        <f t="shared" si="11"/>
        <v>#DIV/0!</v>
      </c>
    </row>
    <row r="62" spans="1:21" x14ac:dyDescent="0.2">
      <c r="A62" s="61" t="s">
        <v>208</v>
      </c>
      <c r="B62" s="62" t="s">
        <v>209</v>
      </c>
      <c r="C62" s="62" t="s">
        <v>307</v>
      </c>
      <c r="D62" s="62" t="s">
        <v>312</v>
      </c>
      <c r="E62" s="62" t="s">
        <v>209</v>
      </c>
      <c r="F62" s="63" t="s">
        <v>254</v>
      </c>
      <c r="G62" s="62" t="s">
        <v>234</v>
      </c>
      <c r="H62" s="62" t="s">
        <v>180</v>
      </c>
      <c r="I62" s="62" t="s">
        <v>26</v>
      </c>
      <c r="J62" s="62" t="s">
        <v>140</v>
      </c>
      <c r="K62" s="64">
        <v>10.5</v>
      </c>
      <c r="L62" s="64">
        <f t="shared" si="6"/>
        <v>0.32941176470588235</v>
      </c>
      <c r="M62" s="65">
        <f>prodnorm33</f>
        <v>0</v>
      </c>
      <c r="N62" s="66">
        <f>dagwerk33</f>
        <v>0</v>
      </c>
      <c r="O62" s="62" t="s">
        <v>44</v>
      </c>
      <c r="P62" s="67">
        <f>uurtarief33</f>
        <v>0</v>
      </c>
      <c r="Q62" s="64" t="e">
        <f t="shared" si="7"/>
        <v>#DIV/0!</v>
      </c>
      <c r="R62" s="64" t="e">
        <f t="shared" si="8"/>
        <v>#DIV/0!</v>
      </c>
      <c r="S62" s="67" t="e">
        <f t="shared" si="9"/>
        <v>#DIV/0!</v>
      </c>
      <c r="T62" s="64" t="e">
        <f t="shared" si="10"/>
        <v>#DIV/0!</v>
      </c>
      <c r="U62" s="68" t="e">
        <f t="shared" si="11"/>
        <v>#DIV/0!</v>
      </c>
    </row>
    <row r="63" spans="1:21" x14ac:dyDescent="0.2">
      <c r="A63" s="61" t="s">
        <v>208</v>
      </c>
      <c r="B63" s="62" t="s">
        <v>209</v>
      </c>
      <c r="C63" s="62" t="s">
        <v>307</v>
      </c>
      <c r="D63" s="62" t="s">
        <v>313</v>
      </c>
      <c r="E63" s="62" t="s">
        <v>209</v>
      </c>
      <c r="F63" s="63" t="s">
        <v>254</v>
      </c>
      <c r="G63" s="62" t="s">
        <v>234</v>
      </c>
      <c r="H63" s="62" t="s">
        <v>180</v>
      </c>
      <c r="I63" s="62" t="s">
        <v>26</v>
      </c>
      <c r="J63" s="62" t="s">
        <v>140</v>
      </c>
      <c r="K63" s="64">
        <v>10.1</v>
      </c>
      <c r="L63" s="64">
        <f t="shared" si="6"/>
        <v>0.31686274509803919</v>
      </c>
      <c r="M63" s="65">
        <f>prodnorm33</f>
        <v>0</v>
      </c>
      <c r="N63" s="66">
        <f>dagwerk33</f>
        <v>0</v>
      </c>
      <c r="O63" s="62" t="s">
        <v>44</v>
      </c>
      <c r="P63" s="67">
        <f>uurtarief33</f>
        <v>0</v>
      </c>
      <c r="Q63" s="64" t="e">
        <f t="shared" si="7"/>
        <v>#DIV/0!</v>
      </c>
      <c r="R63" s="64" t="e">
        <f t="shared" si="8"/>
        <v>#DIV/0!</v>
      </c>
      <c r="S63" s="67" t="e">
        <f t="shared" si="9"/>
        <v>#DIV/0!</v>
      </c>
      <c r="T63" s="64" t="e">
        <f t="shared" si="10"/>
        <v>#DIV/0!</v>
      </c>
      <c r="U63" s="68" t="e">
        <f t="shared" si="11"/>
        <v>#DIV/0!</v>
      </c>
    </row>
    <row r="64" spans="1:21" x14ac:dyDescent="0.2">
      <c r="A64" s="61" t="s">
        <v>208</v>
      </c>
      <c r="B64" s="62" t="s">
        <v>209</v>
      </c>
      <c r="C64" s="62" t="s">
        <v>307</v>
      </c>
      <c r="D64" s="62" t="s">
        <v>315</v>
      </c>
      <c r="E64" s="62" t="s">
        <v>209</v>
      </c>
      <c r="F64" s="63" t="s">
        <v>261</v>
      </c>
      <c r="G64" s="62" t="s">
        <v>234</v>
      </c>
      <c r="H64" s="62" t="s">
        <v>178</v>
      </c>
      <c r="I64" s="62" t="s">
        <v>26</v>
      </c>
      <c r="J64" s="62" t="s">
        <v>140</v>
      </c>
      <c r="K64" s="64">
        <v>12</v>
      </c>
      <c r="L64" s="64">
        <f t="shared" si="6"/>
        <v>0.37647058823529411</v>
      </c>
      <c r="M64" s="65">
        <f>prodnorm31</f>
        <v>0</v>
      </c>
      <c r="N64" s="66">
        <f>dagwerk31</f>
        <v>0</v>
      </c>
      <c r="O64" s="62" t="s">
        <v>44</v>
      </c>
      <c r="P64" s="67">
        <f>uurtarief31</f>
        <v>0</v>
      </c>
      <c r="Q64" s="64" t="e">
        <f t="shared" si="7"/>
        <v>#DIV/0!</v>
      </c>
      <c r="R64" s="64" t="e">
        <f t="shared" si="8"/>
        <v>#DIV/0!</v>
      </c>
      <c r="S64" s="67" t="e">
        <f t="shared" si="9"/>
        <v>#DIV/0!</v>
      </c>
      <c r="T64" s="64" t="e">
        <f t="shared" si="10"/>
        <v>#DIV/0!</v>
      </c>
      <c r="U64" s="68" t="e">
        <f t="shared" si="11"/>
        <v>#DIV/0!</v>
      </c>
    </row>
    <row r="65" spans="1:21" x14ac:dyDescent="0.2">
      <c r="A65" s="61" t="s">
        <v>208</v>
      </c>
      <c r="B65" s="62" t="s">
        <v>209</v>
      </c>
      <c r="C65" s="62" t="s">
        <v>307</v>
      </c>
      <c r="D65" s="62" t="s">
        <v>316</v>
      </c>
      <c r="E65" s="62" t="s">
        <v>209</v>
      </c>
      <c r="F65" s="63" t="s">
        <v>254</v>
      </c>
      <c r="G65" s="62" t="s">
        <v>234</v>
      </c>
      <c r="H65" s="62" t="s">
        <v>180</v>
      </c>
      <c r="I65" s="62" t="s">
        <v>26</v>
      </c>
      <c r="J65" s="62" t="s">
        <v>140</v>
      </c>
      <c r="K65" s="64">
        <v>5.2</v>
      </c>
      <c r="L65" s="64">
        <f t="shared" si="6"/>
        <v>0.16313725490196079</v>
      </c>
      <c r="M65" s="65">
        <f>prodnorm33</f>
        <v>0</v>
      </c>
      <c r="N65" s="66">
        <f>dagwerk33</f>
        <v>0</v>
      </c>
      <c r="O65" s="62" t="s">
        <v>44</v>
      </c>
      <c r="P65" s="67">
        <f>uurtarief33</f>
        <v>0</v>
      </c>
      <c r="Q65" s="64" t="e">
        <f t="shared" si="7"/>
        <v>#DIV/0!</v>
      </c>
      <c r="R65" s="64" t="e">
        <f t="shared" si="8"/>
        <v>#DIV/0!</v>
      </c>
      <c r="S65" s="67" t="e">
        <f t="shared" si="9"/>
        <v>#DIV/0!</v>
      </c>
      <c r="T65" s="64" t="e">
        <f t="shared" si="10"/>
        <v>#DIV/0!</v>
      </c>
      <c r="U65" s="68" t="e">
        <f t="shared" si="11"/>
        <v>#DIV/0!</v>
      </c>
    </row>
    <row r="66" spans="1:21" x14ac:dyDescent="0.2">
      <c r="A66" s="61" t="s">
        <v>208</v>
      </c>
      <c r="B66" s="62" t="s">
        <v>209</v>
      </c>
      <c r="C66" s="62" t="s">
        <v>307</v>
      </c>
      <c r="D66" s="62" t="s">
        <v>317</v>
      </c>
      <c r="E66" s="62" t="s">
        <v>209</v>
      </c>
      <c r="F66" s="63" t="s">
        <v>257</v>
      </c>
      <c r="G66" s="62" t="s">
        <v>234</v>
      </c>
      <c r="H66" s="62" t="s">
        <v>174</v>
      </c>
      <c r="I66" s="62" t="s">
        <v>26</v>
      </c>
      <c r="J66" s="62" t="s">
        <v>140</v>
      </c>
      <c r="K66" s="64">
        <v>5</v>
      </c>
      <c r="L66" s="64">
        <f t="shared" si="6"/>
        <v>0.15686274509803921</v>
      </c>
      <c r="M66" s="65">
        <f>prodnorm27</f>
        <v>0</v>
      </c>
      <c r="N66" s="66">
        <f>dagwerk27</f>
        <v>0</v>
      </c>
      <c r="O66" s="62" t="s">
        <v>44</v>
      </c>
      <c r="P66" s="67">
        <f>uurtarief27</f>
        <v>0</v>
      </c>
      <c r="Q66" s="64" t="e">
        <f t="shared" si="7"/>
        <v>#DIV/0!</v>
      </c>
      <c r="R66" s="64" t="e">
        <f t="shared" si="8"/>
        <v>#DIV/0!</v>
      </c>
      <c r="S66" s="67" t="e">
        <f t="shared" si="9"/>
        <v>#DIV/0!</v>
      </c>
      <c r="T66" s="64" t="e">
        <f t="shared" si="10"/>
        <v>#DIV/0!</v>
      </c>
      <c r="U66" s="68" t="e">
        <f t="shared" si="11"/>
        <v>#DIV/0!</v>
      </c>
    </row>
    <row r="67" spans="1:21" x14ac:dyDescent="0.2">
      <c r="A67" s="61" t="s">
        <v>208</v>
      </c>
      <c r="B67" s="62" t="s">
        <v>209</v>
      </c>
      <c r="C67" s="62" t="s">
        <v>307</v>
      </c>
      <c r="D67" s="62" t="s">
        <v>318</v>
      </c>
      <c r="E67" s="62" t="s">
        <v>209</v>
      </c>
      <c r="F67" s="63" t="s">
        <v>257</v>
      </c>
      <c r="G67" s="62" t="s">
        <v>234</v>
      </c>
      <c r="H67" s="62" t="s">
        <v>174</v>
      </c>
      <c r="I67" s="62" t="s">
        <v>26</v>
      </c>
      <c r="J67" s="62" t="s">
        <v>140</v>
      </c>
      <c r="K67" s="64">
        <v>16</v>
      </c>
      <c r="L67" s="64">
        <f t="shared" si="6"/>
        <v>0.50196078431372548</v>
      </c>
      <c r="M67" s="65">
        <f>prodnorm27</f>
        <v>0</v>
      </c>
      <c r="N67" s="66">
        <f>dagwerk27</f>
        <v>0</v>
      </c>
      <c r="O67" s="62" t="s">
        <v>44</v>
      </c>
      <c r="P67" s="67">
        <f>uurtarief27</f>
        <v>0</v>
      </c>
      <c r="Q67" s="64" t="e">
        <f t="shared" si="7"/>
        <v>#DIV/0!</v>
      </c>
      <c r="R67" s="64" t="e">
        <f t="shared" si="8"/>
        <v>#DIV/0!</v>
      </c>
      <c r="S67" s="67" t="e">
        <f t="shared" si="9"/>
        <v>#DIV/0!</v>
      </c>
      <c r="T67" s="64" t="e">
        <f t="shared" si="10"/>
        <v>#DIV/0!</v>
      </c>
      <c r="U67" s="68" t="e">
        <f t="shared" si="11"/>
        <v>#DIV/0!</v>
      </c>
    </row>
    <row r="68" spans="1:21" x14ac:dyDescent="0.2">
      <c r="A68" s="61" t="s">
        <v>208</v>
      </c>
      <c r="B68" s="62" t="s">
        <v>209</v>
      </c>
      <c r="C68" s="62" t="s">
        <v>307</v>
      </c>
      <c r="D68" s="62" t="s">
        <v>319</v>
      </c>
      <c r="E68" s="62" t="s">
        <v>209</v>
      </c>
      <c r="F68" s="63" t="s">
        <v>266</v>
      </c>
      <c r="G68" s="62" t="s">
        <v>213</v>
      </c>
      <c r="H68" s="62" t="s">
        <v>181</v>
      </c>
      <c r="I68" s="62" t="s">
        <v>26</v>
      </c>
      <c r="J68" s="62" t="s">
        <v>140</v>
      </c>
      <c r="K68" s="64">
        <v>5.4</v>
      </c>
      <c r="L68" s="64">
        <f t="shared" si="6"/>
        <v>0.16941176470588237</v>
      </c>
      <c r="M68" s="65">
        <f>prodnorm34</f>
        <v>0</v>
      </c>
      <c r="N68" s="66">
        <f>dagwerk34</f>
        <v>0</v>
      </c>
      <c r="O68" s="62" t="s">
        <v>44</v>
      </c>
      <c r="P68" s="67">
        <f>uurtarief34</f>
        <v>0</v>
      </c>
      <c r="Q68" s="64" t="e">
        <f t="shared" si="7"/>
        <v>#DIV/0!</v>
      </c>
      <c r="R68" s="64" t="e">
        <f t="shared" si="8"/>
        <v>#DIV/0!</v>
      </c>
      <c r="S68" s="67" t="e">
        <f t="shared" si="9"/>
        <v>#DIV/0!</v>
      </c>
      <c r="T68" s="64" t="e">
        <f t="shared" si="10"/>
        <v>#DIV/0!</v>
      </c>
      <c r="U68" s="68" t="e">
        <f t="shared" si="11"/>
        <v>#DIV/0!</v>
      </c>
    </row>
    <row r="69" spans="1:21" x14ac:dyDescent="0.2">
      <c r="A69" s="61" t="s">
        <v>208</v>
      </c>
      <c r="B69" s="62" t="s">
        <v>320</v>
      </c>
      <c r="C69" s="62" t="s">
        <v>210</v>
      </c>
      <c r="D69" s="62" t="s">
        <v>321</v>
      </c>
      <c r="E69" s="62" t="s">
        <v>209</v>
      </c>
      <c r="F69" s="63" t="s">
        <v>322</v>
      </c>
      <c r="G69" s="62" t="s">
        <v>234</v>
      </c>
      <c r="H69" s="62" t="s">
        <v>172</v>
      </c>
      <c r="I69" s="62" t="s">
        <v>26</v>
      </c>
      <c r="J69" s="62" t="s">
        <v>140</v>
      </c>
      <c r="K69" s="64">
        <v>72.599999999999994</v>
      </c>
      <c r="L69" s="64">
        <f t="shared" ref="L69:L100" si="12">K69*VLOOKUP(I69,dagsoorttabel1,2,FALSE)</f>
        <v>2.2776470588235291</v>
      </c>
      <c r="M69" s="65">
        <f>prodnorm26</f>
        <v>0</v>
      </c>
      <c r="N69" s="66">
        <f>dagwerk26</f>
        <v>0</v>
      </c>
      <c r="O69" s="62" t="s">
        <v>44</v>
      </c>
      <c r="P69" s="67">
        <f>uurtarief26</f>
        <v>0</v>
      </c>
      <c r="Q69" s="64" t="e">
        <f t="shared" ref="Q69:Q100" si="13">IF(ISBLANK(M69),0,L69/ROUND(M69,4))</f>
        <v>#DIV/0!</v>
      </c>
      <c r="R69" s="64" t="e">
        <f t="shared" ref="R69:R100" si="14">IF(ISBLANK(M69),0,Q69*ROUND(N69,2))</f>
        <v>#DIV/0!</v>
      </c>
      <c r="S69" s="67" t="e">
        <f t="shared" ref="S69:S100" si="15">ROUND(P69,2)*Q69</f>
        <v>#DIV/0!</v>
      </c>
      <c r="T69" s="64" t="e">
        <f t="shared" ref="T69:T100" si="16">Q69*dagenperjaar1</f>
        <v>#DIV/0!</v>
      </c>
      <c r="U69" s="68" t="e">
        <f t="shared" ref="U69:U100" si="17">T69*ROUND(P69,2)</f>
        <v>#DIV/0!</v>
      </c>
    </row>
    <row r="70" spans="1:21" x14ac:dyDescent="0.2">
      <c r="A70" s="61" t="s">
        <v>208</v>
      </c>
      <c r="B70" s="62" t="s">
        <v>320</v>
      </c>
      <c r="C70" s="62" t="s">
        <v>210</v>
      </c>
      <c r="D70" s="62" t="s">
        <v>323</v>
      </c>
      <c r="E70" s="62" t="s">
        <v>209</v>
      </c>
      <c r="F70" s="63" t="s">
        <v>324</v>
      </c>
      <c r="G70" s="62" t="s">
        <v>213</v>
      </c>
      <c r="H70" s="62" t="s">
        <v>179</v>
      </c>
      <c r="I70" s="62" t="s">
        <v>26</v>
      </c>
      <c r="J70" s="62" t="s">
        <v>140</v>
      </c>
      <c r="K70" s="64">
        <v>119.3</v>
      </c>
      <c r="L70" s="64">
        <f t="shared" si="12"/>
        <v>3.7427450980392156</v>
      </c>
      <c r="M70" s="65">
        <f>prodnorm32</f>
        <v>0</v>
      </c>
      <c r="N70" s="66">
        <f>dagwerk32</f>
        <v>0</v>
      </c>
      <c r="O70" s="62" t="s">
        <v>44</v>
      </c>
      <c r="P70" s="67">
        <f>uurtarief32</f>
        <v>0</v>
      </c>
      <c r="Q70" s="64" t="e">
        <f t="shared" si="13"/>
        <v>#DIV/0!</v>
      </c>
      <c r="R70" s="64" t="e">
        <f t="shared" si="14"/>
        <v>#DIV/0!</v>
      </c>
      <c r="S70" s="67" t="e">
        <f t="shared" si="15"/>
        <v>#DIV/0!</v>
      </c>
      <c r="T70" s="64" t="e">
        <f t="shared" si="16"/>
        <v>#DIV/0!</v>
      </c>
      <c r="U70" s="68" t="e">
        <f t="shared" si="17"/>
        <v>#DIV/0!</v>
      </c>
    </row>
    <row r="71" spans="1:21" x14ac:dyDescent="0.2">
      <c r="A71" s="61" t="s">
        <v>208</v>
      </c>
      <c r="B71" s="62" t="s">
        <v>320</v>
      </c>
      <c r="C71" s="62" t="s">
        <v>210</v>
      </c>
      <c r="D71" s="62" t="s">
        <v>328</v>
      </c>
      <c r="E71" s="62" t="s">
        <v>209</v>
      </c>
      <c r="F71" s="63" t="s">
        <v>329</v>
      </c>
      <c r="G71" s="62" t="s">
        <v>234</v>
      </c>
      <c r="H71" s="62" t="s">
        <v>180</v>
      </c>
      <c r="I71" s="62" t="s">
        <v>26</v>
      </c>
      <c r="J71" s="62" t="s">
        <v>140</v>
      </c>
      <c r="K71" s="64">
        <v>2</v>
      </c>
      <c r="L71" s="64">
        <f t="shared" si="12"/>
        <v>6.2745098039215685E-2</v>
      </c>
      <c r="M71" s="65">
        <f>prodnorm33</f>
        <v>0</v>
      </c>
      <c r="N71" s="66">
        <f>dagwerk33</f>
        <v>0</v>
      </c>
      <c r="O71" s="62" t="s">
        <v>44</v>
      </c>
      <c r="P71" s="67">
        <f>uurtarief33</f>
        <v>0</v>
      </c>
      <c r="Q71" s="64" t="e">
        <f t="shared" si="13"/>
        <v>#DIV/0!</v>
      </c>
      <c r="R71" s="64" t="e">
        <f t="shared" si="14"/>
        <v>#DIV/0!</v>
      </c>
      <c r="S71" s="67" t="e">
        <f t="shared" si="15"/>
        <v>#DIV/0!</v>
      </c>
      <c r="T71" s="64" t="e">
        <f t="shared" si="16"/>
        <v>#DIV/0!</v>
      </c>
      <c r="U71" s="68" t="e">
        <f t="shared" si="17"/>
        <v>#DIV/0!</v>
      </c>
    </row>
    <row r="72" spans="1:21" x14ac:dyDescent="0.2">
      <c r="A72" s="61" t="s">
        <v>208</v>
      </c>
      <c r="B72" s="62" t="s">
        <v>320</v>
      </c>
      <c r="C72" s="62" t="s">
        <v>210</v>
      </c>
      <c r="D72" s="62" t="s">
        <v>330</v>
      </c>
      <c r="E72" s="62" t="s">
        <v>209</v>
      </c>
      <c r="F72" s="63" t="s">
        <v>254</v>
      </c>
      <c r="G72" s="62" t="s">
        <v>234</v>
      </c>
      <c r="H72" s="62" t="s">
        <v>180</v>
      </c>
      <c r="I72" s="62" t="s">
        <v>26</v>
      </c>
      <c r="J72" s="62" t="s">
        <v>140</v>
      </c>
      <c r="K72" s="64">
        <v>1.4</v>
      </c>
      <c r="L72" s="64">
        <f t="shared" si="12"/>
        <v>4.3921568627450974E-2</v>
      </c>
      <c r="M72" s="65">
        <f>prodnorm33</f>
        <v>0</v>
      </c>
      <c r="N72" s="66">
        <f>dagwerk33</f>
        <v>0</v>
      </c>
      <c r="O72" s="62" t="s">
        <v>44</v>
      </c>
      <c r="P72" s="67">
        <f>uurtarief33</f>
        <v>0</v>
      </c>
      <c r="Q72" s="64" t="e">
        <f t="shared" si="13"/>
        <v>#DIV/0!</v>
      </c>
      <c r="R72" s="64" t="e">
        <f t="shared" si="14"/>
        <v>#DIV/0!</v>
      </c>
      <c r="S72" s="67" t="e">
        <f t="shared" si="15"/>
        <v>#DIV/0!</v>
      </c>
      <c r="T72" s="64" t="e">
        <f t="shared" si="16"/>
        <v>#DIV/0!</v>
      </c>
      <c r="U72" s="68" t="e">
        <f t="shared" si="17"/>
        <v>#DIV/0!</v>
      </c>
    </row>
    <row r="73" spans="1:21" x14ac:dyDescent="0.2">
      <c r="A73" s="61" t="s">
        <v>208</v>
      </c>
      <c r="B73" s="62" t="s">
        <v>320</v>
      </c>
      <c r="C73" s="62" t="s">
        <v>210</v>
      </c>
      <c r="D73" s="62" t="s">
        <v>331</v>
      </c>
      <c r="E73" s="62" t="s">
        <v>209</v>
      </c>
      <c r="F73" s="63" t="s">
        <v>329</v>
      </c>
      <c r="G73" s="62" t="s">
        <v>234</v>
      </c>
      <c r="H73" s="62" t="s">
        <v>180</v>
      </c>
      <c r="I73" s="62" t="s">
        <v>26</v>
      </c>
      <c r="J73" s="62" t="s">
        <v>140</v>
      </c>
      <c r="K73" s="64">
        <v>2</v>
      </c>
      <c r="L73" s="64">
        <f t="shared" si="12"/>
        <v>6.2745098039215685E-2</v>
      </c>
      <c r="M73" s="65">
        <f>prodnorm33</f>
        <v>0</v>
      </c>
      <c r="N73" s="66">
        <f>dagwerk33</f>
        <v>0</v>
      </c>
      <c r="O73" s="62" t="s">
        <v>44</v>
      </c>
      <c r="P73" s="67">
        <f>uurtarief33</f>
        <v>0</v>
      </c>
      <c r="Q73" s="64" t="e">
        <f t="shared" si="13"/>
        <v>#DIV/0!</v>
      </c>
      <c r="R73" s="64" t="e">
        <f t="shared" si="14"/>
        <v>#DIV/0!</v>
      </c>
      <c r="S73" s="67" t="e">
        <f t="shared" si="15"/>
        <v>#DIV/0!</v>
      </c>
      <c r="T73" s="64" t="e">
        <f t="shared" si="16"/>
        <v>#DIV/0!</v>
      </c>
      <c r="U73" s="68" t="e">
        <f t="shared" si="17"/>
        <v>#DIV/0!</v>
      </c>
    </row>
    <row r="74" spans="1:21" x14ac:dyDescent="0.2">
      <c r="A74" s="61" t="s">
        <v>208</v>
      </c>
      <c r="B74" s="62" t="s">
        <v>320</v>
      </c>
      <c r="C74" s="62" t="s">
        <v>210</v>
      </c>
      <c r="D74" s="62" t="s">
        <v>332</v>
      </c>
      <c r="E74" s="62" t="s">
        <v>209</v>
      </c>
      <c r="F74" s="63" t="s">
        <v>254</v>
      </c>
      <c r="G74" s="62" t="s">
        <v>234</v>
      </c>
      <c r="H74" s="62" t="s">
        <v>180</v>
      </c>
      <c r="I74" s="62" t="s">
        <v>26</v>
      </c>
      <c r="J74" s="62" t="s">
        <v>140</v>
      </c>
      <c r="K74" s="64">
        <v>1.4</v>
      </c>
      <c r="L74" s="64">
        <f t="shared" si="12"/>
        <v>4.3921568627450974E-2</v>
      </c>
      <c r="M74" s="65">
        <f>prodnorm33</f>
        <v>0</v>
      </c>
      <c r="N74" s="66">
        <f>dagwerk33</f>
        <v>0</v>
      </c>
      <c r="O74" s="62" t="s">
        <v>44</v>
      </c>
      <c r="P74" s="67">
        <f>uurtarief33</f>
        <v>0</v>
      </c>
      <c r="Q74" s="64" t="e">
        <f t="shared" si="13"/>
        <v>#DIV/0!</v>
      </c>
      <c r="R74" s="64" t="e">
        <f t="shared" si="14"/>
        <v>#DIV/0!</v>
      </c>
      <c r="S74" s="67" t="e">
        <f t="shared" si="15"/>
        <v>#DIV/0!</v>
      </c>
      <c r="T74" s="64" t="e">
        <f t="shared" si="16"/>
        <v>#DIV/0!</v>
      </c>
      <c r="U74" s="68" t="e">
        <f t="shared" si="17"/>
        <v>#DIV/0!</v>
      </c>
    </row>
    <row r="75" spans="1:21" x14ac:dyDescent="0.2">
      <c r="A75" s="61" t="s">
        <v>208</v>
      </c>
      <c r="B75" s="62" t="s">
        <v>320</v>
      </c>
      <c r="C75" s="62" t="s">
        <v>210</v>
      </c>
      <c r="D75" s="62" t="s">
        <v>335</v>
      </c>
      <c r="E75" s="62" t="s">
        <v>209</v>
      </c>
      <c r="F75" s="63" t="s">
        <v>336</v>
      </c>
      <c r="G75" s="62" t="s">
        <v>213</v>
      </c>
      <c r="H75" s="62" t="s">
        <v>182</v>
      </c>
      <c r="I75" s="62" t="s">
        <v>26</v>
      </c>
      <c r="J75" s="62" t="s">
        <v>140</v>
      </c>
      <c r="K75" s="64">
        <v>17.7</v>
      </c>
      <c r="L75" s="64">
        <f t="shared" si="12"/>
        <v>0.55529411764705883</v>
      </c>
      <c r="M75" s="65">
        <f>prodnorm35</f>
        <v>0</v>
      </c>
      <c r="N75" s="66">
        <f>dagwerk35</f>
        <v>0</v>
      </c>
      <c r="O75" s="62" t="s">
        <v>44</v>
      </c>
      <c r="P75" s="67">
        <f>uurtarief35</f>
        <v>0</v>
      </c>
      <c r="Q75" s="64" t="e">
        <f t="shared" si="13"/>
        <v>#DIV/0!</v>
      </c>
      <c r="R75" s="64" t="e">
        <f t="shared" si="14"/>
        <v>#DIV/0!</v>
      </c>
      <c r="S75" s="67" t="e">
        <f t="shared" si="15"/>
        <v>#DIV/0!</v>
      </c>
      <c r="T75" s="64" t="e">
        <f t="shared" si="16"/>
        <v>#DIV/0!</v>
      </c>
      <c r="U75" s="68" t="e">
        <f t="shared" si="17"/>
        <v>#DIV/0!</v>
      </c>
    </row>
    <row r="76" spans="1:21" x14ac:dyDescent="0.2">
      <c r="A76" s="61" t="s">
        <v>208</v>
      </c>
      <c r="B76" s="62" t="s">
        <v>320</v>
      </c>
      <c r="C76" s="62" t="s">
        <v>210</v>
      </c>
      <c r="D76" s="62" t="s">
        <v>337</v>
      </c>
      <c r="E76" s="62" t="s">
        <v>209</v>
      </c>
      <c r="F76" s="63" t="s">
        <v>254</v>
      </c>
      <c r="G76" s="62" t="s">
        <v>234</v>
      </c>
      <c r="H76" s="62" t="s">
        <v>180</v>
      </c>
      <c r="I76" s="62" t="s">
        <v>26</v>
      </c>
      <c r="J76" s="62" t="s">
        <v>140</v>
      </c>
      <c r="K76" s="64">
        <v>1.4</v>
      </c>
      <c r="L76" s="64">
        <f t="shared" si="12"/>
        <v>4.3921568627450974E-2</v>
      </c>
      <c r="M76" s="65">
        <f>prodnorm33</f>
        <v>0</v>
      </c>
      <c r="N76" s="66">
        <f>dagwerk33</f>
        <v>0</v>
      </c>
      <c r="O76" s="62" t="s">
        <v>44</v>
      </c>
      <c r="P76" s="67">
        <f>uurtarief33</f>
        <v>0</v>
      </c>
      <c r="Q76" s="64" t="e">
        <f t="shared" si="13"/>
        <v>#DIV/0!</v>
      </c>
      <c r="R76" s="64" t="e">
        <f t="shared" si="14"/>
        <v>#DIV/0!</v>
      </c>
      <c r="S76" s="67" t="e">
        <f t="shared" si="15"/>
        <v>#DIV/0!</v>
      </c>
      <c r="T76" s="64" t="e">
        <f t="shared" si="16"/>
        <v>#DIV/0!</v>
      </c>
      <c r="U76" s="68" t="e">
        <f t="shared" si="17"/>
        <v>#DIV/0!</v>
      </c>
    </row>
    <row r="77" spans="1:21" x14ac:dyDescent="0.2">
      <c r="A77" s="61" t="s">
        <v>208</v>
      </c>
      <c r="B77" s="62" t="s">
        <v>320</v>
      </c>
      <c r="C77" s="62" t="s">
        <v>210</v>
      </c>
      <c r="D77" s="62" t="s">
        <v>338</v>
      </c>
      <c r="E77" s="62" t="s">
        <v>209</v>
      </c>
      <c r="F77" s="63" t="s">
        <v>339</v>
      </c>
      <c r="G77" s="62" t="s">
        <v>213</v>
      </c>
      <c r="H77" s="62" t="s">
        <v>175</v>
      </c>
      <c r="I77" s="62" t="s">
        <v>26</v>
      </c>
      <c r="J77" s="62" t="s">
        <v>140</v>
      </c>
      <c r="K77" s="64">
        <v>67.099999999999994</v>
      </c>
      <c r="L77" s="64">
        <f t="shared" si="12"/>
        <v>2.1050980392156862</v>
      </c>
      <c r="M77" s="65">
        <f>prodnorm28</f>
        <v>0</v>
      </c>
      <c r="N77" s="66">
        <f>dagwerk28</f>
        <v>0</v>
      </c>
      <c r="O77" s="62" t="s">
        <v>44</v>
      </c>
      <c r="P77" s="67">
        <f>uurtarief28</f>
        <v>0</v>
      </c>
      <c r="Q77" s="64" t="e">
        <f t="shared" si="13"/>
        <v>#DIV/0!</v>
      </c>
      <c r="R77" s="64" t="e">
        <f t="shared" si="14"/>
        <v>#DIV/0!</v>
      </c>
      <c r="S77" s="67" t="e">
        <f t="shared" si="15"/>
        <v>#DIV/0!</v>
      </c>
      <c r="T77" s="64" t="e">
        <f t="shared" si="16"/>
        <v>#DIV/0!</v>
      </c>
      <c r="U77" s="68" t="e">
        <f t="shared" si="17"/>
        <v>#DIV/0!</v>
      </c>
    </row>
    <row r="78" spans="1:21" x14ac:dyDescent="0.2">
      <c r="A78" s="61" t="s">
        <v>208</v>
      </c>
      <c r="B78" s="62" t="s">
        <v>320</v>
      </c>
      <c r="C78" s="62" t="s">
        <v>210</v>
      </c>
      <c r="D78" s="62" t="s">
        <v>340</v>
      </c>
      <c r="E78" s="62" t="s">
        <v>209</v>
      </c>
      <c r="F78" s="63" t="s">
        <v>341</v>
      </c>
      <c r="G78" s="62" t="s">
        <v>234</v>
      </c>
      <c r="H78" s="62" t="s">
        <v>182</v>
      </c>
      <c r="I78" s="62" t="s">
        <v>26</v>
      </c>
      <c r="J78" s="62" t="s">
        <v>140</v>
      </c>
      <c r="K78" s="64">
        <v>166.9</v>
      </c>
      <c r="L78" s="64">
        <f t="shared" si="12"/>
        <v>5.2360784313725492</v>
      </c>
      <c r="M78" s="65">
        <f>prodnorm35</f>
        <v>0</v>
      </c>
      <c r="N78" s="66">
        <f>dagwerk35</f>
        <v>0</v>
      </c>
      <c r="O78" s="62" t="s">
        <v>44</v>
      </c>
      <c r="P78" s="67">
        <f>uurtarief35</f>
        <v>0</v>
      </c>
      <c r="Q78" s="64" t="e">
        <f t="shared" si="13"/>
        <v>#DIV/0!</v>
      </c>
      <c r="R78" s="64" t="e">
        <f t="shared" si="14"/>
        <v>#DIV/0!</v>
      </c>
      <c r="S78" s="67" t="e">
        <f t="shared" si="15"/>
        <v>#DIV/0!</v>
      </c>
      <c r="T78" s="64" t="e">
        <f t="shared" si="16"/>
        <v>#DIV/0!</v>
      </c>
      <c r="U78" s="68" t="e">
        <f t="shared" si="17"/>
        <v>#DIV/0!</v>
      </c>
    </row>
    <row r="79" spans="1:21" x14ac:dyDescent="0.2">
      <c r="A79" s="61" t="s">
        <v>208</v>
      </c>
      <c r="B79" s="62" t="s">
        <v>320</v>
      </c>
      <c r="C79" s="62" t="s">
        <v>210</v>
      </c>
      <c r="D79" s="62" t="s">
        <v>342</v>
      </c>
      <c r="E79" s="62" t="s">
        <v>209</v>
      </c>
      <c r="F79" s="63" t="s">
        <v>212</v>
      </c>
      <c r="G79" s="62" t="s">
        <v>213</v>
      </c>
      <c r="H79" s="62" t="s">
        <v>181</v>
      </c>
      <c r="I79" s="62" t="s">
        <v>26</v>
      </c>
      <c r="J79" s="62" t="s">
        <v>140</v>
      </c>
      <c r="K79" s="64">
        <v>56.1</v>
      </c>
      <c r="L79" s="64">
        <f t="shared" si="12"/>
        <v>1.76</v>
      </c>
      <c r="M79" s="65">
        <f>prodnorm34</f>
        <v>0</v>
      </c>
      <c r="N79" s="66">
        <f>dagwerk34</f>
        <v>0</v>
      </c>
      <c r="O79" s="62" t="s">
        <v>44</v>
      </c>
      <c r="P79" s="67">
        <f>uurtarief34</f>
        <v>0</v>
      </c>
      <c r="Q79" s="64" t="e">
        <f t="shared" si="13"/>
        <v>#DIV/0!</v>
      </c>
      <c r="R79" s="64" t="e">
        <f t="shared" si="14"/>
        <v>#DIV/0!</v>
      </c>
      <c r="S79" s="67" t="e">
        <f t="shared" si="15"/>
        <v>#DIV/0!</v>
      </c>
      <c r="T79" s="64" t="e">
        <f t="shared" si="16"/>
        <v>#DIV/0!</v>
      </c>
      <c r="U79" s="68" t="e">
        <f t="shared" si="17"/>
        <v>#DIV/0!</v>
      </c>
    </row>
    <row r="80" spans="1:21" x14ac:dyDescent="0.2">
      <c r="A80" s="61" t="s">
        <v>208</v>
      </c>
      <c r="B80" s="62" t="s">
        <v>320</v>
      </c>
      <c r="C80" s="62" t="s">
        <v>210</v>
      </c>
      <c r="D80" s="62" t="s">
        <v>343</v>
      </c>
      <c r="E80" s="62" t="s">
        <v>209</v>
      </c>
      <c r="F80" s="63" t="s">
        <v>236</v>
      </c>
      <c r="G80" s="62" t="s">
        <v>213</v>
      </c>
      <c r="H80" s="62" t="s">
        <v>176</v>
      </c>
      <c r="I80" s="62" t="s">
        <v>26</v>
      </c>
      <c r="J80" s="62" t="s">
        <v>140</v>
      </c>
      <c r="K80" s="64">
        <v>8</v>
      </c>
      <c r="L80" s="64">
        <f t="shared" si="12"/>
        <v>0.25098039215686274</v>
      </c>
      <c r="M80" s="65">
        <f>prodnorm29</f>
        <v>0</v>
      </c>
      <c r="N80" s="66">
        <f>dagwerk29</f>
        <v>0</v>
      </c>
      <c r="O80" s="62" t="s">
        <v>44</v>
      </c>
      <c r="P80" s="67">
        <f>uurtarief29</f>
        <v>0</v>
      </c>
      <c r="Q80" s="64" t="e">
        <f t="shared" si="13"/>
        <v>#DIV/0!</v>
      </c>
      <c r="R80" s="64" t="e">
        <f t="shared" si="14"/>
        <v>#DIV/0!</v>
      </c>
      <c r="S80" s="67" t="e">
        <f t="shared" si="15"/>
        <v>#DIV/0!</v>
      </c>
      <c r="T80" s="64" t="e">
        <f t="shared" si="16"/>
        <v>#DIV/0!</v>
      </c>
      <c r="U80" s="68" t="e">
        <f t="shared" si="17"/>
        <v>#DIV/0!</v>
      </c>
    </row>
    <row r="81" spans="1:21" x14ac:dyDescent="0.2">
      <c r="A81" s="61" t="s">
        <v>208</v>
      </c>
      <c r="B81" s="62" t="s">
        <v>320</v>
      </c>
      <c r="C81" s="62" t="s">
        <v>210</v>
      </c>
      <c r="D81" s="62" t="s">
        <v>344</v>
      </c>
      <c r="E81" s="62" t="s">
        <v>209</v>
      </c>
      <c r="F81" s="63" t="s">
        <v>236</v>
      </c>
      <c r="G81" s="62" t="s">
        <v>213</v>
      </c>
      <c r="H81" s="62" t="s">
        <v>176</v>
      </c>
      <c r="I81" s="62" t="s">
        <v>26</v>
      </c>
      <c r="J81" s="62" t="s">
        <v>140</v>
      </c>
      <c r="K81" s="64">
        <v>8</v>
      </c>
      <c r="L81" s="64">
        <f t="shared" si="12"/>
        <v>0.25098039215686274</v>
      </c>
      <c r="M81" s="65">
        <f>prodnorm29</f>
        <v>0</v>
      </c>
      <c r="N81" s="66">
        <f>dagwerk29</f>
        <v>0</v>
      </c>
      <c r="O81" s="62" t="s">
        <v>44</v>
      </c>
      <c r="P81" s="67">
        <f>uurtarief29</f>
        <v>0</v>
      </c>
      <c r="Q81" s="64" t="e">
        <f t="shared" si="13"/>
        <v>#DIV/0!</v>
      </c>
      <c r="R81" s="64" t="e">
        <f t="shared" si="14"/>
        <v>#DIV/0!</v>
      </c>
      <c r="S81" s="67" t="e">
        <f t="shared" si="15"/>
        <v>#DIV/0!</v>
      </c>
      <c r="T81" s="64" t="e">
        <f t="shared" si="16"/>
        <v>#DIV/0!</v>
      </c>
      <c r="U81" s="68" t="e">
        <f t="shared" si="17"/>
        <v>#DIV/0!</v>
      </c>
    </row>
    <row r="82" spans="1:21" x14ac:dyDescent="0.2">
      <c r="A82" s="61" t="s">
        <v>208</v>
      </c>
      <c r="B82" s="62" t="s">
        <v>320</v>
      </c>
      <c r="C82" s="62" t="s">
        <v>210</v>
      </c>
      <c r="D82" s="62" t="s">
        <v>350</v>
      </c>
      <c r="E82" s="62" t="s">
        <v>209</v>
      </c>
      <c r="F82" s="63" t="s">
        <v>351</v>
      </c>
      <c r="G82" s="62" t="s">
        <v>234</v>
      </c>
      <c r="H82" s="62" t="s">
        <v>180</v>
      </c>
      <c r="I82" s="62" t="s">
        <v>26</v>
      </c>
      <c r="J82" s="62" t="s">
        <v>140</v>
      </c>
      <c r="K82" s="64">
        <v>4.0999999999999996</v>
      </c>
      <c r="L82" s="64">
        <f t="shared" si="12"/>
        <v>0.12862745098039213</v>
      </c>
      <c r="M82" s="65">
        <f>prodnorm33</f>
        <v>0</v>
      </c>
      <c r="N82" s="66">
        <f>dagwerk33</f>
        <v>0</v>
      </c>
      <c r="O82" s="62" t="s">
        <v>44</v>
      </c>
      <c r="P82" s="67">
        <f>uurtarief33</f>
        <v>0</v>
      </c>
      <c r="Q82" s="64" t="e">
        <f t="shared" si="13"/>
        <v>#DIV/0!</v>
      </c>
      <c r="R82" s="64" t="e">
        <f t="shared" si="14"/>
        <v>#DIV/0!</v>
      </c>
      <c r="S82" s="67" t="e">
        <f t="shared" si="15"/>
        <v>#DIV/0!</v>
      </c>
      <c r="T82" s="64" t="e">
        <f t="shared" si="16"/>
        <v>#DIV/0!</v>
      </c>
      <c r="U82" s="68" t="e">
        <f t="shared" si="17"/>
        <v>#DIV/0!</v>
      </c>
    </row>
    <row r="83" spans="1:21" x14ac:dyDescent="0.2">
      <c r="A83" s="61" t="s">
        <v>208</v>
      </c>
      <c r="B83" s="62" t="s">
        <v>320</v>
      </c>
      <c r="C83" s="62" t="s">
        <v>210</v>
      </c>
      <c r="D83" s="62" t="s">
        <v>489</v>
      </c>
      <c r="E83" s="62" t="s">
        <v>209</v>
      </c>
      <c r="F83" s="63" t="s">
        <v>254</v>
      </c>
      <c r="G83" s="62" t="s">
        <v>234</v>
      </c>
      <c r="H83" s="62" t="s">
        <v>180</v>
      </c>
      <c r="I83" s="62" t="s">
        <v>26</v>
      </c>
      <c r="J83" s="62" t="s">
        <v>140</v>
      </c>
      <c r="K83" s="64">
        <v>1.3</v>
      </c>
      <c r="L83" s="64">
        <f t="shared" si="12"/>
        <v>4.0784313725490198E-2</v>
      </c>
      <c r="M83" s="65">
        <f>prodnorm33</f>
        <v>0</v>
      </c>
      <c r="N83" s="66">
        <f>dagwerk33</f>
        <v>0</v>
      </c>
      <c r="O83" s="62" t="s">
        <v>44</v>
      </c>
      <c r="P83" s="67">
        <f>uurtarief33</f>
        <v>0</v>
      </c>
      <c r="Q83" s="64" t="e">
        <f t="shared" si="13"/>
        <v>#DIV/0!</v>
      </c>
      <c r="R83" s="64" t="e">
        <f t="shared" si="14"/>
        <v>#DIV/0!</v>
      </c>
      <c r="S83" s="67" t="e">
        <f t="shared" si="15"/>
        <v>#DIV/0!</v>
      </c>
      <c r="T83" s="64" t="e">
        <f t="shared" si="16"/>
        <v>#DIV/0!</v>
      </c>
      <c r="U83" s="68" t="e">
        <f t="shared" si="17"/>
        <v>#DIV/0!</v>
      </c>
    </row>
    <row r="84" spans="1:21" x14ac:dyDescent="0.2">
      <c r="A84" s="61" t="s">
        <v>208</v>
      </c>
      <c r="B84" s="62" t="s">
        <v>320</v>
      </c>
      <c r="C84" s="62" t="s">
        <v>210</v>
      </c>
      <c r="D84" s="62" t="s">
        <v>352</v>
      </c>
      <c r="E84" s="62" t="s">
        <v>209</v>
      </c>
      <c r="F84" s="63" t="s">
        <v>254</v>
      </c>
      <c r="G84" s="62" t="s">
        <v>234</v>
      </c>
      <c r="H84" s="62" t="s">
        <v>180</v>
      </c>
      <c r="I84" s="62" t="s">
        <v>26</v>
      </c>
      <c r="J84" s="62" t="s">
        <v>140</v>
      </c>
      <c r="K84" s="64">
        <v>1.3</v>
      </c>
      <c r="L84" s="64">
        <f t="shared" si="12"/>
        <v>4.0784313725490198E-2</v>
      </c>
      <c r="M84" s="65">
        <f>prodnorm33</f>
        <v>0</v>
      </c>
      <c r="N84" s="66">
        <f>dagwerk33</f>
        <v>0</v>
      </c>
      <c r="O84" s="62" t="s">
        <v>44</v>
      </c>
      <c r="P84" s="67">
        <f>uurtarief33</f>
        <v>0</v>
      </c>
      <c r="Q84" s="64" t="e">
        <f t="shared" si="13"/>
        <v>#DIV/0!</v>
      </c>
      <c r="R84" s="64" t="e">
        <f t="shared" si="14"/>
        <v>#DIV/0!</v>
      </c>
      <c r="S84" s="67" t="e">
        <f t="shared" si="15"/>
        <v>#DIV/0!</v>
      </c>
      <c r="T84" s="64" t="e">
        <f t="shared" si="16"/>
        <v>#DIV/0!</v>
      </c>
      <c r="U84" s="68" t="e">
        <f t="shared" si="17"/>
        <v>#DIV/0!</v>
      </c>
    </row>
    <row r="85" spans="1:21" x14ac:dyDescent="0.2">
      <c r="A85" s="61" t="s">
        <v>208</v>
      </c>
      <c r="B85" s="62" t="s">
        <v>320</v>
      </c>
      <c r="C85" s="62" t="s">
        <v>210</v>
      </c>
      <c r="D85" s="62" t="s">
        <v>363</v>
      </c>
      <c r="E85" s="62" t="s">
        <v>209</v>
      </c>
      <c r="F85" s="63" t="s">
        <v>250</v>
      </c>
      <c r="G85" s="62" t="s">
        <v>213</v>
      </c>
      <c r="H85" s="62" t="s">
        <v>182</v>
      </c>
      <c r="I85" s="62" t="s">
        <v>26</v>
      </c>
      <c r="J85" s="62" t="s">
        <v>140</v>
      </c>
      <c r="K85" s="64">
        <v>98.1</v>
      </c>
      <c r="L85" s="64">
        <f t="shared" si="12"/>
        <v>3.0776470588235294</v>
      </c>
      <c r="M85" s="65">
        <f>prodnorm35</f>
        <v>0</v>
      </c>
      <c r="N85" s="66">
        <f>dagwerk35</f>
        <v>0</v>
      </c>
      <c r="O85" s="62" t="s">
        <v>44</v>
      </c>
      <c r="P85" s="67">
        <f>uurtarief35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5"/>
        <v>#DIV/0!</v>
      </c>
      <c r="T85" s="64" t="e">
        <f t="shared" si="16"/>
        <v>#DIV/0!</v>
      </c>
      <c r="U85" s="68" t="e">
        <f t="shared" si="17"/>
        <v>#DIV/0!</v>
      </c>
    </row>
    <row r="86" spans="1:21" x14ac:dyDescent="0.2">
      <c r="A86" s="61" t="s">
        <v>208</v>
      </c>
      <c r="B86" s="62" t="s">
        <v>320</v>
      </c>
      <c r="C86" s="62" t="s">
        <v>248</v>
      </c>
      <c r="D86" s="62" t="s">
        <v>364</v>
      </c>
      <c r="E86" s="62" t="s">
        <v>209</v>
      </c>
      <c r="F86" s="63" t="s">
        <v>212</v>
      </c>
      <c r="G86" s="62" t="s">
        <v>213</v>
      </c>
      <c r="H86" s="62" t="s">
        <v>181</v>
      </c>
      <c r="I86" s="62" t="s">
        <v>26</v>
      </c>
      <c r="J86" s="62" t="s">
        <v>140</v>
      </c>
      <c r="K86" s="64">
        <v>44.7</v>
      </c>
      <c r="L86" s="64">
        <f t="shared" si="12"/>
        <v>1.4023529411764706</v>
      </c>
      <c r="M86" s="65">
        <f>prodnorm34</f>
        <v>0</v>
      </c>
      <c r="N86" s="66">
        <f>dagwerk34</f>
        <v>0</v>
      </c>
      <c r="O86" s="62" t="s">
        <v>44</v>
      </c>
      <c r="P86" s="67">
        <f>uurtarief34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5"/>
        <v>#DIV/0!</v>
      </c>
      <c r="T86" s="64" t="e">
        <f t="shared" si="16"/>
        <v>#DIV/0!</v>
      </c>
      <c r="U86" s="68" t="e">
        <f t="shared" si="17"/>
        <v>#DIV/0!</v>
      </c>
    </row>
    <row r="87" spans="1:21" x14ac:dyDescent="0.2">
      <c r="A87" s="61" t="s">
        <v>208</v>
      </c>
      <c r="B87" s="62" t="s">
        <v>320</v>
      </c>
      <c r="C87" s="62" t="s">
        <v>248</v>
      </c>
      <c r="D87" s="62" t="s">
        <v>367</v>
      </c>
      <c r="E87" s="62" t="s">
        <v>209</v>
      </c>
      <c r="F87" s="63" t="s">
        <v>257</v>
      </c>
      <c r="G87" s="62" t="s">
        <v>234</v>
      </c>
      <c r="H87" s="62" t="s">
        <v>174</v>
      </c>
      <c r="I87" s="62" t="s">
        <v>26</v>
      </c>
      <c r="J87" s="62" t="s">
        <v>140</v>
      </c>
      <c r="K87" s="64">
        <v>10.7</v>
      </c>
      <c r="L87" s="64">
        <f t="shared" si="12"/>
        <v>0.33568627450980387</v>
      </c>
      <c r="M87" s="65">
        <f>prodnorm27</f>
        <v>0</v>
      </c>
      <c r="N87" s="66">
        <f>dagwerk27</f>
        <v>0</v>
      </c>
      <c r="O87" s="62" t="s">
        <v>44</v>
      </c>
      <c r="P87" s="67">
        <f>uurtarief27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5"/>
        <v>#DIV/0!</v>
      </c>
      <c r="T87" s="64" t="e">
        <f t="shared" si="16"/>
        <v>#DIV/0!</v>
      </c>
      <c r="U87" s="68" t="e">
        <f t="shared" si="17"/>
        <v>#DIV/0!</v>
      </c>
    </row>
    <row r="88" spans="1:21" x14ac:dyDescent="0.2">
      <c r="A88" s="61" t="s">
        <v>208</v>
      </c>
      <c r="B88" s="62" t="s">
        <v>320</v>
      </c>
      <c r="C88" s="62" t="s">
        <v>248</v>
      </c>
      <c r="D88" s="62" t="s">
        <v>368</v>
      </c>
      <c r="E88" s="62" t="s">
        <v>209</v>
      </c>
      <c r="F88" s="63" t="s">
        <v>215</v>
      </c>
      <c r="G88" s="62" t="s">
        <v>213</v>
      </c>
      <c r="H88" s="62" t="s">
        <v>182</v>
      </c>
      <c r="I88" s="62" t="s">
        <v>26</v>
      </c>
      <c r="J88" s="62" t="s">
        <v>140</v>
      </c>
      <c r="K88" s="64">
        <v>50.4</v>
      </c>
      <c r="L88" s="64">
        <f t="shared" si="12"/>
        <v>1.5811764705882352</v>
      </c>
      <c r="M88" s="65">
        <f>prodnorm35</f>
        <v>0</v>
      </c>
      <c r="N88" s="66">
        <f>dagwerk35</f>
        <v>0</v>
      </c>
      <c r="O88" s="62" t="s">
        <v>44</v>
      </c>
      <c r="P88" s="67">
        <f>uurtarief35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5"/>
        <v>#DIV/0!</v>
      </c>
      <c r="T88" s="64" t="e">
        <f t="shared" si="16"/>
        <v>#DIV/0!</v>
      </c>
      <c r="U88" s="68" t="e">
        <f t="shared" si="17"/>
        <v>#DIV/0!</v>
      </c>
    </row>
    <row r="89" spans="1:21" x14ac:dyDescent="0.2">
      <c r="A89" s="61" t="s">
        <v>208</v>
      </c>
      <c r="B89" s="62" t="s">
        <v>320</v>
      </c>
      <c r="C89" s="62" t="s">
        <v>248</v>
      </c>
      <c r="D89" s="62" t="s">
        <v>369</v>
      </c>
      <c r="E89" s="62" t="s">
        <v>209</v>
      </c>
      <c r="F89" s="63" t="s">
        <v>254</v>
      </c>
      <c r="G89" s="62" t="s">
        <v>234</v>
      </c>
      <c r="H89" s="62" t="s">
        <v>180</v>
      </c>
      <c r="I89" s="62" t="s">
        <v>26</v>
      </c>
      <c r="J89" s="62" t="s">
        <v>140</v>
      </c>
      <c r="K89" s="64">
        <v>1.1000000000000001</v>
      </c>
      <c r="L89" s="64">
        <f t="shared" si="12"/>
        <v>3.4509803921568633E-2</v>
      </c>
      <c r="M89" s="65">
        <f>prodnorm33</f>
        <v>0</v>
      </c>
      <c r="N89" s="66">
        <f>dagwerk33</f>
        <v>0</v>
      </c>
      <c r="O89" s="62" t="s">
        <v>44</v>
      </c>
      <c r="P89" s="67">
        <f>uurtarief33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5"/>
        <v>#DIV/0!</v>
      </c>
      <c r="T89" s="64" t="e">
        <f t="shared" si="16"/>
        <v>#DIV/0!</v>
      </c>
      <c r="U89" s="68" t="e">
        <f t="shared" si="17"/>
        <v>#DIV/0!</v>
      </c>
    </row>
    <row r="90" spans="1:21" x14ac:dyDescent="0.2">
      <c r="A90" s="61" t="s">
        <v>208</v>
      </c>
      <c r="B90" s="62" t="s">
        <v>320</v>
      </c>
      <c r="C90" s="62" t="s">
        <v>248</v>
      </c>
      <c r="D90" s="62" t="s">
        <v>371</v>
      </c>
      <c r="E90" s="62" t="s">
        <v>209</v>
      </c>
      <c r="F90" s="63" t="s">
        <v>257</v>
      </c>
      <c r="G90" s="62" t="s">
        <v>234</v>
      </c>
      <c r="H90" s="62" t="s">
        <v>174</v>
      </c>
      <c r="I90" s="62" t="s">
        <v>26</v>
      </c>
      <c r="J90" s="62" t="s">
        <v>140</v>
      </c>
      <c r="K90" s="64">
        <v>2</v>
      </c>
      <c r="L90" s="64">
        <f t="shared" si="12"/>
        <v>6.2745098039215685E-2</v>
      </c>
      <c r="M90" s="65">
        <f>prodnorm27</f>
        <v>0</v>
      </c>
      <c r="N90" s="66">
        <f>dagwerk27</f>
        <v>0</v>
      </c>
      <c r="O90" s="62" t="s">
        <v>44</v>
      </c>
      <c r="P90" s="67">
        <f>uurtarief27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5"/>
        <v>#DIV/0!</v>
      </c>
      <c r="T90" s="64" t="e">
        <f t="shared" si="16"/>
        <v>#DIV/0!</v>
      </c>
      <c r="U90" s="68" t="e">
        <f t="shared" si="17"/>
        <v>#DIV/0!</v>
      </c>
    </row>
    <row r="91" spans="1:21" x14ac:dyDescent="0.2">
      <c r="A91" s="61" t="s">
        <v>208</v>
      </c>
      <c r="B91" s="62" t="s">
        <v>320</v>
      </c>
      <c r="C91" s="62" t="s">
        <v>248</v>
      </c>
      <c r="D91" s="62" t="s">
        <v>374</v>
      </c>
      <c r="E91" s="62" t="s">
        <v>209</v>
      </c>
      <c r="F91" s="63" t="s">
        <v>254</v>
      </c>
      <c r="G91" s="62" t="s">
        <v>234</v>
      </c>
      <c r="H91" s="62" t="s">
        <v>180</v>
      </c>
      <c r="I91" s="62" t="s">
        <v>26</v>
      </c>
      <c r="J91" s="62" t="s">
        <v>140</v>
      </c>
      <c r="K91" s="64">
        <v>2</v>
      </c>
      <c r="L91" s="64">
        <f t="shared" si="12"/>
        <v>6.2745098039215685E-2</v>
      </c>
      <c r="M91" s="65">
        <f>prodnorm33</f>
        <v>0</v>
      </c>
      <c r="N91" s="66">
        <f>dagwerk33</f>
        <v>0</v>
      </c>
      <c r="O91" s="62" t="s">
        <v>44</v>
      </c>
      <c r="P91" s="67">
        <f>uurtarief33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5"/>
        <v>#DIV/0!</v>
      </c>
      <c r="T91" s="64" t="e">
        <f t="shared" si="16"/>
        <v>#DIV/0!</v>
      </c>
      <c r="U91" s="68" t="e">
        <f t="shared" si="17"/>
        <v>#DIV/0!</v>
      </c>
    </row>
    <row r="92" spans="1:21" x14ac:dyDescent="0.2">
      <c r="A92" s="61" t="s">
        <v>208</v>
      </c>
      <c r="B92" s="62" t="s">
        <v>320</v>
      </c>
      <c r="C92" s="62" t="s">
        <v>248</v>
      </c>
      <c r="D92" s="62" t="s">
        <v>375</v>
      </c>
      <c r="E92" s="62" t="s">
        <v>209</v>
      </c>
      <c r="F92" s="63" t="s">
        <v>261</v>
      </c>
      <c r="G92" s="62" t="s">
        <v>234</v>
      </c>
      <c r="H92" s="62" t="s">
        <v>178</v>
      </c>
      <c r="I92" s="62" t="s">
        <v>26</v>
      </c>
      <c r="J92" s="62" t="s">
        <v>140</v>
      </c>
      <c r="K92" s="64">
        <v>10.8</v>
      </c>
      <c r="L92" s="64">
        <f t="shared" si="12"/>
        <v>0.33882352941176475</v>
      </c>
      <c r="M92" s="65">
        <f>prodnorm31</f>
        <v>0</v>
      </c>
      <c r="N92" s="66">
        <f>dagwerk31</f>
        <v>0</v>
      </c>
      <c r="O92" s="62" t="s">
        <v>44</v>
      </c>
      <c r="P92" s="67">
        <f>uurtarief31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5"/>
        <v>#DIV/0!</v>
      </c>
      <c r="T92" s="64" t="e">
        <f t="shared" si="16"/>
        <v>#DIV/0!</v>
      </c>
      <c r="U92" s="68" t="e">
        <f t="shared" si="17"/>
        <v>#DIV/0!</v>
      </c>
    </row>
    <row r="93" spans="1:21" x14ac:dyDescent="0.2">
      <c r="A93" s="61" t="s">
        <v>208</v>
      </c>
      <c r="B93" s="62" t="s">
        <v>320</v>
      </c>
      <c r="C93" s="62" t="s">
        <v>248</v>
      </c>
      <c r="D93" s="62" t="s">
        <v>377</v>
      </c>
      <c r="E93" s="62" t="s">
        <v>209</v>
      </c>
      <c r="F93" s="63" t="s">
        <v>254</v>
      </c>
      <c r="G93" s="62" t="s">
        <v>234</v>
      </c>
      <c r="H93" s="62" t="s">
        <v>180</v>
      </c>
      <c r="I93" s="62" t="s">
        <v>26</v>
      </c>
      <c r="J93" s="62" t="s">
        <v>140</v>
      </c>
      <c r="K93" s="64">
        <v>2</v>
      </c>
      <c r="L93" s="64">
        <f t="shared" si="12"/>
        <v>6.2745098039215685E-2</v>
      </c>
      <c r="M93" s="65">
        <f>prodnorm33</f>
        <v>0</v>
      </c>
      <c r="N93" s="66">
        <f>dagwerk33</f>
        <v>0</v>
      </c>
      <c r="O93" s="62" t="s">
        <v>44</v>
      </c>
      <c r="P93" s="67">
        <f>uurtarief33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5"/>
        <v>#DIV/0!</v>
      </c>
      <c r="T93" s="64" t="e">
        <f t="shared" si="16"/>
        <v>#DIV/0!</v>
      </c>
      <c r="U93" s="68" t="e">
        <f t="shared" si="17"/>
        <v>#DIV/0!</v>
      </c>
    </row>
    <row r="94" spans="1:21" x14ac:dyDescent="0.2">
      <c r="A94" s="61" t="s">
        <v>208</v>
      </c>
      <c r="B94" s="62" t="s">
        <v>320</v>
      </c>
      <c r="C94" s="62" t="s">
        <v>248</v>
      </c>
      <c r="D94" s="62" t="s">
        <v>378</v>
      </c>
      <c r="E94" s="62" t="s">
        <v>209</v>
      </c>
      <c r="F94" s="63" t="s">
        <v>257</v>
      </c>
      <c r="G94" s="62" t="s">
        <v>234</v>
      </c>
      <c r="H94" s="62" t="s">
        <v>174</v>
      </c>
      <c r="I94" s="62" t="s">
        <v>26</v>
      </c>
      <c r="J94" s="62" t="s">
        <v>140</v>
      </c>
      <c r="K94" s="64">
        <v>2</v>
      </c>
      <c r="L94" s="64">
        <f t="shared" si="12"/>
        <v>6.2745098039215685E-2</v>
      </c>
      <c r="M94" s="65">
        <f>prodnorm27</f>
        <v>0</v>
      </c>
      <c r="N94" s="66">
        <f>dagwerk27</f>
        <v>0</v>
      </c>
      <c r="O94" s="62" t="s">
        <v>44</v>
      </c>
      <c r="P94" s="67">
        <f>uurtarief27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5"/>
        <v>#DIV/0!</v>
      </c>
      <c r="T94" s="64" t="e">
        <f t="shared" si="16"/>
        <v>#DIV/0!</v>
      </c>
      <c r="U94" s="68" t="e">
        <f t="shared" si="17"/>
        <v>#DIV/0!</v>
      </c>
    </row>
    <row r="95" spans="1:21" x14ac:dyDescent="0.2">
      <c r="A95" s="61" t="s">
        <v>208</v>
      </c>
      <c r="B95" s="62" t="s">
        <v>320</v>
      </c>
      <c r="C95" s="62" t="s">
        <v>248</v>
      </c>
      <c r="D95" s="62" t="s">
        <v>379</v>
      </c>
      <c r="E95" s="62" t="s">
        <v>209</v>
      </c>
      <c r="F95" s="63" t="s">
        <v>254</v>
      </c>
      <c r="G95" s="62" t="s">
        <v>234</v>
      </c>
      <c r="H95" s="62" t="s">
        <v>180</v>
      </c>
      <c r="I95" s="62" t="s">
        <v>26</v>
      </c>
      <c r="J95" s="62" t="s">
        <v>140</v>
      </c>
      <c r="K95" s="64">
        <v>4.0999999999999996</v>
      </c>
      <c r="L95" s="64">
        <f t="shared" si="12"/>
        <v>0.12862745098039213</v>
      </c>
      <c r="M95" s="65">
        <f>prodnorm33</f>
        <v>0</v>
      </c>
      <c r="N95" s="66">
        <f>dagwerk33</f>
        <v>0</v>
      </c>
      <c r="O95" s="62" t="s">
        <v>44</v>
      </c>
      <c r="P95" s="67">
        <f>uurtarief33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5"/>
        <v>#DIV/0!</v>
      </c>
      <c r="T95" s="64" t="e">
        <f t="shared" si="16"/>
        <v>#DIV/0!</v>
      </c>
      <c r="U95" s="68" t="e">
        <f t="shared" si="17"/>
        <v>#DIV/0!</v>
      </c>
    </row>
    <row r="96" spans="1:21" x14ac:dyDescent="0.2">
      <c r="A96" s="61" t="s">
        <v>208</v>
      </c>
      <c r="B96" s="62" t="s">
        <v>320</v>
      </c>
      <c r="C96" s="62" t="s">
        <v>248</v>
      </c>
      <c r="D96" s="62" t="s">
        <v>380</v>
      </c>
      <c r="E96" s="62" t="s">
        <v>209</v>
      </c>
      <c r="F96" s="63" t="s">
        <v>257</v>
      </c>
      <c r="G96" s="62" t="s">
        <v>234</v>
      </c>
      <c r="H96" s="62" t="s">
        <v>174</v>
      </c>
      <c r="I96" s="62" t="s">
        <v>26</v>
      </c>
      <c r="J96" s="62" t="s">
        <v>140</v>
      </c>
      <c r="K96" s="64">
        <v>4.0999999999999996</v>
      </c>
      <c r="L96" s="64">
        <f t="shared" si="12"/>
        <v>0.12862745098039213</v>
      </c>
      <c r="M96" s="65">
        <f>prodnorm27</f>
        <v>0</v>
      </c>
      <c r="N96" s="66">
        <f>dagwerk27</f>
        <v>0</v>
      </c>
      <c r="O96" s="62" t="s">
        <v>44</v>
      </c>
      <c r="P96" s="67">
        <f>uurtarief27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5"/>
        <v>#DIV/0!</v>
      </c>
      <c r="T96" s="64" t="e">
        <f t="shared" si="16"/>
        <v>#DIV/0!</v>
      </c>
      <c r="U96" s="68" t="e">
        <f t="shared" si="17"/>
        <v>#DIV/0!</v>
      </c>
    </row>
    <row r="97" spans="1:21" x14ac:dyDescent="0.2">
      <c r="A97" s="61" t="s">
        <v>208</v>
      </c>
      <c r="B97" s="62" t="s">
        <v>320</v>
      </c>
      <c r="C97" s="62" t="s">
        <v>248</v>
      </c>
      <c r="D97" s="62" t="s">
        <v>381</v>
      </c>
      <c r="E97" s="62" t="s">
        <v>209</v>
      </c>
      <c r="F97" s="63" t="s">
        <v>254</v>
      </c>
      <c r="G97" s="62" t="s">
        <v>234</v>
      </c>
      <c r="H97" s="62" t="s">
        <v>180</v>
      </c>
      <c r="I97" s="62" t="s">
        <v>26</v>
      </c>
      <c r="J97" s="62" t="s">
        <v>140</v>
      </c>
      <c r="K97" s="64">
        <v>2.1</v>
      </c>
      <c r="L97" s="64">
        <f t="shared" si="12"/>
        <v>6.5882352941176475E-2</v>
      </c>
      <c r="M97" s="65">
        <f>prodnorm33</f>
        <v>0</v>
      </c>
      <c r="N97" s="66">
        <f>dagwerk33</f>
        <v>0</v>
      </c>
      <c r="O97" s="62" t="s">
        <v>44</v>
      </c>
      <c r="P97" s="67">
        <f>uurtarief33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5"/>
        <v>#DIV/0!</v>
      </c>
      <c r="T97" s="64" t="e">
        <f t="shared" si="16"/>
        <v>#DIV/0!</v>
      </c>
      <c r="U97" s="68" t="e">
        <f t="shared" si="17"/>
        <v>#DIV/0!</v>
      </c>
    </row>
    <row r="98" spans="1:21" x14ac:dyDescent="0.2">
      <c r="A98" s="61" t="s">
        <v>208</v>
      </c>
      <c r="B98" s="62" t="s">
        <v>320</v>
      </c>
      <c r="C98" s="62" t="s">
        <v>248</v>
      </c>
      <c r="D98" s="62" t="s">
        <v>382</v>
      </c>
      <c r="E98" s="62" t="s">
        <v>209</v>
      </c>
      <c r="F98" s="63" t="s">
        <v>257</v>
      </c>
      <c r="G98" s="62" t="s">
        <v>234</v>
      </c>
      <c r="H98" s="62" t="s">
        <v>174</v>
      </c>
      <c r="I98" s="62" t="s">
        <v>26</v>
      </c>
      <c r="J98" s="62" t="s">
        <v>140</v>
      </c>
      <c r="K98" s="64">
        <v>2.1</v>
      </c>
      <c r="L98" s="64">
        <f t="shared" si="12"/>
        <v>6.5882352941176475E-2</v>
      </c>
      <c r="M98" s="65">
        <f>prodnorm27</f>
        <v>0</v>
      </c>
      <c r="N98" s="66">
        <f>dagwerk27</f>
        <v>0</v>
      </c>
      <c r="O98" s="62" t="s">
        <v>44</v>
      </c>
      <c r="P98" s="67">
        <f>uurtarief27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5"/>
        <v>#DIV/0!</v>
      </c>
      <c r="T98" s="64" t="e">
        <f t="shared" si="16"/>
        <v>#DIV/0!</v>
      </c>
      <c r="U98" s="68" t="e">
        <f t="shared" si="17"/>
        <v>#DIV/0!</v>
      </c>
    </row>
    <row r="99" spans="1:21" x14ac:dyDescent="0.2">
      <c r="A99" s="61" t="s">
        <v>208</v>
      </c>
      <c r="B99" s="62" t="s">
        <v>320</v>
      </c>
      <c r="C99" s="62" t="s">
        <v>248</v>
      </c>
      <c r="D99" s="62" t="s">
        <v>383</v>
      </c>
      <c r="E99" s="62" t="s">
        <v>209</v>
      </c>
      <c r="F99" s="63" t="s">
        <v>215</v>
      </c>
      <c r="G99" s="62" t="s">
        <v>213</v>
      </c>
      <c r="H99" s="62" t="s">
        <v>182</v>
      </c>
      <c r="I99" s="62" t="s">
        <v>26</v>
      </c>
      <c r="J99" s="62" t="s">
        <v>140</v>
      </c>
      <c r="K99" s="64">
        <v>70.599999999999994</v>
      </c>
      <c r="L99" s="64">
        <f t="shared" si="12"/>
        <v>2.2149019607843137</v>
      </c>
      <c r="M99" s="65">
        <f>prodnorm35</f>
        <v>0</v>
      </c>
      <c r="N99" s="66">
        <f>dagwerk35</f>
        <v>0</v>
      </c>
      <c r="O99" s="62" t="s">
        <v>44</v>
      </c>
      <c r="P99" s="67">
        <f>uurtarief35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5"/>
        <v>#DIV/0!</v>
      </c>
      <c r="T99" s="64" t="e">
        <f t="shared" si="16"/>
        <v>#DIV/0!</v>
      </c>
      <c r="U99" s="68" t="e">
        <f t="shared" si="17"/>
        <v>#DIV/0!</v>
      </c>
    </row>
    <row r="100" spans="1:21" x14ac:dyDescent="0.2">
      <c r="A100" s="61" t="s">
        <v>208</v>
      </c>
      <c r="B100" s="62" t="s">
        <v>320</v>
      </c>
      <c r="C100" s="62" t="s">
        <v>267</v>
      </c>
      <c r="D100" s="62" t="s">
        <v>384</v>
      </c>
      <c r="E100" s="62" t="s">
        <v>209</v>
      </c>
      <c r="F100" s="63" t="s">
        <v>212</v>
      </c>
      <c r="G100" s="62" t="s">
        <v>213</v>
      </c>
      <c r="H100" s="62" t="s">
        <v>181</v>
      </c>
      <c r="I100" s="62" t="s">
        <v>26</v>
      </c>
      <c r="J100" s="62" t="s">
        <v>140</v>
      </c>
      <c r="K100" s="64">
        <v>49.2</v>
      </c>
      <c r="L100" s="64">
        <f t="shared" si="12"/>
        <v>1.543529411764706</v>
      </c>
      <c r="M100" s="65">
        <f>prodnorm34</f>
        <v>0</v>
      </c>
      <c r="N100" s="66">
        <f>dagwerk34</f>
        <v>0</v>
      </c>
      <c r="O100" s="62" t="s">
        <v>44</v>
      </c>
      <c r="P100" s="67">
        <f>uurtarief34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5"/>
        <v>#DIV/0!</v>
      </c>
      <c r="T100" s="64" t="e">
        <f t="shared" si="16"/>
        <v>#DIV/0!</v>
      </c>
      <c r="U100" s="68" t="e">
        <f t="shared" si="17"/>
        <v>#DIV/0!</v>
      </c>
    </row>
    <row r="101" spans="1:21" x14ac:dyDescent="0.2">
      <c r="A101" s="61" t="s">
        <v>208</v>
      </c>
      <c r="B101" s="62" t="s">
        <v>320</v>
      </c>
      <c r="C101" s="62" t="s">
        <v>267</v>
      </c>
      <c r="D101" s="62" t="s">
        <v>385</v>
      </c>
      <c r="E101" s="62" t="s">
        <v>209</v>
      </c>
      <c r="F101" s="63" t="s">
        <v>366</v>
      </c>
      <c r="G101" s="62" t="s">
        <v>213</v>
      </c>
      <c r="H101" s="62" t="s">
        <v>172</v>
      </c>
      <c r="I101" s="62" t="s">
        <v>26</v>
      </c>
      <c r="J101" s="62" t="s">
        <v>140</v>
      </c>
      <c r="K101" s="64">
        <v>10</v>
      </c>
      <c r="L101" s="64">
        <f t="shared" ref="L101:L132" si="18">K101*VLOOKUP(I101,dagsoorttabel1,2,FALSE)</f>
        <v>0.31372549019607843</v>
      </c>
      <c r="M101" s="65">
        <f>prodnorm26</f>
        <v>0</v>
      </c>
      <c r="N101" s="66">
        <f>dagwerk26</f>
        <v>0</v>
      </c>
      <c r="O101" s="62" t="s">
        <v>44</v>
      </c>
      <c r="P101" s="67">
        <f>uurtarief26</f>
        <v>0</v>
      </c>
      <c r="Q101" s="64" t="e">
        <f t="shared" ref="Q101:Q132" si="19">IF(ISBLANK(M101),0,L101/ROUND(M101,4))</f>
        <v>#DIV/0!</v>
      </c>
      <c r="R101" s="64" t="e">
        <f t="shared" ref="R101:R132" si="20">IF(ISBLANK(M101),0,Q101*ROUND(N101,2))</f>
        <v>#DIV/0!</v>
      </c>
      <c r="S101" s="67" t="e">
        <f t="shared" ref="S101:S132" si="21">ROUND(P101,2)*Q101</f>
        <v>#DIV/0!</v>
      </c>
      <c r="T101" s="64" t="e">
        <f t="shared" ref="T101:T132" si="22">Q101*dagenperjaar1</f>
        <v>#DIV/0!</v>
      </c>
      <c r="U101" s="68" t="e">
        <f t="shared" ref="U101:U132" si="23">T101*ROUND(P101,2)</f>
        <v>#DIV/0!</v>
      </c>
    </row>
    <row r="102" spans="1:21" x14ac:dyDescent="0.2">
      <c r="A102" s="61" t="s">
        <v>208</v>
      </c>
      <c r="B102" s="62" t="s">
        <v>320</v>
      </c>
      <c r="C102" s="62" t="s">
        <v>267</v>
      </c>
      <c r="D102" s="62" t="s">
        <v>386</v>
      </c>
      <c r="E102" s="62" t="s">
        <v>209</v>
      </c>
      <c r="F102" s="63" t="s">
        <v>387</v>
      </c>
      <c r="G102" s="62" t="s">
        <v>234</v>
      </c>
      <c r="H102" s="62" t="s">
        <v>180</v>
      </c>
      <c r="I102" s="62" t="s">
        <v>26</v>
      </c>
      <c r="J102" s="62" t="s">
        <v>140</v>
      </c>
      <c r="K102" s="64">
        <v>6.4</v>
      </c>
      <c r="L102" s="64">
        <f t="shared" si="18"/>
        <v>0.20078431372549022</v>
      </c>
      <c r="M102" s="65">
        <f>prodnorm33</f>
        <v>0</v>
      </c>
      <c r="N102" s="66">
        <f>dagwerk33</f>
        <v>0</v>
      </c>
      <c r="O102" s="62" t="s">
        <v>44</v>
      </c>
      <c r="P102" s="67">
        <f>uurtarief33</f>
        <v>0</v>
      </c>
      <c r="Q102" s="64" t="e">
        <f t="shared" si="19"/>
        <v>#DIV/0!</v>
      </c>
      <c r="R102" s="64" t="e">
        <f t="shared" si="20"/>
        <v>#DIV/0!</v>
      </c>
      <c r="S102" s="67" t="e">
        <f t="shared" si="21"/>
        <v>#DIV/0!</v>
      </c>
      <c r="T102" s="64" t="e">
        <f t="shared" si="22"/>
        <v>#DIV/0!</v>
      </c>
      <c r="U102" s="68" t="e">
        <f t="shared" si="23"/>
        <v>#DIV/0!</v>
      </c>
    </row>
    <row r="103" spans="1:21" x14ac:dyDescent="0.2">
      <c r="A103" s="61" t="s">
        <v>208</v>
      </c>
      <c r="B103" s="62" t="s">
        <v>320</v>
      </c>
      <c r="C103" s="62" t="s">
        <v>267</v>
      </c>
      <c r="D103" s="62" t="s">
        <v>388</v>
      </c>
      <c r="E103" s="62" t="s">
        <v>209</v>
      </c>
      <c r="F103" s="63" t="s">
        <v>257</v>
      </c>
      <c r="G103" s="62" t="s">
        <v>234</v>
      </c>
      <c r="H103" s="62" t="s">
        <v>174</v>
      </c>
      <c r="I103" s="62" t="s">
        <v>26</v>
      </c>
      <c r="J103" s="62" t="s">
        <v>140</v>
      </c>
      <c r="K103" s="64">
        <v>4</v>
      </c>
      <c r="L103" s="64">
        <f t="shared" si="18"/>
        <v>0.12549019607843137</v>
      </c>
      <c r="M103" s="65">
        <f>prodnorm27</f>
        <v>0</v>
      </c>
      <c r="N103" s="66">
        <f>dagwerk27</f>
        <v>0</v>
      </c>
      <c r="O103" s="62" t="s">
        <v>44</v>
      </c>
      <c r="P103" s="67">
        <f>uurtarief27</f>
        <v>0</v>
      </c>
      <c r="Q103" s="64" t="e">
        <f t="shared" si="19"/>
        <v>#DIV/0!</v>
      </c>
      <c r="R103" s="64" t="e">
        <f t="shared" si="20"/>
        <v>#DIV/0!</v>
      </c>
      <c r="S103" s="67" t="e">
        <f t="shared" si="21"/>
        <v>#DIV/0!</v>
      </c>
      <c r="T103" s="64" t="e">
        <f t="shared" si="22"/>
        <v>#DIV/0!</v>
      </c>
      <c r="U103" s="68" t="e">
        <f t="shared" si="23"/>
        <v>#DIV/0!</v>
      </c>
    </row>
    <row r="104" spans="1:21" x14ac:dyDescent="0.2">
      <c r="A104" s="61" t="s">
        <v>208</v>
      </c>
      <c r="B104" s="62" t="s">
        <v>320</v>
      </c>
      <c r="C104" s="62" t="s">
        <v>267</v>
      </c>
      <c r="D104" s="62" t="s">
        <v>389</v>
      </c>
      <c r="E104" s="62" t="s">
        <v>209</v>
      </c>
      <c r="F104" s="63" t="s">
        <v>215</v>
      </c>
      <c r="G104" s="62" t="s">
        <v>213</v>
      </c>
      <c r="H104" s="62" t="s">
        <v>182</v>
      </c>
      <c r="I104" s="62" t="s">
        <v>26</v>
      </c>
      <c r="J104" s="62" t="s">
        <v>140</v>
      </c>
      <c r="K104" s="64">
        <v>50.4</v>
      </c>
      <c r="L104" s="64">
        <f t="shared" si="18"/>
        <v>1.5811764705882352</v>
      </c>
      <c r="M104" s="65">
        <f>prodnorm35</f>
        <v>0</v>
      </c>
      <c r="N104" s="66">
        <f>dagwerk35</f>
        <v>0</v>
      </c>
      <c r="O104" s="62" t="s">
        <v>44</v>
      </c>
      <c r="P104" s="67">
        <f>uurtarief35</f>
        <v>0</v>
      </c>
      <c r="Q104" s="64" t="e">
        <f t="shared" si="19"/>
        <v>#DIV/0!</v>
      </c>
      <c r="R104" s="64" t="e">
        <f t="shared" si="20"/>
        <v>#DIV/0!</v>
      </c>
      <c r="S104" s="67" t="e">
        <f t="shared" si="21"/>
        <v>#DIV/0!</v>
      </c>
      <c r="T104" s="64" t="e">
        <f t="shared" si="22"/>
        <v>#DIV/0!</v>
      </c>
      <c r="U104" s="68" t="e">
        <f t="shared" si="23"/>
        <v>#DIV/0!</v>
      </c>
    </row>
    <row r="105" spans="1:21" x14ac:dyDescent="0.2">
      <c r="A105" s="61" t="s">
        <v>208</v>
      </c>
      <c r="B105" s="62" t="s">
        <v>320</v>
      </c>
      <c r="C105" s="62" t="s">
        <v>267</v>
      </c>
      <c r="D105" s="62" t="s">
        <v>390</v>
      </c>
      <c r="E105" s="62" t="s">
        <v>209</v>
      </c>
      <c r="F105" s="63" t="s">
        <v>351</v>
      </c>
      <c r="G105" s="62" t="s">
        <v>234</v>
      </c>
      <c r="H105" s="62" t="s">
        <v>180</v>
      </c>
      <c r="I105" s="62" t="s">
        <v>26</v>
      </c>
      <c r="J105" s="62" t="s">
        <v>140</v>
      </c>
      <c r="K105" s="64">
        <v>1.1000000000000001</v>
      </c>
      <c r="L105" s="64">
        <f t="shared" si="18"/>
        <v>3.4509803921568633E-2</v>
      </c>
      <c r="M105" s="65">
        <f>prodnorm33</f>
        <v>0</v>
      </c>
      <c r="N105" s="66">
        <f>dagwerk33</f>
        <v>0</v>
      </c>
      <c r="O105" s="62" t="s">
        <v>44</v>
      </c>
      <c r="P105" s="67">
        <f>uurtarief33</f>
        <v>0</v>
      </c>
      <c r="Q105" s="64" t="e">
        <f t="shared" si="19"/>
        <v>#DIV/0!</v>
      </c>
      <c r="R105" s="64" t="e">
        <f t="shared" si="20"/>
        <v>#DIV/0!</v>
      </c>
      <c r="S105" s="67" t="e">
        <f t="shared" si="21"/>
        <v>#DIV/0!</v>
      </c>
      <c r="T105" s="64" t="e">
        <f t="shared" si="22"/>
        <v>#DIV/0!</v>
      </c>
      <c r="U105" s="68" t="e">
        <f t="shared" si="23"/>
        <v>#DIV/0!</v>
      </c>
    </row>
    <row r="106" spans="1:21" x14ac:dyDescent="0.2">
      <c r="A106" s="61" t="s">
        <v>208</v>
      </c>
      <c r="B106" s="62" t="s">
        <v>320</v>
      </c>
      <c r="C106" s="62" t="s">
        <v>267</v>
      </c>
      <c r="D106" s="62" t="s">
        <v>391</v>
      </c>
      <c r="E106" s="62" t="s">
        <v>209</v>
      </c>
      <c r="F106" s="63" t="s">
        <v>392</v>
      </c>
      <c r="G106" s="62" t="s">
        <v>213</v>
      </c>
      <c r="H106" s="62" t="s">
        <v>177</v>
      </c>
      <c r="I106" s="62" t="s">
        <v>26</v>
      </c>
      <c r="J106" s="62" t="s">
        <v>140</v>
      </c>
      <c r="K106" s="64">
        <v>12</v>
      </c>
      <c r="L106" s="64">
        <f t="shared" si="18"/>
        <v>0.37647058823529411</v>
      </c>
      <c r="M106" s="65">
        <f>prodnorm30</f>
        <v>0</v>
      </c>
      <c r="N106" s="66">
        <f>dagwerk30</f>
        <v>0</v>
      </c>
      <c r="O106" s="62" t="s">
        <v>44</v>
      </c>
      <c r="P106" s="67">
        <f>uurtarief30</f>
        <v>0</v>
      </c>
      <c r="Q106" s="64" t="e">
        <f t="shared" si="19"/>
        <v>#DIV/0!</v>
      </c>
      <c r="R106" s="64" t="e">
        <f t="shared" si="20"/>
        <v>#DIV/0!</v>
      </c>
      <c r="S106" s="67" t="e">
        <f t="shared" si="21"/>
        <v>#DIV/0!</v>
      </c>
      <c r="T106" s="64" t="e">
        <f t="shared" si="22"/>
        <v>#DIV/0!</v>
      </c>
      <c r="U106" s="68" t="e">
        <f t="shared" si="23"/>
        <v>#DIV/0!</v>
      </c>
    </row>
    <row r="107" spans="1:21" x14ac:dyDescent="0.2">
      <c r="A107" s="61" t="s">
        <v>208</v>
      </c>
      <c r="B107" s="62" t="s">
        <v>320</v>
      </c>
      <c r="C107" s="62" t="s">
        <v>267</v>
      </c>
      <c r="D107" s="62" t="s">
        <v>393</v>
      </c>
      <c r="E107" s="62" t="s">
        <v>209</v>
      </c>
      <c r="F107" s="63" t="s">
        <v>257</v>
      </c>
      <c r="G107" s="62" t="s">
        <v>234</v>
      </c>
      <c r="H107" s="62" t="s">
        <v>174</v>
      </c>
      <c r="I107" s="62" t="s">
        <v>26</v>
      </c>
      <c r="J107" s="62" t="s">
        <v>140</v>
      </c>
      <c r="K107" s="64">
        <v>2</v>
      </c>
      <c r="L107" s="64">
        <f t="shared" si="18"/>
        <v>6.2745098039215685E-2</v>
      </c>
      <c r="M107" s="65">
        <f>prodnorm27</f>
        <v>0</v>
      </c>
      <c r="N107" s="66">
        <f>dagwerk27</f>
        <v>0</v>
      </c>
      <c r="O107" s="62" t="s">
        <v>44</v>
      </c>
      <c r="P107" s="67">
        <f>uurtarief27</f>
        <v>0</v>
      </c>
      <c r="Q107" s="64" t="e">
        <f t="shared" si="19"/>
        <v>#DIV/0!</v>
      </c>
      <c r="R107" s="64" t="e">
        <f t="shared" si="20"/>
        <v>#DIV/0!</v>
      </c>
      <c r="S107" s="67" t="e">
        <f t="shared" si="21"/>
        <v>#DIV/0!</v>
      </c>
      <c r="T107" s="64" t="e">
        <f t="shared" si="22"/>
        <v>#DIV/0!</v>
      </c>
      <c r="U107" s="68" t="e">
        <f t="shared" si="23"/>
        <v>#DIV/0!</v>
      </c>
    </row>
    <row r="108" spans="1:21" x14ac:dyDescent="0.2">
      <c r="A108" s="61" t="s">
        <v>208</v>
      </c>
      <c r="B108" s="62" t="s">
        <v>320</v>
      </c>
      <c r="C108" s="62" t="s">
        <v>267</v>
      </c>
      <c r="D108" s="62" t="s">
        <v>394</v>
      </c>
      <c r="E108" s="62" t="s">
        <v>209</v>
      </c>
      <c r="F108" s="63" t="s">
        <v>373</v>
      </c>
      <c r="G108" s="62" t="s">
        <v>213</v>
      </c>
      <c r="H108" s="62" t="s">
        <v>177</v>
      </c>
      <c r="I108" s="62" t="s">
        <v>26</v>
      </c>
      <c r="J108" s="62" t="s">
        <v>140</v>
      </c>
      <c r="K108" s="64">
        <v>26</v>
      </c>
      <c r="L108" s="64">
        <f t="shared" si="18"/>
        <v>0.81568627450980391</v>
      </c>
      <c r="M108" s="65">
        <f>prodnorm30</f>
        <v>0</v>
      </c>
      <c r="N108" s="66">
        <f>dagwerk30</f>
        <v>0</v>
      </c>
      <c r="O108" s="62" t="s">
        <v>44</v>
      </c>
      <c r="P108" s="67">
        <f>uurtarief30</f>
        <v>0</v>
      </c>
      <c r="Q108" s="64" t="e">
        <f t="shared" si="19"/>
        <v>#DIV/0!</v>
      </c>
      <c r="R108" s="64" t="e">
        <f t="shared" si="20"/>
        <v>#DIV/0!</v>
      </c>
      <c r="S108" s="67" t="e">
        <f t="shared" si="21"/>
        <v>#DIV/0!</v>
      </c>
      <c r="T108" s="64" t="e">
        <f t="shared" si="22"/>
        <v>#DIV/0!</v>
      </c>
      <c r="U108" s="68" t="e">
        <f t="shared" si="23"/>
        <v>#DIV/0!</v>
      </c>
    </row>
    <row r="109" spans="1:21" x14ac:dyDescent="0.2">
      <c r="A109" s="61" t="s">
        <v>208</v>
      </c>
      <c r="B109" s="62" t="s">
        <v>320</v>
      </c>
      <c r="C109" s="62" t="s">
        <v>267</v>
      </c>
      <c r="D109" s="62" t="s">
        <v>395</v>
      </c>
      <c r="E109" s="62" t="s">
        <v>209</v>
      </c>
      <c r="F109" s="63" t="s">
        <v>254</v>
      </c>
      <c r="G109" s="62" t="s">
        <v>234</v>
      </c>
      <c r="H109" s="62" t="s">
        <v>180</v>
      </c>
      <c r="I109" s="62" t="s">
        <v>26</v>
      </c>
      <c r="J109" s="62" t="s">
        <v>140</v>
      </c>
      <c r="K109" s="64">
        <v>2</v>
      </c>
      <c r="L109" s="64">
        <f t="shared" si="18"/>
        <v>6.2745098039215685E-2</v>
      </c>
      <c r="M109" s="65">
        <f>prodnorm33</f>
        <v>0</v>
      </c>
      <c r="N109" s="66">
        <f>dagwerk33</f>
        <v>0</v>
      </c>
      <c r="O109" s="62" t="s">
        <v>44</v>
      </c>
      <c r="P109" s="67">
        <f>uurtarief33</f>
        <v>0</v>
      </c>
      <c r="Q109" s="64" t="e">
        <f t="shared" si="19"/>
        <v>#DIV/0!</v>
      </c>
      <c r="R109" s="64" t="e">
        <f t="shared" si="20"/>
        <v>#DIV/0!</v>
      </c>
      <c r="S109" s="67" t="e">
        <f t="shared" si="21"/>
        <v>#DIV/0!</v>
      </c>
      <c r="T109" s="64" t="e">
        <f t="shared" si="22"/>
        <v>#DIV/0!</v>
      </c>
      <c r="U109" s="68" t="e">
        <f t="shared" si="23"/>
        <v>#DIV/0!</v>
      </c>
    </row>
    <row r="110" spans="1:21" x14ac:dyDescent="0.2">
      <c r="A110" s="61" t="s">
        <v>208</v>
      </c>
      <c r="B110" s="62" t="s">
        <v>320</v>
      </c>
      <c r="C110" s="62" t="s">
        <v>267</v>
      </c>
      <c r="D110" s="62" t="s">
        <v>396</v>
      </c>
      <c r="E110" s="62" t="s">
        <v>209</v>
      </c>
      <c r="F110" s="63" t="s">
        <v>261</v>
      </c>
      <c r="G110" s="62" t="s">
        <v>234</v>
      </c>
      <c r="H110" s="62" t="s">
        <v>178</v>
      </c>
      <c r="I110" s="62" t="s">
        <v>26</v>
      </c>
      <c r="J110" s="62" t="s">
        <v>140</v>
      </c>
      <c r="K110" s="64">
        <v>10.8</v>
      </c>
      <c r="L110" s="64">
        <f t="shared" si="18"/>
        <v>0.33882352941176475</v>
      </c>
      <c r="M110" s="65">
        <f>prodnorm31</f>
        <v>0</v>
      </c>
      <c r="N110" s="66">
        <f>dagwerk31</f>
        <v>0</v>
      </c>
      <c r="O110" s="62" t="s">
        <v>44</v>
      </c>
      <c r="P110" s="67">
        <f>uurtarief31</f>
        <v>0</v>
      </c>
      <c r="Q110" s="64" t="e">
        <f t="shared" si="19"/>
        <v>#DIV/0!</v>
      </c>
      <c r="R110" s="64" t="e">
        <f t="shared" si="20"/>
        <v>#DIV/0!</v>
      </c>
      <c r="S110" s="67" t="e">
        <f t="shared" si="21"/>
        <v>#DIV/0!</v>
      </c>
      <c r="T110" s="64" t="e">
        <f t="shared" si="22"/>
        <v>#DIV/0!</v>
      </c>
      <c r="U110" s="68" t="e">
        <f t="shared" si="23"/>
        <v>#DIV/0!</v>
      </c>
    </row>
    <row r="111" spans="1:21" x14ac:dyDescent="0.2">
      <c r="A111" s="61" t="s">
        <v>208</v>
      </c>
      <c r="B111" s="62" t="s">
        <v>320</v>
      </c>
      <c r="C111" s="62" t="s">
        <v>267</v>
      </c>
      <c r="D111" s="62" t="s">
        <v>397</v>
      </c>
      <c r="E111" s="62" t="s">
        <v>209</v>
      </c>
      <c r="F111" s="63" t="s">
        <v>259</v>
      </c>
      <c r="G111" s="62" t="s">
        <v>213</v>
      </c>
      <c r="H111" s="62" t="s">
        <v>174</v>
      </c>
      <c r="I111" s="62" t="s">
        <v>26</v>
      </c>
      <c r="J111" s="62" t="s">
        <v>140</v>
      </c>
      <c r="K111" s="64">
        <v>12</v>
      </c>
      <c r="L111" s="64">
        <f t="shared" si="18"/>
        <v>0.37647058823529411</v>
      </c>
      <c r="M111" s="65">
        <f>prodnorm27</f>
        <v>0</v>
      </c>
      <c r="N111" s="66">
        <f>dagwerk27</f>
        <v>0</v>
      </c>
      <c r="O111" s="62" t="s">
        <v>44</v>
      </c>
      <c r="P111" s="67">
        <f>uurtarief27</f>
        <v>0</v>
      </c>
      <c r="Q111" s="64" t="e">
        <f t="shared" si="19"/>
        <v>#DIV/0!</v>
      </c>
      <c r="R111" s="64" t="e">
        <f t="shared" si="20"/>
        <v>#DIV/0!</v>
      </c>
      <c r="S111" s="67" t="e">
        <f t="shared" si="21"/>
        <v>#DIV/0!</v>
      </c>
      <c r="T111" s="64" t="e">
        <f t="shared" si="22"/>
        <v>#DIV/0!</v>
      </c>
      <c r="U111" s="68" t="e">
        <f t="shared" si="23"/>
        <v>#DIV/0!</v>
      </c>
    </row>
    <row r="112" spans="1:21" x14ac:dyDescent="0.2">
      <c r="A112" s="61" t="s">
        <v>208</v>
      </c>
      <c r="B112" s="62" t="s">
        <v>320</v>
      </c>
      <c r="C112" s="62" t="s">
        <v>267</v>
      </c>
      <c r="D112" s="62" t="s">
        <v>398</v>
      </c>
      <c r="E112" s="62" t="s">
        <v>209</v>
      </c>
      <c r="F112" s="63" t="s">
        <v>254</v>
      </c>
      <c r="G112" s="62" t="s">
        <v>234</v>
      </c>
      <c r="H112" s="62" t="s">
        <v>180</v>
      </c>
      <c r="I112" s="62" t="s">
        <v>26</v>
      </c>
      <c r="J112" s="62" t="s">
        <v>140</v>
      </c>
      <c r="K112" s="64">
        <v>2</v>
      </c>
      <c r="L112" s="64">
        <f t="shared" si="18"/>
        <v>6.2745098039215685E-2</v>
      </c>
      <c r="M112" s="65">
        <f>prodnorm33</f>
        <v>0</v>
      </c>
      <c r="N112" s="66">
        <f>dagwerk33</f>
        <v>0</v>
      </c>
      <c r="O112" s="62" t="s">
        <v>44</v>
      </c>
      <c r="P112" s="67">
        <f>uurtarief33</f>
        <v>0</v>
      </c>
      <c r="Q112" s="64" t="e">
        <f t="shared" si="19"/>
        <v>#DIV/0!</v>
      </c>
      <c r="R112" s="64" t="e">
        <f t="shared" si="20"/>
        <v>#DIV/0!</v>
      </c>
      <c r="S112" s="67" t="e">
        <f t="shared" si="21"/>
        <v>#DIV/0!</v>
      </c>
      <c r="T112" s="64" t="e">
        <f t="shared" si="22"/>
        <v>#DIV/0!</v>
      </c>
      <c r="U112" s="68" t="e">
        <f t="shared" si="23"/>
        <v>#DIV/0!</v>
      </c>
    </row>
    <row r="113" spans="1:21" x14ac:dyDescent="0.2">
      <c r="A113" s="61" t="s">
        <v>208</v>
      </c>
      <c r="B113" s="62" t="s">
        <v>320</v>
      </c>
      <c r="C113" s="62" t="s">
        <v>267</v>
      </c>
      <c r="D113" s="62" t="s">
        <v>399</v>
      </c>
      <c r="E113" s="62" t="s">
        <v>209</v>
      </c>
      <c r="F113" s="63" t="s">
        <v>257</v>
      </c>
      <c r="G113" s="62" t="s">
        <v>234</v>
      </c>
      <c r="H113" s="62" t="s">
        <v>174</v>
      </c>
      <c r="I113" s="62" t="s">
        <v>26</v>
      </c>
      <c r="J113" s="62" t="s">
        <v>140</v>
      </c>
      <c r="K113" s="64">
        <v>2</v>
      </c>
      <c r="L113" s="64">
        <f t="shared" si="18"/>
        <v>6.2745098039215685E-2</v>
      </c>
      <c r="M113" s="65">
        <f>prodnorm27</f>
        <v>0</v>
      </c>
      <c r="N113" s="66">
        <f>dagwerk27</f>
        <v>0</v>
      </c>
      <c r="O113" s="62" t="s">
        <v>44</v>
      </c>
      <c r="P113" s="67">
        <f>uurtarief27</f>
        <v>0</v>
      </c>
      <c r="Q113" s="64" t="e">
        <f t="shared" si="19"/>
        <v>#DIV/0!</v>
      </c>
      <c r="R113" s="64" t="e">
        <f t="shared" si="20"/>
        <v>#DIV/0!</v>
      </c>
      <c r="S113" s="67" t="e">
        <f t="shared" si="21"/>
        <v>#DIV/0!</v>
      </c>
      <c r="T113" s="64" t="e">
        <f t="shared" si="22"/>
        <v>#DIV/0!</v>
      </c>
      <c r="U113" s="68" t="e">
        <f t="shared" si="23"/>
        <v>#DIV/0!</v>
      </c>
    </row>
    <row r="114" spans="1:21" x14ac:dyDescent="0.2">
      <c r="A114" s="61" t="s">
        <v>208</v>
      </c>
      <c r="B114" s="62" t="s">
        <v>320</v>
      </c>
      <c r="C114" s="62" t="s">
        <v>267</v>
      </c>
      <c r="D114" s="62" t="s">
        <v>400</v>
      </c>
      <c r="E114" s="62" t="s">
        <v>209</v>
      </c>
      <c r="F114" s="63" t="s">
        <v>254</v>
      </c>
      <c r="G114" s="62" t="s">
        <v>234</v>
      </c>
      <c r="H114" s="62" t="s">
        <v>180</v>
      </c>
      <c r="I114" s="62" t="s">
        <v>26</v>
      </c>
      <c r="J114" s="62" t="s">
        <v>140</v>
      </c>
      <c r="K114" s="64">
        <v>2.5</v>
      </c>
      <c r="L114" s="64">
        <f t="shared" si="18"/>
        <v>7.8431372549019607E-2</v>
      </c>
      <c r="M114" s="65">
        <f>prodnorm33</f>
        <v>0</v>
      </c>
      <c r="N114" s="66">
        <f>dagwerk33</f>
        <v>0</v>
      </c>
      <c r="O114" s="62" t="s">
        <v>44</v>
      </c>
      <c r="P114" s="67">
        <f>uurtarief33</f>
        <v>0</v>
      </c>
      <c r="Q114" s="64" t="e">
        <f t="shared" si="19"/>
        <v>#DIV/0!</v>
      </c>
      <c r="R114" s="64" t="e">
        <f t="shared" si="20"/>
        <v>#DIV/0!</v>
      </c>
      <c r="S114" s="67" t="e">
        <f t="shared" si="21"/>
        <v>#DIV/0!</v>
      </c>
      <c r="T114" s="64" t="e">
        <f t="shared" si="22"/>
        <v>#DIV/0!</v>
      </c>
      <c r="U114" s="68" t="e">
        <f t="shared" si="23"/>
        <v>#DIV/0!</v>
      </c>
    </row>
    <row r="115" spans="1:21" x14ac:dyDescent="0.2">
      <c r="A115" s="61" t="s">
        <v>208</v>
      </c>
      <c r="B115" s="62" t="s">
        <v>320</v>
      </c>
      <c r="C115" s="62" t="s">
        <v>267</v>
      </c>
      <c r="D115" s="62" t="s">
        <v>401</v>
      </c>
      <c r="E115" s="62" t="s">
        <v>209</v>
      </c>
      <c r="F115" s="63" t="s">
        <v>257</v>
      </c>
      <c r="G115" s="62" t="s">
        <v>234</v>
      </c>
      <c r="H115" s="62" t="s">
        <v>174</v>
      </c>
      <c r="I115" s="62" t="s">
        <v>26</v>
      </c>
      <c r="J115" s="62" t="s">
        <v>140</v>
      </c>
      <c r="K115" s="64">
        <v>2</v>
      </c>
      <c r="L115" s="64">
        <f t="shared" si="18"/>
        <v>6.2745098039215685E-2</v>
      </c>
      <c r="M115" s="65">
        <f>prodnorm27</f>
        <v>0</v>
      </c>
      <c r="N115" s="66">
        <f>dagwerk27</f>
        <v>0</v>
      </c>
      <c r="O115" s="62" t="s">
        <v>44</v>
      </c>
      <c r="P115" s="67">
        <f>uurtarief27</f>
        <v>0</v>
      </c>
      <c r="Q115" s="64" t="e">
        <f t="shared" si="19"/>
        <v>#DIV/0!</v>
      </c>
      <c r="R115" s="64" t="e">
        <f t="shared" si="20"/>
        <v>#DIV/0!</v>
      </c>
      <c r="S115" s="67" t="e">
        <f t="shared" si="21"/>
        <v>#DIV/0!</v>
      </c>
      <c r="T115" s="64" t="e">
        <f t="shared" si="22"/>
        <v>#DIV/0!</v>
      </c>
      <c r="U115" s="68" t="e">
        <f t="shared" si="23"/>
        <v>#DIV/0!</v>
      </c>
    </row>
    <row r="116" spans="1:21" x14ac:dyDescent="0.2">
      <c r="A116" s="61" t="s">
        <v>208</v>
      </c>
      <c r="B116" s="62" t="s">
        <v>320</v>
      </c>
      <c r="C116" s="62" t="s">
        <v>267</v>
      </c>
      <c r="D116" s="62" t="s">
        <v>402</v>
      </c>
      <c r="E116" s="62" t="s">
        <v>209</v>
      </c>
      <c r="F116" s="63" t="s">
        <v>254</v>
      </c>
      <c r="G116" s="62" t="s">
        <v>234</v>
      </c>
      <c r="H116" s="62" t="s">
        <v>180</v>
      </c>
      <c r="I116" s="62" t="s">
        <v>26</v>
      </c>
      <c r="J116" s="62" t="s">
        <v>140</v>
      </c>
      <c r="K116" s="64">
        <v>2.2000000000000002</v>
      </c>
      <c r="L116" s="64">
        <f t="shared" si="18"/>
        <v>6.9019607843137265E-2</v>
      </c>
      <c r="M116" s="65">
        <f>prodnorm33</f>
        <v>0</v>
      </c>
      <c r="N116" s="66">
        <f>dagwerk33</f>
        <v>0</v>
      </c>
      <c r="O116" s="62" t="s">
        <v>44</v>
      </c>
      <c r="P116" s="67">
        <f>uurtarief33</f>
        <v>0</v>
      </c>
      <c r="Q116" s="64" t="e">
        <f t="shared" si="19"/>
        <v>#DIV/0!</v>
      </c>
      <c r="R116" s="64" t="e">
        <f t="shared" si="20"/>
        <v>#DIV/0!</v>
      </c>
      <c r="S116" s="67" t="e">
        <f t="shared" si="21"/>
        <v>#DIV/0!</v>
      </c>
      <c r="T116" s="64" t="e">
        <f t="shared" si="22"/>
        <v>#DIV/0!</v>
      </c>
      <c r="U116" s="68" t="e">
        <f t="shared" si="23"/>
        <v>#DIV/0!</v>
      </c>
    </row>
    <row r="117" spans="1:21" x14ac:dyDescent="0.2">
      <c r="A117" s="61" t="s">
        <v>208</v>
      </c>
      <c r="B117" s="62" t="s">
        <v>320</v>
      </c>
      <c r="C117" s="62" t="s">
        <v>267</v>
      </c>
      <c r="D117" s="62" t="s">
        <v>403</v>
      </c>
      <c r="E117" s="62" t="s">
        <v>209</v>
      </c>
      <c r="F117" s="63" t="s">
        <v>257</v>
      </c>
      <c r="G117" s="62" t="s">
        <v>234</v>
      </c>
      <c r="H117" s="62" t="s">
        <v>174</v>
      </c>
      <c r="I117" s="62" t="s">
        <v>26</v>
      </c>
      <c r="J117" s="62" t="s">
        <v>140</v>
      </c>
      <c r="K117" s="64">
        <v>2</v>
      </c>
      <c r="L117" s="64">
        <f t="shared" si="18"/>
        <v>6.2745098039215685E-2</v>
      </c>
      <c r="M117" s="65">
        <f>prodnorm27</f>
        <v>0</v>
      </c>
      <c r="N117" s="66">
        <f>dagwerk27</f>
        <v>0</v>
      </c>
      <c r="O117" s="62" t="s">
        <v>44</v>
      </c>
      <c r="P117" s="67">
        <f>uurtarief27</f>
        <v>0</v>
      </c>
      <c r="Q117" s="64" t="e">
        <f t="shared" si="19"/>
        <v>#DIV/0!</v>
      </c>
      <c r="R117" s="64" t="e">
        <f t="shared" si="20"/>
        <v>#DIV/0!</v>
      </c>
      <c r="S117" s="67" t="e">
        <f t="shared" si="21"/>
        <v>#DIV/0!</v>
      </c>
      <c r="T117" s="64" t="e">
        <f t="shared" si="22"/>
        <v>#DIV/0!</v>
      </c>
      <c r="U117" s="68" t="e">
        <f t="shared" si="23"/>
        <v>#DIV/0!</v>
      </c>
    </row>
    <row r="118" spans="1:21" x14ac:dyDescent="0.2">
      <c r="A118" s="61" t="s">
        <v>208</v>
      </c>
      <c r="B118" s="62" t="s">
        <v>320</v>
      </c>
      <c r="C118" s="62" t="s">
        <v>267</v>
      </c>
      <c r="D118" s="62" t="s">
        <v>404</v>
      </c>
      <c r="E118" s="62" t="s">
        <v>209</v>
      </c>
      <c r="F118" s="63" t="s">
        <v>215</v>
      </c>
      <c r="G118" s="62" t="s">
        <v>213</v>
      </c>
      <c r="H118" s="62" t="s">
        <v>182</v>
      </c>
      <c r="I118" s="62" t="s">
        <v>26</v>
      </c>
      <c r="J118" s="62" t="s">
        <v>140</v>
      </c>
      <c r="K118" s="64">
        <v>70.599999999999994</v>
      </c>
      <c r="L118" s="64">
        <f t="shared" si="18"/>
        <v>2.2149019607843137</v>
      </c>
      <c r="M118" s="65">
        <f>prodnorm35</f>
        <v>0</v>
      </c>
      <c r="N118" s="66">
        <f>dagwerk35</f>
        <v>0</v>
      </c>
      <c r="O118" s="62" t="s">
        <v>44</v>
      </c>
      <c r="P118" s="67">
        <f>uurtarief35</f>
        <v>0</v>
      </c>
      <c r="Q118" s="64" t="e">
        <f t="shared" si="19"/>
        <v>#DIV/0!</v>
      </c>
      <c r="R118" s="64" t="e">
        <f t="shared" si="20"/>
        <v>#DIV/0!</v>
      </c>
      <c r="S118" s="67" t="e">
        <f t="shared" si="21"/>
        <v>#DIV/0!</v>
      </c>
      <c r="T118" s="64" t="e">
        <f t="shared" si="22"/>
        <v>#DIV/0!</v>
      </c>
      <c r="U118" s="68" t="e">
        <f t="shared" si="23"/>
        <v>#DIV/0!</v>
      </c>
    </row>
    <row r="119" spans="1:21" x14ac:dyDescent="0.2">
      <c r="A119" s="61" t="s">
        <v>208</v>
      </c>
      <c r="B119" s="62" t="s">
        <v>320</v>
      </c>
      <c r="C119" s="62" t="s">
        <v>280</v>
      </c>
      <c r="D119" s="62" t="s">
        <v>405</v>
      </c>
      <c r="E119" s="62" t="s">
        <v>209</v>
      </c>
      <c r="F119" s="63" t="s">
        <v>212</v>
      </c>
      <c r="G119" s="62" t="s">
        <v>213</v>
      </c>
      <c r="H119" s="62" t="s">
        <v>181</v>
      </c>
      <c r="I119" s="62" t="s">
        <v>26</v>
      </c>
      <c r="J119" s="62" t="s">
        <v>140</v>
      </c>
      <c r="K119" s="64">
        <v>48.7</v>
      </c>
      <c r="L119" s="64">
        <f t="shared" si="18"/>
        <v>1.527843137254902</v>
      </c>
      <c r="M119" s="65">
        <f>prodnorm34</f>
        <v>0</v>
      </c>
      <c r="N119" s="66">
        <f>dagwerk34</f>
        <v>0</v>
      </c>
      <c r="O119" s="62" t="s">
        <v>44</v>
      </c>
      <c r="P119" s="67">
        <f>uurtarief34</f>
        <v>0</v>
      </c>
      <c r="Q119" s="64" t="e">
        <f t="shared" si="19"/>
        <v>#DIV/0!</v>
      </c>
      <c r="R119" s="64" t="e">
        <f t="shared" si="20"/>
        <v>#DIV/0!</v>
      </c>
      <c r="S119" s="67" t="e">
        <f t="shared" si="21"/>
        <v>#DIV/0!</v>
      </c>
      <c r="T119" s="64" t="e">
        <f t="shared" si="22"/>
        <v>#DIV/0!</v>
      </c>
      <c r="U119" s="68" t="e">
        <f t="shared" si="23"/>
        <v>#DIV/0!</v>
      </c>
    </row>
    <row r="120" spans="1:21" x14ac:dyDescent="0.2">
      <c r="A120" s="61" t="s">
        <v>208</v>
      </c>
      <c r="B120" s="62" t="s">
        <v>320</v>
      </c>
      <c r="C120" s="62" t="s">
        <v>280</v>
      </c>
      <c r="D120" s="62" t="s">
        <v>407</v>
      </c>
      <c r="E120" s="62" t="s">
        <v>209</v>
      </c>
      <c r="F120" s="63" t="s">
        <v>387</v>
      </c>
      <c r="G120" s="62" t="s">
        <v>234</v>
      </c>
      <c r="H120" s="62" t="s">
        <v>180</v>
      </c>
      <c r="I120" s="62" t="s">
        <v>26</v>
      </c>
      <c r="J120" s="62" t="s">
        <v>140</v>
      </c>
      <c r="K120" s="64">
        <v>6.4</v>
      </c>
      <c r="L120" s="64">
        <f t="shared" si="18"/>
        <v>0.20078431372549022</v>
      </c>
      <c r="M120" s="65">
        <f>prodnorm33</f>
        <v>0</v>
      </c>
      <c r="N120" s="66">
        <f>dagwerk33</f>
        <v>0</v>
      </c>
      <c r="O120" s="62" t="s">
        <v>44</v>
      </c>
      <c r="P120" s="67">
        <f>uurtarief33</f>
        <v>0</v>
      </c>
      <c r="Q120" s="64" t="e">
        <f t="shared" si="19"/>
        <v>#DIV/0!</v>
      </c>
      <c r="R120" s="64" t="e">
        <f t="shared" si="20"/>
        <v>#DIV/0!</v>
      </c>
      <c r="S120" s="67" t="e">
        <f t="shared" si="21"/>
        <v>#DIV/0!</v>
      </c>
      <c r="T120" s="64" t="e">
        <f t="shared" si="22"/>
        <v>#DIV/0!</v>
      </c>
      <c r="U120" s="68" t="e">
        <f t="shared" si="23"/>
        <v>#DIV/0!</v>
      </c>
    </row>
    <row r="121" spans="1:21" x14ac:dyDescent="0.2">
      <c r="A121" s="61" t="s">
        <v>208</v>
      </c>
      <c r="B121" s="62" t="s">
        <v>320</v>
      </c>
      <c r="C121" s="62" t="s">
        <v>280</v>
      </c>
      <c r="D121" s="62" t="s">
        <v>408</v>
      </c>
      <c r="E121" s="62" t="s">
        <v>209</v>
      </c>
      <c r="F121" s="63" t="s">
        <v>257</v>
      </c>
      <c r="G121" s="62" t="s">
        <v>234</v>
      </c>
      <c r="H121" s="62" t="s">
        <v>174</v>
      </c>
      <c r="I121" s="62" t="s">
        <v>26</v>
      </c>
      <c r="J121" s="62" t="s">
        <v>140</v>
      </c>
      <c r="K121" s="64">
        <v>4</v>
      </c>
      <c r="L121" s="64">
        <f t="shared" si="18"/>
        <v>0.12549019607843137</v>
      </c>
      <c r="M121" s="65">
        <f>prodnorm27</f>
        <v>0</v>
      </c>
      <c r="N121" s="66">
        <f>dagwerk27</f>
        <v>0</v>
      </c>
      <c r="O121" s="62" t="s">
        <v>44</v>
      </c>
      <c r="P121" s="67">
        <f>uurtarief27</f>
        <v>0</v>
      </c>
      <c r="Q121" s="64" t="e">
        <f t="shared" si="19"/>
        <v>#DIV/0!</v>
      </c>
      <c r="R121" s="64" t="e">
        <f t="shared" si="20"/>
        <v>#DIV/0!</v>
      </c>
      <c r="S121" s="67" t="e">
        <f t="shared" si="21"/>
        <v>#DIV/0!</v>
      </c>
      <c r="T121" s="64" t="e">
        <f t="shared" si="22"/>
        <v>#DIV/0!</v>
      </c>
      <c r="U121" s="68" t="e">
        <f t="shared" si="23"/>
        <v>#DIV/0!</v>
      </c>
    </row>
    <row r="122" spans="1:21" x14ac:dyDescent="0.2">
      <c r="A122" s="61" t="s">
        <v>208</v>
      </c>
      <c r="B122" s="62" t="s">
        <v>320</v>
      </c>
      <c r="C122" s="62" t="s">
        <v>280</v>
      </c>
      <c r="D122" s="62" t="s">
        <v>409</v>
      </c>
      <c r="E122" s="62" t="s">
        <v>209</v>
      </c>
      <c r="F122" s="63" t="s">
        <v>215</v>
      </c>
      <c r="G122" s="62" t="s">
        <v>213</v>
      </c>
      <c r="H122" s="62" t="s">
        <v>182</v>
      </c>
      <c r="I122" s="62" t="s">
        <v>26</v>
      </c>
      <c r="J122" s="62" t="s">
        <v>140</v>
      </c>
      <c r="K122" s="64">
        <v>51</v>
      </c>
      <c r="L122" s="64">
        <f t="shared" si="18"/>
        <v>1.6</v>
      </c>
      <c r="M122" s="65">
        <f>prodnorm35</f>
        <v>0</v>
      </c>
      <c r="N122" s="66">
        <f>dagwerk35</f>
        <v>0</v>
      </c>
      <c r="O122" s="62" t="s">
        <v>44</v>
      </c>
      <c r="P122" s="67">
        <f>uurtarief35</f>
        <v>0</v>
      </c>
      <c r="Q122" s="64" t="e">
        <f t="shared" si="19"/>
        <v>#DIV/0!</v>
      </c>
      <c r="R122" s="64" t="e">
        <f t="shared" si="20"/>
        <v>#DIV/0!</v>
      </c>
      <c r="S122" s="67" t="e">
        <f t="shared" si="21"/>
        <v>#DIV/0!</v>
      </c>
      <c r="T122" s="64" t="e">
        <f t="shared" si="22"/>
        <v>#DIV/0!</v>
      </c>
      <c r="U122" s="68" t="e">
        <f t="shared" si="23"/>
        <v>#DIV/0!</v>
      </c>
    </row>
    <row r="123" spans="1:21" x14ac:dyDescent="0.2">
      <c r="A123" s="61" t="s">
        <v>208</v>
      </c>
      <c r="B123" s="62" t="s">
        <v>320</v>
      </c>
      <c r="C123" s="62" t="s">
        <v>280</v>
      </c>
      <c r="D123" s="62" t="s">
        <v>412</v>
      </c>
      <c r="E123" s="62" t="s">
        <v>209</v>
      </c>
      <c r="F123" s="63" t="s">
        <v>257</v>
      </c>
      <c r="G123" s="62" t="s">
        <v>234</v>
      </c>
      <c r="H123" s="62" t="s">
        <v>174</v>
      </c>
      <c r="I123" s="62" t="s">
        <v>26</v>
      </c>
      <c r="J123" s="62" t="s">
        <v>140</v>
      </c>
      <c r="K123" s="64">
        <v>1.8</v>
      </c>
      <c r="L123" s="64">
        <f t="shared" si="18"/>
        <v>5.647058823529412E-2</v>
      </c>
      <c r="M123" s="65">
        <f>prodnorm27</f>
        <v>0</v>
      </c>
      <c r="N123" s="66">
        <f>dagwerk27</f>
        <v>0</v>
      </c>
      <c r="O123" s="62" t="s">
        <v>44</v>
      </c>
      <c r="P123" s="67">
        <f>uurtarief27</f>
        <v>0</v>
      </c>
      <c r="Q123" s="64" t="e">
        <f t="shared" si="19"/>
        <v>#DIV/0!</v>
      </c>
      <c r="R123" s="64" t="e">
        <f t="shared" si="20"/>
        <v>#DIV/0!</v>
      </c>
      <c r="S123" s="67" t="e">
        <f t="shared" si="21"/>
        <v>#DIV/0!</v>
      </c>
      <c r="T123" s="64" t="e">
        <f t="shared" si="22"/>
        <v>#DIV/0!</v>
      </c>
      <c r="U123" s="68" t="e">
        <f t="shared" si="23"/>
        <v>#DIV/0!</v>
      </c>
    </row>
    <row r="124" spans="1:21" x14ac:dyDescent="0.2">
      <c r="A124" s="61" t="s">
        <v>208</v>
      </c>
      <c r="B124" s="62" t="s">
        <v>320</v>
      </c>
      <c r="C124" s="62" t="s">
        <v>280</v>
      </c>
      <c r="D124" s="62" t="s">
        <v>414</v>
      </c>
      <c r="E124" s="62" t="s">
        <v>209</v>
      </c>
      <c r="F124" s="63" t="s">
        <v>254</v>
      </c>
      <c r="G124" s="62" t="s">
        <v>234</v>
      </c>
      <c r="H124" s="62" t="s">
        <v>180</v>
      </c>
      <c r="I124" s="62" t="s">
        <v>26</v>
      </c>
      <c r="J124" s="62" t="s">
        <v>140</v>
      </c>
      <c r="K124" s="64">
        <v>1.8</v>
      </c>
      <c r="L124" s="64">
        <f t="shared" si="18"/>
        <v>5.647058823529412E-2</v>
      </c>
      <c r="M124" s="65">
        <f>prodnorm33</f>
        <v>0</v>
      </c>
      <c r="N124" s="66">
        <f>dagwerk33</f>
        <v>0</v>
      </c>
      <c r="O124" s="62" t="s">
        <v>44</v>
      </c>
      <c r="P124" s="67">
        <f>uurtarief33</f>
        <v>0</v>
      </c>
      <c r="Q124" s="64" t="e">
        <f t="shared" si="19"/>
        <v>#DIV/0!</v>
      </c>
      <c r="R124" s="64" t="e">
        <f t="shared" si="20"/>
        <v>#DIV/0!</v>
      </c>
      <c r="S124" s="67" t="e">
        <f t="shared" si="21"/>
        <v>#DIV/0!</v>
      </c>
      <c r="T124" s="64" t="e">
        <f t="shared" si="22"/>
        <v>#DIV/0!</v>
      </c>
      <c r="U124" s="68" t="e">
        <f t="shared" si="23"/>
        <v>#DIV/0!</v>
      </c>
    </row>
    <row r="125" spans="1:21" x14ac:dyDescent="0.2">
      <c r="A125" s="61" t="s">
        <v>208</v>
      </c>
      <c r="B125" s="62" t="s">
        <v>320</v>
      </c>
      <c r="C125" s="62" t="s">
        <v>280</v>
      </c>
      <c r="D125" s="62" t="s">
        <v>415</v>
      </c>
      <c r="E125" s="62" t="s">
        <v>209</v>
      </c>
      <c r="F125" s="63" t="s">
        <v>261</v>
      </c>
      <c r="G125" s="62" t="s">
        <v>234</v>
      </c>
      <c r="H125" s="62" t="s">
        <v>178</v>
      </c>
      <c r="I125" s="62" t="s">
        <v>26</v>
      </c>
      <c r="J125" s="62" t="s">
        <v>140</v>
      </c>
      <c r="K125" s="64">
        <v>10.8</v>
      </c>
      <c r="L125" s="64">
        <f t="shared" si="18"/>
        <v>0.33882352941176475</v>
      </c>
      <c r="M125" s="65">
        <f>prodnorm31</f>
        <v>0</v>
      </c>
      <c r="N125" s="66">
        <f>dagwerk31</f>
        <v>0</v>
      </c>
      <c r="O125" s="62" t="s">
        <v>44</v>
      </c>
      <c r="P125" s="67">
        <f>uurtarief31</f>
        <v>0</v>
      </c>
      <c r="Q125" s="64" t="e">
        <f t="shared" si="19"/>
        <v>#DIV/0!</v>
      </c>
      <c r="R125" s="64" t="e">
        <f t="shared" si="20"/>
        <v>#DIV/0!</v>
      </c>
      <c r="S125" s="67" t="e">
        <f t="shared" si="21"/>
        <v>#DIV/0!</v>
      </c>
      <c r="T125" s="64" t="e">
        <f t="shared" si="22"/>
        <v>#DIV/0!</v>
      </c>
      <c r="U125" s="68" t="e">
        <f t="shared" si="23"/>
        <v>#DIV/0!</v>
      </c>
    </row>
    <row r="126" spans="1:21" x14ac:dyDescent="0.2">
      <c r="A126" s="61" t="s">
        <v>208</v>
      </c>
      <c r="B126" s="62" t="s">
        <v>320</v>
      </c>
      <c r="C126" s="62" t="s">
        <v>280</v>
      </c>
      <c r="D126" s="62" t="s">
        <v>417</v>
      </c>
      <c r="E126" s="62" t="s">
        <v>209</v>
      </c>
      <c r="F126" s="63" t="s">
        <v>254</v>
      </c>
      <c r="G126" s="62" t="s">
        <v>234</v>
      </c>
      <c r="H126" s="62" t="s">
        <v>180</v>
      </c>
      <c r="I126" s="62" t="s">
        <v>26</v>
      </c>
      <c r="J126" s="62" t="s">
        <v>140</v>
      </c>
      <c r="K126" s="64">
        <v>5.4</v>
      </c>
      <c r="L126" s="64">
        <f t="shared" si="18"/>
        <v>0.16941176470588237</v>
      </c>
      <c r="M126" s="65">
        <f>prodnorm33</f>
        <v>0</v>
      </c>
      <c r="N126" s="66">
        <f>dagwerk33</f>
        <v>0</v>
      </c>
      <c r="O126" s="62" t="s">
        <v>44</v>
      </c>
      <c r="P126" s="67">
        <f>uurtarief33</f>
        <v>0</v>
      </c>
      <c r="Q126" s="64" t="e">
        <f t="shared" si="19"/>
        <v>#DIV/0!</v>
      </c>
      <c r="R126" s="64" t="e">
        <f t="shared" si="20"/>
        <v>#DIV/0!</v>
      </c>
      <c r="S126" s="67" t="e">
        <f t="shared" si="21"/>
        <v>#DIV/0!</v>
      </c>
      <c r="T126" s="64" t="e">
        <f t="shared" si="22"/>
        <v>#DIV/0!</v>
      </c>
      <c r="U126" s="68" t="e">
        <f t="shared" si="23"/>
        <v>#DIV/0!</v>
      </c>
    </row>
    <row r="127" spans="1:21" x14ac:dyDescent="0.2">
      <c r="A127" s="61" t="s">
        <v>208</v>
      </c>
      <c r="B127" s="62" t="s">
        <v>320</v>
      </c>
      <c r="C127" s="62" t="s">
        <v>280</v>
      </c>
      <c r="D127" s="62" t="s">
        <v>418</v>
      </c>
      <c r="E127" s="62" t="s">
        <v>209</v>
      </c>
      <c r="F127" s="63" t="s">
        <v>257</v>
      </c>
      <c r="G127" s="62" t="s">
        <v>234</v>
      </c>
      <c r="H127" s="62" t="s">
        <v>174</v>
      </c>
      <c r="I127" s="62" t="s">
        <v>26</v>
      </c>
      <c r="J127" s="62" t="s">
        <v>140</v>
      </c>
      <c r="K127" s="64">
        <v>5.4</v>
      </c>
      <c r="L127" s="64">
        <f t="shared" si="18"/>
        <v>0.16941176470588237</v>
      </c>
      <c r="M127" s="65">
        <f>prodnorm27</f>
        <v>0</v>
      </c>
      <c r="N127" s="66">
        <f>dagwerk27</f>
        <v>0</v>
      </c>
      <c r="O127" s="62" t="s">
        <v>44</v>
      </c>
      <c r="P127" s="67">
        <f>uurtarief27</f>
        <v>0</v>
      </c>
      <c r="Q127" s="64" t="e">
        <f t="shared" si="19"/>
        <v>#DIV/0!</v>
      </c>
      <c r="R127" s="64" t="e">
        <f t="shared" si="20"/>
        <v>#DIV/0!</v>
      </c>
      <c r="S127" s="67" t="e">
        <f t="shared" si="21"/>
        <v>#DIV/0!</v>
      </c>
      <c r="T127" s="64" t="e">
        <f t="shared" si="22"/>
        <v>#DIV/0!</v>
      </c>
      <c r="U127" s="68" t="e">
        <f t="shared" si="23"/>
        <v>#DIV/0!</v>
      </c>
    </row>
    <row r="128" spans="1:21" x14ac:dyDescent="0.2">
      <c r="A128" s="61" t="s">
        <v>208</v>
      </c>
      <c r="B128" s="62" t="s">
        <v>320</v>
      </c>
      <c r="C128" s="62" t="s">
        <v>280</v>
      </c>
      <c r="D128" s="62" t="s">
        <v>419</v>
      </c>
      <c r="E128" s="62" t="s">
        <v>209</v>
      </c>
      <c r="F128" s="63" t="s">
        <v>254</v>
      </c>
      <c r="G128" s="62" t="s">
        <v>234</v>
      </c>
      <c r="H128" s="62" t="s">
        <v>180</v>
      </c>
      <c r="I128" s="62" t="s">
        <v>26</v>
      </c>
      <c r="J128" s="62" t="s">
        <v>140</v>
      </c>
      <c r="K128" s="64">
        <v>1.8</v>
      </c>
      <c r="L128" s="64">
        <f t="shared" si="18"/>
        <v>5.647058823529412E-2</v>
      </c>
      <c r="M128" s="65">
        <f>prodnorm33</f>
        <v>0</v>
      </c>
      <c r="N128" s="66">
        <f>dagwerk33</f>
        <v>0</v>
      </c>
      <c r="O128" s="62" t="s">
        <v>44</v>
      </c>
      <c r="P128" s="67">
        <f>uurtarief33</f>
        <v>0</v>
      </c>
      <c r="Q128" s="64" t="e">
        <f t="shared" si="19"/>
        <v>#DIV/0!</v>
      </c>
      <c r="R128" s="64" t="e">
        <f t="shared" si="20"/>
        <v>#DIV/0!</v>
      </c>
      <c r="S128" s="67" t="e">
        <f t="shared" si="21"/>
        <v>#DIV/0!</v>
      </c>
      <c r="T128" s="64" t="e">
        <f t="shared" si="22"/>
        <v>#DIV/0!</v>
      </c>
      <c r="U128" s="68" t="e">
        <f t="shared" si="23"/>
        <v>#DIV/0!</v>
      </c>
    </row>
    <row r="129" spans="1:21" x14ac:dyDescent="0.2">
      <c r="A129" s="61" t="s">
        <v>208</v>
      </c>
      <c r="B129" s="62" t="s">
        <v>320</v>
      </c>
      <c r="C129" s="62" t="s">
        <v>280</v>
      </c>
      <c r="D129" s="62" t="s">
        <v>420</v>
      </c>
      <c r="E129" s="62" t="s">
        <v>209</v>
      </c>
      <c r="F129" s="63" t="s">
        <v>257</v>
      </c>
      <c r="G129" s="62" t="s">
        <v>234</v>
      </c>
      <c r="H129" s="62" t="s">
        <v>174</v>
      </c>
      <c r="I129" s="62" t="s">
        <v>26</v>
      </c>
      <c r="J129" s="62" t="s">
        <v>140</v>
      </c>
      <c r="K129" s="64">
        <v>1.8</v>
      </c>
      <c r="L129" s="64">
        <f t="shared" si="18"/>
        <v>5.647058823529412E-2</v>
      </c>
      <c r="M129" s="65">
        <f>prodnorm27</f>
        <v>0</v>
      </c>
      <c r="N129" s="66">
        <f>dagwerk27</f>
        <v>0</v>
      </c>
      <c r="O129" s="62" t="s">
        <v>44</v>
      </c>
      <c r="P129" s="67">
        <f>uurtarief27</f>
        <v>0</v>
      </c>
      <c r="Q129" s="64" t="e">
        <f t="shared" si="19"/>
        <v>#DIV/0!</v>
      </c>
      <c r="R129" s="64" t="e">
        <f t="shared" si="20"/>
        <v>#DIV/0!</v>
      </c>
      <c r="S129" s="67" t="e">
        <f t="shared" si="21"/>
        <v>#DIV/0!</v>
      </c>
      <c r="T129" s="64" t="e">
        <f t="shared" si="22"/>
        <v>#DIV/0!</v>
      </c>
      <c r="U129" s="68" t="e">
        <f t="shared" si="23"/>
        <v>#DIV/0!</v>
      </c>
    </row>
    <row r="130" spans="1:21" x14ac:dyDescent="0.2">
      <c r="A130" s="61" t="s">
        <v>208</v>
      </c>
      <c r="B130" s="62" t="s">
        <v>320</v>
      </c>
      <c r="C130" s="62" t="s">
        <v>280</v>
      </c>
      <c r="D130" s="62" t="s">
        <v>421</v>
      </c>
      <c r="E130" s="62" t="s">
        <v>209</v>
      </c>
      <c r="F130" s="63" t="s">
        <v>254</v>
      </c>
      <c r="G130" s="62" t="s">
        <v>234</v>
      </c>
      <c r="H130" s="62" t="s">
        <v>180</v>
      </c>
      <c r="I130" s="62" t="s">
        <v>26</v>
      </c>
      <c r="J130" s="62" t="s">
        <v>140</v>
      </c>
      <c r="K130" s="64">
        <v>2.2999999999999998</v>
      </c>
      <c r="L130" s="64">
        <f t="shared" si="18"/>
        <v>7.2156862745098027E-2</v>
      </c>
      <c r="M130" s="65">
        <f>prodnorm33</f>
        <v>0</v>
      </c>
      <c r="N130" s="66">
        <f>dagwerk33</f>
        <v>0</v>
      </c>
      <c r="O130" s="62" t="s">
        <v>44</v>
      </c>
      <c r="P130" s="67">
        <f>uurtarief33</f>
        <v>0</v>
      </c>
      <c r="Q130" s="64" t="e">
        <f t="shared" si="19"/>
        <v>#DIV/0!</v>
      </c>
      <c r="R130" s="64" t="e">
        <f t="shared" si="20"/>
        <v>#DIV/0!</v>
      </c>
      <c r="S130" s="67" t="e">
        <f t="shared" si="21"/>
        <v>#DIV/0!</v>
      </c>
      <c r="T130" s="64" t="e">
        <f t="shared" si="22"/>
        <v>#DIV/0!</v>
      </c>
      <c r="U130" s="68" t="e">
        <f t="shared" si="23"/>
        <v>#DIV/0!</v>
      </c>
    </row>
    <row r="131" spans="1:21" x14ac:dyDescent="0.2">
      <c r="A131" s="61" t="s">
        <v>208</v>
      </c>
      <c r="B131" s="62" t="s">
        <v>320</v>
      </c>
      <c r="C131" s="62" t="s">
        <v>280</v>
      </c>
      <c r="D131" s="62" t="s">
        <v>422</v>
      </c>
      <c r="E131" s="62" t="s">
        <v>209</v>
      </c>
      <c r="F131" s="63" t="s">
        <v>257</v>
      </c>
      <c r="G131" s="62" t="s">
        <v>234</v>
      </c>
      <c r="H131" s="62" t="s">
        <v>174</v>
      </c>
      <c r="I131" s="62" t="s">
        <v>26</v>
      </c>
      <c r="J131" s="62" t="s">
        <v>140</v>
      </c>
      <c r="K131" s="64">
        <v>2.2000000000000002</v>
      </c>
      <c r="L131" s="64">
        <f t="shared" si="18"/>
        <v>6.9019607843137265E-2</v>
      </c>
      <c r="M131" s="65">
        <f>prodnorm27</f>
        <v>0</v>
      </c>
      <c r="N131" s="66">
        <f>dagwerk27</f>
        <v>0</v>
      </c>
      <c r="O131" s="62" t="s">
        <v>44</v>
      </c>
      <c r="P131" s="67">
        <f>uurtarief27</f>
        <v>0</v>
      </c>
      <c r="Q131" s="64" t="e">
        <f t="shared" si="19"/>
        <v>#DIV/0!</v>
      </c>
      <c r="R131" s="64" t="e">
        <f t="shared" si="20"/>
        <v>#DIV/0!</v>
      </c>
      <c r="S131" s="67" t="e">
        <f t="shared" si="21"/>
        <v>#DIV/0!</v>
      </c>
      <c r="T131" s="64" t="e">
        <f t="shared" si="22"/>
        <v>#DIV/0!</v>
      </c>
      <c r="U131" s="68" t="e">
        <f t="shared" si="23"/>
        <v>#DIV/0!</v>
      </c>
    </row>
    <row r="132" spans="1:21" x14ac:dyDescent="0.2">
      <c r="A132" s="61" t="s">
        <v>208</v>
      </c>
      <c r="B132" s="62" t="s">
        <v>320</v>
      </c>
      <c r="C132" s="62" t="s">
        <v>280</v>
      </c>
      <c r="D132" s="62" t="s">
        <v>423</v>
      </c>
      <c r="E132" s="62" t="s">
        <v>209</v>
      </c>
      <c r="F132" s="63" t="s">
        <v>254</v>
      </c>
      <c r="G132" s="62" t="s">
        <v>234</v>
      </c>
      <c r="H132" s="62" t="s">
        <v>180</v>
      </c>
      <c r="I132" s="62" t="s">
        <v>26</v>
      </c>
      <c r="J132" s="62" t="s">
        <v>140</v>
      </c>
      <c r="K132" s="64">
        <v>2.1</v>
      </c>
      <c r="L132" s="64">
        <f t="shared" si="18"/>
        <v>6.5882352941176475E-2</v>
      </c>
      <c r="M132" s="65">
        <f>prodnorm33</f>
        <v>0</v>
      </c>
      <c r="N132" s="66">
        <f>dagwerk33</f>
        <v>0</v>
      </c>
      <c r="O132" s="62" t="s">
        <v>44</v>
      </c>
      <c r="P132" s="67">
        <f>uurtarief33</f>
        <v>0</v>
      </c>
      <c r="Q132" s="64" t="e">
        <f t="shared" si="19"/>
        <v>#DIV/0!</v>
      </c>
      <c r="R132" s="64" t="e">
        <f t="shared" si="20"/>
        <v>#DIV/0!</v>
      </c>
      <c r="S132" s="67" t="e">
        <f t="shared" si="21"/>
        <v>#DIV/0!</v>
      </c>
      <c r="T132" s="64" t="e">
        <f t="shared" si="22"/>
        <v>#DIV/0!</v>
      </c>
      <c r="U132" s="68" t="e">
        <f t="shared" si="23"/>
        <v>#DIV/0!</v>
      </c>
    </row>
    <row r="133" spans="1:21" x14ac:dyDescent="0.2">
      <c r="A133" s="61" t="s">
        <v>208</v>
      </c>
      <c r="B133" s="62" t="s">
        <v>320</v>
      </c>
      <c r="C133" s="62" t="s">
        <v>280</v>
      </c>
      <c r="D133" s="62" t="s">
        <v>424</v>
      </c>
      <c r="E133" s="62" t="s">
        <v>209</v>
      </c>
      <c r="F133" s="63" t="s">
        <v>257</v>
      </c>
      <c r="G133" s="62" t="s">
        <v>234</v>
      </c>
      <c r="H133" s="62" t="s">
        <v>174</v>
      </c>
      <c r="I133" s="62" t="s">
        <v>26</v>
      </c>
      <c r="J133" s="62" t="s">
        <v>140</v>
      </c>
      <c r="K133" s="64">
        <v>2.1</v>
      </c>
      <c r="L133" s="64">
        <f t="shared" ref="L133:L164" si="24">K133*VLOOKUP(I133,dagsoorttabel1,2,FALSE)</f>
        <v>6.5882352941176475E-2</v>
      </c>
      <c r="M133" s="65">
        <f>prodnorm27</f>
        <v>0</v>
      </c>
      <c r="N133" s="66">
        <f>dagwerk27</f>
        <v>0</v>
      </c>
      <c r="O133" s="62" t="s">
        <v>44</v>
      </c>
      <c r="P133" s="67">
        <f>uurtarief27</f>
        <v>0</v>
      </c>
      <c r="Q133" s="64" t="e">
        <f t="shared" ref="Q133:Q164" si="25">IF(ISBLANK(M133),0,L133/ROUND(M133,4))</f>
        <v>#DIV/0!</v>
      </c>
      <c r="R133" s="64" t="e">
        <f t="shared" ref="R133:R164" si="26">IF(ISBLANK(M133),0,Q133*ROUND(N133,2))</f>
        <v>#DIV/0!</v>
      </c>
      <c r="S133" s="67" t="e">
        <f t="shared" ref="S133:S164" si="27">ROUND(P133,2)*Q133</f>
        <v>#DIV/0!</v>
      </c>
      <c r="T133" s="64" t="e">
        <f t="shared" ref="T133:T164" si="28">Q133*dagenperjaar1</f>
        <v>#DIV/0!</v>
      </c>
      <c r="U133" s="68" t="e">
        <f t="shared" ref="U133:U164" si="29">T133*ROUND(P133,2)</f>
        <v>#DIV/0!</v>
      </c>
    </row>
    <row r="134" spans="1:21" x14ac:dyDescent="0.2">
      <c r="A134" s="61" t="s">
        <v>208</v>
      </c>
      <c r="B134" s="62" t="s">
        <v>320</v>
      </c>
      <c r="C134" s="62" t="s">
        <v>280</v>
      </c>
      <c r="D134" s="62" t="s">
        <v>425</v>
      </c>
      <c r="E134" s="62" t="s">
        <v>209</v>
      </c>
      <c r="F134" s="63" t="s">
        <v>215</v>
      </c>
      <c r="G134" s="62" t="s">
        <v>213</v>
      </c>
      <c r="H134" s="62" t="s">
        <v>182</v>
      </c>
      <c r="I134" s="62" t="s">
        <v>26</v>
      </c>
      <c r="J134" s="62" t="s">
        <v>140</v>
      </c>
      <c r="K134" s="64">
        <v>72.599999999999994</v>
      </c>
      <c r="L134" s="64">
        <f t="shared" si="24"/>
        <v>2.2776470588235291</v>
      </c>
      <c r="M134" s="65">
        <f>prodnorm35</f>
        <v>0</v>
      </c>
      <c r="N134" s="66">
        <f>dagwerk35</f>
        <v>0</v>
      </c>
      <c r="O134" s="62" t="s">
        <v>44</v>
      </c>
      <c r="P134" s="67">
        <f>uurtarief35</f>
        <v>0</v>
      </c>
      <c r="Q134" s="64" t="e">
        <f t="shared" si="25"/>
        <v>#DIV/0!</v>
      </c>
      <c r="R134" s="64" t="e">
        <f t="shared" si="26"/>
        <v>#DIV/0!</v>
      </c>
      <c r="S134" s="67" t="e">
        <f t="shared" si="27"/>
        <v>#DIV/0!</v>
      </c>
      <c r="T134" s="64" t="e">
        <f t="shared" si="28"/>
        <v>#DIV/0!</v>
      </c>
      <c r="U134" s="68" t="e">
        <f t="shared" si="29"/>
        <v>#DIV/0!</v>
      </c>
    </row>
    <row r="135" spans="1:21" x14ac:dyDescent="0.2">
      <c r="A135" s="61" t="s">
        <v>208</v>
      </c>
      <c r="B135" s="62" t="s">
        <v>320</v>
      </c>
      <c r="C135" s="62" t="s">
        <v>294</v>
      </c>
      <c r="D135" s="62" t="s">
        <v>426</v>
      </c>
      <c r="E135" s="62" t="s">
        <v>209</v>
      </c>
      <c r="F135" s="63" t="s">
        <v>254</v>
      </c>
      <c r="G135" s="62" t="s">
        <v>234</v>
      </c>
      <c r="H135" s="62" t="s">
        <v>180</v>
      </c>
      <c r="I135" s="62" t="s">
        <v>26</v>
      </c>
      <c r="J135" s="62" t="s">
        <v>140</v>
      </c>
      <c r="K135" s="64">
        <v>6.7</v>
      </c>
      <c r="L135" s="64">
        <f t="shared" si="24"/>
        <v>0.21019607843137256</v>
      </c>
      <c r="M135" s="65">
        <f>prodnorm33</f>
        <v>0</v>
      </c>
      <c r="N135" s="66">
        <f>dagwerk33</f>
        <v>0</v>
      </c>
      <c r="O135" s="62" t="s">
        <v>44</v>
      </c>
      <c r="P135" s="67">
        <f>uurtarief33</f>
        <v>0</v>
      </c>
      <c r="Q135" s="64" t="e">
        <f t="shared" si="25"/>
        <v>#DIV/0!</v>
      </c>
      <c r="R135" s="64" t="e">
        <f t="shared" si="26"/>
        <v>#DIV/0!</v>
      </c>
      <c r="S135" s="67" t="e">
        <f t="shared" si="27"/>
        <v>#DIV/0!</v>
      </c>
      <c r="T135" s="64" t="e">
        <f t="shared" si="28"/>
        <v>#DIV/0!</v>
      </c>
      <c r="U135" s="68" t="e">
        <f t="shared" si="29"/>
        <v>#DIV/0!</v>
      </c>
    </row>
    <row r="136" spans="1:21" x14ac:dyDescent="0.2">
      <c r="A136" s="61" t="s">
        <v>208</v>
      </c>
      <c r="B136" s="62" t="s">
        <v>320</v>
      </c>
      <c r="C136" s="62" t="s">
        <v>294</v>
      </c>
      <c r="D136" s="62" t="s">
        <v>427</v>
      </c>
      <c r="E136" s="62" t="s">
        <v>209</v>
      </c>
      <c r="F136" s="63" t="s">
        <v>257</v>
      </c>
      <c r="G136" s="62" t="s">
        <v>234</v>
      </c>
      <c r="H136" s="62" t="s">
        <v>174</v>
      </c>
      <c r="I136" s="62" t="s">
        <v>26</v>
      </c>
      <c r="J136" s="62" t="s">
        <v>140</v>
      </c>
      <c r="K136" s="64">
        <v>4</v>
      </c>
      <c r="L136" s="64">
        <f t="shared" si="24"/>
        <v>0.12549019607843137</v>
      </c>
      <c r="M136" s="65">
        <f>prodnorm27</f>
        <v>0</v>
      </c>
      <c r="N136" s="66">
        <f>dagwerk27</f>
        <v>0</v>
      </c>
      <c r="O136" s="62" t="s">
        <v>44</v>
      </c>
      <c r="P136" s="67">
        <f>uurtarief27</f>
        <v>0</v>
      </c>
      <c r="Q136" s="64" t="e">
        <f t="shared" si="25"/>
        <v>#DIV/0!</v>
      </c>
      <c r="R136" s="64" t="e">
        <f t="shared" si="26"/>
        <v>#DIV/0!</v>
      </c>
      <c r="S136" s="67" t="e">
        <f t="shared" si="27"/>
        <v>#DIV/0!</v>
      </c>
      <c r="T136" s="64" t="e">
        <f t="shared" si="28"/>
        <v>#DIV/0!</v>
      </c>
      <c r="U136" s="68" t="e">
        <f t="shared" si="29"/>
        <v>#DIV/0!</v>
      </c>
    </row>
    <row r="137" spans="1:21" x14ac:dyDescent="0.2">
      <c r="A137" s="61" t="s">
        <v>208</v>
      </c>
      <c r="B137" s="62" t="s">
        <v>320</v>
      </c>
      <c r="C137" s="62" t="s">
        <v>294</v>
      </c>
      <c r="D137" s="62" t="s">
        <v>428</v>
      </c>
      <c r="E137" s="62" t="s">
        <v>209</v>
      </c>
      <c r="F137" s="63" t="s">
        <v>212</v>
      </c>
      <c r="G137" s="62" t="s">
        <v>213</v>
      </c>
      <c r="H137" s="62" t="s">
        <v>181</v>
      </c>
      <c r="I137" s="62" t="s">
        <v>26</v>
      </c>
      <c r="J137" s="62" t="s">
        <v>140</v>
      </c>
      <c r="K137" s="64">
        <v>48.7</v>
      </c>
      <c r="L137" s="64">
        <f t="shared" si="24"/>
        <v>1.527843137254902</v>
      </c>
      <c r="M137" s="65">
        <f>prodnorm34</f>
        <v>0</v>
      </c>
      <c r="N137" s="66">
        <f>dagwerk34</f>
        <v>0</v>
      </c>
      <c r="O137" s="62" t="s">
        <v>44</v>
      </c>
      <c r="P137" s="67">
        <f>uurtarief34</f>
        <v>0</v>
      </c>
      <c r="Q137" s="64" t="e">
        <f t="shared" si="25"/>
        <v>#DIV/0!</v>
      </c>
      <c r="R137" s="64" t="e">
        <f t="shared" si="26"/>
        <v>#DIV/0!</v>
      </c>
      <c r="S137" s="67" t="e">
        <f t="shared" si="27"/>
        <v>#DIV/0!</v>
      </c>
      <c r="T137" s="64" t="e">
        <f t="shared" si="28"/>
        <v>#DIV/0!</v>
      </c>
      <c r="U137" s="68" t="e">
        <f t="shared" si="29"/>
        <v>#DIV/0!</v>
      </c>
    </row>
    <row r="138" spans="1:21" x14ac:dyDescent="0.2">
      <c r="A138" s="61" t="s">
        <v>208</v>
      </c>
      <c r="B138" s="62" t="s">
        <v>320</v>
      </c>
      <c r="C138" s="62" t="s">
        <v>294</v>
      </c>
      <c r="D138" s="62" t="s">
        <v>429</v>
      </c>
      <c r="E138" s="62" t="s">
        <v>209</v>
      </c>
      <c r="F138" s="63" t="s">
        <v>215</v>
      </c>
      <c r="G138" s="62" t="s">
        <v>213</v>
      </c>
      <c r="H138" s="62" t="s">
        <v>182</v>
      </c>
      <c r="I138" s="62" t="s">
        <v>26</v>
      </c>
      <c r="J138" s="62" t="s">
        <v>140</v>
      </c>
      <c r="K138" s="64">
        <v>50.4</v>
      </c>
      <c r="L138" s="64">
        <f t="shared" si="24"/>
        <v>1.5811764705882352</v>
      </c>
      <c r="M138" s="65">
        <f>prodnorm35</f>
        <v>0</v>
      </c>
      <c r="N138" s="66">
        <f>dagwerk35</f>
        <v>0</v>
      </c>
      <c r="O138" s="62" t="s">
        <v>44</v>
      </c>
      <c r="P138" s="67">
        <f>uurtarief35</f>
        <v>0</v>
      </c>
      <c r="Q138" s="64" t="e">
        <f t="shared" si="25"/>
        <v>#DIV/0!</v>
      </c>
      <c r="R138" s="64" t="e">
        <f t="shared" si="26"/>
        <v>#DIV/0!</v>
      </c>
      <c r="S138" s="67" t="e">
        <f t="shared" si="27"/>
        <v>#DIV/0!</v>
      </c>
      <c r="T138" s="64" t="e">
        <f t="shared" si="28"/>
        <v>#DIV/0!</v>
      </c>
      <c r="U138" s="68" t="e">
        <f t="shared" si="29"/>
        <v>#DIV/0!</v>
      </c>
    </row>
    <row r="139" spans="1:21" x14ac:dyDescent="0.2">
      <c r="A139" s="61" t="s">
        <v>208</v>
      </c>
      <c r="B139" s="62" t="s">
        <v>320</v>
      </c>
      <c r="C139" s="62" t="s">
        <v>294</v>
      </c>
      <c r="D139" s="62" t="s">
        <v>432</v>
      </c>
      <c r="E139" s="62" t="s">
        <v>209</v>
      </c>
      <c r="F139" s="63" t="s">
        <v>257</v>
      </c>
      <c r="G139" s="62" t="s">
        <v>234</v>
      </c>
      <c r="H139" s="62" t="s">
        <v>174</v>
      </c>
      <c r="I139" s="62" t="s">
        <v>26</v>
      </c>
      <c r="J139" s="62" t="s">
        <v>140</v>
      </c>
      <c r="K139" s="64">
        <v>2</v>
      </c>
      <c r="L139" s="64">
        <f t="shared" si="24"/>
        <v>6.2745098039215685E-2</v>
      </c>
      <c r="M139" s="65">
        <f>prodnorm27</f>
        <v>0</v>
      </c>
      <c r="N139" s="66">
        <f>dagwerk27</f>
        <v>0</v>
      </c>
      <c r="O139" s="62" t="s">
        <v>44</v>
      </c>
      <c r="P139" s="67">
        <f>uurtarief27</f>
        <v>0</v>
      </c>
      <c r="Q139" s="64" t="e">
        <f t="shared" si="25"/>
        <v>#DIV/0!</v>
      </c>
      <c r="R139" s="64" t="e">
        <f t="shared" si="26"/>
        <v>#DIV/0!</v>
      </c>
      <c r="S139" s="67" t="e">
        <f t="shared" si="27"/>
        <v>#DIV/0!</v>
      </c>
      <c r="T139" s="64" t="e">
        <f t="shared" si="28"/>
        <v>#DIV/0!</v>
      </c>
      <c r="U139" s="68" t="e">
        <f t="shared" si="29"/>
        <v>#DIV/0!</v>
      </c>
    </row>
    <row r="140" spans="1:21" x14ac:dyDescent="0.2">
      <c r="A140" s="61" t="s">
        <v>208</v>
      </c>
      <c r="B140" s="62" t="s">
        <v>320</v>
      </c>
      <c r="C140" s="62" t="s">
        <v>294</v>
      </c>
      <c r="D140" s="62" t="s">
        <v>434</v>
      </c>
      <c r="E140" s="62" t="s">
        <v>209</v>
      </c>
      <c r="F140" s="63" t="s">
        <v>254</v>
      </c>
      <c r="G140" s="62" t="s">
        <v>234</v>
      </c>
      <c r="H140" s="62" t="s">
        <v>180</v>
      </c>
      <c r="I140" s="62" t="s">
        <v>26</v>
      </c>
      <c r="J140" s="62" t="s">
        <v>140</v>
      </c>
      <c r="K140" s="64">
        <v>2</v>
      </c>
      <c r="L140" s="64">
        <f t="shared" si="24"/>
        <v>6.2745098039215685E-2</v>
      </c>
      <c r="M140" s="65">
        <f>prodnorm33</f>
        <v>0</v>
      </c>
      <c r="N140" s="66">
        <f>dagwerk33</f>
        <v>0</v>
      </c>
      <c r="O140" s="62" t="s">
        <v>44</v>
      </c>
      <c r="P140" s="67">
        <f>uurtarief33</f>
        <v>0</v>
      </c>
      <c r="Q140" s="64" t="e">
        <f t="shared" si="25"/>
        <v>#DIV/0!</v>
      </c>
      <c r="R140" s="64" t="e">
        <f t="shared" si="26"/>
        <v>#DIV/0!</v>
      </c>
      <c r="S140" s="67" t="e">
        <f t="shared" si="27"/>
        <v>#DIV/0!</v>
      </c>
      <c r="T140" s="64" t="e">
        <f t="shared" si="28"/>
        <v>#DIV/0!</v>
      </c>
      <c r="U140" s="68" t="e">
        <f t="shared" si="29"/>
        <v>#DIV/0!</v>
      </c>
    </row>
    <row r="141" spans="1:21" x14ac:dyDescent="0.2">
      <c r="A141" s="61" t="s">
        <v>208</v>
      </c>
      <c r="B141" s="62" t="s">
        <v>320</v>
      </c>
      <c r="C141" s="62" t="s">
        <v>294</v>
      </c>
      <c r="D141" s="62" t="s">
        <v>435</v>
      </c>
      <c r="E141" s="62" t="s">
        <v>209</v>
      </c>
      <c r="F141" s="63" t="s">
        <v>261</v>
      </c>
      <c r="G141" s="62" t="s">
        <v>234</v>
      </c>
      <c r="H141" s="62" t="s">
        <v>178</v>
      </c>
      <c r="I141" s="62" t="s">
        <v>26</v>
      </c>
      <c r="J141" s="62" t="s">
        <v>140</v>
      </c>
      <c r="K141" s="64">
        <v>10.8</v>
      </c>
      <c r="L141" s="64">
        <f t="shared" si="24"/>
        <v>0.33882352941176475</v>
      </c>
      <c r="M141" s="65">
        <f>prodnorm31</f>
        <v>0</v>
      </c>
      <c r="N141" s="66">
        <f>dagwerk31</f>
        <v>0</v>
      </c>
      <c r="O141" s="62" t="s">
        <v>44</v>
      </c>
      <c r="P141" s="67">
        <f>uurtarief31</f>
        <v>0</v>
      </c>
      <c r="Q141" s="64" t="e">
        <f t="shared" si="25"/>
        <v>#DIV/0!</v>
      </c>
      <c r="R141" s="64" t="e">
        <f t="shared" si="26"/>
        <v>#DIV/0!</v>
      </c>
      <c r="S141" s="67" t="e">
        <f t="shared" si="27"/>
        <v>#DIV/0!</v>
      </c>
      <c r="T141" s="64" t="e">
        <f t="shared" si="28"/>
        <v>#DIV/0!</v>
      </c>
      <c r="U141" s="68" t="e">
        <f t="shared" si="29"/>
        <v>#DIV/0!</v>
      </c>
    </row>
    <row r="142" spans="1:21" x14ac:dyDescent="0.2">
      <c r="A142" s="61" t="s">
        <v>208</v>
      </c>
      <c r="B142" s="62" t="s">
        <v>320</v>
      </c>
      <c r="C142" s="62" t="s">
        <v>294</v>
      </c>
      <c r="D142" s="62" t="s">
        <v>437</v>
      </c>
      <c r="E142" s="62" t="s">
        <v>209</v>
      </c>
      <c r="F142" s="63" t="s">
        <v>254</v>
      </c>
      <c r="G142" s="62" t="s">
        <v>234</v>
      </c>
      <c r="H142" s="62" t="s">
        <v>180</v>
      </c>
      <c r="I142" s="62" t="s">
        <v>26</v>
      </c>
      <c r="J142" s="62" t="s">
        <v>140</v>
      </c>
      <c r="K142" s="64">
        <v>6.8</v>
      </c>
      <c r="L142" s="64">
        <f t="shared" si="24"/>
        <v>0.21333333333333332</v>
      </c>
      <c r="M142" s="65">
        <f>prodnorm33</f>
        <v>0</v>
      </c>
      <c r="N142" s="66">
        <f>dagwerk33</f>
        <v>0</v>
      </c>
      <c r="O142" s="62" t="s">
        <v>44</v>
      </c>
      <c r="P142" s="67">
        <f>uurtarief33</f>
        <v>0</v>
      </c>
      <c r="Q142" s="64" t="e">
        <f t="shared" si="25"/>
        <v>#DIV/0!</v>
      </c>
      <c r="R142" s="64" t="e">
        <f t="shared" si="26"/>
        <v>#DIV/0!</v>
      </c>
      <c r="S142" s="67" t="e">
        <f t="shared" si="27"/>
        <v>#DIV/0!</v>
      </c>
      <c r="T142" s="64" t="e">
        <f t="shared" si="28"/>
        <v>#DIV/0!</v>
      </c>
      <c r="U142" s="68" t="e">
        <f t="shared" si="29"/>
        <v>#DIV/0!</v>
      </c>
    </row>
    <row r="143" spans="1:21" x14ac:dyDescent="0.2">
      <c r="A143" s="61" t="s">
        <v>208</v>
      </c>
      <c r="B143" s="62" t="s">
        <v>320</v>
      </c>
      <c r="C143" s="62" t="s">
        <v>294</v>
      </c>
      <c r="D143" s="62" t="s">
        <v>438</v>
      </c>
      <c r="E143" s="62" t="s">
        <v>209</v>
      </c>
      <c r="F143" s="63" t="s">
        <v>257</v>
      </c>
      <c r="G143" s="62" t="s">
        <v>234</v>
      </c>
      <c r="H143" s="62" t="s">
        <v>174</v>
      </c>
      <c r="I143" s="62" t="s">
        <v>26</v>
      </c>
      <c r="J143" s="62" t="s">
        <v>140</v>
      </c>
      <c r="K143" s="64">
        <v>4</v>
      </c>
      <c r="L143" s="64">
        <f t="shared" si="24"/>
        <v>0.12549019607843137</v>
      </c>
      <c r="M143" s="65">
        <f>prodnorm27</f>
        <v>0</v>
      </c>
      <c r="N143" s="66">
        <f>dagwerk27</f>
        <v>0</v>
      </c>
      <c r="O143" s="62" t="s">
        <v>44</v>
      </c>
      <c r="P143" s="67">
        <f>uurtarief27</f>
        <v>0</v>
      </c>
      <c r="Q143" s="64" t="e">
        <f t="shared" si="25"/>
        <v>#DIV/0!</v>
      </c>
      <c r="R143" s="64" t="e">
        <f t="shared" si="26"/>
        <v>#DIV/0!</v>
      </c>
      <c r="S143" s="67" t="e">
        <f t="shared" si="27"/>
        <v>#DIV/0!</v>
      </c>
      <c r="T143" s="64" t="e">
        <f t="shared" si="28"/>
        <v>#DIV/0!</v>
      </c>
      <c r="U143" s="68" t="e">
        <f t="shared" si="29"/>
        <v>#DIV/0!</v>
      </c>
    </row>
    <row r="144" spans="1:21" x14ac:dyDescent="0.2">
      <c r="A144" s="61" t="s">
        <v>208</v>
      </c>
      <c r="B144" s="62" t="s">
        <v>320</v>
      </c>
      <c r="C144" s="62" t="s">
        <v>294</v>
      </c>
      <c r="D144" s="62" t="s">
        <v>439</v>
      </c>
      <c r="E144" s="62" t="s">
        <v>209</v>
      </c>
      <c r="F144" s="63" t="s">
        <v>254</v>
      </c>
      <c r="G144" s="62" t="s">
        <v>234</v>
      </c>
      <c r="H144" s="62" t="s">
        <v>180</v>
      </c>
      <c r="I144" s="62" t="s">
        <v>26</v>
      </c>
      <c r="J144" s="62" t="s">
        <v>140</v>
      </c>
      <c r="K144" s="64">
        <v>2</v>
      </c>
      <c r="L144" s="64">
        <f t="shared" si="24"/>
        <v>6.2745098039215685E-2</v>
      </c>
      <c r="M144" s="65">
        <f>prodnorm33</f>
        <v>0</v>
      </c>
      <c r="N144" s="66">
        <f>dagwerk33</f>
        <v>0</v>
      </c>
      <c r="O144" s="62" t="s">
        <v>44</v>
      </c>
      <c r="P144" s="67">
        <f>uurtarief33</f>
        <v>0</v>
      </c>
      <c r="Q144" s="64" t="e">
        <f t="shared" si="25"/>
        <v>#DIV/0!</v>
      </c>
      <c r="R144" s="64" t="e">
        <f t="shared" si="26"/>
        <v>#DIV/0!</v>
      </c>
      <c r="S144" s="67" t="e">
        <f t="shared" si="27"/>
        <v>#DIV/0!</v>
      </c>
      <c r="T144" s="64" t="e">
        <f t="shared" si="28"/>
        <v>#DIV/0!</v>
      </c>
      <c r="U144" s="68" t="e">
        <f t="shared" si="29"/>
        <v>#DIV/0!</v>
      </c>
    </row>
    <row r="145" spans="1:21" x14ac:dyDescent="0.2">
      <c r="A145" s="61" t="s">
        <v>208</v>
      </c>
      <c r="B145" s="62" t="s">
        <v>320</v>
      </c>
      <c r="C145" s="62" t="s">
        <v>294</v>
      </c>
      <c r="D145" s="62" t="s">
        <v>440</v>
      </c>
      <c r="E145" s="62" t="s">
        <v>209</v>
      </c>
      <c r="F145" s="63" t="s">
        <v>257</v>
      </c>
      <c r="G145" s="62" t="s">
        <v>234</v>
      </c>
      <c r="H145" s="62" t="s">
        <v>174</v>
      </c>
      <c r="I145" s="62" t="s">
        <v>26</v>
      </c>
      <c r="J145" s="62" t="s">
        <v>140</v>
      </c>
      <c r="K145" s="64">
        <v>2.1</v>
      </c>
      <c r="L145" s="64">
        <f t="shared" si="24"/>
        <v>6.5882352941176475E-2</v>
      </c>
      <c r="M145" s="65">
        <f>prodnorm27</f>
        <v>0</v>
      </c>
      <c r="N145" s="66">
        <f>dagwerk27</f>
        <v>0</v>
      </c>
      <c r="O145" s="62" t="s">
        <v>44</v>
      </c>
      <c r="P145" s="67">
        <f>uurtarief27</f>
        <v>0</v>
      </c>
      <c r="Q145" s="64" t="e">
        <f t="shared" si="25"/>
        <v>#DIV/0!</v>
      </c>
      <c r="R145" s="64" t="e">
        <f t="shared" si="26"/>
        <v>#DIV/0!</v>
      </c>
      <c r="S145" s="67" t="e">
        <f t="shared" si="27"/>
        <v>#DIV/0!</v>
      </c>
      <c r="T145" s="64" t="e">
        <f t="shared" si="28"/>
        <v>#DIV/0!</v>
      </c>
      <c r="U145" s="68" t="e">
        <f t="shared" si="29"/>
        <v>#DIV/0!</v>
      </c>
    </row>
    <row r="146" spans="1:21" x14ac:dyDescent="0.2">
      <c r="A146" s="61" t="s">
        <v>208</v>
      </c>
      <c r="B146" s="62" t="s">
        <v>320</v>
      </c>
      <c r="C146" s="62" t="s">
        <v>294</v>
      </c>
      <c r="D146" s="62" t="s">
        <v>441</v>
      </c>
      <c r="E146" s="62" t="s">
        <v>209</v>
      </c>
      <c r="F146" s="63" t="s">
        <v>254</v>
      </c>
      <c r="G146" s="62" t="s">
        <v>234</v>
      </c>
      <c r="H146" s="62" t="s">
        <v>180</v>
      </c>
      <c r="I146" s="62" t="s">
        <v>26</v>
      </c>
      <c r="J146" s="62" t="s">
        <v>140</v>
      </c>
      <c r="K146" s="64">
        <v>2.2999999999999998</v>
      </c>
      <c r="L146" s="64">
        <f t="shared" si="24"/>
        <v>7.2156862745098027E-2</v>
      </c>
      <c r="M146" s="65">
        <f>prodnorm33</f>
        <v>0</v>
      </c>
      <c r="N146" s="66">
        <f>dagwerk33</f>
        <v>0</v>
      </c>
      <c r="O146" s="62" t="s">
        <v>44</v>
      </c>
      <c r="P146" s="67">
        <f>uurtarief33</f>
        <v>0</v>
      </c>
      <c r="Q146" s="64" t="e">
        <f t="shared" si="25"/>
        <v>#DIV/0!</v>
      </c>
      <c r="R146" s="64" t="e">
        <f t="shared" si="26"/>
        <v>#DIV/0!</v>
      </c>
      <c r="S146" s="67" t="e">
        <f t="shared" si="27"/>
        <v>#DIV/0!</v>
      </c>
      <c r="T146" s="64" t="e">
        <f t="shared" si="28"/>
        <v>#DIV/0!</v>
      </c>
      <c r="U146" s="68" t="e">
        <f t="shared" si="29"/>
        <v>#DIV/0!</v>
      </c>
    </row>
    <row r="147" spans="1:21" x14ac:dyDescent="0.2">
      <c r="A147" s="61" t="s">
        <v>208</v>
      </c>
      <c r="B147" s="62" t="s">
        <v>320</v>
      </c>
      <c r="C147" s="62" t="s">
        <v>294</v>
      </c>
      <c r="D147" s="62" t="s">
        <v>442</v>
      </c>
      <c r="E147" s="62" t="s">
        <v>209</v>
      </c>
      <c r="F147" s="63" t="s">
        <v>257</v>
      </c>
      <c r="G147" s="62" t="s">
        <v>234</v>
      </c>
      <c r="H147" s="62" t="s">
        <v>174</v>
      </c>
      <c r="I147" s="62" t="s">
        <v>26</v>
      </c>
      <c r="J147" s="62" t="s">
        <v>140</v>
      </c>
      <c r="K147" s="64">
        <v>2.2000000000000002</v>
      </c>
      <c r="L147" s="64">
        <f t="shared" si="24"/>
        <v>6.9019607843137265E-2</v>
      </c>
      <c r="M147" s="65">
        <f>prodnorm27</f>
        <v>0</v>
      </c>
      <c r="N147" s="66">
        <f>dagwerk27</f>
        <v>0</v>
      </c>
      <c r="O147" s="62" t="s">
        <v>44</v>
      </c>
      <c r="P147" s="67">
        <f>uurtarief27</f>
        <v>0</v>
      </c>
      <c r="Q147" s="64" t="e">
        <f t="shared" si="25"/>
        <v>#DIV/0!</v>
      </c>
      <c r="R147" s="64" t="e">
        <f t="shared" si="26"/>
        <v>#DIV/0!</v>
      </c>
      <c r="S147" s="67" t="e">
        <f t="shared" si="27"/>
        <v>#DIV/0!</v>
      </c>
      <c r="T147" s="64" t="e">
        <f t="shared" si="28"/>
        <v>#DIV/0!</v>
      </c>
      <c r="U147" s="68" t="e">
        <f t="shared" si="29"/>
        <v>#DIV/0!</v>
      </c>
    </row>
    <row r="148" spans="1:21" x14ac:dyDescent="0.2">
      <c r="A148" s="61" t="s">
        <v>208</v>
      </c>
      <c r="B148" s="62" t="s">
        <v>320</v>
      </c>
      <c r="C148" s="62" t="s">
        <v>294</v>
      </c>
      <c r="D148" s="62" t="s">
        <v>443</v>
      </c>
      <c r="E148" s="62" t="s">
        <v>209</v>
      </c>
      <c r="F148" s="63" t="s">
        <v>254</v>
      </c>
      <c r="G148" s="62" t="s">
        <v>234</v>
      </c>
      <c r="H148" s="62" t="s">
        <v>180</v>
      </c>
      <c r="I148" s="62" t="s">
        <v>26</v>
      </c>
      <c r="J148" s="62" t="s">
        <v>140</v>
      </c>
      <c r="K148" s="64">
        <v>2.1</v>
      </c>
      <c r="L148" s="64">
        <f t="shared" si="24"/>
        <v>6.5882352941176475E-2</v>
      </c>
      <c r="M148" s="65">
        <f>prodnorm33</f>
        <v>0</v>
      </c>
      <c r="N148" s="66">
        <f>dagwerk33</f>
        <v>0</v>
      </c>
      <c r="O148" s="62" t="s">
        <v>44</v>
      </c>
      <c r="P148" s="67">
        <f>uurtarief33</f>
        <v>0</v>
      </c>
      <c r="Q148" s="64" t="e">
        <f t="shared" si="25"/>
        <v>#DIV/0!</v>
      </c>
      <c r="R148" s="64" t="e">
        <f t="shared" si="26"/>
        <v>#DIV/0!</v>
      </c>
      <c r="S148" s="67" t="e">
        <f t="shared" si="27"/>
        <v>#DIV/0!</v>
      </c>
      <c r="T148" s="64" t="e">
        <f t="shared" si="28"/>
        <v>#DIV/0!</v>
      </c>
      <c r="U148" s="68" t="e">
        <f t="shared" si="29"/>
        <v>#DIV/0!</v>
      </c>
    </row>
    <row r="149" spans="1:21" x14ac:dyDescent="0.2">
      <c r="A149" s="61" t="s">
        <v>208</v>
      </c>
      <c r="B149" s="62" t="s">
        <v>320</v>
      </c>
      <c r="C149" s="62" t="s">
        <v>294</v>
      </c>
      <c r="D149" s="62" t="s">
        <v>444</v>
      </c>
      <c r="E149" s="62" t="s">
        <v>209</v>
      </c>
      <c r="F149" s="63" t="s">
        <v>257</v>
      </c>
      <c r="G149" s="62" t="s">
        <v>234</v>
      </c>
      <c r="H149" s="62" t="s">
        <v>174</v>
      </c>
      <c r="I149" s="62" t="s">
        <v>26</v>
      </c>
      <c r="J149" s="62" t="s">
        <v>140</v>
      </c>
      <c r="K149" s="64">
        <v>2.1</v>
      </c>
      <c r="L149" s="64">
        <f t="shared" si="24"/>
        <v>6.5882352941176475E-2</v>
      </c>
      <c r="M149" s="65">
        <f>prodnorm27</f>
        <v>0</v>
      </c>
      <c r="N149" s="66">
        <f>dagwerk27</f>
        <v>0</v>
      </c>
      <c r="O149" s="62" t="s">
        <v>44</v>
      </c>
      <c r="P149" s="67">
        <f>uurtarief27</f>
        <v>0</v>
      </c>
      <c r="Q149" s="64" t="e">
        <f t="shared" si="25"/>
        <v>#DIV/0!</v>
      </c>
      <c r="R149" s="64" t="e">
        <f t="shared" si="26"/>
        <v>#DIV/0!</v>
      </c>
      <c r="S149" s="67" t="e">
        <f t="shared" si="27"/>
        <v>#DIV/0!</v>
      </c>
      <c r="T149" s="64" t="e">
        <f t="shared" si="28"/>
        <v>#DIV/0!</v>
      </c>
      <c r="U149" s="68" t="e">
        <f t="shared" si="29"/>
        <v>#DIV/0!</v>
      </c>
    </row>
    <row r="150" spans="1:21" x14ac:dyDescent="0.2">
      <c r="A150" s="61" t="s">
        <v>208</v>
      </c>
      <c r="B150" s="62" t="s">
        <v>320</v>
      </c>
      <c r="C150" s="62" t="s">
        <v>294</v>
      </c>
      <c r="D150" s="62" t="s">
        <v>445</v>
      </c>
      <c r="E150" s="62" t="s">
        <v>209</v>
      </c>
      <c r="F150" s="63" t="s">
        <v>215</v>
      </c>
      <c r="G150" s="62" t="s">
        <v>213</v>
      </c>
      <c r="H150" s="62" t="s">
        <v>182</v>
      </c>
      <c r="I150" s="62" t="s">
        <v>26</v>
      </c>
      <c r="J150" s="62" t="s">
        <v>140</v>
      </c>
      <c r="K150" s="64">
        <v>72.5</v>
      </c>
      <c r="L150" s="64">
        <f t="shared" si="24"/>
        <v>2.2745098039215685</v>
      </c>
      <c r="M150" s="65">
        <f>prodnorm35</f>
        <v>0</v>
      </c>
      <c r="N150" s="66">
        <f>dagwerk35</f>
        <v>0</v>
      </c>
      <c r="O150" s="62" t="s">
        <v>44</v>
      </c>
      <c r="P150" s="67">
        <f>uurtarief35</f>
        <v>0</v>
      </c>
      <c r="Q150" s="64" t="e">
        <f t="shared" si="25"/>
        <v>#DIV/0!</v>
      </c>
      <c r="R150" s="64" t="e">
        <f t="shared" si="26"/>
        <v>#DIV/0!</v>
      </c>
      <c r="S150" s="67" t="e">
        <f t="shared" si="27"/>
        <v>#DIV/0!</v>
      </c>
      <c r="T150" s="64" t="e">
        <f t="shared" si="28"/>
        <v>#DIV/0!</v>
      </c>
      <c r="U150" s="68" t="e">
        <f t="shared" si="29"/>
        <v>#DIV/0!</v>
      </c>
    </row>
    <row r="151" spans="1:21" x14ac:dyDescent="0.2">
      <c r="A151" s="61" t="s">
        <v>208</v>
      </c>
      <c r="B151" s="62" t="s">
        <v>320</v>
      </c>
      <c r="C151" s="62" t="s">
        <v>307</v>
      </c>
      <c r="D151" s="62" t="s">
        <v>446</v>
      </c>
      <c r="E151" s="62" t="s">
        <v>209</v>
      </c>
      <c r="F151" s="63" t="s">
        <v>212</v>
      </c>
      <c r="G151" s="62" t="s">
        <v>213</v>
      </c>
      <c r="H151" s="62" t="s">
        <v>181</v>
      </c>
      <c r="I151" s="62" t="s">
        <v>26</v>
      </c>
      <c r="J151" s="62" t="s">
        <v>140</v>
      </c>
      <c r="K151" s="64">
        <v>48.7</v>
      </c>
      <c r="L151" s="64">
        <f t="shared" si="24"/>
        <v>1.527843137254902</v>
      </c>
      <c r="M151" s="65">
        <f>prodnorm34</f>
        <v>0</v>
      </c>
      <c r="N151" s="66">
        <f>dagwerk34</f>
        <v>0</v>
      </c>
      <c r="O151" s="62" t="s">
        <v>44</v>
      </c>
      <c r="P151" s="67">
        <f>uurtarief34</f>
        <v>0</v>
      </c>
      <c r="Q151" s="64" t="e">
        <f t="shared" si="25"/>
        <v>#DIV/0!</v>
      </c>
      <c r="R151" s="64" t="e">
        <f t="shared" si="26"/>
        <v>#DIV/0!</v>
      </c>
      <c r="S151" s="67" t="e">
        <f t="shared" si="27"/>
        <v>#DIV/0!</v>
      </c>
      <c r="T151" s="64" t="e">
        <f t="shared" si="28"/>
        <v>#DIV/0!</v>
      </c>
      <c r="U151" s="68" t="e">
        <f t="shared" si="29"/>
        <v>#DIV/0!</v>
      </c>
    </row>
    <row r="152" spans="1:21" x14ac:dyDescent="0.2">
      <c r="A152" s="61" t="s">
        <v>208</v>
      </c>
      <c r="B152" s="62" t="s">
        <v>320</v>
      </c>
      <c r="C152" s="62" t="s">
        <v>307</v>
      </c>
      <c r="D152" s="62" t="s">
        <v>448</v>
      </c>
      <c r="E152" s="62" t="s">
        <v>209</v>
      </c>
      <c r="F152" s="63" t="s">
        <v>449</v>
      </c>
      <c r="G152" s="62" t="s">
        <v>234</v>
      </c>
      <c r="H152" s="62" t="s">
        <v>180</v>
      </c>
      <c r="I152" s="62" t="s">
        <v>26</v>
      </c>
      <c r="J152" s="62" t="s">
        <v>140</v>
      </c>
      <c r="K152" s="64">
        <v>10.4</v>
      </c>
      <c r="L152" s="64">
        <f t="shared" si="24"/>
        <v>0.32627450980392159</v>
      </c>
      <c r="M152" s="65">
        <f>prodnorm33</f>
        <v>0</v>
      </c>
      <c r="N152" s="66">
        <f>dagwerk33</f>
        <v>0</v>
      </c>
      <c r="O152" s="62" t="s">
        <v>44</v>
      </c>
      <c r="P152" s="67">
        <f>uurtarief33</f>
        <v>0</v>
      </c>
      <c r="Q152" s="64" t="e">
        <f t="shared" si="25"/>
        <v>#DIV/0!</v>
      </c>
      <c r="R152" s="64" t="e">
        <f t="shared" si="26"/>
        <v>#DIV/0!</v>
      </c>
      <c r="S152" s="67" t="e">
        <f t="shared" si="27"/>
        <v>#DIV/0!</v>
      </c>
      <c r="T152" s="64" t="e">
        <f t="shared" si="28"/>
        <v>#DIV/0!</v>
      </c>
      <c r="U152" s="68" t="e">
        <f t="shared" si="29"/>
        <v>#DIV/0!</v>
      </c>
    </row>
    <row r="153" spans="1:21" x14ac:dyDescent="0.2">
      <c r="A153" s="61" t="s">
        <v>208</v>
      </c>
      <c r="B153" s="62" t="s">
        <v>320</v>
      </c>
      <c r="C153" s="62" t="s">
        <v>307</v>
      </c>
      <c r="D153" s="62" t="s">
        <v>450</v>
      </c>
      <c r="E153" s="62" t="s">
        <v>209</v>
      </c>
      <c r="F153" s="63" t="s">
        <v>215</v>
      </c>
      <c r="G153" s="62" t="s">
        <v>213</v>
      </c>
      <c r="H153" s="62" t="s">
        <v>182</v>
      </c>
      <c r="I153" s="62" t="s">
        <v>26</v>
      </c>
      <c r="J153" s="62" t="s">
        <v>140</v>
      </c>
      <c r="K153" s="64">
        <v>50.6</v>
      </c>
      <c r="L153" s="64">
        <f t="shared" si="24"/>
        <v>1.5874509803921568</v>
      </c>
      <c r="M153" s="65">
        <f>prodnorm35</f>
        <v>0</v>
      </c>
      <c r="N153" s="66">
        <f>dagwerk35</f>
        <v>0</v>
      </c>
      <c r="O153" s="62" t="s">
        <v>44</v>
      </c>
      <c r="P153" s="67">
        <f>uurtarief35</f>
        <v>0</v>
      </c>
      <c r="Q153" s="64" t="e">
        <f t="shared" si="25"/>
        <v>#DIV/0!</v>
      </c>
      <c r="R153" s="64" t="e">
        <f t="shared" si="26"/>
        <v>#DIV/0!</v>
      </c>
      <c r="S153" s="67" t="e">
        <f t="shared" si="27"/>
        <v>#DIV/0!</v>
      </c>
      <c r="T153" s="64" t="e">
        <f t="shared" si="28"/>
        <v>#DIV/0!</v>
      </c>
      <c r="U153" s="68" t="e">
        <f t="shared" si="29"/>
        <v>#DIV/0!</v>
      </c>
    </row>
    <row r="154" spans="1:21" x14ac:dyDescent="0.2">
      <c r="A154" s="61" t="s">
        <v>208</v>
      </c>
      <c r="B154" s="62" t="s">
        <v>320</v>
      </c>
      <c r="C154" s="62" t="s">
        <v>307</v>
      </c>
      <c r="D154" s="62" t="s">
        <v>453</v>
      </c>
      <c r="E154" s="62" t="s">
        <v>209</v>
      </c>
      <c r="F154" s="63" t="s">
        <v>257</v>
      </c>
      <c r="G154" s="62" t="s">
        <v>234</v>
      </c>
      <c r="H154" s="62" t="s">
        <v>174</v>
      </c>
      <c r="I154" s="62" t="s">
        <v>26</v>
      </c>
      <c r="J154" s="62" t="s">
        <v>140</v>
      </c>
      <c r="K154" s="64">
        <v>2</v>
      </c>
      <c r="L154" s="64">
        <f t="shared" si="24"/>
        <v>6.2745098039215685E-2</v>
      </c>
      <c r="M154" s="65">
        <f>prodnorm27</f>
        <v>0</v>
      </c>
      <c r="N154" s="66">
        <f>dagwerk27</f>
        <v>0</v>
      </c>
      <c r="O154" s="62" t="s">
        <v>44</v>
      </c>
      <c r="P154" s="67">
        <f>uurtarief27</f>
        <v>0</v>
      </c>
      <c r="Q154" s="64" t="e">
        <f t="shared" si="25"/>
        <v>#DIV/0!</v>
      </c>
      <c r="R154" s="64" t="e">
        <f t="shared" si="26"/>
        <v>#DIV/0!</v>
      </c>
      <c r="S154" s="67" t="e">
        <f t="shared" si="27"/>
        <v>#DIV/0!</v>
      </c>
      <c r="T154" s="64" t="e">
        <f t="shared" si="28"/>
        <v>#DIV/0!</v>
      </c>
      <c r="U154" s="68" t="e">
        <f t="shared" si="29"/>
        <v>#DIV/0!</v>
      </c>
    </row>
    <row r="155" spans="1:21" x14ac:dyDescent="0.2">
      <c r="A155" s="61" t="s">
        <v>208</v>
      </c>
      <c r="B155" s="62" t="s">
        <v>320</v>
      </c>
      <c r="C155" s="62" t="s">
        <v>307</v>
      </c>
      <c r="D155" s="62" t="s">
        <v>455</v>
      </c>
      <c r="E155" s="62" t="s">
        <v>209</v>
      </c>
      <c r="F155" s="63" t="s">
        <v>254</v>
      </c>
      <c r="G155" s="62" t="s">
        <v>234</v>
      </c>
      <c r="H155" s="62" t="s">
        <v>180</v>
      </c>
      <c r="I155" s="62" t="s">
        <v>26</v>
      </c>
      <c r="J155" s="62" t="s">
        <v>140</v>
      </c>
      <c r="K155" s="64">
        <v>2</v>
      </c>
      <c r="L155" s="64">
        <f t="shared" si="24"/>
        <v>6.2745098039215685E-2</v>
      </c>
      <c r="M155" s="65">
        <f>prodnorm33</f>
        <v>0</v>
      </c>
      <c r="N155" s="66">
        <f>dagwerk33</f>
        <v>0</v>
      </c>
      <c r="O155" s="62" t="s">
        <v>44</v>
      </c>
      <c r="P155" s="67">
        <f>uurtarief33</f>
        <v>0</v>
      </c>
      <c r="Q155" s="64" t="e">
        <f t="shared" si="25"/>
        <v>#DIV/0!</v>
      </c>
      <c r="R155" s="64" t="e">
        <f t="shared" si="26"/>
        <v>#DIV/0!</v>
      </c>
      <c r="S155" s="67" t="e">
        <f t="shared" si="27"/>
        <v>#DIV/0!</v>
      </c>
      <c r="T155" s="64" t="e">
        <f t="shared" si="28"/>
        <v>#DIV/0!</v>
      </c>
      <c r="U155" s="68" t="e">
        <f t="shared" si="29"/>
        <v>#DIV/0!</v>
      </c>
    </row>
    <row r="156" spans="1:21" x14ac:dyDescent="0.2">
      <c r="A156" s="61" t="s">
        <v>208</v>
      </c>
      <c r="B156" s="62" t="s">
        <v>320</v>
      </c>
      <c r="C156" s="62" t="s">
        <v>307</v>
      </c>
      <c r="D156" s="62" t="s">
        <v>456</v>
      </c>
      <c r="E156" s="62" t="s">
        <v>209</v>
      </c>
      <c r="F156" s="63" t="s">
        <v>261</v>
      </c>
      <c r="G156" s="62" t="s">
        <v>234</v>
      </c>
      <c r="H156" s="62" t="s">
        <v>178</v>
      </c>
      <c r="I156" s="62" t="s">
        <v>26</v>
      </c>
      <c r="J156" s="62" t="s">
        <v>140</v>
      </c>
      <c r="K156" s="64">
        <v>10.8</v>
      </c>
      <c r="L156" s="64">
        <f t="shared" si="24"/>
        <v>0.33882352941176475</v>
      </c>
      <c r="M156" s="65">
        <f>prodnorm31</f>
        <v>0</v>
      </c>
      <c r="N156" s="66">
        <f>dagwerk31</f>
        <v>0</v>
      </c>
      <c r="O156" s="62" t="s">
        <v>44</v>
      </c>
      <c r="P156" s="67">
        <f>uurtarief31</f>
        <v>0</v>
      </c>
      <c r="Q156" s="64" t="e">
        <f t="shared" si="25"/>
        <v>#DIV/0!</v>
      </c>
      <c r="R156" s="64" t="e">
        <f t="shared" si="26"/>
        <v>#DIV/0!</v>
      </c>
      <c r="S156" s="67" t="e">
        <f t="shared" si="27"/>
        <v>#DIV/0!</v>
      </c>
      <c r="T156" s="64" t="e">
        <f t="shared" si="28"/>
        <v>#DIV/0!</v>
      </c>
      <c r="U156" s="68" t="e">
        <f t="shared" si="29"/>
        <v>#DIV/0!</v>
      </c>
    </row>
    <row r="157" spans="1:21" x14ac:dyDescent="0.2">
      <c r="A157" s="61" t="s">
        <v>208</v>
      </c>
      <c r="B157" s="62" t="s">
        <v>320</v>
      </c>
      <c r="C157" s="62" t="s">
        <v>307</v>
      </c>
      <c r="D157" s="62" t="s">
        <v>458</v>
      </c>
      <c r="E157" s="62" t="s">
        <v>209</v>
      </c>
      <c r="F157" s="63" t="s">
        <v>254</v>
      </c>
      <c r="G157" s="62" t="s">
        <v>234</v>
      </c>
      <c r="H157" s="62" t="s">
        <v>180</v>
      </c>
      <c r="I157" s="62" t="s">
        <v>26</v>
      </c>
      <c r="J157" s="62" t="s">
        <v>140</v>
      </c>
      <c r="K157" s="64">
        <v>6.6</v>
      </c>
      <c r="L157" s="64">
        <f t="shared" si="24"/>
        <v>0.20705882352941174</v>
      </c>
      <c r="M157" s="65">
        <f>prodnorm33</f>
        <v>0</v>
      </c>
      <c r="N157" s="66">
        <f>dagwerk33</f>
        <v>0</v>
      </c>
      <c r="O157" s="62" t="s">
        <v>44</v>
      </c>
      <c r="P157" s="67">
        <f>uurtarief33</f>
        <v>0</v>
      </c>
      <c r="Q157" s="64" t="e">
        <f t="shared" si="25"/>
        <v>#DIV/0!</v>
      </c>
      <c r="R157" s="64" t="e">
        <f t="shared" si="26"/>
        <v>#DIV/0!</v>
      </c>
      <c r="S157" s="67" t="e">
        <f t="shared" si="27"/>
        <v>#DIV/0!</v>
      </c>
      <c r="T157" s="64" t="e">
        <f t="shared" si="28"/>
        <v>#DIV/0!</v>
      </c>
      <c r="U157" s="68" t="e">
        <f t="shared" si="29"/>
        <v>#DIV/0!</v>
      </c>
    </row>
    <row r="158" spans="1:21" x14ac:dyDescent="0.2">
      <c r="A158" s="61" t="s">
        <v>208</v>
      </c>
      <c r="B158" s="62" t="s">
        <v>320</v>
      </c>
      <c r="C158" s="62" t="s">
        <v>307</v>
      </c>
      <c r="D158" s="62" t="s">
        <v>459</v>
      </c>
      <c r="E158" s="62" t="s">
        <v>209</v>
      </c>
      <c r="F158" s="63" t="s">
        <v>257</v>
      </c>
      <c r="G158" s="62" t="s">
        <v>234</v>
      </c>
      <c r="H158" s="62" t="s">
        <v>174</v>
      </c>
      <c r="I158" s="62" t="s">
        <v>26</v>
      </c>
      <c r="J158" s="62" t="s">
        <v>140</v>
      </c>
      <c r="K158" s="64">
        <v>4</v>
      </c>
      <c r="L158" s="64">
        <f t="shared" si="24"/>
        <v>0.12549019607843137</v>
      </c>
      <c r="M158" s="65">
        <f>prodnorm27</f>
        <v>0</v>
      </c>
      <c r="N158" s="66">
        <f>dagwerk27</f>
        <v>0</v>
      </c>
      <c r="O158" s="62" t="s">
        <v>44</v>
      </c>
      <c r="P158" s="67">
        <f>uurtarief27</f>
        <v>0</v>
      </c>
      <c r="Q158" s="64" t="e">
        <f t="shared" si="25"/>
        <v>#DIV/0!</v>
      </c>
      <c r="R158" s="64" t="e">
        <f t="shared" si="26"/>
        <v>#DIV/0!</v>
      </c>
      <c r="S158" s="67" t="e">
        <f t="shared" si="27"/>
        <v>#DIV/0!</v>
      </c>
      <c r="T158" s="64" t="e">
        <f t="shared" si="28"/>
        <v>#DIV/0!</v>
      </c>
      <c r="U158" s="68" t="e">
        <f t="shared" si="29"/>
        <v>#DIV/0!</v>
      </c>
    </row>
    <row r="159" spans="1:21" x14ac:dyDescent="0.2">
      <c r="A159" s="61" t="s">
        <v>208</v>
      </c>
      <c r="B159" s="62" t="s">
        <v>320</v>
      </c>
      <c r="C159" s="62" t="s">
        <v>307</v>
      </c>
      <c r="D159" s="62" t="s">
        <v>460</v>
      </c>
      <c r="E159" s="62" t="s">
        <v>209</v>
      </c>
      <c r="F159" s="63" t="s">
        <v>254</v>
      </c>
      <c r="G159" s="62" t="s">
        <v>234</v>
      </c>
      <c r="H159" s="62" t="s">
        <v>180</v>
      </c>
      <c r="I159" s="62" t="s">
        <v>26</v>
      </c>
      <c r="J159" s="62" t="s">
        <v>140</v>
      </c>
      <c r="K159" s="64">
        <v>2</v>
      </c>
      <c r="L159" s="64">
        <f t="shared" si="24"/>
        <v>6.2745098039215685E-2</v>
      </c>
      <c r="M159" s="65">
        <f>prodnorm33</f>
        <v>0</v>
      </c>
      <c r="N159" s="66">
        <f>dagwerk33</f>
        <v>0</v>
      </c>
      <c r="O159" s="62" t="s">
        <v>44</v>
      </c>
      <c r="P159" s="67">
        <f>uurtarief33</f>
        <v>0</v>
      </c>
      <c r="Q159" s="64" t="e">
        <f t="shared" si="25"/>
        <v>#DIV/0!</v>
      </c>
      <c r="R159" s="64" t="e">
        <f t="shared" si="26"/>
        <v>#DIV/0!</v>
      </c>
      <c r="S159" s="67" t="e">
        <f t="shared" si="27"/>
        <v>#DIV/0!</v>
      </c>
      <c r="T159" s="64" t="e">
        <f t="shared" si="28"/>
        <v>#DIV/0!</v>
      </c>
      <c r="U159" s="68" t="e">
        <f t="shared" si="29"/>
        <v>#DIV/0!</v>
      </c>
    </row>
    <row r="160" spans="1:21" x14ac:dyDescent="0.2">
      <c r="A160" s="61" t="s">
        <v>208</v>
      </c>
      <c r="B160" s="62" t="s">
        <v>320</v>
      </c>
      <c r="C160" s="62" t="s">
        <v>307</v>
      </c>
      <c r="D160" s="62" t="s">
        <v>461</v>
      </c>
      <c r="E160" s="62" t="s">
        <v>209</v>
      </c>
      <c r="F160" s="63" t="s">
        <v>257</v>
      </c>
      <c r="G160" s="62" t="s">
        <v>234</v>
      </c>
      <c r="H160" s="62" t="s">
        <v>174</v>
      </c>
      <c r="I160" s="62" t="s">
        <v>26</v>
      </c>
      <c r="J160" s="62" t="s">
        <v>140</v>
      </c>
      <c r="K160" s="64">
        <v>2</v>
      </c>
      <c r="L160" s="64">
        <f t="shared" si="24"/>
        <v>6.2745098039215685E-2</v>
      </c>
      <c r="M160" s="65">
        <f>prodnorm27</f>
        <v>0</v>
      </c>
      <c r="N160" s="66">
        <f>dagwerk27</f>
        <v>0</v>
      </c>
      <c r="O160" s="62" t="s">
        <v>44</v>
      </c>
      <c r="P160" s="67">
        <f>uurtarief27</f>
        <v>0</v>
      </c>
      <c r="Q160" s="64" t="e">
        <f t="shared" si="25"/>
        <v>#DIV/0!</v>
      </c>
      <c r="R160" s="64" t="e">
        <f t="shared" si="26"/>
        <v>#DIV/0!</v>
      </c>
      <c r="S160" s="67" t="e">
        <f t="shared" si="27"/>
        <v>#DIV/0!</v>
      </c>
      <c r="T160" s="64" t="e">
        <f t="shared" si="28"/>
        <v>#DIV/0!</v>
      </c>
      <c r="U160" s="68" t="e">
        <f t="shared" si="29"/>
        <v>#DIV/0!</v>
      </c>
    </row>
    <row r="161" spans="1:21" x14ac:dyDescent="0.2">
      <c r="A161" s="61" t="s">
        <v>208</v>
      </c>
      <c r="B161" s="62" t="s">
        <v>320</v>
      </c>
      <c r="C161" s="62" t="s">
        <v>307</v>
      </c>
      <c r="D161" s="62" t="s">
        <v>462</v>
      </c>
      <c r="E161" s="62" t="s">
        <v>209</v>
      </c>
      <c r="F161" s="63" t="s">
        <v>254</v>
      </c>
      <c r="G161" s="62" t="s">
        <v>234</v>
      </c>
      <c r="H161" s="62" t="s">
        <v>180</v>
      </c>
      <c r="I161" s="62" t="s">
        <v>26</v>
      </c>
      <c r="J161" s="62" t="s">
        <v>140</v>
      </c>
      <c r="K161" s="64">
        <v>2.2999999999999998</v>
      </c>
      <c r="L161" s="64">
        <f t="shared" si="24"/>
        <v>7.2156862745098027E-2</v>
      </c>
      <c r="M161" s="65">
        <f>prodnorm33</f>
        <v>0</v>
      </c>
      <c r="N161" s="66">
        <f>dagwerk33</f>
        <v>0</v>
      </c>
      <c r="O161" s="62" t="s">
        <v>44</v>
      </c>
      <c r="P161" s="67">
        <f>uurtarief33</f>
        <v>0</v>
      </c>
      <c r="Q161" s="64" t="e">
        <f t="shared" si="25"/>
        <v>#DIV/0!</v>
      </c>
      <c r="R161" s="64" t="e">
        <f t="shared" si="26"/>
        <v>#DIV/0!</v>
      </c>
      <c r="S161" s="67" t="e">
        <f t="shared" si="27"/>
        <v>#DIV/0!</v>
      </c>
      <c r="T161" s="64" t="e">
        <f t="shared" si="28"/>
        <v>#DIV/0!</v>
      </c>
      <c r="U161" s="68" t="e">
        <f t="shared" si="29"/>
        <v>#DIV/0!</v>
      </c>
    </row>
    <row r="162" spans="1:21" x14ac:dyDescent="0.2">
      <c r="A162" s="61" t="s">
        <v>208</v>
      </c>
      <c r="B162" s="62" t="s">
        <v>320</v>
      </c>
      <c r="C162" s="62" t="s">
        <v>307</v>
      </c>
      <c r="D162" s="62" t="s">
        <v>463</v>
      </c>
      <c r="E162" s="62" t="s">
        <v>209</v>
      </c>
      <c r="F162" s="63" t="s">
        <v>257</v>
      </c>
      <c r="G162" s="62" t="s">
        <v>234</v>
      </c>
      <c r="H162" s="62" t="s">
        <v>174</v>
      </c>
      <c r="I162" s="62" t="s">
        <v>26</v>
      </c>
      <c r="J162" s="62" t="s">
        <v>140</v>
      </c>
      <c r="K162" s="64">
        <v>2.2000000000000002</v>
      </c>
      <c r="L162" s="64">
        <f t="shared" si="24"/>
        <v>6.9019607843137265E-2</v>
      </c>
      <c r="M162" s="65">
        <f>prodnorm27</f>
        <v>0</v>
      </c>
      <c r="N162" s="66">
        <f>dagwerk27</f>
        <v>0</v>
      </c>
      <c r="O162" s="62" t="s">
        <v>44</v>
      </c>
      <c r="P162" s="67">
        <f>uurtarief27</f>
        <v>0</v>
      </c>
      <c r="Q162" s="64" t="e">
        <f t="shared" si="25"/>
        <v>#DIV/0!</v>
      </c>
      <c r="R162" s="64" t="e">
        <f t="shared" si="26"/>
        <v>#DIV/0!</v>
      </c>
      <c r="S162" s="67" t="e">
        <f t="shared" si="27"/>
        <v>#DIV/0!</v>
      </c>
      <c r="T162" s="64" t="e">
        <f t="shared" si="28"/>
        <v>#DIV/0!</v>
      </c>
      <c r="U162" s="68" t="e">
        <f t="shared" si="29"/>
        <v>#DIV/0!</v>
      </c>
    </row>
    <row r="163" spans="1:21" x14ac:dyDescent="0.2">
      <c r="A163" s="61" t="s">
        <v>208</v>
      </c>
      <c r="B163" s="62" t="s">
        <v>320</v>
      </c>
      <c r="C163" s="62" t="s">
        <v>307</v>
      </c>
      <c r="D163" s="62" t="s">
        <v>464</v>
      </c>
      <c r="E163" s="62" t="s">
        <v>209</v>
      </c>
      <c r="F163" s="63" t="s">
        <v>254</v>
      </c>
      <c r="G163" s="62" t="s">
        <v>234</v>
      </c>
      <c r="H163" s="62" t="s">
        <v>180</v>
      </c>
      <c r="I163" s="62" t="s">
        <v>26</v>
      </c>
      <c r="J163" s="62" t="s">
        <v>140</v>
      </c>
      <c r="K163" s="64">
        <v>2.1</v>
      </c>
      <c r="L163" s="64">
        <f t="shared" si="24"/>
        <v>6.5882352941176475E-2</v>
      </c>
      <c r="M163" s="65">
        <f>prodnorm33</f>
        <v>0</v>
      </c>
      <c r="N163" s="66">
        <f>dagwerk33</f>
        <v>0</v>
      </c>
      <c r="O163" s="62" t="s">
        <v>44</v>
      </c>
      <c r="P163" s="67">
        <f>uurtarief33</f>
        <v>0</v>
      </c>
      <c r="Q163" s="64" t="e">
        <f t="shared" si="25"/>
        <v>#DIV/0!</v>
      </c>
      <c r="R163" s="64" t="e">
        <f t="shared" si="26"/>
        <v>#DIV/0!</v>
      </c>
      <c r="S163" s="67" t="e">
        <f t="shared" si="27"/>
        <v>#DIV/0!</v>
      </c>
      <c r="T163" s="64" t="e">
        <f t="shared" si="28"/>
        <v>#DIV/0!</v>
      </c>
      <c r="U163" s="68" t="e">
        <f t="shared" si="29"/>
        <v>#DIV/0!</v>
      </c>
    </row>
    <row r="164" spans="1:21" x14ac:dyDescent="0.2">
      <c r="A164" s="61" t="s">
        <v>208</v>
      </c>
      <c r="B164" s="62" t="s">
        <v>320</v>
      </c>
      <c r="C164" s="62" t="s">
        <v>307</v>
      </c>
      <c r="D164" s="62" t="s">
        <v>465</v>
      </c>
      <c r="E164" s="62" t="s">
        <v>209</v>
      </c>
      <c r="F164" s="63" t="s">
        <v>257</v>
      </c>
      <c r="G164" s="62" t="s">
        <v>234</v>
      </c>
      <c r="H164" s="62" t="s">
        <v>174</v>
      </c>
      <c r="I164" s="62" t="s">
        <v>26</v>
      </c>
      <c r="J164" s="62" t="s">
        <v>140</v>
      </c>
      <c r="K164" s="64">
        <v>2.1</v>
      </c>
      <c r="L164" s="64">
        <f t="shared" si="24"/>
        <v>6.5882352941176475E-2</v>
      </c>
      <c r="M164" s="65">
        <f>prodnorm27</f>
        <v>0</v>
      </c>
      <c r="N164" s="66">
        <f>dagwerk27</f>
        <v>0</v>
      </c>
      <c r="O164" s="62" t="s">
        <v>44</v>
      </c>
      <c r="P164" s="67">
        <f>uurtarief27</f>
        <v>0</v>
      </c>
      <c r="Q164" s="64" t="e">
        <f t="shared" si="25"/>
        <v>#DIV/0!</v>
      </c>
      <c r="R164" s="64" t="e">
        <f t="shared" si="26"/>
        <v>#DIV/0!</v>
      </c>
      <c r="S164" s="67" t="e">
        <f t="shared" si="27"/>
        <v>#DIV/0!</v>
      </c>
      <c r="T164" s="64" t="e">
        <f t="shared" si="28"/>
        <v>#DIV/0!</v>
      </c>
      <c r="U164" s="68" t="e">
        <f t="shared" si="29"/>
        <v>#DIV/0!</v>
      </c>
    </row>
    <row r="165" spans="1:21" x14ac:dyDescent="0.2">
      <c r="A165" s="61" t="s">
        <v>208</v>
      </c>
      <c r="B165" s="62" t="s">
        <v>320</v>
      </c>
      <c r="C165" s="62" t="s">
        <v>307</v>
      </c>
      <c r="D165" s="62" t="s">
        <v>466</v>
      </c>
      <c r="E165" s="62" t="s">
        <v>209</v>
      </c>
      <c r="F165" s="63" t="s">
        <v>215</v>
      </c>
      <c r="G165" s="62" t="s">
        <v>213</v>
      </c>
      <c r="H165" s="62" t="s">
        <v>182</v>
      </c>
      <c r="I165" s="62" t="s">
        <v>26</v>
      </c>
      <c r="J165" s="62" t="s">
        <v>140</v>
      </c>
      <c r="K165" s="64">
        <v>72.599999999999994</v>
      </c>
      <c r="L165" s="64">
        <f t="shared" ref="L165:L196" si="30">K165*VLOOKUP(I165,dagsoorttabel1,2,FALSE)</f>
        <v>2.2776470588235291</v>
      </c>
      <c r="M165" s="65">
        <f>prodnorm35</f>
        <v>0</v>
      </c>
      <c r="N165" s="66">
        <f>dagwerk35</f>
        <v>0</v>
      </c>
      <c r="O165" s="62" t="s">
        <v>44</v>
      </c>
      <c r="P165" s="67">
        <f>uurtarief35</f>
        <v>0</v>
      </c>
      <c r="Q165" s="64" t="e">
        <f t="shared" ref="Q165:Q180" si="31">IF(ISBLANK(M165),0,L165/ROUND(M165,4))</f>
        <v>#DIV/0!</v>
      </c>
      <c r="R165" s="64" t="e">
        <f t="shared" ref="R165:R196" si="32">IF(ISBLANK(M165),0,Q165*ROUND(N165,2))</f>
        <v>#DIV/0!</v>
      </c>
      <c r="S165" s="67" t="e">
        <f t="shared" ref="S165:S180" si="33">ROUND(P165,2)*Q165</f>
        <v>#DIV/0!</v>
      </c>
      <c r="T165" s="64" t="e">
        <f t="shared" ref="T165:T180" si="34">Q165*dagenperjaar1</f>
        <v>#DIV/0!</v>
      </c>
      <c r="U165" s="68" t="e">
        <f t="shared" ref="U165:U196" si="35">T165*ROUND(P165,2)</f>
        <v>#DIV/0!</v>
      </c>
    </row>
    <row r="166" spans="1:21" x14ac:dyDescent="0.2">
      <c r="A166" s="61" t="s">
        <v>208</v>
      </c>
      <c r="B166" s="62" t="s">
        <v>320</v>
      </c>
      <c r="C166" s="62" t="s">
        <v>467</v>
      </c>
      <c r="D166" s="62" t="s">
        <v>468</v>
      </c>
      <c r="E166" s="62" t="s">
        <v>209</v>
      </c>
      <c r="F166" s="63" t="s">
        <v>212</v>
      </c>
      <c r="G166" s="62" t="s">
        <v>213</v>
      </c>
      <c r="H166" s="62" t="s">
        <v>181</v>
      </c>
      <c r="I166" s="62" t="s">
        <v>26</v>
      </c>
      <c r="J166" s="62" t="s">
        <v>140</v>
      </c>
      <c r="K166" s="64">
        <v>48.7</v>
      </c>
      <c r="L166" s="64">
        <f t="shared" si="30"/>
        <v>1.527843137254902</v>
      </c>
      <c r="M166" s="65">
        <f>prodnorm34</f>
        <v>0</v>
      </c>
      <c r="N166" s="66">
        <f>dagwerk34</f>
        <v>0</v>
      </c>
      <c r="O166" s="62" t="s">
        <v>44</v>
      </c>
      <c r="P166" s="67">
        <f>uurtarief34</f>
        <v>0</v>
      </c>
      <c r="Q166" s="64" t="e">
        <f t="shared" si="31"/>
        <v>#DIV/0!</v>
      </c>
      <c r="R166" s="64" t="e">
        <f t="shared" si="32"/>
        <v>#DIV/0!</v>
      </c>
      <c r="S166" s="67" t="e">
        <f t="shared" si="33"/>
        <v>#DIV/0!</v>
      </c>
      <c r="T166" s="64" t="e">
        <f t="shared" si="34"/>
        <v>#DIV/0!</v>
      </c>
      <c r="U166" s="68" t="e">
        <f t="shared" si="35"/>
        <v>#DIV/0!</v>
      </c>
    </row>
    <row r="167" spans="1:21" x14ac:dyDescent="0.2">
      <c r="A167" s="61" t="s">
        <v>208</v>
      </c>
      <c r="B167" s="62" t="s">
        <v>320</v>
      </c>
      <c r="C167" s="62" t="s">
        <v>467</v>
      </c>
      <c r="D167" s="62" t="s">
        <v>470</v>
      </c>
      <c r="E167" s="62" t="s">
        <v>209</v>
      </c>
      <c r="F167" s="63" t="s">
        <v>387</v>
      </c>
      <c r="G167" s="62" t="s">
        <v>234</v>
      </c>
      <c r="H167" s="62" t="s">
        <v>180</v>
      </c>
      <c r="I167" s="62" t="s">
        <v>26</v>
      </c>
      <c r="J167" s="62" t="s">
        <v>140</v>
      </c>
      <c r="K167" s="64">
        <v>6.4</v>
      </c>
      <c r="L167" s="64">
        <f t="shared" si="30"/>
        <v>0.20078431372549022</v>
      </c>
      <c r="M167" s="65">
        <f>prodnorm33</f>
        <v>0</v>
      </c>
      <c r="N167" s="66">
        <f>dagwerk33</f>
        <v>0</v>
      </c>
      <c r="O167" s="62" t="s">
        <v>44</v>
      </c>
      <c r="P167" s="67">
        <f>uurtarief33</f>
        <v>0</v>
      </c>
      <c r="Q167" s="64" t="e">
        <f t="shared" si="31"/>
        <v>#DIV/0!</v>
      </c>
      <c r="R167" s="64" t="e">
        <f t="shared" si="32"/>
        <v>#DIV/0!</v>
      </c>
      <c r="S167" s="67" t="e">
        <f t="shared" si="33"/>
        <v>#DIV/0!</v>
      </c>
      <c r="T167" s="64" t="e">
        <f t="shared" si="34"/>
        <v>#DIV/0!</v>
      </c>
      <c r="U167" s="68" t="e">
        <f t="shared" si="35"/>
        <v>#DIV/0!</v>
      </c>
    </row>
    <row r="168" spans="1:21" x14ac:dyDescent="0.2">
      <c r="A168" s="61" t="s">
        <v>208</v>
      </c>
      <c r="B168" s="62" t="s">
        <v>320</v>
      </c>
      <c r="C168" s="62" t="s">
        <v>467</v>
      </c>
      <c r="D168" s="62" t="s">
        <v>471</v>
      </c>
      <c r="E168" s="62" t="s">
        <v>209</v>
      </c>
      <c r="F168" s="63" t="s">
        <v>257</v>
      </c>
      <c r="G168" s="62" t="s">
        <v>234</v>
      </c>
      <c r="H168" s="62" t="s">
        <v>174</v>
      </c>
      <c r="I168" s="62" t="s">
        <v>26</v>
      </c>
      <c r="J168" s="62" t="s">
        <v>140</v>
      </c>
      <c r="K168" s="64">
        <v>4</v>
      </c>
      <c r="L168" s="64">
        <f t="shared" si="30"/>
        <v>0.12549019607843137</v>
      </c>
      <c r="M168" s="65">
        <f>prodnorm27</f>
        <v>0</v>
      </c>
      <c r="N168" s="66">
        <f>dagwerk27</f>
        <v>0</v>
      </c>
      <c r="O168" s="62" t="s">
        <v>44</v>
      </c>
      <c r="P168" s="67">
        <f>uurtarief27</f>
        <v>0</v>
      </c>
      <c r="Q168" s="64" t="e">
        <f t="shared" si="31"/>
        <v>#DIV/0!</v>
      </c>
      <c r="R168" s="64" t="e">
        <f t="shared" si="32"/>
        <v>#DIV/0!</v>
      </c>
      <c r="S168" s="67" t="e">
        <f t="shared" si="33"/>
        <v>#DIV/0!</v>
      </c>
      <c r="T168" s="64" t="e">
        <f t="shared" si="34"/>
        <v>#DIV/0!</v>
      </c>
      <c r="U168" s="68" t="e">
        <f t="shared" si="35"/>
        <v>#DIV/0!</v>
      </c>
    </row>
    <row r="169" spans="1:21" x14ac:dyDescent="0.2">
      <c r="A169" s="61" t="s">
        <v>208</v>
      </c>
      <c r="B169" s="62" t="s">
        <v>320</v>
      </c>
      <c r="C169" s="62" t="s">
        <v>467</v>
      </c>
      <c r="D169" s="62" t="s">
        <v>472</v>
      </c>
      <c r="E169" s="62" t="s">
        <v>209</v>
      </c>
      <c r="F169" s="63" t="s">
        <v>215</v>
      </c>
      <c r="G169" s="62" t="s">
        <v>213</v>
      </c>
      <c r="H169" s="62" t="s">
        <v>182</v>
      </c>
      <c r="I169" s="62" t="s">
        <v>26</v>
      </c>
      <c r="J169" s="62" t="s">
        <v>140</v>
      </c>
      <c r="K169" s="64">
        <v>51</v>
      </c>
      <c r="L169" s="64">
        <f t="shared" si="30"/>
        <v>1.6</v>
      </c>
      <c r="M169" s="65">
        <f>prodnorm35</f>
        <v>0</v>
      </c>
      <c r="N169" s="66">
        <f>dagwerk35</f>
        <v>0</v>
      </c>
      <c r="O169" s="62" t="s">
        <v>44</v>
      </c>
      <c r="P169" s="67">
        <f>uurtarief35</f>
        <v>0</v>
      </c>
      <c r="Q169" s="64" t="e">
        <f t="shared" si="31"/>
        <v>#DIV/0!</v>
      </c>
      <c r="R169" s="64" t="e">
        <f t="shared" si="32"/>
        <v>#DIV/0!</v>
      </c>
      <c r="S169" s="67" t="e">
        <f t="shared" si="33"/>
        <v>#DIV/0!</v>
      </c>
      <c r="T169" s="64" t="e">
        <f t="shared" si="34"/>
        <v>#DIV/0!</v>
      </c>
      <c r="U169" s="68" t="e">
        <f t="shared" si="35"/>
        <v>#DIV/0!</v>
      </c>
    </row>
    <row r="170" spans="1:21" x14ac:dyDescent="0.2">
      <c r="A170" s="61" t="s">
        <v>208</v>
      </c>
      <c r="B170" s="62" t="s">
        <v>320</v>
      </c>
      <c r="C170" s="62" t="s">
        <v>467</v>
      </c>
      <c r="D170" s="62" t="s">
        <v>473</v>
      </c>
      <c r="E170" s="62" t="s">
        <v>209</v>
      </c>
      <c r="F170" s="63" t="s">
        <v>351</v>
      </c>
      <c r="G170" s="62" t="s">
        <v>234</v>
      </c>
      <c r="H170" s="62" t="s">
        <v>180</v>
      </c>
      <c r="I170" s="62" t="s">
        <v>26</v>
      </c>
      <c r="J170" s="62" t="s">
        <v>140</v>
      </c>
      <c r="K170" s="64">
        <v>1.1000000000000001</v>
      </c>
      <c r="L170" s="64">
        <f t="shared" si="30"/>
        <v>3.4509803921568633E-2</v>
      </c>
      <c r="M170" s="65">
        <f>prodnorm33</f>
        <v>0</v>
      </c>
      <c r="N170" s="66">
        <f>dagwerk33</f>
        <v>0</v>
      </c>
      <c r="O170" s="62" t="s">
        <v>44</v>
      </c>
      <c r="P170" s="67">
        <f>uurtarief33</f>
        <v>0</v>
      </c>
      <c r="Q170" s="64" t="e">
        <f t="shared" si="31"/>
        <v>#DIV/0!</v>
      </c>
      <c r="R170" s="64" t="e">
        <f t="shared" si="32"/>
        <v>#DIV/0!</v>
      </c>
      <c r="S170" s="67" t="e">
        <f t="shared" si="33"/>
        <v>#DIV/0!</v>
      </c>
      <c r="T170" s="64" t="e">
        <f t="shared" si="34"/>
        <v>#DIV/0!</v>
      </c>
      <c r="U170" s="68" t="e">
        <f t="shared" si="35"/>
        <v>#DIV/0!</v>
      </c>
    </row>
    <row r="171" spans="1:21" x14ac:dyDescent="0.2">
      <c r="A171" s="61" t="s">
        <v>208</v>
      </c>
      <c r="B171" s="62" t="s">
        <v>320</v>
      </c>
      <c r="C171" s="62" t="s">
        <v>467</v>
      </c>
      <c r="D171" s="62" t="s">
        <v>476</v>
      </c>
      <c r="E171" s="62" t="s">
        <v>209</v>
      </c>
      <c r="F171" s="63" t="s">
        <v>257</v>
      </c>
      <c r="G171" s="62" t="s">
        <v>234</v>
      </c>
      <c r="H171" s="62" t="s">
        <v>174</v>
      </c>
      <c r="I171" s="62" t="s">
        <v>26</v>
      </c>
      <c r="J171" s="62" t="s">
        <v>140</v>
      </c>
      <c r="K171" s="64">
        <v>1.8</v>
      </c>
      <c r="L171" s="64">
        <f t="shared" si="30"/>
        <v>5.647058823529412E-2</v>
      </c>
      <c r="M171" s="65">
        <f>prodnorm27</f>
        <v>0</v>
      </c>
      <c r="N171" s="66">
        <f>dagwerk27</f>
        <v>0</v>
      </c>
      <c r="O171" s="62" t="s">
        <v>44</v>
      </c>
      <c r="P171" s="67">
        <f>uurtarief27</f>
        <v>0</v>
      </c>
      <c r="Q171" s="64" t="e">
        <f t="shared" si="31"/>
        <v>#DIV/0!</v>
      </c>
      <c r="R171" s="64" t="e">
        <f t="shared" si="32"/>
        <v>#DIV/0!</v>
      </c>
      <c r="S171" s="67" t="e">
        <f t="shared" si="33"/>
        <v>#DIV/0!</v>
      </c>
      <c r="T171" s="64" t="e">
        <f t="shared" si="34"/>
        <v>#DIV/0!</v>
      </c>
      <c r="U171" s="68" t="e">
        <f t="shared" si="35"/>
        <v>#DIV/0!</v>
      </c>
    </row>
    <row r="172" spans="1:21" x14ac:dyDescent="0.2">
      <c r="A172" s="61" t="s">
        <v>208</v>
      </c>
      <c r="B172" s="62" t="s">
        <v>320</v>
      </c>
      <c r="C172" s="62" t="s">
        <v>467</v>
      </c>
      <c r="D172" s="62" t="s">
        <v>478</v>
      </c>
      <c r="E172" s="62" t="s">
        <v>209</v>
      </c>
      <c r="F172" s="63" t="s">
        <v>254</v>
      </c>
      <c r="G172" s="62" t="s">
        <v>234</v>
      </c>
      <c r="H172" s="62" t="s">
        <v>180</v>
      </c>
      <c r="I172" s="62" t="s">
        <v>26</v>
      </c>
      <c r="J172" s="62" t="s">
        <v>140</v>
      </c>
      <c r="K172" s="64">
        <v>1.8</v>
      </c>
      <c r="L172" s="64">
        <f t="shared" si="30"/>
        <v>5.647058823529412E-2</v>
      </c>
      <c r="M172" s="65">
        <f>prodnorm33</f>
        <v>0</v>
      </c>
      <c r="N172" s="66">
        <f>dagwerk33</f>
        <v>0</v>
      </c>
      <c r="O172" s="62" t="s">
        <v>44</v>
      </c>
      <c r="P172" s="67">
        <f>uurtarief33</f>
        <v>0</v>
      </c>
      <c r="Q172" s="64" t="e">
        <f t="shared" si="31"/>
        <v>#DIV/0!</v>
      </c>
      <c r="R172" s="64" t="e">
        <f t="shared" si="32"/>
        <v>#DIV/0!</v>
      </c>
      <c r="S172" s="67" t="e">
        <f t="shared" si="33"/>
        <v>#DIV/0!</v>
      </c>
      <c r="T172" s="64" t="e">
        <f t="shared" si="34"/>
        <v>#DIV/0!</v>
      </c>
      <c r="U172" s="68" t="e">
        <f t="shared" si="35"/>
        <v>#DIV/0!</v>
      </c>
    </row>
    <row r="173" spans="1:21" x14ac:dyDescent="0.2">
      <c r="A173" s="61" t="s">
        <v>208</v>
      </c>
      <c r="B173" s="62" t="s">
        <v>320</v>
      </c>
      <c r="C173" s="62" t="s">
        <v>467</v>
      </c>
      <c r="D173" s="62" t="s">
        <v>479</v>
      </c>
      <c r="E173" s="62" t="s">
        <v>209</v>
      </c>
      <c r="F173" s="63" t="s">
        <v>261</v>
      </c>
      <c r="G173" s="62" t="s">
        <v>234</v>
      </c>
      <c r="H173" s="62" t="s">
        <v>178</v>
      </c>
      <c r="I173" s="62" t="s">
        <v>26</v>
      </c>
      <c r="J173" s="62" t="s">
        <v>140</v>
      </c>
      <c r="K173" s="64">
        <v>10.8</v>
      </c>
      <c r="L173" s="64">
        <f t="shared" si="30"/>
        <v>0.33882352941176475</v>
      </c>
      <c r="M173" s="65">
        <f>prodnorm31</f>
        <v>0</v>
      </c>
      <c r="N173" s="66">
        <f>dagwerk31</f>
        <v>0</v>
      </c>
      <c r="O173" s="62" t="s">
        <v>44</v>
      </c>
      <c r="P173" s="67">
        <f>uurtarief31</f>
        <v>0</v>
      </c>
      <c r="Q173" s="64" t="e">
        <f t="shared" si="31"/>
        <v>#DIV/0!</v>
      </c>
      <c r="R173" s="64" t="e">
        <f t="shared" si="32"/>
        <v>#DIV/0!</v>
      </c>
      <c r="S173" s="67" t="e">
        <f t="shared" si="33"/>
        <v>#DIV/0!</v>
      </c>
      <c r="T173" s="64" t="e">
        <f t="shared" si="34"/>
        <v>#DIV/0!</v>
      </c>
      <c r="U173" s="68" t="e">
        <f t="shared" si="35"/>
        <v>#DIV/0!</v>
      </c>
    </row>
    <row r="174" spans="1:21" x14ac:dyDescent="0.2">
      <c r="A174" s="61" t="s">
        <v>208</v>
      </c>
      <c r="B174" s="62" t="s">
        <v>320</v>
      </c>
      <c r="C174" s="62" t="s">
        <v>467</v>
      </c>
      <c r="D174" s="62" t="s">
        <v>481</v>
      </c>
      <c r="E174" s="62" t="s">
        <v>209</v>
      </c>
      <c r="F174" s="63" t="s">
        <v>254</v>
      </c>
      <c r="G174" s="62" t="s">
        <v>234</v>
      </c>
      <c r="H174" s="62" t="s">
        <v>180</v>
      </c>
      <c r="I174" s="62" t="s">
        <v>26</v>
      </c>
      <c r="J174" s="62" t="s">
        <v>140</v>
      </c>
      <c r="K174" s="64">
        <v>6.6</v>
      </c>
      <c r="L174" s="64">
        <f t="shared" si="30"/>
        <v>0.20705882352941174</v>
      </c>
      <c r="M174" s="65">
        <f>prodnorm33</f>
        <v>0</v>
      </c>
      <c r="N174" s="66">
        <f>dagwerk33</f>
        <v>0</v>
      </c>
      <c r="O174" s="62" t="s">
        <v>44</v>
      </c>
      <c r="P174" s="67">
        <f>uurtarief33</f>
        <v>0</v>
      </c>
      <c r="Q174" s="64" t="e">
        <f t="shared" si="31"/>
        <v>#DIV/0!</v>
      </c>
      <c r="R174" s="64" t="e">
        <f t="shared" si="32"/>
        <v>#DIV/0!</v>
      </c>
      <c r="S174" s="67" t="e">
        <f t="shared" si="33"/>
        <v>#DIV/0!</v>
      </c>
      <c r="T174" s="64" t="e">
        <f t="shared" si="34"/>
        <v>#DIV/0!</v>
      </c>
      <c r="U174" s="68" t="e">
        <f t="shared" si="35"/>
        <v>#DIV/0!</v>
      </c>
    </row>
    <row r="175" spans="1:21" x14ac:dyDescent="0.2">
      <c r="A175" s="61" t="s">
        <v>208</v>
      </c>
      <c r="B175" s="62" t="s">
        <v>320</v>
      </c>
      <c r="C175" s="62" t="s">
        <v>467</v>
      </c>
      <c r="D175" s="62" t="s">
        <v>482</v>
      </c>
      <c r="E175" s="62" t="s">
        <v>209</v>
      </c>
      <c r="F175" s="63" t="s">
        <v>257</v>
      </c>
      <c r="G175" s="62" t="s">
        <v>234</v>
      </c>
      <c r="H175" s="62" t="s">
        <v>174</v>
      </c>
      <c r="I175" s="62" t="s">
        <v>26</v>
      </c>
      <c r="J175" s="62" t="s">
        <v>140</v>
      </c>
      <c r="K175" s="64">
        <v>4</v>
      </c>
      <c r="L175" s="64">
        <f t="shared" si="30"/>
        <v>0.12549019607843137</v>
      </c>
      <c r="M175" s="65">
        <f>prodnorm27</f>
        <v>0</v>
      </c>
      <c r="N175" s="66">
        <f>dagwerk27</f>
        <v>0</v>
      </c>
      <c r="O175" s="62" t="s">
        <v>44</v>
      </c>
      <c r="P175" s="67">
        <f>uurtarief27</f>
        <v>0</v>
      </c>
      <c r="Q175" s="64" t="e">
        <f t="shared" si="31"/>
        <v>#DIV/0!</v>
      </c>
      <c r="R175" s="64" t="e">
        <f t="shared" si="32"/>
        <v>#DIV/0!</v>
      </c>
      <c r="S175" s="67" t="e">
        <f t="shared" si="33"/>
        <v>#DIV/0!</v>
      </c>
      <c r="T175" s="64" t="e">
        <f t="shared" si="34"/>
        <v>#DIV/0!</v>
      </c>
      <c r="U175" s="68" t="e">
        <f t="shared" si="35"/>
        <v>#DIV/0!</v>
      </c>
    </row>
    <row r="176" spans="1:21" x14ac:dyDescent="0.2">
      <c r="A176" s="61" t="s">
        <v>208</v>
      </c>
      <c r="B176" s="62" t="s">
        <v>320</v>
      </c>
      <c r="C176" s="62" t="s">
        <v>467</v>
      </c>
      <c r="D176" s="62" t="s">
        <v>483</v>
      </c>
      <c r="E176" s="62" t="s">
        <v>209</v>
      </c>
      <c r="F176" s="63" t="s">
        <v>254</v>
      </c>
      <c r="G176" s="62" t="s">
        <v>234</v>
      </c>
      <c r="H176" s="62" t="s">
        <v>180</v>
      </c>
      <c r="I176" s="62" t="s">
        <v>26</v>
      </c>
      <c r="J176" s="62" t="s">
        <v>140</v>
      </c>
      <c r="K176" s="64">
        <v>1.8</v>
      </c>
      <c r="L176" s="64">
        <f t="shared" si="30"/>
        <v>5.647058823529412E-2</v>
      </c>
      <c r="M176" s="65">
        <f>prodnorm33</f>
        <v>0</v>
      </c>
      <c r="N176" s="66">
        <f>dagwerk33</f>
        <v>0</v>
      </c>
      <c r="O176" s="62" t="s">
        <v>44</v>
      </c>
      <c r="P176" s="67">
        <f>uurtarief33</f>
        <v>0</v>
      </c>
      <c r="Q176" s="64" t="e">
        <f t="shared" si="31"/>
        <v>#DIV/0!</v>
      </c>
      <c r="R176" s="64" t="e">
        <f t="shared" si="32"/>
        <v>#DIV/0!</v>
      </c>
      <c r="S176" s="67" t="e">
        <f t="shared" si="33"/>
        <v>#DIV/0!</v>
      </c>
      <c r="T176" s="64" t="e">
        <f t="shared" si="34"/>
        <v>#DIV/0!</v>
      </c>
      <c r="U176" s="68" t="e">
        <f t="shared" si="35"/>
        <v>#DIV/0!</v>
      </c>
    </row>
    <row r="177" spans="1:21" x14ac:dyDescent="0.2">
      <c r="A177" s="61" t="s">
        <v>208</v>
      </c>
      <c r="B177" s="62" t="s">
        <v>320</v>
      </c>
      <c r="C177" s="62" t="s">
        <v>467</v>
      </c>
      <c r="D177" s="62" t="s">
        <v>484</v>
      </c>
      <c r="E177" s="62" t="s">
        <v>209</v>
      </c>
      <c r="F177" s="63" t="s">
        <v>257</v>
      </c>
      <c r="G177" s="62" t="s">
        <v>234</v>
      </c>
      <c r="H177" s="62" t="s">
        <v>174</v>
      </c>
      <c r="I177" s="62" t="s">
        <v>26</v>
      </c>
      <c r="J177" s="62" t="s">
        <v>140</v>
      </c>
      <c r="K177" s="64">
        <v>1.8</v>
      </c>
      <c r="L177" s="64">
        <f t="shared" si="30"/>
        <v>5.647058823529412E-2</v>
      </c>
      <c r="M177" s="65">
        <f>prodnorm27</f>
        <v>0</v>
      </c>
      <c r="N177" s="66">
        <f>dagwerk27</f>
        <v>0</v>
      </c>
      <c r="O177" s="62" t="s">
        <v>44</v>
      </c>
      <c r="P177" s="67">
        <f>uurtarief27</f>
        <v>0</v>
      </c>
      <c r="Q177" s="64" t="e">
        <f t="shared" si="31"/>
        <v>#DIV/0!</v>
      </c>
      <c r="R177" s="64" t="e">
        <f t="shared" si="32"/>
        <v>#DIV/0!</v>
      </c>
      <c r="S177" s="67" t="e">
        <f t="shared" si="33"/>
        <v>#DIV/0!</v>
      </c>
      <c r="T177" s="64" t="e">
        <f t="shared" si="34"/>
        <v>#DIV/0!</v>
      </c>
      <c r="U177" s="68" t="e">
        <f t="shared" si="35"/>
        <v>#DIV/0!</v>
      </c>
    </row>
    <row r="178" spans="1:21" x14ac:dyDescent="0.2">
      <c r="A178" s="61" t="s">
        <v>208</v>
      </c>
      <c r="B178" s="62" t="s">
        <v>320</v>
      </c>
      <c r="C178" s="62" t="s">
        <v>467</v>
      </c>
      <c r="D178" s="62" t="s">
        <v>485</v>
      </c>
      <c r="E178" s="62" t="s">
        <v>209</v>
      </c>
      <c r="F178" s="63" t="s">
        <v>254</v>
      </c>
      <c r="G178" s="62" t="s">
        <v>234</v>
      </c>
      <c r="H178" s="62" t="s">
        <v>180</v>
      </c>
      <c r="I178" s="62" t="s">
        <v>26</v>
      </c>
      <c r="J178" s="62" t="s">
        <v>140</v>
      </c>
      <c r="K178" s="64">
        <v>2.1</v>
      </c>
      <c r="L178" s="64">
        <f t="shared" si="30"/>
        <v>6.5882352941176475E-2</v>
      </c>
      <c r="M178" s="65">
        <f>prodnorm33</f>
        <v>0</v>
      </c>
      <c r="N178" s="66">
        <f>dagwerk33</f>
        <v>0</v>
      </c>
      <c r="O178" s="62" t="s">
        <v>44</v>
      </c>
      <c r="P178" s="67">
        <f>uurtarief33</f>
        <v>0</v>
      </c>
      <c r="Q178" s="64" t="e">
        <f t="shared" si="31"/>
        <v>#DIV/0!</v>
      </c>
      <c r="R178" s="64" t="e">
        <f t="shared" si="32"/>
        <v>#DIV/0!</v>
      </c>
      <c r="S178" s="67" t="e">
        <f t="shared" si="33"/>
        <v>#DIV/0!</v>
      </c>
      <c r="T178" s="64" t="e">
        <f t="shared" si="34"/>
        <v>#DIV/0!</v>
      </c>
      <c r="U178" s="68" t="e">
        <f t="shared" si="35"/>
        <v>#DIV/0!</v>
      </c>
    </row>
    <row r="179" spans="1:21" x14ac:dyDescent="0.2">
      <c r="A179" s="61" t="s">
        <v>208</v>
      </c>
      <c r="B179" s="62" t="s">
        <v>320</v>
      </c>
      <c r="C179" s="62" t="s">
        <v>467</v>
      </c>
      <c r="D179" s="62" t="s">
        <v>485</v>
      </c>
      <c r="E179" s="62" t="s">
        <v>209</v>
      </c>
      <c r="F179" s="63" t="s">
        <v>257</v>
      </c>
      <c r="G179" s="62" t="s">
        <v>234</v>
      </c>
      <c r="H179" s="62" t="s">
        <v>174</v>
      </c>
      <c r="I179" s="62" t="s">
        <v>26</v>
      </c>
      <c r="J179" s="62" t="s">
        <v>140</v>
      </c>
      <c r="K179" s="64">
        <v>2.1</v>
      </c>
      <c r="L179" s="64">
        <f t="shared" si="30"/>
        <v>6.5882352941176475E-2</v>
      </c>
      <c r="M179" s="65">
        <f>prodnorm27</f>
        <v>0</v>
      </c>
      <c r="N179" s="66">
        <f>dagwerk27</f>
        <v>0</v>
      </c>
      <c r="O179" s="62" t="s">
        <v>44</v>
      </c>
      <c r="P179" s="67">
        <f>uurtarief27</f>
        <v>0</v>
      </c>
      <c r="Q179" s="64" t="e">
        <f t="shared" si="31"/>
        <v>#DIV/0!</v>
      </c>
      <c r="R179" s="64" t="e">
        <f t="shared" si="32"/>
        <v>#DIV/0!</v>
      </c>
      <c r="S179" s="67" t="e">
        <f t="shared" si="33"/>
        <v>#DIV/0!</v>
      </c>
      <c r="T179" s="64" t="e">
        <f t="shared" si="34"/>
        <v>#DIV/0!</v>
      </c>
      <c r="U179" s="68" t="e">
        <f t="shared" si="35"/>
        <v>#DIV/0!</v>
      </c>
    </row>
    <row r="180" spans="1:21" x14ac:dyDescent="0.2">
      <c r="A180" s="69" t="s">
        <v>208</v>
      </c>
      <c r="B180" s="70" t="s">
        <v>320</v>
      </c>
      <c r="C180" s="70" t="s">
        <v>467</v>
      </c>
      <c r="D180" s="70" t="s">
        <v>486</v>
      </c>
      <c r="E180" s="70" t="s">
        <v>209</v>
      </c>
      <c r="F180" s="71" t="s">
        <v>215</v>
      </c>
      <c r="G180" s="70" t="s">
        <v>213</v>
      </c>
      <c r="H180" s="70" t="s">
        <v>182</v>
      </c>
      <c r="I180" s="70" t="s">
        <v>26</v>
      </c>
      <c r="J180" s="70" t="s">
        <v>140</v>
      </c>
      <c r="K180" s="72">
        <v>70.5</v>
      </c>
      <c r="L180" s="72">
        <f t="shared" si="30"/>
        <v>2.2117647058823531</v>
      </c>
      <c r="M180" s="73">
        <f>prodnorm35</f>
        <v>0</v>
      </c>
      <c r="N180" s="74">
        <f>dagwerk35</f>
        <v>0</v>
      </c>
      <c r="O180" s="70" t="s">
        <v>44</v>
      </c>
      <c r="P180" s="75">
        <f>uurtarief35</f>
        <v>0</v>
      </c>
      <c r="Q180" s="72" t="e">
        <f t="shared" si="31"/>
        <v>#DIV/0!</v>
      </c>
      <c r="R180" s="72" t="e">
        <f t="shared" si="32"/>
        <v>#DIV/0!</v>
      </c>
      <c r="S180" s="75" t="e">
        <f t="shared" si="33"/>
        <v>#DIV/0!</v>
      </c>
      <c r="T180" s="72" t="e">
        <f t="shared" si="34"/>
        <v>#DIV/0!</v>
      </c>
      <c r="U180" s="76" t="e">
        <f t="shared" si="35"/>
        <v>#DIV/0!</v>
      </c>
    </row>
    <row r="181" spans="1:21" x14ac:dyDescent="0.2">
      <c r="A181" s="43" t="s">
        <v>490</v>
      </c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6" t="e">
        <f>IF(_xlfn.SINGLE(object1_urenjaar2)&gt;0,_xlfn.SINGLE(object1_prijsjaar2)/_xlfn.SINGLE(object1_urenjaar2),0)</f>
        <v>#DIV/0!</v>
      </c>
      <c r="Q181" s="45" t="e">
        <f>SUM(Q5:Q180)</f>
        <v>#DIV/0!</v>
      </c>
      <c r="R181" s="45" t="e">
        <f>SUM(R5:R180)</f>
        <v>#DIV/0!</v>
      </c>
      <c r="S181" s="46" t="e">
        <f>SUM(S5:S180)</f>
        <v>#DIV/0!</v>
      </c>
      <c r="T181" s="45" t="e">
        <f>SUM(T5:T180)</f>
        <v>#DIV/0!</v>
      </c>
      <c r="U181" s="46" t="e">
        <f>SUM(U5:U180)</f>
        <v>#DIV/0!</v>
      </c>
    </row>
  </sheetData>
  <autoFilter ref="A3:U181" xr:uid="{399D6B28-3663-49AC-AFAD-E9D69C8F0D8E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BA62-6551-414B-9715-367FD8FDA825}">
  <dimension ref="A1:U183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I.2.5: ",tabeltype," ruimten weekenddag")</f>
        <v>Bijlage I.2.5: Invultabel ruimten weekenddag</v>
      </c>
    </row>
    <row r="3" spans="1:21" ht="38.25" x14ac:dyDescent="0.2">
      <c r="A3" s="50" t="s">
        <v>198</v>
      </c>
      <c r="B3" s="8" t="s">
        <v>199</v>
      </c>
      <c r="C3" s="8" t="s">
        <v>200</v>
      </c>
      <c r="D3" s="8" t="s">
        <v>201</v>
      </c>
      <c r="E3" s="8" t="s">
        <v>202</v>
      </c>
      <c r="F3" s="8" t="s">
        <v>203</v>
      </c>
      <c r="G3" s="8" t="s">
        <v>204</v>
      </c>
      <c r="H3" s="8" t="s">
        <v>131</v>
      </c>
      <c r="I3" s="8" t="s">
        <v>8</v>
      </c>
      <c r="J3" s="8" t="s">
        <v>205</v>
      </c>
      <c r="K3" s="8" t="s">
        <v>133</v>
      </c>
      <c r="L3" s="8" t="s">
        <v>134</v>
      </c>
      <c r="M3" s="8" t="s">
        <v>36</v>
      </c>
      <c r="N3" s="8" t="s">
        <v>37</v>
      </c>
      <c r="O3" s="8" t="s">
        <v>38</v>
      </c>
      <c r="P3" s="8" t="s">
        <v>39</v>
      </c>
      <c r="Q3" s="8" t="s">
        <v>135</v>
      </c>
      <c r="R3" s="8" t="s">
        <v>206</v>
      </c>
      <c r="S3" s="8" t="s">
        <v>136</v>
      </c>
      <c r="T3" s="8" t="s">
        <v>137</v>
      </c>
      <c r="U3" s="51" t="s">
        <v>138</v>
      </c>
    </row>
    <row r="4" spans="1:21" x14ac:dyDescent="0.2">
      <c r="A4" s="52" t="s">
        <v>207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3" t="s">
        <v>208</v>
      </c>
      <c r="B5" s="54" t="s">
        <v>209</v>
      </c>
      <c r="C5" s="54" t="s">
        <v>210</v>
      </c>
      <c r="D5" s="54" t="s">
        <v>211</v>
      </c>
      <c r="E5" s="54" t="s">
        <v>209</v>
      </c>
      <c r="F5" s="55" t="s">
        <v>212</v>
      </c>
      <c r="G5" s="54" t="s">
        <v>213</v>
      </c>
      <c r="H5" s="54" t="s">
        <v>193</v>
      </c>
      <c r="I5" s="54" t="s">
        <v>16</v>
      </c>
      <c r="J5" s="54" t="s">
        <v>140</v>
      </c>
      <c r="K5" s="56">
        <v>170</v>
      </c>
      <c r="L5" s="56">
        <f t="shared" ref="L5:L36" si="0">K5*VLOOKUP(I5,dagsoorttabel1,2,FALSE)</f>
        <v>68</v>
      </c>
      <c r="M5" s="57">
        <f>prodnorm45</f>
        <v>0</v>
      </c>
      <c r="N5" s="58">
        <f>dagwerk45</f>
        <v>0</v>
      </c>
      <c r="O5" s="54" t="s">
        <v>44</v>
      </c>
      <c r="P5" s="59">
        <f>uurtarief45</f>
        <v>0</v>
      </c>
      <c r="Q5" s="56" t="e">
        <f t="shared" ref="Q5:Q36" si="1">IF(ISBLANK(M5),0,L5/ROUND(M5,4))</f>
        <v>#DIV/0!</v>
      </c>
      <c r="R5" s="56" t="e">
        <f t="shared" ref="R5:R36" si="2">IF(ISBLANK(M5),0,Q5*ROUND(N5,2))</f>
        <v>#DIV/0!</v>
      </c>
      <c r="S5" s="59" t="e">
        <f t="shared" ref="S5:S36" si="3">ROUND(P5,2)*Q5</f>
        <v>#DIV/0!</v>
      </c>
      <c r="T5" s="56" t="e">
        <f t="shared" ref="T5:T36" si="4">Q5*dagenperjaar1</f>
        <v>#DIV/0!</v>
      </c>
      <c r="U5" s="60" t="e">
        <f t="shared" ref="U5:U36" si="5">T5*ROUND(P5,2)</f>
        <v>#DIV/0!</v>
      </c>
    </row>
    <row r="6" spans="1:21" x14ac:dyDescent="0.2">
      <c r="A6" s="61" t="s">
        <v>208</v>
      </c>
      <c r="B6" s="62" t="s">
        <v>209</v>
      </c>
      <c r="C6" s="62" t="s">
        <v>210</v>
      </c>
      <c r="D6" s="62" t="s">
        <v>232</v>
      </c>
      <c r="E6" s="62" t="s">
        <v>209</v>
      </c>
      <c r="F6" s="63" t="s">
        <v>233</v>
      </c>
      <c r="G6" s="62" t="s">
        <v>234</v>
      </c>
      <c r="H6" s="62" t="s">
        <v>192</v>
      </c>
      <c r="I6" s="62" t="s">
        <v>16</v>
      </c>
      <c r="J6" s="62" t="s">
        <v>140</v>
      </c>
      <c r="K6" s="64">
        <v>24</v>
      </c>
      <c r="L6" s="64">
        <f t="shared" si="0"/>
        <v>9.6000000000000014</v>
      </c>
      <c r="M6" s="65">
        <f>prodnorm44</f>
        <v>0</v>
      </c>
      <c r="N6" s="66">
        <f>dagwerk44</f>
        <v>0</v>
      </c>
      <c r="O6" s="62" t="s">
        <v>44</v>
      </c>
      <c r="P6" s="67">
        <f>uurtarief44</f>
        <v>0</v>
      </c>
      <c r="Q6" s="64" t="e">
        <f t="shared" si="1"/>
        <v>#DIV/0!</v>
      </c>
      <c r="R6" s="64" t="e">
        <f t="shared" si="2"/>
        <v>#DIV/0!</v>
      </c>
      <c r="S6" s="67" t="e">
        <f t="shared" si="3"/>
        <v>#DIV/0!</v>
      </c>
      <c r="T6" s="64" t="e">
        <f t="shared" si="4"/>
        <v>#DIV/0!</v>
      </c>
      <c r="U6" s="68" t="e">
        <f t="shared" si="5"/>
        <v>#DIV/0!</v>
      </c>
    </row>
    <row r="7" spans="1:21" x14ac:dyDescent="0.2">
      <c r="A7" s="61" t="s">
        <v>208</v>
      </c>
      <c r="B7" s="62" t="s">
        <v>209</v>
      </c>
      <c r="C7" s="62" t="s">
        <v>210</v>
      </c>
      <c r="D7" s="62" t="s">
        <v>235</v>
      </c>
      <c r="E7" s="62" t="s">
        <v>209</v>
      </c>
      <c r="F7" s="63" t="s">
        <v>236</v>
      </c>
      <c r="G7" s="62" t="s">
        <v>213</v>
      </c>
      <c r="H7" s="62" t="s">
        <v>188</v>
      </c>
      <c r="I7" s="62" t="s">
        <v>16</v>
      </c>
      <c r="J7" s="62" t="s">
        <v>140</v>
      </c>
      <c r="K7" s="64">
        <v>6.6</v>
      </c>
      <c r="L7" s="64">
        <f t="shared" si="0"/>
        <v>2.64</v>
      </c>
      <c r="M7" s="65">
        <f>prodnorm40</f>
        <v>0</v>
      </c>
      <c r="N7" s="66">
        <f>dagwerk40</f>
        <v>0</v>
      </c>
      <c r="O7" s="62" t="s">
        <v>44</v>
      </c>
      <c r="P7" s="67">
        <f>uurtarief40</f>
        <v>0</v>
      </c>
      <c r="Q7" s="64" t="e">
        <f t="shared" si="1"/>
        <v>#DIV/0!</v>
      </c>
      <c r="R7" s="64" t="e">
        <f t="shared" si="2"/>
        <v>#DIV/0!</v>
      </c>
      <c r="S7" s="67" t="e">
        <f t="shared" si="3"/>
        <v>#DIV/0!</v>
      </c>
      <c r="T7" s="64" t="e">
        <f t="shared" si="4"/>
        <v>#DIV/0!</v>
      </c>
      <c r="U7" s="68" t="e">
        <f t="shared" si="5"/>
        <v>#DIV/0!</v>
      </c>
    </row>
    <row r="8" spans="1:21" x14ac:dyDescent="0.2">
      <c r="A8" s="61" t="s">
        <v>208</v>
      </c>
      <c r="B8" s="62" t="s">
        <v>209</v>
      </c>
      <c r="C8" s="62" t="s">
        <v>210</v>
      </c>
      <c r="D8" s="62" t="s">
        <v>237</v>
      </c>
      <c r="E8" s="62" t="s">
        <v>209</v>
      </c>
      <c r="F8" s="63" t="s">
        <v>236</v>
      </c>
      <c r="G8" s="62" t="s">
        <v>213</v>
      </c>
      <c r="H8" s="62" t="s">
        <v>188</v>
      </c>
      <c r="I8" s="62" t="s">
        <v>16</v>
      </c>
      <c r="J8" s="62" t="s">
        <v>140</v>
      </c>
      <c r="K8" s="64">
        <v>6.6</v>
      </c>
      <c r="L8" s="64">
        <f t="shared" si="0"/>
        <v>2.64</v>
      </c>
      <c r="M8" s="65">
        <f>prodnorm40</f>
        <v>0</v>
      </c>
      <c r="N8" s="66">
        <f>dagwerk40</f>
        <v>0</v>
      </c>
      <c r="O8" s="62" t="s">
        <v>44</v>
      </c>
      <c r="P8" s="67">
        <f>uurtarief40</f>
        <v>0</v>
      </c>
      <c r="Q8" s="64" t="e">
        <f t="shared" si="1"/>
        <v>#DIV/0!</v>
      </c>
      <c r="R8" s="64" t="e">
        <f t="shared" si="2"/>
        <v>#DIV/0!</v>
      </c>
      <c r="S8" s="67" t="e">
        <f t="shared" si="3"/>
        <v>#DIV/0!</v>
      </c>
      <c r="T8" s="64" t="e">
        <f t="shared" si="4"/>
        <v>#DIV/0!</v>
      </c>
      <c r="U8" s="68" t="e">
        <f t="shared" si="5"/>
        <v>#DIV/0!</v>
      </c>
    </row>
    <row r="9" spans="1:21" x14ac:dyDescent="0.2">
      <c r="A9" s="61" t="s">
        <v>208</v>
      </c>
      <c r="B9" s="62" t="s">
        <v>209</v>
      </c>
      <c r="C9" s="62" t="s">
        <v>210</v>
      </c>
      <c r="D9" s="62" t="s">
        <v>238</v>
      </c>
      <c r="E9" s="62" t="s">
        <v>209</v>
      </c>
      <c r="F9" s="63" t="s">
        <v>239</v>
      </c>
      <c r="G9" s="62" t="s">
        <v>213</v>
      </c>
      <c r="H9" s="62" t="s">
        <v>189</v>
      </c>
      <c r="I9" s="62" t="s">
        <v>16</v>
      </c>
      <c r="J9" s="62" t="s">
        <v>140</v>
      </c>
      <c r="K9" s="64">
        <v>260</v>
      </c>
      <c r="L9" s="64">
        <f t="shared" si="0"/>
        <v>104</v>
      </c>
      <c r="M9" s="65">
        <f>prodnorm41</f>
        <v>0</v>
      </c>
      <c r="N9" s="66">
        <f>dagwerk41</f>
        <v>0</v>
      </c>
      <c r="O9" s="62" t="s">
        <v>44</v>
      </c>
      <c r="P9" s="67">
        <f>uurtarief41</f>
        <v>0</v>
      </c>
      <c r="Q9" s="64" t="e">
        <f t="shared" si="1"/>
        <v>#DIV/0!</v>
      </c>
      <c r="R9" s="64" t="e">
        <f t="shared" si="2"/>
        <v>#DIV/0!</v>
      </c>
      <c r="S9" s="67" t="e">
        <f t="shared" si="3"/>
        <v>#DIV/0!</v>
      </c>
      <c r="T9" s="64" t="e">
        <f t="shared" si="4"/>
        <v>#DIV/0!</v>
      </c>
      <c r="U9" s="68" t="e">
        <f t="shared" si="5"/>
        <v>#DIV/0!</v>
      </c>
    </row>
    <row r="10" spans="1:21" x14ac:dyDescent="0.2">
      <c r="A10" s="61" t="s">
        <v>208</v>
      </c>
      <c r="B10" s="62" t="s">
        <v>209</v>
      </c>
      <c r="C10" s="62" t="s">
        <v>210</v>
      </c>
      <c r="D10" s="62" t="s">
        <v>240</v>
      </c>
      <c r="E10" s="62" t="s">
        <v>209</v>
      </c>
      <c r="F10" s="63" t="s">
        <v>215</v>
      </c>
      <c r="G10" s="62" t="s">
        <v>213</v>
      </c>
      <c r="H10" s="62" t="s">
        <v>194</v>
      </c>
      <c r="I10" s="62" t="s">
        <v>16</v>
      </c>
      <c r="J10" s="62" t="s">
        <v>140</v>
      </c>
      <c r="K10" s="64">
        <v>50</v>
      </c>
      <c r="L10" s="64">
        <f t="shared" si="0"/>
        <v>20</v>
      </c>
      <c r="M10" s="65">
        <f>prodnorm46</f>
        <v>0</v>
      </c>
      <c r="N10" s="66">
        <f>dagwerk46</f>
        <v>0</v>
      </c>
      <c r="O10" s="62" t="s">
        <v>44</v>
      </c>
      <c r="P10" s="67">
        <f>uurtarief46</f>
        <v>0</v>
      </c>
      <c r="Q10" s="64" t="e">
        <f t="shared" si="1"/>
        <v>#DIV/0!</v>
      </c>
      <c r="R10" s="64" t="e">
        <f t="shared" si="2"/>
        <v>#DIV/0!</v>
      </c>
      <c r="S10" s="67" t="e">
        <f t="shared" si="3"/>
        <v>#DIV/0!</v>
      </c>
      <c r="T10" s="64" t="e">
        <f t="shared" si="4"/>
        <v>#DIV/0!</v>
      </c>
      <c r="U10" s="68" t="e">
        <f t="shared" si="5"/>
        <v>#DIV/0!</v>
      </c>
    </row>
    <row r="11" spans="1:21" x14ac:dyDescent="0.2">
      <c r="A11" s="61" t="s">
        <v>208</v>
      </c>
      <c r="B11" s="62" t="s">
        <v>209</v>
      </c>
      <c r="C11" s="62" t="s">
        <v>210</v>
      </c>
      <c r="D11" s="62" t="s">
        <v>241</v>
      </c>
      <c r="E11" s="62" t="s">
        <v>209</v>
      </c>
      <c r="F11" s="63" t="s">
        <v>242</v>
      </c>
      <c r="G11" s="62" t="s">
        <v>234</v>
      </c>
      <c r="H11" s="62" t="s">
        <v>192</v>
      </c>
      <c r="I11" s="62" t="s">
        <v>16</v>
      </c>
      <c r="J11" s="62" t="s">
        <v>140</v>
      </c>
      <c r="K11" s="64">
        <v>2</v>
      </c>
      <c r="L11" s="64">
        <f t="shared" si="0"/>
        <v>0.8</v>
      </c>
      <c r="M11" s="65">
        <f>prodnorm44</f>
        <v>0</v>
      </c>
      <c r="N11" s="66">
        <f>dagwerk44</f>
        <v>0</v>
      </c>
      <c r="O11" s="62" t="s">
        <v>44</v>
      </c>
      <c r="P11" s="67">
        <f>uurtarief44</f>
        <v>0</v>
      </c>
      <c r="Q11" s="64" t="e">
        <f t="shared" si="1"/>
        <v>#DIV/0!</v>
      </c>
      <c r="R11" s="64" t="e">
        <f t="shared" si="2"/>
        <v>#DIV/0!</v>
      </c>
      <c r="S11" s="67" t="e">
        <f t="shared" si="3"/>
        <v>#DIV/0!</v>
      </c>
      <c r="T11" s="64" t="e">
        <f t="shared" si="4"/>
        <v>#DIV/0!</v>
      </c>
      <c r="U11" s="68" t="e">
        <f t="shared" si="5"/>
        <v>#DIV/0!</v>
      </c>
    </row>
    <row r="12" spans="1:21" x14ac:dyDescent="0.2">
      <c r="A12" s="61" t="s">
        <v>208</v>
      </c>
      <c r="B12" s="62" t="s">
        <v>209</v>
      </c>
      <c r="C12" s="62" t="s">
        <v>248</v>
      </c>
      <c r="D12" s="62" t="s">
        <v>249</v>
      </c>
      <c r="E12" s="62" t="s">
        <v>209</v>
      </c>
      <c r="F12" s="63" t="s">
        <v>250</v>
      </c>
      <c r="G12" s="62" t="s">
        <v>213</v>
      </c>
      <c r="H12" s="62" t="s">
        <v>194</v>
      </c>
      <c r="I12" s="62" t="s">
        <v>16</v>
      </c>
      <c r="J12" s="62" t="s">
        <v>140</v>
      </c>
      <c r="K12" s="64">
        <v>24.1</v>
      </c>
      <c r="L12" s="64">
        <f t="shared" si="0"/>
        <v>9.64</v>
      </c>
      <c r="M12" s="65">
        <f>prodnorm46</f>
        <v>0</v>
      </c>
      <c r="N12" s="66">
        <f>dagwerk46</f>
        <v>0</v>
      </c>
      <c r="O12" s="62" t="s">
        <v>44</v>
      </c>
      <c r="P12" s="67">
        <f>uurtarief46</f>
        <v>0</v>
      </c>
      <c r="Q12" s="64" t="e">
        <f t="shared" si="1"/>
        <v>#DIV/0!</v>
      </c>
      <c r="R12" s="64" t="e">
        <f t="shared" si="2"/>
        <v>#DIV/0!</v>
      </c>
      <c r="S12" s="67" t="e">
        <f t="shared" si="3"/>
        <v>#DIV/0!</v>
      </c>
      <c r="T12" s="64" t="e">
        <f t="shared" si="4"/>
        <v>#DIV/0!</v>
      </c>
      <c r="U12" s="68" t="e">
        <f t="shared" si="5"/>
        <v>#DIV/0!</v>
      </c>
    </row>
    <row r="13" spans="1:21" x14ac:dyDescent="0.2">
      <c r="A13" s="61" t="s">
        <v>208</v>
      </c>
      <c r="B13" s="62" t="s">
        <v>209</v>
      </c>
      <c r="C13" s="62" t="s">
        <v>248</v>
      </c>
      <c r="D13" s="62" t="s">
        <v>251</v>
      </c>
      <c r="E13" s="62" t="s">
        <v>209</v>
      </c>
      <c r="F13" s="63" t="s">
        <v>215</v>
      </c>
      <c r="G13" s="62" t="s">
        <v>213</v>
      </c>
      <c r="H13" s="62" t="s">
        <v>194</v>
      </c>
      <c r="I13" s="62" t="s">
        <v>16</v>
      </c>
      <c r="J13" s="62" t="s">
        <v>140</v>
      </c>
      <c r="K13" s="64">
        <v>53.8</v>
      </c>
      <c r="L13" s="64">
        <f t="shared" si="0"/>
        <v>21.52</v>
      </c>
      <c r="M13" s="65">
        <f>prodnorm46</f>
        <v>0</v>
      </c>
      <c r="N13" s="66">
        <f>dagwerk46</f>
        <v>0</v>
      </c>
      <c r="O13" s="62" t="s">
        <v>44</v>
      </c>
      <c r="P13" s="67">
        <f>uurtarief46</f>
        <v>0</v>
      </c>
      <c r="Q13" s="64" t="e">
        <f t="shared" si="1"/>
        <v>#DIV/0!</v>
      </c>
      <c r="R13" s="64" t="e">
        <f t="shared" si="2"/>
        <v>#DIV/0!</v>
      </c>
      <c r="S13" s="67" t="e">
        <f t="shared" si="3"/>
        <v>#DIV/0!</v>
      </c>
      <c r="T13" s="64" t="e">
        <f t="shared" si="4"/>
        <v>#DIV/0!</v>
      </c>
      <c r="U13" s="68" t="e">
        <f t="shared" si="5"/>
        <v>#DIV/0!</v>
      </c>
    </row>
    <row r="14" spans="1:21" x14ac:dyDescent="0.2">
      <c r="A14" s="61" t="s">
        <v>208</v>
      </c>
      <c r="B14" s="62" t="s">
        <v>209</v>
      </c>
      <c r="C14" s="62" t="s">
        <v>248</v>
      </c>
      <c r="D14" s="62" t="s">
        <v>252</v>
      </c>
      <c r="E14" s="62" t="s">
        <v>209</v>
      </c>
      <c r="F14" s="63" t="s">
        <v>215</v>
      </c>
      <c r="G14" s="62" t="s">
        <v>213</v>
      </c>
      <c r="H14" s="62" t="s">
        <v>194</v>
      </c>
      <c r="I14" s="62" t="s">
        <v>16</v>
      </c>
      <c r="J14" s="62" t="s">
        <v>140</v>
      </c>
      <c r="K14" s="64">
        <v>68.2</v>
      </c>
      <c r="L14" s="64">
        <f t="shared" si="0"/>
        <v>27.28</v>
      </c>
      <c r="M14" s="65">
        <f>prodnorm46</f>
        <v>0</v>
      </c>
      <c r="N14" s="66">
        <f>dagwerk46</f>
        <v>0</v>
      </c>
      <c r="O14" s="62" t="s">
        <v>44</v>
      </c>
      <c r="P14" s="67">
        <f>uurtarief46</f>
        <v>0</v>
      </c>
      <c r="Q14" s="64" t="e">
        <f t="shared" si="1"/>
        <v>#DIV/0!</v>
      </c>
      <c r="R14" s="64" t="e">
        <f t="shared" si="2"/>
        <v>#DIV/0!</v>
      </c>
      <c r="S14" s="67" t="e">
        <f t="shared" si="3"/>
        <v>#DIV/0!</v>
      </c>
      <c r="T14" s="64" t="e">
        <f t="shared" si="4"/>
        <v>#DIV/0!</v>
      </c>
      <c r="U14" s="68" t="e">
        <f t="shared" si="5"/>
        <v>#DIV/0!</v>
      </c>
    </row>
    <row r="15" spans="1:21" x14ac:dyDescent="0.2">
      <c r="A15" s="61" t="s">
        <v>208</v>
      </c>
      <c r="B15" s="62" t="s">
        <v>209</v>
      </c>
      <c r="C15" s="62" t="s">
        <v>248</v>
      </c>
      <c r="D15" s="62" t="s">
        <v>253</v>
      </c>
      <c r="E15" s="62" t="s">
        <v>209</v>
      </c>
      <c r="F15" s="63" t="s">
        <v>254</v>
      </c>
      <c r="G15" s="62" t="s">
        <v>234</v>
      </c>
      <c r="H15" s="62" t="s">
        <v>192</v>
      </c>
      <c r="I15" s="62" t="s">
        <v>16</v>
      </c>
      <c r="J15" s="62" t="s">
        <v>140</v>
      </c>
      <c r="K15" s="64">
        <v>10</v>
      </c>
      <c r="L15" s="64">
        <f t="shared" si="0"/>
        <v>4</v>
      </c>
      <c r="M15" s="65">
        <f>prodnorm44</f>
        <v>0</v>
      </c>
      <c r="N15" s="66">
        <f>dagwerk44</f>
        <v>0</v>
      </c>
      <c r="O15" s="62" t="s">
        <v>44</v>
      </c>
      <c r="P15" s="67">
        <f>uurtarief44</f>
        <v>0</v>
      </c>
      <c r="Q15" s="64" t="e">
        <f t="shared" si="1"/>
        <v>#DIV/0!</v>
      </c>
      <c r="R15" s="64" t="e">
        <f t="shared" si="2"/>
        <v>#DIV/0!</v>
      </c>
      <c r="S15" s="67" t="e">
        <f t="shared" si="3"/>
        <v>#DIV/0!</v>
      </c>
      <c r="T15" s="64" t="e">
        <f t="shared" si="4"/>
        <v>#DIV/0!</v>
      </c>
      <c r="U15" s="68" t="e">
        <f t="shared" si="5"/>
        <v>#DIV/0!</v>
      </c>
    </row>
    <row r="16" spans="1:21" x14ac:dyDescent="0.2">
      <c r="A16" s="61" t="s">
        <v>208</v>
      </c>
      <c r="B16" s="62" t="s">
        <v>209</v>
      </c>
      <c r="C16" s="62" t="s">
        <v>248</v>
      </c>
      <c r="D16" s="62" t="s">
        <v>255</v>
      </c>
      <c r="E16" s="62" t="s">
        <v>209</v>
      </c>
      <c r="F16" s="63" t="s">
        <v>254</v>
      </c>
      <c r="G16" s="62" t="s">
        <v>234</v>
      </c>
      <c r="H16" s="62" t="s">
        <v>192</v>
      </c>
      <c r="I16" s="62" t="s">
        <v>16</v>
      </c>
      <c r="J16" s="62" t="s">
        <v>140</v>
      </c>
      <c r="K16" s="64">
        <v>5.5</v>
      </c>
      <c r="L16" s="64">
        <f t="shared" si="0"/>
        <v>2.2000000000000002</v>
      </c>
      <c r="M16" s="65">
        <f>prodnorm44</f>
        <v>0</v>
      </c>
      <c r="N16" s="66">
        <f>dagwerk44</f>
        <v>0</v>
      </c>
      <c r="O16" s="62" t="s">
        <v>44</v>
      </c>
      <c r="P16" s="67">
        <f>uurtarief44</f>
        <v>0</v>
      </c>
      <c r="Q16" s="64" t="e">
        <f t="shared" si="1"/>
        <v>#DIV/0!</v>
      </c>
      <c r="R16" s="64" t="e">
        <f t="shared" si="2"/>
        <v>#DIV/0!</v>
      </c>
      <c r="S16" s="67" t="e">
        <f t="shared" si="3"/>
        <v>#DIV/0!</v>
      </c>
      <c r="T16" s="64" t="e">
        <f t="shared" si="4"/>
        <v>#DIV/0!</v>
      </c>
      <c r="U16" s="68" t="e">
        <f t="shared" si="5"/>
        <v>#DIV/0!</v>
      </c>
    </row>
    <row r="17" spans="1:21" x14ac:dyDescent="0.2">
      <c r="A17" s="61" t="s">
        <v>208</v>
      </c>
      <c r="B17" s="62" t="s">
        <v>209</v>
      </c>
      <c r="C17" s="62" t="s">
        <v>248</v>
      </c>
      <c r="D17" s="62" t="s">
        <v>256</v>
      </c>
      <c r="E17" s="62" t="s">
        <v>209</v>
      </c>
      <c r="F17" s="63" t="s">
        <v>257</v>
      </c>
      <c r="G17" s="62" t="s">
        <v>234</v>
      </c>
      <c r="H17" s="62" t="s">
        <v>186</v>
      </c>
      <c r="I17" s="62" t="s">
        <v>16</v>
      </c>
      <c r="J17" s="62" t="s">
        <v>140</v>
      </c>
      <c r="K17" s="64">
        <v>4</v>
      </c>
      <c r="L17" s="64">
        <f t="shared" si="0"/>
        <v>1.6</v>
      </c>
      <c r="M17" s="65">
        <f>prodnorm38</f>
        <v>0</v>
      </c>
      <c r="N17" s="66">
        <f>dagwerk38</f>
        <v>0</v>
      </c>
      <c r="O17" s="62" t="s">
        <v>44</v>
      </c>
      <c r="P17" s="67">
        <f>uurtarief38</f>
        <v>0</v>
      </c>
      <c r="Q17" s="64" t="e">
        <f t="shared" si="1"/>
        <v>#DIV/0!</v>
      </c>
      <c r="R17" s="64" t="e">
        <f t="shared" si="2"/>
        <v>#DIV/0!</v>
      </c>
      <c r="S17" s="67" t="e">
        <f t="shared" si="3"/>
        <v>#DIV/0!</v>
      </c>
      <c r="T17" s="64" t="e">
        <f t="shared" si="4"/>
        <v>#DIV/0!</v>
      </c>
      <c r="U17" s="68" t="e">
        <f t="shared" si="5"/>
        <v>#DIV/0!</v>
      </c>
    </row>
    <row r="18" spans="1:21" x14ac:dyDescent="0.2">
      <c r="A18" s="61" t="s">
        <v>208</v>
      </c>
      <c r="B18" s="62" t="s">
        <v>209</v>
      </c>
      <c r="C18" s="62" t="s">
        <v>248</v>
      </c>
      <c r="D18" s="62" t="s">
        <v>260</v>
      </c>
      <c r="E18" s="62" t="s">
        <v>209</v>
      </c>
      <c r="F18" s="63" t="s">
        <v>261</v>
      </c>
      <c r="G18" s="62" t="s">
        <v>234</v>
      </c>
      <c r="H18" s="62" t="s">
        <v>190</v>
      </c>
      <c r="I18" s="62" t="s">
        <v>16</v>
      </c>
      <c r="J18" s="62" t="s">
        <v>140</v>
      </c>
      <c r="K18" s="64">
        <v>12</v>
      </c>
      <c r="L18" s="64">
        <f t="shared" si="0"/>
        <v>4.8000000000000007</v>
      </c>
      <c r="M18" s="65">
        <f>prodnorm42</f>
        <v>0</v>
      </c>
      <c r="N18" s="66">
        <f>dagwerk42</f>
        <v>0</v>
      </c>
      <c r="O18" s="62" t="s">
        <v>44</v>
      </c>
      <c r="P18" s="67">
        <f>uurtarief42</f>
        <v>0</v>
      </c>
      <c r="Q18" s="64" t="e">
        <f t="shared" si="1"/>
        <v>#DIV/0!</v>
      </c>
      <c r="R18" s="64" t="e">
        <f t="shared" si="2"/>
        <v>#DIV/0!</v>
      </c>
      <c r="S18" s="67" t="e">
        <f t="shared" si="3"/>
        <v>#DIV/0!</v>
      </c>
      <c r="T18" s="64" t="e">
        <f t="shared" si="4"/>
        <v>#DIV/0!</v>
      </c>
      <c r="U18" s="68" t="e">
        <f t="shared" si="5"/>
        <v>#DIV/0!</v>
      </c>
    </row>
    <row r="19" spans="1:21" x14ac:dyDescent="0.2">
      <c r="A19" s="61" t="s">
        <v>208</v>
      </c>
      <c r="B19" s="62" t="s">
        <v>209</v>
      </c>
      <c r="C19" s="62" t="s">
        <v>248</v>
      </c>
      <c r="D19" s="62" t="s">
        <v>262</v>
      </c>
      <c r="E19" s="62" t="s">
        <v>209</v>
      </c>
      <c r="F19" s="63" t="s">
        <v>254</v>
      </c>
      <c r="G19" s="62" t="s">
        <v>234</v>
      </c>
      <c r="H19" s="62" t="s">
        <v>192</v>
      </c>
      <c r="I19" s="62" t="s">
        <v>16</v>
      </c>
      <c r="J19" s="62" t="s">
        <v>140</v>
      </c>
      <c r="K19" s="64">
        <v>4.2</v>
      </c>
      <c r="L19" s="64">
        <f t="shared" si="0"/>
        <v>1.6800000000000002</v>
      </c>
      <c r="M19" s="65">
        <f>prodnorm44</f>
        <v>0</v>
      </c>
      <c r="N19" s="66">
        <f>dagwerk44</f>
        <v>0</v>
      </c>
      <c r="O19" s="62" t="s">
        <v>44</v>
      </c>
      <c r="P19" s="67">
        <f>uurtarief44</f>
        <v>0</v>
      </c>
      <c r="Q19" s="64" t="e">
        <f t="shared" si="1"/>
        <v>#DIV/0!</v>
      </c>
      <c r="R19" s="64" t="e">
        <f t="shared" si="2"/>
        <v>#DIV/0!</v>
      </c>
      <c r="S19" s="67" t="e">
        <f t="shared" si="3"/>
        <v>#DIV/0!</v>
      </c>
      <c r="T19" s="64" t="e">
        <f t="shared" si="4"/>
        <v>#DIV/0!</v>
      </c>
      <c r="U19" s="68" t="e">
        <f t="shared" si="5"/>
        <v>#DIV/0!</v>
      </c>
    </row>
    <row r="20" spans="1:21" x14ac:dyDescent="0.2">
      <c r="A20" s="61" t="s">
        <v>208</v>
      </c>
      <c r="B20" s="62" t="s">
        <v>209</v>
      </c>
      <c r="C20" s="62" t="s">
        <v>248</v>
      </c>
      <c r="D20" s="62" t="s">
        <v>263</v>
      </c>
      <c r="E20" s="62" t="s">
        <v>209</v>
      </c>
      <c r="F20" s="63" t="s">
        <v>257</v>
      </c>
      <c r="G20" s="62" t="s">
        <v>234</v>
      </c>
      <c r="H20" s="62" t="s">
        <v>186</v>
      </c>
      <c r="I20" s="62" t="s">
        <v>16</v>
      </c>
      <c r="J20" s="62" t="s">
        <v>140</v>
      </c>
      <c r="K20" s="64">
        <v>5</v>
      </c>
      <c r="L20" s="64">
        <f t="shared" si="0"/>
        <v>2</v>
      </c>
      <c r="M20" s="65">
        <f>prodnorm38</f>
        <v>0</v>
      </c>
      <c r="N20" s="66">
        <f>dagwerk38</f>
        <v>0</v>
      </c>
      <c r="O20" s="62" t="s">
        <v>44</v>
      </c>
      <c r="P20" s="67">
        <f>uurtarief38</f>
        <v>0</v>
      </c>
      <c r="Q20" s="64" t="e">
        <f t="shared" si="1"/>
        <v>#DIV/0!</v>
      </c>
      <c r="R20" s="64" t="e">
        <f t="shared" si="2"/>
        <v>#DIV/0!</v>
      </c>
      <c r="S20" s="67" t="e">
        <f t="shared" si="3"/>
        <v>#DIV/0!</v>
      </c>
      <c r="T20" s="64" t="e">
        <f t="shared" si="4"/>
        <v>#DIV/0!</v>
      </c>
      <c r="U20" s="68" t="e">
        <f t="shared" si="5"/>
        <v>#DIV/0!</v>
      </c>
    </row>
    <row r="21" spans="1:21" x14ac:dyDescent="0.2">
      <c r="A21" s="61" t="s">
        <v>208</v>
      </c>
      <c r="B21" s="62" t="s">
        <v>209</v>
      </c>
      <c r="C21" s="62" t="s">
        <v>248</v>
      </c>
      <c r="D21" s="62" t="s">
        <v>264</v>
      </c>
      <c r="E21" s="62" t="s">
        <v>209</v>
      </c>
      <c r="F21" s="63" t="s">
        <v>257</v>
      </c>
      <c r="G21" s="62" t="s">
        <v>234</v>
      </c>
      <c r="H21" s="62" t="s">
        <v>186</v>
      </c>
      <c r="I21" s="62" t="s">
        <v>16</v>
      </c>
      <c r="J21" s="62" t="s">
        <v>140</v>
      </c>
      <c r="K21" s="64">
        <v>13.2</v>
      </c>
      <c r="L21" s="64">
        <f t="shared" si="0"/>
        <v>5.28</v>
      </c>
      <c r="M21" s="65">
        <f>prodnorm38</f>
        <v>0</v>
      </c>
      <c r="N21" s="66">
        <f>dagwerk38</f>
        <v>0</v>
      </c>
      <c r="O21" s="62" t="s">
        <v>44</v>
      </c>
      <c r="P21" s="67">
        <f>uurtarief38</f>
        <v>0</v>
      </c>
      <c r="Q21" s="64" t="e">
        <f t="shared" si="1"/>
        <v>#DIV/0!</v>
      </c>
      <c r="R21" s="64" t="e">
        <f t="shared" si="2"/>
        <v>#DIV/0!</v>
      </c>
      <c r="S21" s="67" t="e">
        <f t="shared" si="3"/>
        <v>#DIV/0!</v>
      </c>
      <c r="T21" s="64" t="e">
        <f t="shared" si="4"/>
        <v>#DIV/0!</v>
      </c>
      <c r="U21" s="68" t="e">
        <f t="shared" si="5"/>
        <v>#DIV/0!</v>
      </c>
    </row>
    <row r="22" spans="1:21" x14ac:dyDescent="0.2">
      <c r="A22" s="61" t="s">
        <v>208</v>
      </c>
      <c r="B22" s="62" t="s">
        <v>209</v>
      </c>
      <c r="C22" s="62" t="s">
        <v>248</v>
      </c>
      <c r="D22" s="62" t="s">
        <v>265</v>
      </c>
      <c r="E22" s="62" t="s">
        <v>209</v>
      </c>
      <c r="F22" s="63" t="s">
        <v>266</v>
      </c>
      <c r="G22" s="62" t="s">
        <v>213</v>
      </c>
      <c r="H22" s="62" t="s">
        <v>193</v>
      </c>
      <c r="I22" s="62" t="s">
        <v>16</v>
      </c>
      <c r="J22" s="62" t="s">
        <v>140</v>
      </c>
      <c r="K22" s="64">
        <v>5.4</v>
      </c>
      <c r="L22" s="64">
        <f t="shared" si="0"/>
        <v>2.16</v>
      </c>
      <c r="M22" s="65">
        <f>prodnorm45</f>
        <v>0</v>
      </c>
      <c r="N22" s="66">
        <f>dagwerk45</f>
        <v>0</v>
      </c>
      <c r="O22" s="62" t="s">
        <v>44</v>
      </c>
      <c r="P22" s="67">
        <f>uurtarief45</f>
        <v>0</v>
      </c>
      <c r="Q22" s="64" t="e">
        <f t="shared" si="1"/>
        <v>#DIV/0!</v>
      </c>
      <c r="R22" s="64" t="e">
        <f t="shared" si="2"/>
        <v>#DIV/0!</v>
      </c>
      <c r="S22" s="67" t="e">
        <f t="shared" si="3"/>
        <v>#DIV/0!</v>
      </c>
      <c r="T22" s="64" t="e">
        <f t="shared" si="4"/>
        <v>#DIV/0!</v>
      </c>
      <c r="U22" s="68" t="e">
        <f t="shared" si="5"/>
        <v>#DIV/0!</v>
      </c>
    </row>
    <row r="23" spans="1:21" x14ac:dyDescent="0.2">
      <c r="A23" s="61" t="s">
        <v>208</v>
      </c>
      <c r="B23" s="62" t="s">
        <v>209</v>
      </c>
      <c r="C23" s="62" t="s">
        <v>267</v>
      </c>
      <c r="D23" s="62" t="s">
        <v>268</v>
      </c>
      <c r="E23" s="62" t="s">
        <v>209</v>
      </c>
      <c r="F23" s="63" t="s">
        <v>250</v>
      </c>
      <c r="G23" s="62" t="s">
        <v>213</v>
      </c>
      <c r="H23" s="62" t="s">
        <v>194</v>
      </c>
      <c r="I23" s="62" t="s">
        <v>16</v>
      </c>
      <c r="J23" s="62" t="s">
        <v>140</v>
      </c>
      <c r="K23" s="64">
        <v>24.1</v>
      </c>
      <c r="L23" s="64">
        <f t="shared" si="0"/>
        <v>9.64</v>
      </c>
      <c r="M23" s="65">
        <f>prodnorm46</f>
        <v>0</v>
      </c>
      <c r="N23" s="66">
        <f>dagwerk46</f>
        <v>0</v>
      </c>
      <c r="O23" s="62" t="s">
        <v>44</v>
      </c>
      <c r="P23" s="67">
        <f>uurtarief46</f>
        <v>0</v>
      </c>
      <c r="Q23" s="64" t="e">
        <f t="shared" si="1"/>
        <v>#DIV/0!</v>
      </c>
      <c r="R23" s="64" t="e">
        <f t="shared" si="2"/>
        <v>#DIV/0!</v>
      </c>
      <c r="S23" s="67" t="e">
        <f t="shared" si="3"/>
        <v>#DIV/0!</v>
      </c>
      <c r="T23" s="64" t="e">
        <f t="shared" si="4"/>
        <v>#DIV/0!</v>
      </c>
      <c r="U23" s="68" t="e">
        <f t="shared" si="5"/>
        <v>#DIV/0!</v>
      </c>
    </row>
    <row r="24" spans="1:21" x14ac:dyDescent="0.2">
      <c r="A24" s="61" t="s">
        <v>208</v>
      </c>
      <c r="B24" s="62" t="s">
        <v>209</v>
      </c>
      <c r="C24" s="62" t="s">
        <v>267</v>
      </c>
      <c r="D24" s="62" t="s">
        <v>269</v>
      </c>
      <c r="E24" s="62" t="s">
        <v>209</v>
      </c>
      <c r="F24" s="63" t="s">
        <v>215</v>
      </c>
      <c r="G24" s="62" t="s">
        <v>213</v>
      </c>
      <c r="H24" s="62" t="s">
        <v>194</v>
      </c>
      <c r="I24" s="62" t="s">
        <v>16</v>
      </c>
      <c r="J24" s="62" t="s">
        <v>140</v>
      </c>
      <c r="K24" s="64">
        <v>53.8</v>
      </c>
      <c r="L24" s="64">
        <f t="shared" si="0"/>
        <v>21.52</v>
      </c>
      <c r="M24" s="65">
        <f>prodnorm46</f>
        <v>0</v>
      </c>
      <c r="N24" s="66">
        <f>dagwerk46</f>
        <v>0</v>
      </c>
      <c r="O24" s="62" t="s">
        <v>44</v>
      </c>
      <c r="P24" s="67">
        <f>uurtarief46</f>
        <v>0</v>
      </c>
      <c r="Q24" s="64" t="e">
        <f t="shared" si="1"/>
        <v>#DIV/0!</v>
      </c>
      <c r="R24" s="64" t="e">
        <f t="shared" si="2"/>
        <v>#DIV/0!</v>
      </c>
      <c r="S24" s="67" t="e">
        <f t="shared" si="3"/>
        <v>#DIV/0!</v>
      </c>
      <c r="T24" s="64" t="e">
        <f t="shared" si="4"/>
        <v>#DIV/0!</v>
      </c>
      <c r="U24" s="68" t="e">
        <f t="shared" si="5"/>
        <v>#DIV/0!</v>
      </c>
    </row>
    <row r="25" spans="1:21" x14ac:dyDescent="0.2">
      <c r="A25" s="61" t="s">
        <v>208</v>
      </c>
      <c r="B25" s="62" t="s">
        <v>209</v>
      </c>
      <c r="C25" s="62" t="s">
        <v>267</v>
      </c>
      <c r="D25" s="62" t="s">
        <v>270</v>
      </c>
      <c r="E25" s="62" t="s">
        <v>209</v>
      </c>
      <c r="F25" s="63" t="s">
        <v>215</v>
      </c>
      <c r="G25" s="62" t="s">
        <v>213</v>
      </c>
      <c r="H25" s="62" t="s">
        <v>194</v>
      </c>
      <c r="I25" s="62" t="s">
        <v>16</v>
      </c>
      <c r="J25" s="62" t="s">
        <v>140</v>
      </c>
      <c r="K25" s="64">
        <v>68.2</v>
      </c>
      <c r="L25" s="64">
        <f t="shared" si="0"/>
        <v>27.28</v>
      </c>
      <c r="M25" s="65">
        <f>prodnorm46</f>
        <v>0</v>
      </c>
      <c r="N25" s="66">
        <f>dagwerk46</f>
        <v>0</v>
      </c>
      <c r="O25" s="62" t="s">
        <v>44</v>
      </c>
      <c r="P25" s="67">
        <f>uurtarief46</f>
        <v>0</v>
      </c>
      <c r="Q25" s="64" t="e">
        <f t="shared" si="1"/>
        <v>#DIV/0!</v>
      </c>
      <c r="R25" s="64" t="e">
        <f t="shared" si="2"/>
        <v>#DIV/0!</v>
      </c>
      <c r="S25" s="67" t="e">
        <f t="shared" si="3"/>
        <v>#DIV/0!</v>
      </c>
      <c r="T25" s="64" t="e">
        <f t="shared" si="4"/>
        <v>#DIV/0!</v>
      </c>
      <c r="U25" s="68" t="e">
        <f t="shared" si="5"/>
        <v>#DIV/0!</v>
      </c>
    </row>
    <row r="26" spans="1:21" x14ac:dyDescent="0.2">
      <c r="A26" s="61" t="s">
        <v>208</v>
      </c>
      <c r="B26" s="62" t="s">
        <v>209</v>
      </c>
      <c r="C26" s="62" t="s">
        <v>267</v>
      </c>
      <c r="D26" s="62" t="s">
        <v>271</v>
      </c>
      <c r="E26" s="62" t="s">
        <v>209</v>
      </c>
      <c r="F26" s="63" t="s">
        <v>254</v>
      </c>
      <c r="G26" s="62" t="s">
        <v>234</v>
      </c>
      <c r="H26" s="62" t="s">
        <v>192</v>
      </c>
      <c r="I26" s="62" t="s">
        <v>16</v>
      </c>
      <c r="J26" s="62" t="s">
        <v>140</v>
      </c>
      <c r="K26" s="64">
        <v>10</v>
      </c>
      <c r="L26" s="64">
        <f t="shared" si="0"/>
        <v>4</v>
      </c>
      <c r="M26" s="65">
        <f>prodnorm44</f>
        <v>0</v>
      </c>
      <c r="N26" s="66">
        <f>dagwerk44</f>
        <v>0</v>
      </c>
      <c r="O26" s="62" t="s">
        <v>44</v>
      </c>
      <c r="P26" s="67">
        <f>uurtarief44</f>
        <v>0</v>
      </c>
      <c r="Q26" s="64" t="e">
        <f t="shared" si="1"/>
        <v>#DIV/0!</v>
      </c>
      <c r="R26" s="64" t="e">
        <f t="shared" si="2"/>
        <v>#DIV/0!</v>
      </c>
      <c r="S26" s="67" t="e">
        <f t="shared" si="3"/>
        <v>#DIV/0!</v>
      </c>
      <c r="T26" s="64" t="e">
        <f t="shared" si="4"/>
        <v>#DIV/0!</v>
      </c>
      <c r="U26" s="68" t="e">
        <f t="shared" si="5"/>
        <v>#DIV/0!</v>
      </c>
    </row>
    <row r="27" spans="1:21" x14ac:dyDescent="0.2">
      <c r="A27" s="61" t="s">
        <v>208</v>
      </c>
      <c r="B27" s="62" t="s">
        <v>209</v>
      </c>
      <c r="C27" s="62" t="s">
        <v>267</v>
      </c>
      <c r="D27" s="62" t="s">
        <v>272</v>
      </c>
      <c r="E27" s="62" t="s">
        <v>209</v>
      </c>
      <c r="F27" s="63" t="s">
        <v>254</v>
      </c>
      <c r="G27" s="62" t="s">
        <v>234</v>
      </c>
      <c r="H27" s="62" t="s">
        <v>192</v>
      </c>
      <c r="I27" s="62" t="s">
        <v>16</v>
      </c>
      <c r="J27" s="62" t="s">
        <v>140</v>
      </c>
      <c r="K27" s="64">
        <v>5.5</v>
      </c>
      <c r="L27" s="64">
        <f t="shared" si="0"/>
        <v>2.2000000000000002</v>
      </c>
      <c r="M27" s="65">
        <f>prodnorm44</f>
        <v>0</v>
      </c>
      <c r="N27" s="66">
        <f>dagwerk44</f>
        <v>0</v>
      </c>
      <c r="O27" s="62" t="s">
        <v>44</v>
      </c>
      <c r="P27" s="67">
        <f>uurtarief44</f>
        <v>0</v>
      </c>
      <c r="Q27" s="64" t="e">
        <f t="shared" si="1"/>
        <v>#DIV/0!</v>
      </c>
      <c r="R27" s="64" t="e">
        <f t="shared" si="2"/>
        <v>#DIV/0!</v>
      </c>
      <c r="S27" s="67" t="e">
        <f t="shared" si="3"/>
        <v>#DIV/0!</v>
      </c>
      <c r="T27" s="64" t="e">
        <f t="shared" si="4"/>
        <v>#DIV/0!</v>
      </c>
      <c r="U27" s="68" t="e">
        <f t="shared" si="5"/>
        <v>#DIV/0!</v>
      </c>
    </row>
    <row r="28" spans="1:21" x14ac:dyDescent="0.2">
      <c r="A28" s="61" t="s">
        <v>208</v>
      </c>
      <c r="B28" s="62" t="s">
        <v>209</v>
      </c>
      <c r="C28" s="62" t="s">
        <v>267</v>
      </c>
      <c r="D28" s="62" t="s">
        <v>273</v>
      </c>
      <c r="E28" s="62" t="s">
        <v>209</v>
      </c>
      <c r="F28" s="63" t="s">
        <v>257</v>
      </c>
      <c r="G28" s="62" t="s">
        <v>234</v>
      </c>
      <c r="H28" s="62" t="s">
        <v>186</v>
      </c>
      <c r="I28" s="62" t="s">
        <v>16</v>
      </c>
      <c r="J28" s="62" t="s">
        <v>140</v>
      </c>
      <c r="K28" s="64">
        <v>4</v>
      </c>
      <c r="L28" s="64">
        <f t="shared" si="0"/>
        <v>1.6</v>
      </c>
      <c r="M28" s="65">
        <f>prodnorm38</f>
        <v>0</v>
      </c>
      <c r="N28" s="66">
        <f>dagwerk38</f>
        <v>0</v>
      </c>
      <c r="O28" s="62" t="s">
        <v>44</v>
      </c>
      <c r="P28" s="67">
        <f>uurtarief38</f>
        <v>0</v>
      </c>
      <c r="Q28" s="64" t="e">
        <f t="shared" si="1"/>
        <v>#DIV/0!</v>
      </c>
      <c r="R28" s="64" t="e">
        <f t="shared" si="2"/>
        <v>#DIV/0!</v>
      </c>
      <c r="S28" s="67" t="e">
        <f t="shared" si="3"/>
        <v>#DIV/0!</v>
      </c>
      <c r="T28" s="64" t="e">
        <f t="shared" si="4"/>
        <v>#DIV/0!</v>
      </c>
      <c r="U28" s="68" t="e">
        <f t="shared" si="5"/>
        <v>#DIV/0!</v>
      </c>
    </row>
    <row r="29" spans="1:21" x14ac:dyDescent="0.2">
      <c r="A29" s="61" t="s">
        <v>208</v>
      </c>
      <c r="B29" s="62" t="s">
        <v>209</v>
      </c>
      <c r="C29" s="62" t="s">
        <v>267</v>
      </c>
      <c r="D29" s="62" t="s">
        <v>275</v>
      </c>
      <c r="E29" s="62" t="s">
        <v>209</v>
      </c>
      <c r="F29" s="63" t="s">
        <v>261</v>
      </c>
      <c r="G29" s="62" t="s">
        <v>234</v>
      </c>
      <c r="H29" s="62" t="s">
        <v>190</v>
      </c>
      <c r="I29" s="62" t="s">
        <v>16</v>
      </c>
      <c r="J29" s="62" t="s">
        <v>140</v>
      </c>
      <c r="K29" s="64">
        <v>12</v>
      </c>
      <c r="L29" s="64">
        <f t="shared" si="0"/>
        <v>4.8000000000000007</v>
      </c>
      <c r="M29" s="65">
        <f>prodnorm42</f>
        <v>0</v>
      </c>
      <c r="N29" s="66">
        <f>dagwerk42</f>
        <v>0</v>
      </c>
      <c r="O29" s="62" t="s">
        <v>44</v>
      </c>
      <c r="P29" s="67">
        <f>uurtarief42</f>
        <v>0</v>
      </c>
      <c r="Q29" s="64" t="e">
        <f t="shared" si="1"/>
        <v>#DIV/0!</v>
      </c>
      <c r="R29" s="64" t="e">
        <f t="shared" si="2"/>
        <v>#DIV/0!</v>
      </c>
      <c r="S29" s="67" t="e">
        <f t="shared" si="3"/>
        <v>#DIV/0!</v>
      </c>
      <c r="T29" s="64" t="e">
        <f t="shared" si="4"/>
        <v>#DIV/0!</v>
      </c>
      <c r="U29" s="68" t="e">
        <f t="shared" si="5"/>
        <v>#DIV/0!</v>
      </c>
    </row>
    <row r="30" spans="1:21" x14ac:dyDescent="0.2">
      <c r="A30" s="61" t="s">
        <v>208</v>
      </c>
      <c r="B30" s="62" t="s">
        <v>209</v>
      </c>
      <c r="C30" s="62" t="s">
        <v>267</v>
      </c>
      <c r="D30" s="62" t="s">
        <v>276</v>
      </c>
      <c r="E30" s="62" t="s">
        <v>209</v>
      </c>
      <c r="F30" s="63" t="s">
        <v>254</v>
      </c>
      <c r="G30" s="62" t="s">
        <v>234</v>
      </c>
      <c r="H30" s="62" t="s">
        <v>192</v>
      </c>
      <c r="I30" s="62" t="s">
        <v>16</v>
      </c>
      <c r="J30" s="62" t="s">
        <v>140</v>
      </c>
      <c r="K30" s="64">
        <v>4.2</v>
      </c>
      <c r="L30" s="64">
        <f t="shared" si="0"/>
        <v>1.6800000000000002</v>
      </c>
      <c r="M30" s="65">
        <f>prodnorm44</f>
        <v>0</v>
      </c>
      <c r="N30" s="66">
        <f>dagwerk44</f>
        <v>0</v>
      </c>
      <c r="O30" s="62" t="s">
        <v>44</v>
      </c>
      <c r="P30" s="67">
        <f>uurtarief44</f>
        <v>0</v>
      </c>
      <c r="Q30" s="64" t="e">
        <f t="shared" si="1"/>
        <v>#DIV/0!</v>
      </c>
      <c r="R30" s="64" t="e">
        <f t="shared" si="2"/>
        <v>#DIV/0!</v>
      </c>
      <c r="S30" s="67" t="e">
        <f t="shared" si="3"/>
        <v>#DIV/0!</v>
      </c>
      <c r="T30" s="64" t="e">
        <f t="shared" si="4"/>
        <v>#DIV/0!</v>
      </c>
      <c r="U30" s="68" t="e">
        <f t="shared" si="5"/>
        <v>#DIV/0!</v>
      </c>
    </row>
    <row r="31" spans="1:21" x14ac:dyDescent="0.2">
      <c r="A31" s="61" t="s">
        <v>208</v>
      </c>
      <c r="B31" s="62" t="s">
        <v>209</v>
      </c>
      <c r="C31" s="62" t="s">
        <v>267</v>
      </c>
      <c r="D31" s="62" t="s">
        <v>277</v>
      </c>
      <c r="E31" s="62" t="s">
        <v>209</v>
      </c>
      <c r="F31" s="63" t="s">
        <v>257</v>
      </c>
      <c r="G31" s="62" t="s">
        <v>234</v>
      </c>
      <c r="H31" s="62" t="s">
        <v>186</v>
      </c>
      <c r="I31" s="62" t="s">
        <v>16</v>
      </c>
      <c r="J31" s="62" t="s">
        <v>140</v>
      </c>
      <c r="K31" s="64">
        <v>5</v>
      </c>
      <c r="L31" s="64">
        <f t="shared" si="0"/>
        <v>2</v>
      </c>
      <c r="M31" s="65">
        <f>prodnorm38</f>
        <v>0</v>
      </c>
      <c r="N31" s="66">
        <f>dagwerk38</f>
        <v>0</v>
      </c>
      <c r="O31" s="62" t="s">
        <v>44</v>
      </c>
      <c r="P31" s="67">
        <f>uurtarief38</f>
        <v>0</v>
      </c>
      <c r="Q31" s="64" t="e">
        <f t="shared" si="1"/>
        <v>#DIV/0!</v>
      </c>
      <c r="R31" s="64" t="e">
        <f t="shared" si="2"/>
        <v>#DIV/0!</v>
      </c>
      <c r="S31" s="67" t="e">
        <f t="shared" si="3"/>
        <v>#DIV/0!</v>
      </c>
      <c r="T31" s="64" t="e">
        <f t="shared" si="4"/>
        <v>#DIV/0!</v>
      </c>
      <c r="U31" s="68" t="e">
        <f t="shared" si="5"/>
        <v>#DIV/0!</v>
      </c>
    </row>
    <row r="32" spans="1:21" x14ac:dyDescent="0.2">
      <c r="A32" s="61" t="s">
        <v>208</v>
      </c>
      <c r="B32" s="62" t="s">
        <v>209</v>
      </c>
      <c r="C32" s="62" t="s">
        <v>267</v>
      </c>
      <c r="D32" s="62" t="s">
        <v>278</v>
      </c>
      <c r="E32" s="62" t="s">
        <v>209</v>
      </c>
      <c r="F32" s="63" t="s">
        <v>257</v>
      </c>
      <c r="G32" s="62" t="s">
        <v>234</v>
      </c>
      <c r="H32" s="62" t="s">
        <v>186</v>
      </c>
      <c r="I32" s="62" t="s">
        <v>16</v>
      </c>
      <c r="J32" s="62" t="s">
        <v>140</v>
      </c>
      <c r="K32" s="64">
        <v>13.2</v>
      </c>
      <c r="L32" s="64">
        <f t="shared" si="0"/>
        <v>5.28</v>
      </c>
      <c r="M32" s="65">
        <f>prodnorm38</f>
        <v>0</v>
      </c>
      <c r="N32" s="66">
        <f>dagwerk38</f>
        <v>0</v>
      </c>
      <c r="O32" s="62" t="s">
        <v>44</v>
      </c>
      <c r="P32" s="67">
        <f>uurtarief38</f>
        <v>0</v>
      </c>
      <c r="Q32" s="64" t="e">
        <f t="shared" si="1"/>
        <v>#DIV/0!</v>
      </c>
      <c r="R32" s="64" t="e">
        <f t="shared" si="2"/>
        <v>#DIV/0!</v>
      </c>
      <c r="S32" s="67" t="e">
        <f t="shared" si="3"/>
        <v>#DIV/0!</v>
      </c>
      <c r="T32" s="64" t="e">
        <f t="shared" si="4"/>
        <v>#DIV/0!</v>
      </c>
      <c r="U32" s="68" t="e">
        <f t="shared" si="5"/>
        <v>#DIV/0!</v>
      </c>
    </row>
    <row r="33" spans="1:21" x14ac:dyDescent="0.2">
      <c r="A33" s="61" t="s">
        <v>208</v>
      </c>
      <c r="B33" s="62" t="s">
        <v>209</v>
      </c>
      <c r="C33" s="62" t="s">
        <v>267</v>
      </c>
      <c r="D33" s="62" t="s">
        <v>279</v>
      </c>
      <c r="E33" s="62" t="s">
        <v>209</v>
      </c>
      <c r="F33" s="63" t="s">
        <v>266</v>
      </c>
      <c r="G33" s="62" t="s">
        <v>213</v>
      </c>
      <c r="H33" s="62" t="s">
        <v>193</v>
      </c>
      <c r="I33" s="62" t="s">
        <v>16</v>
      </c>
      <c r="J33" s="62" t="s">
        <v>140</v>
      </c>
      <c r="K33" s="64">
        <v>5.4</v>
      </c>
      <c r="L33" s="64">
        <f t="shared" si="0"/>
        <v>2.16</v>
      </c>
      <c r="M33" s="65">
        <f>prodnorm45</f>
        <v>0</v>
      </c>
      <c r="N33" s="66">
        <f>dagwerk45</f>
        <v>0</v>
      </c>
      <c r="O33" s="62" t="s">
        <v>44</v>
      </c>
      <c r="P33" s="67">
        <f>uurtarief45</f>
        <v>0</v>
      </c>
      <c r="Q33" s="64" t="e">
        <f t="shared" si="1"/>
        <v>#DIV/0!</v>
      </c>
      <c r="R33" s="64" t="e">
        <f t="shared" si="2"/>
        <v>#DIV/0!</v>
      </c>
      <c r="S33" s="67" t="e">
        <f t="shared" si="3"/>
        <v>#DIV/0!</v>
      </c>
      <c r="T33" s="64" t="e">
        <f t="shared" si="4"/>
        <v>#DIV/0!</v>
      </c>
      <c r="U33" s="68" t="e">
        <f t="shared" si="5"/>
        <v>#DIV/0!</v>
      </c>
    </row>
    <row r="34" spans="1:21" x14ac:dyDescent="0.2">
      <c r="A34" s="61" t="s">
        <v>208</v>
      </c>
      <c r="B34" s="62" t="s">
        <v>209</v>
      </c>
      <c r="C34" s="62" t="s">
        <v>280</v>
      </c>
      <c r="D34" s="62" t="s">
        <v>281</v>
      </c>
      <c r="E34" s="62" t="s">
        <v>209</v>
      </c>
      <c r="F34" s="63" t="s">
        <v>250</v>
      </c>
      <c r="G34" s="62" t="s">
        <v>213</v>
      </c>
      <c r="H34" s="62" t="s">
        <v>194</v>
      </c>
      <c r="I34" s="62" t="s">
        <v>16</v>
      </c>
      <c r="J34" s="62" t="s">
        <v>140</v>
      </c>
      <c r="K34" s="64">
        <v>24.1</v>
      </c>
      <c r="L34" s="64">
        <f t="shared" si="0"/>
        <v>9.64</v>
      </c>
      <c r="M34" s="65">
        <f>prodnorm46</f>
        <v>0</v>
      </c>
      <c r="N34" s="66">
        <f>dagwerk46</f>
        <v>0</v>
      </c>
      <c r="O34" s="62" t="s">
        <v>44</v>
      </c>
      <c r="P34" s="67">
        <f>uurtarief46</f>
        <v>0</v>
      </c>
      <c r="Q34" s="64" t="e">
        <f t="shared" si="1"/>
        <v>#DIV/0!</v>
      </c>
      <c r="R34" s="64" t="e">
        <f t="shared" si="2"/>
        <v>#DIV/0!</v>
      </c>
      <c r="S34" s="67" t="e">
        <f t="shared" si="3"/>
        <v>#DIV/0!</v>
      </c>
      <c r="T34" s="64" t="e">
        <f t="shared" si="4"/>
        <v>#DIV/0!</v>
      </c>
      <c r="U34" s="68" t="e">
        <f t="shared" si="5"/>
        <v>#DIV/0!</v>
      </c>
    </row>
    <row r="35" spans="1:21" x14ac:dyDescent="0.2">
      <c r="A35" s="61" t="s">
        <v>208</v>
      </c>
      <c r="B35" s="62" t="s">
        <v>209</v>
      </c>
      <c r="C35" s="62" t="s">
        <v>280</v>
      </c>
      <c r="D35" s="62" t="s">
        <v>282</v>
      </c>
      <c r="E35" s="62" t="s">
        <v>209</v>
      </c>
      <c r="F35" s="63" t="s">
        <v>215</v>
      </c>
      <c r="G35" s="62" t="s">
        <v>213</v>
      </c>
      <c r="H35" s="62" t="s">
        <v>194</v>
      </c>
      <c r="I35" s="62" t="s">
        <v>16</v>
      </c>
      <c r="J35" s="62" t="s">
        <v>140</v>
      </c>
      <c r="K35" s="64">
        <v>53.8</v>
      </c>
      <c r="L35" s="64">
        <f t="shared" si="0"/>
        <v>21.52</v>
      </c>
      <c r="M35" s="65">
        <f>prodnorm46</f>
        <v>0</v>
      </c>
      <c r="N35" s="66">
        <f>dagwerk46</f>
        <v>0</v>
      </c>
      <c r="O35" s="62" t="s">
        <v>44</v>
      </c>
      <c r="P35" s="67">
        <f>uurtarief46</f>
        <v>0</v>
      </c>
      <c r="Q35" s="64" t="e">
        <f t="shared" si="1"/>
        <v>#DIV/0!</v>
      </c>
      <c r="R35" s="64" t="e">
        <f t="shared" si="2"/>
        <v>#DIV/0!</v>
      </c>
      <c r="S35" s="67" t="e">
        <f t="shared" si="3"/>
        <v>#DIV/0!</v>
      </c>
      <c r="T35" s="64" t="e">
        <f t="shared" si="4"/>
        <v>#DIV/0!</v>
      </c>
      <c r="U35" s="68" t="e">
        <f t="shared" si="5"/>
        <v>#DIV/0!</v>
      </c>
    </row>
    <row r="36" spans="1:21" x14ac:dyDescent="0.2">
      <c r="A36" s="61" t="s">
        <v>208</v>
      </c>
      <c r="B36" s="62" t="s">
        <v>209</v>
      </c>
      <c r="C36" s="62" t="s">
        <v>280</v>
      </c>
      <c r="D36" s="62" t="s">
        <v>283</v>
      </c>
      <c r="E36" s="62" t="s">
        <v>209</v>
      </c>
      <c r="F36" s="63" t="s">
        <v>215</v>
      </c>
      <c r="G36" s="62" t="s">
        <v>213</v>
      </c>
      <c r="H36" s="62" t="s">
        <v>194</v>
      </c>
      <c r="I36" s="62" t="s">
        <v>16</v>
      </c>
      <c r="J36" s="62" t="s">
        <v>140</v>
      </c>
      <c r="K36" s="64">
        <v>68.2</v>
      </c>
      <c r="L36" s="64">
        <f t="shared" si="0"/>
        <v>27.28</v>
      </c>
      <c r="M36" s="65">
        <f>prodnorm46</f>
        <v>0</v>
      </c>
      <c r="N36" s="66">
        <f>dagwerk46</f>
        <v>0</v>
      </c>
      <c r="O36" s="62" t="s">
        <v>44</v>
      </c>
      <c r="P36" s="67">
        <f>uurtarief46</f>
        <v>0</v>
      </c>
      <c r="Q36" s="64" t="e">
        <f t="shared" si="1"/>
        <v>#DIV/0!</v>
      </c>
      <c r="R36" s="64" t="e">
        <f t="shared" si="2"/>
        <v>#DIV/0!</v>
      </c>
      <c r="S36" s="67" t="e">
        <f t="shared" si="3"/>
        <v>#DIV/0!</v>
      </c>
      <c r="T36" s="64" t="e">
        <f t="shared" si="4"/>
        <v>#DIV/0!</v>
      </c>
      <c r="U36" s="68" t="e">
        <f t="shared" si="5"/>
        <v>#DIV/0!</v>
      </c>
    </row>
    <row r="37" spans="1:21" x14ac:dyDescent="0.2">
      <c r="A37" s="61" t="s">
        <v>208</v>
      </c>
      <c r="B37" s="62" t="s">
        <v>209</v>
      </c>
      <c r="C37" s="62" t="s">
        <v>280</v>
      </c>
      <c r="D37" s="62" t="s">
        <v>284</v>
      </c>
      <c r="E37" s="62" t="s">
        <v>209</v>
      </c>
      <c r="F37" s="63" t="s">
        <v>254</v>
      </c>
      <c r="G37" s="62" t="s">
        <v>234</v>
      </c>
      <c r="H37" s="62" t="s">
        <v>192</v>
      </c>
      <c r="I37" s="62" t="s">
        <v>16</v>
      </c>
      <c r="J37" s="62" t="s">
        <v>140</v>
      </c>
      <c r="K37" s="64">
        <v>10</v>
      </c>
      <c r="L37" s="64">
        <f t="shared" ref="L37:L68" si="6">K37*VLOOKUP(I37,dagsoorttabel1,2,FALSE)</f>
        <v>4</v>
      </c>
      <c r="M37" s="65">
        <f>prodnorm44</f>
        <v>0</v>
      </c>
      <c r="N37" s="66">
        <f>dagwerk44</f>
        <v>0</v>
      </c>
      <c r="O37" s="62" t="s">
        <v>44</v>
      </c>
      <c r="P37" s="67">
        <f>uurtarief44</f>
        <v>0</v>
      </c>
      <c r="Q37" s="64" t="e">
        <f t="shared" ref="Q37:Q68" si="7">IF(ISBLANK(M37),0,L37/ROUND(M37,4))</f>
        <v>#DIV/0!</v>
      </c>
      <c r="R37" s="64" t="e">
        <f t="shared" ref="R37:R68" si="8">IF(ISBLANK(M37),0,Q37*ROUND(N37,2))</f>
        <v>#DIV/0!</v>
      </c>
      <c r="S37" s="67" t="e">
        <f t="shared" ref="S37:S68" si="9">ROUND(P37,2)*Q37</f>
        <v>#DIV/0!</v>
      </c>
      <c r="T37" s="64" t="e">
        <f t="shared" ref="T37:T68" si="10">Q37*dagenperjaar1</f>
        <v>#DIV/0!</v>
      </c>
      <c r="U37" s="68" t="e">
        <f t="shared" ref="U37:U68" si="11">T37*ROUND(P37,2)</f>
        <v>#DIV/0!</v>
      </c>
    </row>
    <row r="38" spans="1:21" x14ac:dyDescent="0.2">
      <c r="A38" s="61" t="s">
        <v>208</v>
      </c>
      <c r="B38" s="62" t="s">
        <v>209</v>
      </c>
      <c r="C38" s="62" t="s">
        <v>280</v>
      </c>
      <c r="D38" s="62" t="s">
        <v>285</v>
      </c>
      <c r="E38" s="62" t="s">
        <v>209</v>
      </c>
      <c r="F38" s="63" t="s">
        <v>254</v>
      </c>
      <c r="G38" s="62" t="s">
        <v>234</v>
      </c>
      <c r="H38" s="62" t="s">
        <v>192</v>
      </c>
      <c r="I38" s="62" t="s">
        <v>16</v>
      </c>
      <c r="J38" s="62" t="s">
        <v>140</v>
      </c>
      <c r="K38" s="64">
        <v>5.5</v>
      </c>
      <c r="L38" s="64">
        <f t="shared" si="6"/>
        <v>2.2000000000000002</v>
      </c>
      <c r="M38" s="65">
        <f>prodnorm44</f>
        <v>0</v>
      </c>
      <c r="N38" s="66">
        <f>dagwerk44</f>
        <v>0</v>
      </c>
      <c r="O38" s="62" t="s">
        <v>44</v>
      </c>
      <c r="P38" s="67">
        <f>uurtarief44</f>
        <v>0</v>
      </c>
      <c r="Q38" s="64" t="e">
        <f t="shared" si="7"/>
        <v>#DIV/0!</v>
      </c>
      <c r="R38" s="64" t="e">
        <f t="shared" si="8"/>
        <v>#DIV/0!</v>
      </c>
      <c r="S38" s="67" t="e">
        <f t="shared" si="9"/>
        <v>#DIV/0!</v>
      </c>
      <c r="T38" s="64" t="e">
        <f t="shared" si="10"/>
        <v>#DIV/0!</v>
      </c>
      <c r="U38" s="68" t="e">
        <f t="shared" si="11"/>
        <v>#DIV/0!</v>
      </c>
    </row>
    <row r="39" spans="1:21" x14ac:dyDescent="0.2">
      <c r="A39" s="61" t="s">
        <v>208</v>
      </c>
      <c r="B39" s="62" t="s">
        <v>209</v>
      </c>
      <c r="C39" s="62" t="s">
        <v>280</v>
      </c>
      <c r="D39" s="62" t="s">
        <v>286</v>
      </c>
      <c r="E39" s="62" t="s">
        <v>209</v>
      </c>
      <c r="F39" s="63" t="s">
        <v>257</v>
      </c>
      <c r="G39" s="62" t="s">
        <v>234</v>
      </c>
      <c r="H39" s="62" t="s">
        <v>186</v>
      </c>
      <c r="I39" s="62" t="s">
        <v>16</v>
      </c>
      <c r="J39" s="62" t="s">
        <v>140</v>
      </c>
      <c r="K39" s="64">
        <v>4</v>
      </c>
      <c r="L39" s="64">
        <f t="shared" si="6"/>
        <v>1.6</v>
      </c>
      <c r="M39" s="65">
        <f>prodnorm38</f>
        <v>0</v>
      </c>
      <c r="N39" s="66">
        <f>dagwerk38</f>
        <v>0</v>
      </c>
      <c r="O39" s="62" t="s">
        <v>44</v>
      </c>
      <c r="P39" s="67">
        <f>uurtarief38</f>
        <v>0</v>
      </c>
      <c r="Q39" s="64" t="e">
        <f t="shared" si="7"/>
        <v>#DIV/0!</v>
      </c>
      <c r="R39" s="64" t="e">
        <f t="shared" si="8"/>
        <v>#DIV/0!</v>
      </c>
      <c r="S39" s="67" t="e">
        <f t="shared" si="9"/>
        <v>#DIV/0!</v>
      </c>
      <c r="T39" s="64" t="e">
        <f t="shared" si="10"/>
        <v>#DIV/0!</v>
      </c>
      <c r="U39" s="68" t="e">
        <f t="shared" si="11"/>
        <v>#DIV/0!</v>
      </c>
    </row>
    <row r="40" spans="1:21" x14ac:dyDescent="0.2">
      <c r="A40" s="61" t="s">
        <v>208</v>
      </c>
      <c r="B40" s="62" t="s">
        <v>209</v>
      </c>
      <c r="C40" s="62" t="s">
        <v>280</v>
      </c>
      <c r="D40" s="62" t="s">
        <v>288</v>
      </c>
      <c r="E40" s="62" t="s">
        <v>209</v>
      </c>
      <c r="F40" s="63" t="s">
        <v>261</v>
      </c>
      <c r="G40" s="62" t="s">
        <v>234</v>
      </c>
      <c r="H40" s="62" t="s">
        <v>190</v>
      </c>
      <c r="I40" s="62" t="s">
        <v>16</v>
      </c>
      <c r="J40" s="62" t="s">
        <v>140</v>
      </c>
      <c r="K40" s="64">
        <v>12</v>
      </c>
      <c r="L40" s="64">
        <f t="shared" si="6"/>
        <v>4.8000000000000007</v>
      </c>
      <c r="M40" s="65">
        <f>prodnorm42</f>
        <v>0</v>
      </c>
      <c r="N40" s="66">
        <f>dagwerk42</f>
        <v>0</v>
      </c>
      <c r="O40" s="62" t="s">
        <v>44</v>
      </c>
      <c r="P40" s="67">
        <f>uurtarief42</f>
        <v>0</v>
      </c>
      <c r="Q40" s="64" t="e">
        <f t="shared" si="7"/>
        <v>#DIV/0!</v>
      </c>
      <c r="R40" s="64" t="e">
        <f t="shared" si="8"/>
        <v>#DIV/0!</v>
      </c>
      <c r="S40" s="67" t="e">
        <f t="shared" si="9"/>
        <v>#DIV/0!</v>
      </c>
      <c r="T40" s="64" t="e">
        <f t="shared" si="10"/>
        <v>#DIV/0!</v>
      </c>
      <c r="U40" s="68" t="e">
        <f t="shared" si="11"/>
        <v>#DIV/0!</v>
      </c>
    </row>
    <row r="41" spans="1:21" x14ac:dyDescent="0.2">
      <c r="A41" s="61" t="s">
        <v>208</v>
      </c>
      <c r="B41" s="62" t="s">
        <v>209</v>
      </c>
      <c r="C41" s="62" t="s">
        <v>280</v>
      </c>
      <c r="D41" s="62" t="s">
        <v>289</v>
      </c>
      <c r="E41" s="62" t="s">
        <v>209</v>
      </c>
      <c r="F41" s="63" t="s">
        <v>254</v>
      </c>
      <c r="G41" s="62" t="s">
        <v>234</v>
      </c>
      <c r="H41" s="62" t="s">
        <v>192</v>
      </c>
      <c r="I41" s="62" t="s">
        <v>16</v>
      </c>
      <c r="J41" s="62" t="s">
        <v>140</v>
      </c>
      <c r="K41" s="64">
        <v>4.2</v>
      </c>
      <c r="L41" s="64">
        <f t="shared" si="6"/>
        <v>1.6800000000000002</v>
      </c>
      <c r="M41" s="65">
        <f>prodnorm44</f>
        <v>0</v>
      </c>
      <c r="N41" s="66">
        <f>dagwerk44</f>
        <v>0</v>
      </c>
      <c r="O41" s="62" t="s">
        <v>44</v>
      </c>
      <c r="P41" s="67">
        <f>uurtarief44</f>
        <v>0</v>
      </c>
      <c r="Q41" s="64" t="e">
        <f t="shared" si="7"/>
        <v>#DIV/0!</v>
      </c>
      <c r="R41" s="64" t="e">
        <f t="shared" si="8"/>
        <v>#DIV/0!</v>
      </c>
      <c r="S41" s="67" t="e">
        <f t="shared" si="9"/>
        <v>#DIV/0!</v>
      </c>
      <c r="T41" s="64" t="e">
        <f t="shared" si="10"/>
        <v>#DIV/0!</v>
      </c>
      <c r="U41" s="68" t="e">
        <f t="shared" si="11"/>
        <v>#DIV/0!</v>
      </c>
    </row>
    <row r="42" spans="1:21" x14ac:dyDescent="0.2">
      <c r="A42" s="61" t="s">
        <v>208</v>
      </c>
      <c r="B42" s="62" t="s">
        <v>209</v>
      </c>
      <c r="C42" s="62" t="s">
        <v>280</v>
      </c>
      <c r="D42" s="62" t="s">
        <v>290</v>
      </c>
      <c r="E42" s="62" t="s">
        <v>209</v>
      </c>
      <c r="F42" s="63" t="s">
        <v>257</v>
      </c>
      <c r="G42" s="62" t="s">
        <v>234</v>
      </c>
      <c r="H42" s="62" t="s">
        <v>186</v>
      </c>
      <c r="I42" s="62" t="s">
        <v>16</v>
      </c>
      <c r="J42" s="62" t="s">
        <v>140</v>
      </c>
      <c r="K42" s="64">
        <v>5</v>
      </c>
      <c r="L42" s="64">
        <f t="shared" si="6"/>
        <v>2</v>
      </c>
      <c r="M42" s="65">
        <f>prodnorm38</f>
        <v>0</v>
      </c>
      <c r="N42" s="66">
        <f>dagwerk38</f>
        <v>0</v>
      </c>
      <c r="O42" s="62" t="s">
        <v>44</v>
      </c>
      <c r="P42" s="67">
        <f>uurtarief38</f>
        <v>0</v>
      </c>
      <c r="Q42" s="64" t="e">
        <f t="shared" si="7"/>
        <v>#DIV/0!</v>
      </c>
      <c r="R42" s="64" t="e">
        <f t="shared" si="8"/>
        <v>#DIV/0!</v>
      </c>
      <c r="S42" s="67" t="e">
        <f t="shared" si="9"/>
        <v>#DIV/0!</v>
      </c>
      <c r="T42" s="64" t="e">
        <f t="shared" si="10"/>
        <v>#DIV/0!</v>
      </c>
      <c r="U42" s="68" t="e">
        <f t="shared" si="11"/>
        <v>#DIV/0!</v>
      </c>
    </row>
    <row r="43" spans="1:21" x14ac:dyDescent="0.2">
      <c r="A43" s="61" t="s">
        <v>208</v>
      </c>
      <c r="B43" s="62" t="s">
        <v>209</v>
      </c>
      <c r="C43" s="62" t="s">
        <v>280</v>
      </c>
      <c r="D43" s="62" t="s">
        <v>291</v>
      </c>
      <c r="E43" s="62" t="s">
        <v>209</v>
      </c>
      <c r="F43" s="63" t="s">
        <v>257</v>
      </c>
      <c r="G43" s="62" t="s">
        <v>234</v>
      </c>
      <c r="H43" s="62" t="s">
        <v>186</v>
      </c>
      <c r="I43" s="62" t="s">
        <v>16</v>
      </c>
      <c r="J43" s="62" t="s">
        <v>140</v>
      </c>
      <c r="K43" s="64">
        <v>13.2</v>
      </c>
      <c r="L43" s="64">
        <f t="shared" si="6"/>
        <v>5.28</v>
      </c>
      <c r="M43" s="65">
        <f>prodnorm38</f>
        <v>0</v>
      </c>
      <c r="N43" s="66">
        <f>dagwerk38</f>
        <v>0</v>
      </c>
      <c r="O43" s="62" t="s">
        <v>44</v>
      </c>
      <c r="P43" s="67">
        <f>uurtarief38</f>
        <v>0</v>
      </c>
      <c r="Q43" s="64" t="e">
        <f t="shared" si="7"/>
        <v>#DIV/0!</v>
      </c>
      <c r="R43" s="64" t="e">
        <f t="shared" si="8"/>
        <v>#DIV/0!</v>
      </c>
      <c r="S43" s="67" t="e">
        <f t="shared" si="9"/>
        <v>#DIV/0!</v>
      </c>
      <c r="T43" s="64" t="e">
        <f t="shared" si="10"/>
        <v>#DIV/0!</v>
      </c>
      <c r="U43" s="68" t="e">
        <f t="shared" si="11"/>
        <v>#DIV/0!</v>
      </c>
    </row>
    <row r="44" spans="1:21" x14ac:dyDescent="0.2">
      <c r="A44" s="61" t="s">
        <v>208</v>
      </c>
      <c r="B44" s="62" t="s">
        <v>209</v>
      </c>
      <c r="C44" s="62" t="s">
        <v>280</v>
      </c>
      <c r="D44" s="62" t="s">
        <v>292</v>
      </c>
      <c r="E44" s="62" t="s">
        <v>209</v>
      </c>
      <c r="F44" s="63" t="s">
        <v>261</v>
      </c>
      <c r="G44" s="62" t="s">
        <v>213</v>
      </c>
      <c r="H44" s="62" t="s">
        <v>190</v>
      </c>
      <c r="I44" s="62" t="s">
        <v>16</v>
      </c>
      <c r="J44" s="62" t="s">
        <v>140</v>
      </c>
      <c r="K44" s="64">
        <v>33.4</v>
      </c>
      <c r="L44" s="64">
        <f t="shared" si="6"/>
        <v>13.36</v>
      </c>
      <c r="M44" s="65">
        <f>prodnorm42</f>
        <v>0</v>
      </c>
      <c r="N44" s="66">
        <f>dagwerk42</f>
        <v>0</v>
      </c>
      <c r="O44" s="62" t="s">
        <v>44</v>
      </c>
      <c r="P44" s="67">
        <f>uurtarief42</f>
        <v>0</v>
      </c>
      <c r="Q44" s="64" t="e">
        <f t="shared" si="7"/>
        <v>#DIV/0!</v>
      </c>
      <c r="R44" s="64" t="e">
        <f t="shared" si="8"/>
        <v>#DIV/0!</v>
      </c>
      <c r="S44" s="67" t="e">
        <f t="shared" si="9"/>
        <v>#DIV/0!</v>
      </c>
      <c r="T44" s="64" t="e">
        <f t="shared" si="10"/>
        <v>#DIV/0!</v>
      </c>
      <c r="U44" s="68" t="e">
        <f t="shared" si="11"/>
        <v>#DIV/0!</v>
      </c>
    </row>
    <row r="45" spans="1:21" x14ac:dyDescent="0.2">
      <c r="A45" s="61" t="s">
        <v>208</v>
      </c>
      <c r="B45" s="62" t="s">
        <v>209</v>
      </c>
      <c r="C45" s="62" t="s">
        <v>280</v>
      </c>
      <c r="D45" s="62" t="s">
        <v>293</v>
      </c>
      <c r="E45" s="62" t="s">
        <v>209</v>
      </c>
      <c r="F45" s="63" t="s">
        <v>266</v>
      </c>
      <c r="G45" s="62" t="s">
        <v>213</v>
      </c>
      <c r="H45" s="62" t="s">
        <v>193</v>
      </c>
      <c r="I45" s="62" t="s">
        <v>16</v>
      </c>
      <c r="J45" s="62" t="s">
        <v>140</v>
      </c>
      <c r="K45" s="64">
        <v>5.4</v>
      </c>
      <c r="L45" s="64">
        <f t="shared" si="6"/>
        <v>2.16</v>
      </c>
      <c r="M45" s="65">
        <f>prodnorm45</f>
        <v>0</v>
      </c>
      <c r="N45" s="66">
        <f>dagwerk45</f>
        <v>0</v>
      </c>
      <c r="O45" s="62" t="s">
        <v>44</v>
      </c>
      <c r="P45" s="67">
        <f>uurtarief45</f>
        <v>0</v>
      </c>
      <c r="Q45" s="64" t="e">
        <f t="shared" si="7"/>
        <v>#DIV/0!</v>
      </c>
      <c r="R45" s="64" t="e">
        <f t="shared" si="8"/>
        <v>#DIV/0!</v>
      </c>
      <c r="S45" s="67" t="e">
        <f t="shared" si="9"/>
        <v>#DIV/0!</v>
      </c>
      <c r="T45" s="64" t="e">
        <f t="shared" si="10"/>
        <v>#DIV/0!</v>
      </c>
      <c r="U45" s="68" t="e">
        <f t="shared" si="11"/>
        <v>#DIV/0!</v>
      </c>
    </row>
    <row r="46" spans="1:21" x14ac:dyDescent="0.2">
      <c r="A46" s="61" t="s">
        <v>208</v>
      </c>
      <c r="B46" s="62" t="s">
        <v>209</v>
      </c>
      <c r="C46" s="62" t="s">
        <v>294</v>
      </c>
      <c r="D46" s="62" t="s">
        <v>295</v>
      </c>
      <c r="E46" s="62" t="s">
        <v>209</v>
      </c>
      <c r="F46" s="63" t="s">
        <v>250</v>
      </c>
      <c r="G46" s="62" t="s">
        <v>213</v>
      </c>
      <c r="H46" s="62" t="s">
        <v>194</v>
      </c>
      <c r="I46" s="62" t="s">
        <v>16</v>
      </c>
      <c r="J46" s="62" t="s">
        <v>140</v>
      </c>
      <c r="K46" s="64">
        <v>24.1</v>
      </c>
      <c r="L46" s="64">
        <f t="shared" si="6"/>
        <v>9.64</v>
      </c>
      <c r="M46" s="65">
        <f>prodnorm46</f>
        <v>0</v>
      </c>
      <c r="N46" s="66">
        <f>dagwerk46</f>
        <v>0</v>
      </c>
      <c r="O46" s="62" t="s">
        <v>44</v>
      </c>
      <c r="P46" s="67">
        <f>uurtarief46</f>
        <v>0</v>
      </c>
      <c r="Q46" s="64" t="e">
        <f t="shared" si="7"/>
        <v>#DIV/0!</v>
      </c>
      <c r="R46" s="64" t="e">
        <f t="shared" si="8"/>
        <v>#DIV/0!</v>
      </c>
      <c r="S46" s="67" t="e">
        <f t="shared" si="9"/>
        <v>#DIV/0!</v>
      </c>
      <c r="T46" s="64" t="e">
        <f t="shared" si="10"/>
        <v>#DIV/0!</v>
      </c>
      <c r="U46" s="68" t="e">
        <f t="shared" si="11"/>
        <v>#DIV/0!</v>
      </c>
    </row>
    <row r="47" spans="1:21" x14ac:dyDescent="0.2">
      <c r="A47" s="61" t="s">
        <v>208</v>
      </c>
      <c r="B47" s="62" t="s">
        <v>209</v>
      </c>
      <c r="C47" s="62" t="s">
        <v>294</v>
      </c>
      <c r="D47" s="62" t="s">
        <v>488</v>
      </c>
      <c r="E47" s="62" t="s">
        <v>209</v>
      </c>
      <c r="F47" s="63" t="s">
        <v>215</v>
      </c>
      <c r="G47" s="62" t="s">
        <v>213</v>
      </c>
      <c r="H47" s="62" t="s">
        <v>194</v>
      </c>
      <c r="I47" s="62" t="s">
        <v>16</v>
      </c>
      <c r="J47" s="62" t="s">
        <v>140</v>
      </c>
      <c r="K47" s="64">
        <v>53.8</v>
      </c>
      <c r="L47" s="64">
        <f t="shared" si="6"/>
        <v>21.52</v>
      </c>
      <c r="M47" s="65">
        <f>prodnorm46</f>
        <v>0</v>
      </c>
      <c r="N47" s="66">
        <f>dagwerk46</f>
        <v>0</v>
      </c>
      <c r="O47" s="62" t="s">
        <v>44</v>
      </c>
      <c r="P47" s="67">
        <f>uurtarief46</f>
        <v>0</v>
      </c>
      <c r="Q47" s="64" t="e">
        <f t="shared" si="7"/>
        <v>#DIV/0!</v>
      </c>
      <c r="R47" s="64" t="e">
        <f t="shared" si="8"/>
        <v>#DIV/0!</v>
      </c>
      <c r="S47" s="67" t="e">
        <f t="shared" si="9"/>
        <v>#DIV/0!</v>
      </c>
      <c r="T47" s="64" t="e">
        <f t="shared" si="10"/>
        <v>#DIV/0!</v>
      </c>
      <c r="U47" s="68" t="e">
        <f t="shared" si="11"/>
        <v>#DIV/0!</v>
      </c>
    </row>
    <row r="48" spans="1:21" x14ac:dyDescent="0.2">
      <c r="A48" s="61" t="s">
        <v>208</v>
      </c>
      <c r="B48" s="62" t="s">
        <v>209</v>
      </c>
      <c r="C48" s="62" t="s">
        <v>294</v>
      </c>
      <c r="D48" s="62" t="s">
        <v>488</v>
      </c>
      <c r="E48" s="62" t="s">
        <v>209</v>
      </c>
      <c r="F48" s="63" t="s">
        <v>215</v>
      </c>
      <c r="G48" s="62" t="s">
        <v>213</v>
      </c>
      <c r="H48" s="62" t="s">
        <v>194</v>
      </c>
      <c r="I48" s="62" t="s">
        <v>16</v>
      </c>
      <c r="J48" s="62" t="s">
        <v>140</v>
      </c>
      <c r="K48" s="64">
        <v>53.8</v>
      </c>
      <c r="L48" s="64">
        <f t="shared" si="6"/>
        <v>21.52</v>
      </c>
      <c r="M48" s="65">
        <f>prodnorm46</f>
        <v>0</v>
      </c>
      <c r="N48" s="66">
        <f>dagwerk46</f>
        <v>0</v>
      </c>
      <c r="O48" s="62" t="s">
        <v>44</v>
      </c>
      <c r="P48" s="67">
        <f>uurtarief46</f>
        <v>0</v>
      </c>
      <c r="Q48" s="64" t="e">
        <f t="shared" si="7"/>
        <v>#DIV/0!</v>
      </c>
      <c r="R48" s="64" t="e">
        <f t="shared" si="8"/>
        <v>#DIV/0!</v>
      </c>
      <c r="S48" s="67" t="e">
        <f t="shared" si="9"/>
        <v>#DIV/0!</v>
      </c>
      <c r="T48" s="64" t="e">
        <f t="shared" si="10"/>
        <v>#DIV/0!</v>
      </c>
      <c r="U48" s="68" t="e">
        <f t="shared" si="11"/>
        <v>#DIV/0!</v>
      </c>
    </row>
    <row r="49" spans="1:21" x14ac:dyDescent="0.2">
      <c r="A49" s="61" t="s">
        <v>208</v>
      </c>
      <c r="B49" s="62" t="s">
        <v>209</v>
      </c>
      <c r="C49" s="62" t="s">
        <v>294</v>
      </c>
      <c r="D49" s="62" t="s">
        <v>296</v>
      </c>
      <c r="E49" s="62" t="s">
        <v>209</v>
      </c>
      <c r="F49" s="63" t="s">
        <v>215</v>
      </c>
      <c r="G49" s="62" t="s">
        <v>213</v>
      </c>
      <c r="H49" s="62" t="s">
        <v>194</v>
      </c>
      <c r="I49" s="62" t="s">
        <v>16</v>
      </c>
      <c r="J49" s="62" t="s">
        <v>140</v>
      </c>
      <c r="K49" s="64">
        <v>68.2</v>
      </c>
      <c r="L49" s="64">
        <f t="shared" si="6"/>
        <v>27.28</v>
      </c>
      <c r="M49" s="65">
        <f>prodnorm46</f>
        <v>0</v>
      </c>
      <c r="N49" s="66">
        <f>dagwerk46</f>
        <v>0</v>
      </c>
      <c r="O49" s="62" t="s">
        <v>44</v>
      </c>
      <c r="P49" s="67">
        <f>uurtarief46</f>
        <v>0</v>
      </c>
      <c r="Q49" s="64" t="e">
        <f t="shared" si="7"/>
        <v>#DIV/0!</v>
      </c>
      <c r="R49" s="64" t="e">
        <f t="shared" si="8"/>
        <v>#DIV/0!</v>
      </c>
      <c r="S49" s="67" t="e">
        <f t="shared" si="9"/>
        <v>#DIV/0!</v>
      </c>
      <c r="T49" s="64" t="e">
        <f t="shared" si="10"/>
        <v>#DIV/0!</v>
      </c>
      <c r="U49" s="68" t="e">
        <f t="shared" si="11"/>
        <v>#DIV/0!</v>
      </c>
    </row>
    <row r="50" spans="1:21" x14ac:dyDescent="0.2">
      <c r="A50" s="61" t="s">
        <v>208</v>
      </c>
      <c r="B50" s="62" t="s">
        <v>209</v>
      </c>
      <c r="C50" s="62" t="s">
        <v>294</v>
      </c>
      <c r="D50" s="62" t="s">
        <v>297</v>
      </c>
      <c r="E50" s="62" t="s">
        <v>209</v>
      </c>
      <c r="F50" s="63" t="s">
        <v>254</v>
      </c>
      <c r="G50" s="62" t="s">
        <v>234</v>
      </c>
      <c r="H50" s="62" t="s">
        <v>192</v>
      </c>
      <c r="I50" s="62" t="s">
        <v>16</v>
      </c>
      <c r="J50" s="62" t="s">
        <v>140</v>
      </c>
      <c r="K50" s="64">
        <v>10</v>
      </c>
      <c r="L50" s="64">
        <f t="shared" si="6"/>
        <v>4</v>
      </c>
      <c r="M50" s="65">
        <f>prodnorm44</f>
        <v>0</v>
      </c>
      <c r="N50" s="66">
        <f>dagwerk44</f>
        <v>0</v>
      </c>
      <c r="O50" s="62" t="s">
        <v>44</v>
      </c>
      <c r="P50" s="67">
        <f>uurtarief44</f>
        <v>0</v>
      </c>
      <c r="Q50" s="64" t="e">
        <f t="shared" si="7"/>
        <v>#DIV/0!</v>
      </c>
      <c r="R50" s="64" t="e">
        <f t="shared" si="8"/>
        <v>#DIV/0!</v>
      </c>
      <c r="S50" s="67" t="e">
        <f t="shared" si="9"/>
        <v>#DIV/0!</v>
      </c>
      <c r="T50" s="64" t="e">
        <f t="shared" si="10"/>
        <v>#DIV/0!</v>
      </c>
      <c r="U50" s="68" t="e">
        <f t="shared" si="11"/>
        <v>#DIV/0!</v>
      </c>
    </row>
    <row r="51" spans="1:21" x14ac:dyDescent="0.2">
      <c r="A51" s="61" t="s">
        <v>208</v>
      </c>
      <c r="B51" s="62" t="s">
        <v>209</v>
      </c>
      <c r="C51" s="62" t="s">
        <v>294</v>
      </c>
      <c r="D51" s="62" t="s">
        <v>298</v>
      </c>
      <c r="E51" s="62" t="s">
        <v>209</v>
      </c>
      <c r="F51" s="63" t="s">
        <v>254</v>
      </c>
      <c r="G51" s="62" t="s">
        <v>234</v>
      </c>
      <c r="H51" s="62" t="s">
        <v>192</v>
      </c>
      <c r="I51" s="62" t="s">
        <v>16</v>
      </c>
      <c r="J51" s="62" t="s">
        <v>140</v>
      </c>
      <c r="K51" s="64">
        <v>5.5</v>
      </c>
      <c r="L51" s="64">
        <f t="shared" si="6"/>
        <v>2.2000000000000002</v>
      </c>
      <c r="M51" s="65">
        <f>prodnorm44</f>
        <v>0</v>
      </c>
      <c r="N51" s="66">
        <f>dagwerk44</f>
        <v>0</v>
      </c>
      <c r="O51" s="62" t="s">
        <v>44</v>
      </c>
      <c r="P51" s="67">
        <f>uurtarief44</f>
        <v>0</v>
      </c>
      <c r="Q51" s="64" t="e">
        <f t="shared" si="7"/>
        <v>#DIV/0!</v>
      </c>
      <c r="R51" s="64" t="e">
        <f t="shared" si="8"/>
        <v>#DIV/0!</v>
      </c>
      <c r="S51" s="67" t="e">
        <f t="shared" si="9"/>
        <v>#DIV/0!</v>
      </c>
      <c r="T51" s="64" t="e">
        <f t="shared" si="10"/>
        <v>#DIV/0!</v>
      </c>
      <c r="U51" s="68" t="e">
        <f t="shared" si="11"/>
        <v>#DIV/0!</v>
      </c>
    </row>
    <row r="52" spans="1:21" x14ac:dyDescent="0.2">
      <c r="A52" s="61" t="s">
        <v>208</v>
      </c>
      <c r="B52" s="62" t="s">
        <v>209</v>
      </c>
      <c r="C52" s="62" t="s">
        <v>294</v>
      </c>
      <c r="D52" s="62" t="s">
        <v>299</v>
      </c>
      <c r="E52" s="62" t="s">
        <v>209</v>
      </c>
      <c r="F52" s="63" t="s">
        <v>257</v>
      </c>
      <c r="G52" s="62" t="s">
        <v>234</v>
      </c>
      <c r="H52" s="62" t="s">
        <v>186</v>
      </c>
      <c r="I52" s="62" t="s">
        <v>16</v>
      </c>
      <c r="J52" s="62" t="s">
        <v>140</v>
      </c>
      <c r="K52" s="64">
        <v>4</v>
      </c>
      <c r="L52" s="64">
        <f t="shared" si="6"/>
        <v>1.6</v>
      </c>
      <c r="M52" s="65">
        <f>prodnorm38</f>
        <v>0</v>
      </c>
      <c r="N52" s="66">
        <f>dagwerk38</f>
        <v>0</v>
      </c>
      <c r="O52" s="62" t="s">
        <v>44</v>
      </c>
      <c r="P52" s="67">
        <f>uurtarief38</f>
        <v>0</v>
      </c>
      <c r="Q52" s="64" t="e">
        <f t="shared" si="7"/>
        <v>#DIV/0!</v>
      </c>
      <c r="R52" s="64" t="e">
        <f t="shared" si="8"/>
        <v>#DIV/0!</v>
      </c>
      <c r="S52" s="67" t="e">
        <f t="shared" si="9"/>
        <v>#DIV/0!</v>
      </c>
      <c r="T52" s="64" t="e">
        <f t="shared" si="10"/>
        <v>#DIV/0!</v>
      </c>
      <c r="U52" s="68" t="e">
        <f t="shared" si="11"/>
        <v>#DIV/0!</v>
      </c>
    </row>
    <row r="53" spans="1:21" x14ac:dyDescent="0.2">
      <c r="A53" s="61" t="s">
        <v>208</v>
      </c>
      <c r="B53" s="62" t="s">
        <v>209</v>
      </c>
      <c r="C53" s="62" t="s">
        <v>294</v>
      </c>
      <c r="D53" s="62" t="s">
        <v>301</v>
      </c>
      <c r="E53" s="62" t="s">
        <v>209</v>
      </c>
      <c r="F53" s="63" t="s">
        <v>261</v>
      </c>
      <c r="G53" s="62" t="s">
        <v>234</v>
      </c>
      <c r="H53" s="62" t="s">
        <v>190</v>
      </c>
      <c r="I53" s="62" t="s">
        <v>16</v>
      </c>
      <c r="J53" s="62" t="s">
        <v>140</v>
      </c>
      <c r="K53" s="64">
        <v>12</v>
      </c>
      <c r="L53" s="64">
        <f t="shared" si="6"/>
        <v>4.8000000000000007</v>
      </c>
      <c r="M53" s="65">
        <f>prodnorm42</f>
        <v>0</v>
      </c>
      <c r="N53" s="66">
        <f>dagwerk42</f>
        <v>0</v>
      </c>
      <c r="O53" s="62" t="s">
        <v>44</v>
      </c>
      <c r="P53" s="67">
        <f>uurtarief42</f>
        <v>0</v>
      </c>
      <c r="Q53" s="64" t="e">
        <f t="shared" si="7"/>
        <v>#DIV/0!</v>
      </c>
      <c r="R53" s="64" t="e">
        <f t="shared" si="8"/>
        <v>#DIV/0!</v>
      </c>
      <c r="S53" s="67" t="e">
        <f t="shared" si="9"/>
        <v>#DIV/0!</v>
      </c>
      <c r="T53" s="64" t="e">
        <f t="shared" si="10"/>
        <v>#DIV/0!</v>
      </c>
      <c r="U53" s="68" t="e">
        <f t="shared" si="11"/>
        <v>#DIV/0!</v>
      </c>
    </row>
    <row r="54" spans="1:21" x14ac:dyDescent="0.2">
      <c r="A54" s="61" t="s">
        <v>208</v>
      </c>
      <c r="B54" s="62" t="s">
        <v>209</v>
      </c>
      <c r="C54" s="62" t="s">
        <v>294</v>
      </c>
      <c r="D54" s="62" t="s">
        <v>302</v>
      </c>
      <c r="E54" s="62" t="s">
        <v>209</v>
      </c>
      <c r="F54" s="63" t="s">
        <v>254</v>
      </c>
      <c r="G54" s="62" t="s">
        <v>234</v>
      </c>
      <c r="H54" s="62" t="s">
        <v>192</v>
      </c>
      <c r="I54" s="62" t="s">
        <v>16</v>
      </c>
      <c r="J54" s="62" t="s">
        <v>140</v>
      </c>
      <c r="K54" s="64">
        <v>4.2</v>
      </c>
      <c r="L54" s="64">
        <f t="shared" si="6"/>
        <v>1.6800000000000002</v>
      </c>
      <c r="M54" s="65">
        <f>prodnorm44</f>
        <v>0</v>
      </c>
      <c r="N54" s="66">
        <f>dagwerk44</f>
        <v>0</v>
      </c>
      <c r="O54" s="62" t="s">
        <v>44</v>
      </c>
      <c r="P54" s="67">
        <f>uurtarief44</f>
        <v>0</v>
      </c>
      <c r="Q54" s="64" t="e">
        <f t="shared" si="7"/>
        <v>#DIV/0!</v>
      </c>
      <c r="R54" s="64" t="e">
        <f t="shared" si="8"/>
        <v>#DIV/0!</v>
      </c>
      <c r="S54" s="67" t="e">
        <f t="shared" si="9"/>
        <v>#DIV/0!</v>
      </c>
      <c r="T54" s="64" t="e">
        <f t="shared" si="10"/>
        <v>#DIV/0!</v>
      </c>
      <c r="U54" s="68" t="e">
        <f t="shared" si="11"/>
        <v>#DIV/0!</v>
      </c>
    </row>
    <row r="55" spans="1:21" x14ac:dyDescent="0.2">
      <c r="A55" s="61" t="s">
        <v>208</v>
      </c>
      <c r="B55" s="62" t="s">
        <v>209</v>
      </c>
      <c r="C55" s="62" t="s">
        <v>294</v>
      </c>
      <c r="D55" s="62" t="s">
        <v>303</v>
      </c>
      <c r="E55" s="62" t="s">
        <v>209</v>
      </c>
      <c r="F55" s="63" t="s">
        <v>257</v>
      </c>
      <c r="G55" s="62" t="s">
        <v>234</v>
      </c>
      <c r="H55" s="62" t="s">
        <v>186</v>
      </c>
      <c r="I55" s="62" t="s">
        <v>16</v>
      </c>
      <c r="J55" s="62" t="s">
        <v>140</v>
      </c>
      <c r="K55" s="64">
        <v>5</v>
      </c>
      <c r="L55" s="64">
        <f t="shared" si="6"/>
        <v>2</v>
      </c>
      <c r="M55" s="65">
        <f>prodnorm38</f>
        <v>0</v>
      </c>
      <c r="N55" s="66">
        <f>dagwerk38</f>
        <v>0</v>
      </c>
      <c r="O55" s="62" t="s">
        <v>44</v>
      </c>
      <c r="P55" s="67">
        <f>uurtarief38</f>
        <v>0</v>
      </c>
      <c r="Q55" s="64" t="e">
        <f t="shared" si="7"/>
        <v>#DIV/0!</v>
      </c>
      <c r="R55" s="64" t="e">
        <f t="shared" si="8"/>
        <v>#DIV/0!</v>
      </c>
      <c r="S55" s="67" t="e">
        <f t="shared" si="9"/>
        <v>#DIV/0!</v>
      </c>
      <c r="T55" s="64" t="e">
        <f t="shared" si="10"/>
        <v>#DIV/0!</v>
      </c>
      <c r="U55" s="68" t="e">
        <f t="shared" si="11"/>
        <v>#DIV/0!</v>
      </c>
    </row>
    <row r="56" spans="1:21" x14ac:dyDescent="0.2">
      <c r="A56" s="61" t="s">
        <v>208</v>
      </c>
      <c r="B56" s="62" t="s">
        <v>209</v>
      </c>
      <c r="C56" s="62" t="s">
        <v>294</v>
      </c>
      <c r="D56" s="62" t="s">
        <v>304</v>
      </c>
      <c r="E56" s="62" t="s">
        <v>209</v>
      </c>
      <c r="F56" s="63" t="s">
        <v>257</v>
      </c>
      <c r="G56" s="62" t="s">
        <v>234</v>
      </c>
      <c r="H56" s="62" t="s">
        <v>186</v>
      </c>
      <c r="I56" s="62" t="s">
        <v>16</v>
      </c>
      <c r="J56" s="62" t="s">
        <v>140</v>
      </c>
      <c r="K56" s="64">
        <v>13.2</v>
      </c>
      <c r="L56" s="64">
        <f t="shared" si="6"/>
        <v>5.28</v>
      </c>
      <c r="M56" s="65">
        <f>prodnorm38</f>
        <v>0</v>
      </c>
      <c r="N56" s="66">
        <f>dagwerk38</f>
        <v>0</v>
      </c>
      <c r="O56" s="62" t="s">
        <v>44</v>
      </c>
      <c r="P56" s="67">
        <f>uurtarief38</f>
        <v>0</v>
      </c>
      <c r="Q56" s="64" t="e">
        <f t="shared" si="7"/>
        <v>#DIV/0!</v>
      </c>
      <c r="R56" s="64" t="e">
        <f t="shared" si="8"/>
        <v>#DIV/0!</v>
      </c>
      <c r="S56" s="67" t="e">
        <f t="shared" si="9"/>
        <v>#DIV/0!</v>
      </c>
      <c r="T56" s="64" t="e">
        <f t="shared" si="10"/>
        <v>#DIV/0!</v>
      </c>
      <c r="U56" s="68" t="e">
        <f t="shared" si="11"/>
        <v>#DIV/0!</v>
      </c>
    </row>
    <row r="57" spans="1:21" x14ac:dyDescent="0.2">
      <c r="A57" s="61" t="s">
        <v>208</v>
      </c>
      <c r="B57" s="62" t="s">
        <v>209</v>
      </c>
      <c r="C57" s="62" t="s">
        <v>294</v>
      </c>
      <c r="D57" s="62" t="s">
        <v>305</v>
      </c>
      <c r="E57" s="62" t="s">
        <v>209</v>
      </c>
      <c r="F57" s="63" t="s">
        <v>261</v>
      </c>
      <c r="G57" s="62" t="s">
        <v>213</v>
      </c>
      <c r="H57" s="62" t="s">
        <v>190</v>
      </c>
      <c r="I57" s="62" t="s">
        <v>16</v>
      </c>
      <c r="J57" s="62" t="s">
        <v>140</v>
      </c>
      <c r="K57" s="64">
        <v>33.5</v>
      </c>
      <c r="L57" s="64">
        <f t="shared" si="6"/>
        <v>13.4</v>
      </c>
      <c r="M57" s="65">
        <f>prodnorm42</f>
        <v>0</v>
      </c>
      <c r="N57" s="66">
        <f>dagwerk42</f>
        <v>0</v>
      </c>
      <c r="O57" s="62" t="s">
        <v>44</v>
      </c>
      <c r="P57" s="67">
        <f>uurtarief42</f>
        <v>0</v>
      </c>
      <c r="Q57" s="64" t="e">
        <f t="shared" si="7"/>
        <v>#DIV/0!</v>
      </c>
      <c r="R57" s="64" t="e">
        <f t="shared" si="8"/>
        <v>#DIV/0!</v>
      </c>
      <c r="S57" s="67" t="e">
        <f t="shared" si="9"/>
        <v>#DIV/0!</v>
      </c>
      <c r="T57" s="64" t="e">
        <f t="shared" si="10"/>
        <v>#DIV/0!</v>
      </c>
      <c r="U57" s="68" t="e">
        <f t="shared" si="11"/>
        <v>#DIV/0!</v>
      </c>
    </row>
    <row r="58" spans="1:21" x14ac:dyDescent="0.2">
      <c r="A58" s="61" t="s">
        <v>208</v>
      </c>
      <c r="B58" s="62" t="s">
        <v>209</v>
      </c>
      <c r="C58" s="62" t="s">
        <v>294</v>
      </c>
      <c r="D58" s="62" t="s">
        <v>306</v>
      </c>
      <c r="E58" s="62" t="s">
        <v>209</v>
      </c>
      <c r="F58" s="63" t="s">
        <v>266</v>
      </c>
      <c r="G58" s="62" t="s">
        <v>213</v>
      </c>
      <c r="H58" s="62" t="s">
        <v>193</v>
      </c>
      <c r="I58" s="62" t="s">
        <v>16</v>
      </c>
      <c r="J58" s="62" t="s">
        <v>140</v>
      </c>
      <c r="K58" s="64">
        <v>5.4</v>
      </c>
      <c r="L58" s="64">
        <f t="shared" si="6"/>
        <v>2.16</v>
      </c>
      <c r="M58" s="65">
        <f>prodnorm45</f>
        <v>0</v>
      </c>
      <c r="N58" s="66">
        <f>dagwerk45</f>
        <v>0</v>
      </c>
      <c r="O58" s="62" t="s">
        <v>44</v>
      </c>
      <c r="P58" s="67">
        <f>uurtarief45</f>
        <v>0</v>
      </c>
      <c r="Q58" s="64" t="e">
        <f t="shared" si="7"/>
        <v>#DIV/0!</v>
      </c>
      <c r="R58" s="64" t="e">
        <f t="shared" si="8"/>
        <v>#DIV/0!</v>
      </c>
      <c r="S58" s="67" t="e">
        <f t="shared" si="9"/>
        <v>#DIV/0!</v>
      </c>
      <c r="T58" s="64" t="e">
        <f t="shared" si="10"/>
        <v>#DIV/0!</v>
      </c>
      <c r="U58" s="68" t="e">
        <f t="shared" si="11"/>
        <v>#DIV/0!</v>
      </c>
    </row>
    <row r="59" spans="1:21" x14ac:dyDescent="0.2">
      <c r="A59" s="61" t="s">
        <v>208</v>
      </c>
      <c r="B59" s="62" t="s">
        <v>209</v>
      </c>
      <c r="C59" s="62" t="s">
        <v>307</v>
      </c>
      <c r="D59" s="62" t="s">
        <v>308</v>
      </c>
      <c r="E59" s="62" t="s">
        <v>209</v>
      </c>
      <c r="F59" s="63" t="s">
        <v>257</v>
      </c>
      <c r="G59" s="62" t="s">
        <v>234</v>
      </c>
      <c r="H59" s="62" t="s">
        <v>186</v>
      </c>
      <c r="I59" s="62" t="s">
        <v>16</v>
      </c>
      <c r="J59" s="62" t="s">
        <v>140</v>
      </c>
      <c r="K59" s="64">
        <v>4</v>
      </c>
      <c r="L59" s="64">
        <f t="shared" si="6"/>
        <v>1.6</v>
      </c>
      <c r="M59" s="65">
        <f>prodnorm38</f>
        <v>0</v>
      </c>
      <c r="N59" s="66">
        <f>dagwerk38</f>
        <v>0</v>
      </c>
      <c r="O59" s="62" t="s">
        <v>44</v>
      </c>
      <c r="P59" s="67">
        <f>uurtarief38</f>
        <v>0</v>
      </c>
      <c r="Q59" s="64" t="e">
        <f t="shared" si="7"/>
        <v>#DIV/0!</v>
      </c>
      <c r="R59" s="64" t="e">
        <f t="shared" si="8"/>
        <v>#DIV/0!</v>
      </c>
      <c r="S59" s="67" t="e">
        <f t="shared" si="9"/>
        <v>#DIV/0!</v>
      </c>
      <c r="T59" s="64" t="e">
        <f t="shared" si="10"/>
        <v>#DIV/0!</v>
      </c>
      <c r="U59" s="68" t="e">
        <f t="shared" si="11"/>
        <v>#DIV/0!</v>
      </c>
    </row>
    <row r="60" spans="1:21" x14ac:dyDescent="0.2">
      <c r="A60" s="61" t="s">
        <v>208</v>
      </c>
      <c r="B60" s="62" t="s">
        <v>209</v>
      </c>
      <c r="C60" s="62" t="s">
        <v>307</v>
      </c>
      <c r="D60" s="62" t="s">
        <v>309</v>
      </c>
      <c r="E60" s="62" t="s">
        <v>209</v>
      </c>
      <c r="F60" s="63" t="s">
        <v>250</v>
      </c>
      <c r="G60" s="62" t="s">
        <v>213</v>
      </c>
      <c r="H60" s="62" t="s">
        <v>194</v>
      </c>
      <c r="I60" s="62" t="s">
        <v>16</v>
      </c>
      <c r="J60" s="62" t="s">
        <v>140</v>
      </c>
      <c r="K60" s="64">
        <v>24.1</v>
      </c>
      <c r="L60" s="64">
        <f t="shared" si="6"/>
        <v>9.64</v>
      </c>
      <c r="M60" s="65">
        <f>prodnorm46</f>
        <v>0</v>
      </c>
      <c r="N60" s="66">
        <f>dagwerk46</f>
        <v>0</v>
      </c>
      <c r="O60" s="62" t="s">
        <v>44</v>
      </c>
      <c r="P60" s="67">
        <f>uurtarief46</f>
        <v>0</v>
      </c>
      <c r="Q60" s="64" t="e">
        <f t="shared" si="7"/>
        <v>#DIV/0!</v>
      </c>
      <c r="R60" s="64" t="e">
        <f t="shared" si="8"/>
        <v>#DIV/0!</v>
      </c>
      <c r="S60" s="67" t="e">
        <f t="shared" si="9"/>
        <v>#DIV/0!</v>
      </c>
      <c r="T60" s="64" t="e">
        <f t="shared" si="10"/>
        <v>#DIV/0!</v>
      </c>
      <c r="U60" s="68" t="e">
        <f t="shared" si="11"/>
        <v>#DIV/0!</v>
      </c>
    </row>
    <row r="61" spans="1:21" x14ac:dyDescent="0.2">
      <c r="A61" s="61" t="s">
        <v>208</v>
      </c>
      <c r="B61" s="62" t="s">
        <v>209</v>
      </c>
      <c r="C61" s="62" t="s">
        <v>307</v>
      </c>
      <c r="D61" s="62" t="s">
        <v>310</v>
      </c>
      <c r="E61" s="62" t="s">
        <v>209</v>
      </c>
      <c r="F61" s="63" t="s">
        <v>215</v>
      </c>
      <c r="G61" s="62" t="s">
        <v>213</v>
      </c>
      <c r="H61" s="62" t="s">
        <v>194</v>
      </c>
      <c r="I61" s="62" t="s">
        <v>16</v>
      </c>
      <c r="J61" s="62" t="s">
        <v>140</v>
      </c>
      <c r="K61" s="64">
        <v>53.8</v>
      </c>
      <c r="L61" s="64">
        <f t="shared" si="6"/>
        <v>21.52</v>
      </c>
      <c r="M61" s="65">
        <f>prodnorm46</f>
        <v>0</v>
      </c>
      <c r="N61" s="66">
        <f>dagwerk46</f>
        <v>0</v>
      </c>
      <c r="O61" s="62" t="s">
        <v>44</v>
      </c>
      <c r="P61" s="67">
        <f>uurtarief46</f>
        <v>0</v>
      </c>
      <c r="Q61" s="64" t="e">
        <f t="shared" si="7"/>
        <v>#DIV/0!</v>
      </c>
      <c r="R61" s="64" t="e">
        <f t="shared" si="8"/>
        <v>#DIV/0!</v>
      </c>
      <c r="S61" s="67" t="e">
        <f t="shared" si="9"/>
        <v>#DIV/0!</v>
      </c>
      <c r="T61" s="64" t="e">
        <f t="shared" si="10"/>
        <v>#DIV/0!</v>
      </c>
      <c r="U61" s="68" t="e">
        <f t="shared" si="11"/>
        <v>#DIV/0!</v>
      </c>
    </row>
    <row r="62" spans="1:21" x14ac:dyDescent="0.2">
      <c r="A62" s="61" t="s">
        <v>208</v>
      </c>
      <c r="B62" s="62" t="s">
        <v>209</v>
      </c>
      <c r="C62" s="62" t="s">
        <v>307</v>
      </c>
      <c r="D62" s="62" t="s">
        <v>311</v>
      </c>
      <c r="E62" s="62" t="s">
        <v>209</v>
      </c>
      <c r="F62" s="63" t="s">
        <v>215</v>
      </c>
      <c r="G62" s="62" t="s">
        <v>213</v>
      </c>
      <c r="H62" s="62" t="s">
        <v>194</v>
      </c>
      <c r="I62" s="62" t="s">
        <v>16</v>
      </c>
      <c r="J62" s="62" t="s">
        <v>140</v>
      </c>
      <c r="K62" s="64">
        <v>68.3</v>
      </c>
      <c r="L62" s="64">
        <f t="shared" si="6"/>
        <v>27.32</v>
      </c>
      <c r="M62" s="65">
        <f>prodnorm46</f>
        <v>0</v>
      </c>
      <c r="N62" s="66">
        <f>dagwerk46</f>
        <v>0</v>
      </c>
      <c r="O62" s="62" t="s">
        <v>44</v>
      </c>
      <c r="P62" s="67">
        <f>uurtarief46</f>
        <v>0</v>
      </c>
      <c r="Q62" s="64" t="e">
        <f t="shared" si="7"/>
        <v>#DIV/0!</v>
      </c>
      <c r="R62" s="64" t="e">
        <f t="shared" si="8"/>
        <v>#DIV/0!</v>
      </c>
      <c r="S62" s="67" t="e">
        <f t="shared" si="9"/>
        <v>#DIV/0!</v>
      </c>
      <c r="T62" s="64" t="e">
        <f t="shared" si="10"/>
        <v>#DIV/0!</v>
      </c>
      <c r="U62" s="68" t="e">
        <f t="shared" si="11"/>
        <v>#DIV/0!</v>
      </c>
    </row>
    <row r="63" spans="1:21" x14ac:dyDescent="0.2">
      <c r="A63" s="61" t="s">
        <v>208</v>
      </c>
      <c r="B63" s="62" t="s">
        <v>209</v>
      </c>
      <c r="C63" s="62" t="s">
        <v>307</v>
      </c>
      <c r="D63" s="62" t="s">
        <v>312</v>
      </c>
      <c r="E63" s="62" t="s">
        <v>209</v>
      </c>
      <c r="F63" s="63" t="s">
        <v>254</v>
      </c>
      <c r="G63" s="62" t="s">
        <v>234</v>
      </c>
      <c r="H63" s="62" t="s">
        <v>192</v>
      </c>
      <c r="I63" s="62" t="s">
        <v>16</v>
      </c>
      <c r="J63" s="62" t="s">
        <v>140</v>
      </c>
      <c r="K63" s="64">
        <v>10.5</v>
      </c>
      <c r="L63" s="64">
        <f t="shared" si="6"/>
        <v>4.2</v>
      </c>
      <c r="M63" s="65">
        <f>prodnorm44</f>
        <v>0</v>
      </c>
      <c r="N63" s="66">
        <f>dagwerk44</f>
        <v>0</v>
      </c>
      <c r="O63" s="62" t="s">
        <v>44</v>
      </c>
      <c r="P63" s="67">
        <f>uurtarief44</f>
        <v>0</v>
      </c>
      <c r="Q63" s="64" t="e">
        <f t="shared" si="7"/>
        <v>#DIV/0!</v>
      </c>
      <c r="R63" s="64" t="e">
        <f t="shared" si="8"/>
        <v>#DIV/0!</v>
      </c>
      <c r="S63" s="67" t="e">
        <f t="shared" si="9"/>
        <v>#DIV/0!</v>
      </c>
      <c r="T63" s="64" t="e">
        <f t="shared" si="10"/>
        <v>#DIV/0!</v>
      </c>
      <c r="U63" s="68" t="e">
        <f t="shared" si="11"/>
        <v>#DIV/0!</v>
      </c>
    </row>
    <row r="64" spans="1:21" x14ac:dyDescent="0.2">
      <c r="A64" s="61" t="s">
        <v>208</v>
      </c>
      <c r="B64" s="62" t="s">
        <v>209</v>
      </c>
      <c r="C64" s="62" t="s">
        <v>307</v>
      </c>
      <c r="D64" s="62" t="s">
        <v>313</v>
      </c>
      <c r="E64" s="62" t="s">
        <v>209</v>
      </c>
      <c r="F64" s="63" t="s">
        <v>254</v>
      </c>
      <c r="G64" s="62" t="s">
        <v>234</v>
      </c>
      <c r="H64" s="62" t="s">
        <v>192</v>
      </c>
      <c r="I64" s="62" t="s">
        <v>16</v>
      </c>
      <c r="J64" s="62" t="s">
        <v>140</v>
      </c>
      <c r="K64" s="64">
        <v>10.1</v>
      </c>
      <c r="L64" s="64">
        <f t="shared" si="6"/>
        <v>4.04</v>
      </c>
      <c r="M64" s="65">
        <f>prodnorm44</f>
        <v>0</v>
      </c>
      <c r="N64" s="66">
        <f>dagwerk44</f>
        <v>0</v>
      </c>
      <c r="O64" s="62" t="s">
        <v>44</v>
      </c>
      <c r="P64" s="67">
        <f>uurtarief44</f>
        <v>0</v>
      </c>
      <c r="Q64" s="64" t="e">
        <f t="shared" si="7"/>
        <v>#DIV/0!</v>
      </c>
      <c r="R64" s="64" t="e">
        <f t="shared" si="8"/>
        <v>#DIV/0!</v>
      </c>
      <c r="S64" s="67" t="e">
        <f t="shared" si="9"/>
        <v>#DIV/0!</v>
      </c>
      <c r="T64" s="64" t="e">
        <f t="shared" si="10"/>
        <v>#DIV/0!</v>
      </c>
      <c r="U64" s="68" t="e">
        <f t="shared" si="11"/>
        <v>#DIV/0!</v>
      </c>
    </row>
    <row r="65" spans="1:21" x14ac:dyDescent="0.2">
      <c r="A65" s="61" t="s">
        <v>208</v>
      </c>
      <c r="B65" s="62" t="s">
        <v>209</v>
      </c>
      <c r="C65" s="62" t="s">
        <v>307</v>
      </c>
      <c r="D65" s="62" t="s">
        <v>315</v>
      </c>
      <c r="E65" s="62" t="s">
        <v>209</v>
      </c>
      <c r="F65" s="63" t="s">
        <v>261</v>
      </c>
      <c r="G65" s="62" t="s">
        <v>234</v>
      </c>
      <c r="H65" s="62" t="s">
        <v>190</v>
      </c>
      <c r="I65" s="62" t="s">
        <v>16</v>
      </c>
      <c r="J65" s="62" t="s">
        <v>140</v>
      </c>
      <c r="K65" s="64">
        <v>12</v>
      </c>
      <c r="L65" s="64">
        <f t="shared" si="6"/>
        <v>4.8000000000000007</v>
      </c>
      <c r="M65" s="65">
        <f>prodnorm42</f>
        <v>0</v>
      </c>
      <c r="N65" s="66">
        <f>dagwerk42</f>
        <v>0</v>
      </c>
      <c r="O65" s="62" t="s">
        <v>44</v>
      </c>
      <c r="P65" s="67">
        <f>uurtarief42</f>
        <v>0</v>
      </c>
      <c r="Q65" s="64" t="e">
        <f t="shared" si="7"/>
        <v>#DIV/0!</v>
      </c>
      <c r="R65" s="64" t="e">
        <f t="shared" si="8"/>
        <v>#DIV/0!</v>
      </c>
      <c r="S65" s="67" t="e">
        <f t="shared" si="9"/>
        <v>#DIV/0!</v>
      </c>
      <c r="T65" s="64" t="e">
        <f t="shared" si="10"/>
        <v>#DIV/0!</v>
      </c>
      <c r="U65" s="68" t="e">
        <f t="shared" si="11"/>
        <v>#DIV/0!</v>
      </c>
    </row>
    <row r="66" spans="1:21" x14ac:dyDescent="0.2">
      <c r="A66" s="61" t="s">
        <v>208</v>
      </c>
      <c r="B66" s="62" t="s">
        <v>209</v>
      </c>
      <c r="C66" s="62" t="s">
        <v>307</v>
      </c>
      <c r="D66" s="62" t="s">
        <v>316</v>
      </c>
      <c r="E66" s="62" t="s">
        <v>209</v>
      </c>
      <c r="F66" s="63" t="s">
        <v>254</v>
      </c>
      <c r="G66" s="62" t="s">
        <v>234</v>
      </c>
      <c r="H66" s="62" t="s">
        <v>192</v>
      </c>
      <c r="I66" s="62" t="s">
        <v>16</v>
      </c>
      <c r="J66" s="62" t="s">
        <v>140</v>
      </c>
      <c r="K66" s="64">
        <v>5.2</v>
      </c>
      <c r="L66" s="64">
        <f t="shared" si="6"/>
        <v>2.08</v>
      </c>
      <c r="M66" s="65">
        <f>prodnorm44</f>
        <v>0</v>
      </c>
      <c r="N66" s="66">
        <f>dagwerk44</f>
        <v>0</v>
      </c>
      <c r="O66" s="62" t="s">
        <v>44</v>
      </c>
      <c r="P66" s="67">
        <f>uurtarief44</f>
        <v>0</v>
      </c>
      <c r="Q66" s="64" t="e">
        <f t="shared" si="7"/>
        <v>#DIV/0!</v>
      </c>
      <c r="R66" s="64" t="e">
        <f t="shared" si="8"/>
        <v>#DIV/0!</v>
      </c>
      <c r="S66" s="67" t="e">
        <f t="shared" si="9"/>
        <v>#DIV/0!</v>
      </c>
      <c r="T66" s="64" t="e">
        <f t="shared" si="10"/>
        <v>#DIV/0!</v>
      </c>
      <c r="U66" s="68" t="e">
        <f t="shared" si="11"/>
        <v>#DIV/0!</v>
      </c>
    </row>
    <row r="67" spans="1:21" x14ac:dyDescent="0.2">
      <c r="A67" s="61" t="s">
        <v>208</v>
      </c>
      <c r="B67" s="62" t="s">
        <v>209</v>
      </c>
      <c r="C67" s="62" t="s">
        <v>307</v>
      </c>
      <c r="D67" s="62" t="s">
        <v>317</v>
      </c>
      <c r="E67" s="62" t="s">
        <v>209</v>
      </c>
      <c r="F67" s="63" t="s">
        <v>257</v>
      </c>
      <c r="G67" s="62" t="s">
        <v>234</v>
      </c>
      <c r="H67" s="62" t="s">
        <v>186</v>
      </c>
      <c r="I67" s="62" t="s">
        <v>16</v>
      </c>
      <c r="J67" s="62" t="s">
        <v>140</v>
      </c>
      <c r="K67" s="64">
        <v>5</v>
      </c>
      <c r="L67" s="64">
        <f t="shared" si="6"/>
        <v>2</v>
      </c>
      <c r="M67" s="65">
        <f>prodnorm38</f>
        <v>0</v>
      </c>
      <c r="N67" s="66">
        <f>dagwerk38</f>
        <v>0</v>
      </c>
      <c r="O67" s="62" t="s">
        <v>44</v>
      </c>
      <c r="P67" s="67">
        <f>uurtarief38</f>
        <v>0</v>
      </c>
      <c r="Q67" s="64" t="e">
        <f t="shared" si="7"/>
        <v>#DIV/0!</v>
      </c>
      <c r="R67" s="64" t="e">
        <f t="shared" si="8"/>
        <v>#DIV/0!</v>
      </c>
      <c r="S67" s="67" t="e">
        <f t="shared" si="9"/>
        <v>#DIV/0!</v>
      </c>
      <c r="T67" s="64" t="e">
        <f t="shared" si="10"/>
        <v>#DIV/0!</v>
      </c>
      <c r="U67" s="68" t="e">
        <f t="shared" si="11"/>
        <v>#DIV/0!</v>
      </c>
    </row>
    <row r="68" spans="1:21" x14ac:dyDescent="0.2">
      <c r="A68" s="61" t="s">
        <v>208</v>
      </c>
      <c r="B68" s="62" t="s">
        <v>209</v>
      </c>
      <c r="C68" s="62" t="s">
        <v>307</v>
      </c>
      <c r="D68" s="62" t="s">
        <v>318</v>
      </c>
      <c r="E68" s="62" t="s">
        <v>209</v>
      </c>
      <c r="F68" s="63" t="s">
        <v>257</v>
      </c>
      <c r="G68" s="62" t="s">
        <v>234</v>
      </c>
      <c r="H68" s="62" t="s">
        <v>186</v>
      </c>
      <c r="I68" s="62" t="s">
        <v>16</v>
      </c>
      <c r="J68" s="62" t="s">
        <v>140</v>
      </c>
      <c r="K68" s="64">
        <v>16</v>
      </c>
      <c r="L68" s="64">
        <f t="shared" si="6"/>
        <v>6.4</v>
      </c>
      <c r="M68" s="65">
        <f>prodnorm38</f>
        <v>0</v>
      </c>
      <c r="N68" s="66">
        <f>dagwerk38</f>
        <v>0</v>
      </c>
      <c r="O68" s="62" t="s">
        <v>44</v>
      </c>
      <c r="P68" s="67">
        <f>uurtarief38</f>
        <v>0</v>
      </c>
      <c r="Q68" s="64" t="e">
        <f t="shared" si="7"/>
        <v>#DIV/0!</v>
      </c>
      <c r="R68" s="64" t="e">
        <f t="shared" si="8"/>
        <v>#DIV/0!</v>
      </c>
      <c r="S68" s="67" t="e">
        <f t="shared" si="9"/>
        <v>#DIV/0!</v>
      </c>
      <c r="T68" s="64" t="e">
        <f t="shared" si="10"/>
        <v>#DIV/0!</v>
      </c>
      <c r="U68" s="68" t="e">
        <f t="shared" si="11"/>
        <v>#DIV/0!</v>
      </c>
    </row>
    <row r="69" spans="1:21" x14ac:dyDescent="0.2">
      <c r="A69" s="61" t="s">
        <v>208</v>
      </c>
      <c r="B69" s="62" t="s">
        <v>209</v>
      </c>
      <c r="C69" s="62" t="s">
        <v>307</v>
      </c>
      <c r="D69" s="62" t="s">
        <v>319</v>
      </c>
      <c r="E69" s="62" t="s">
        <v>209</v>
      </c>
      <c r="F69" s="63" t="s">
        <v>266</v>
      </c>
      <c r="G69" s="62" t="s">
        <v>213</v>
      </c>
      <c r="H69" s="62" t="s">
        <v>193</v>
      </c>
      <c r="I69" s="62" t="s">
        <v>16</v>
      </c>
      <c r="J69" s="62" t="s">
        <v>140</v>
      </c>
      <c r="K69" s="64">
        <v>5.4</v>
      </c>
      <c r="L69" s="64">
        <f t="shared" ref="L69:L100" si="12">K69*VLOOKUP(I69,dagsoorttabel1,2,FALSE)</f>
        <v>2.16</v>
      </c>
      <c r="M69" s="65">
        <f>prodnorm45</f>
        <v>0</v>
      </c>
      <c r="N69" s="66">
        <f>dagwerk45</f>
        <v>0</v>
      </c>
      <c r="O69" s="62" t="s">
        <v>44</v>
      </c>
      <c r="P69" s="67">
        <f>uurtarief45</f>
        <v>0</v>
      </c>
      <c r="Q69" s="64" t="e">
        <f t="shared" ref="Q69:Q100" si="13">IF(ISBLANK(M69),0,L69/ROUND(M69,4))</f>
        <v>#DIV/0!</v>
      </c>
      <c r="R69" s="64" t="e">
        <f t="shared" ref="R69:R100" si="14">IF(ISBLANK(M69),0,Q69*ROUND(N69,2))</f>
        <v>#DIV/0!</v>
      </c>
      <c r="S69" s="67" t="e">
        <f t="shared" ref="S69:S100" si="15">ROUND(P69,2)*Q69</f>
        <v>#DIV/0!</v>
      </c>
      <c r="T69" s="64" t="e">
        <f t="shared" ref="T69:T100" si="16">Q69*dagenperjaar1</f>
        <v>#DIV/0!</v>
      </c>
      <c r="U69" s="68" t="e">
        <f t="shared" ref="U69:U100" si="17">T69*ROUND(P69,2)</f>
        <v>#DIV/0!</v>
      </c>
    </row>
    <row r="70" spans="1:21" x14ac:dyDescent="0.2">
      <c r="A70" s="61" t="s">
        <v>208</v>
      </c>
      <c r="B70" s="62" t="s">
        <v>320</v>
      </c>
      <c r="C70" s="62" t="s">
        <v>210</v>
      </c>
      <c r="D70" s="62" t="s">
        <v>321</v>
      </c>
      <c r="E70" s="62" t="s">
        <v>209</v>
      </c>
      <c r="F70" s="63" t="s">
        <v>322</v>
      </c>
      <c r="G70" s="62" t="s">
        <v>234</v>
      </c>
      <c r="H70" s="62" t="s">
        <v>185</v>
      </c>
      <c r="I70" s="62" t="s">
        <v>16</v>
      </c>
      <c r="J70" s="62" t="s">
        <v>140</v>
      </c>
      <c r="K70" s="64">
        <v>72.599999999999994</v>
      </c>
      <c r="L70" s="64">
        <f t="shared" si="12"/>
        <v>29.04</v>
      </c>
      <c r="M70" s="65">
        <f>prodnorm37</f>
        <v>0</v>
      </c>
      <c r="N70" s="66">
        <f>dagwerk37</f>
        <v>0</v>
      </c>
      <c r="O70" s="62" t="s">
        <v>44</v>
      </c>
      <c r="P70" s="67">
        <f>uurtarief37</f>
        <v>0</v>
      </c>
      <c r="Q70" s="64" t="e">
        <f t="shared" si="13"/>
        <v>#DIV/0!</v>
      </c>
      <c r="R70" s="64" t="e">
        <f t="shared" si="14"/>
        <v>#DIV/0!</v>
      </c>
      <c r="S70" s="67" t="e">
        <f t="shared" si="15"/>
        <v>#DIV/0!</v>
      </c>
      <c r="T70" s="64" t="e">
        <f t="shared" si="16"/>
        <v>#DIV/0!</v>
      </c>
      <c r="U70" s="68" t="e">
        <f t="shared" si="17"/>
        <v>#DIV/0!</v>
      </c>
    </row>
    <row r="71" spans="1:21" x14ac:dyDescent="0.2">
      <c r="A71" s="61" t="s">
        <v>208</v>
      </c>
      <c r="B71" s="62" t="s">
        <v>320</v>
      </c>
      <c r="C71" s="62" t="s">
        <v>210</v>
      </c>
      <c r="D71" s="62" t="s">
        <v>323</v>
      </c>
      <c r="E71" s="62" t="s">
        <v>209</v>
      </c>
      <c r="F71" s="63" t="s">
        <v>324</v>
      </c>
      <c r="G71" s="62" t="s">
        <v>213</v>
      </c>
      <c r="H71" s="62" t="s">
        <v>191</v>
      </c>
      <c r="I71" s="62" t="s">
        <v>16</v>
      </c>
      <c r="J71" s="62" t="s">
        <v>140</v>
      </c>
      <c r="K71" s="64">
        <v>119.3</v>
      </c>
      <c r="L71" s="64">
        <f t="shared" si="12"/>
        <v>47.72</v>
      </c>
      <c r="M71" s="65">
        <f>prodnorm43</f>
        <v>0</v>
      </c>
      <c r="N71" s="66">
        <f>dagwerk43</f>
        <v>0</v>
      </c>
      <c r="O71" s="62" t="s">
        <v>44</v>
      </c>
      <c r="P71" s="67">
        <f>uurtarief43</f>
        <v>0</v>
      </c>
      <c r="Q71" s="64" t="e">
        <f t="shared" si="13"/>
        <v>#DIV/0!</v>
      </c>
      <c r="R71" s="64" t="e">
        <f t="shared" si="14"/>
        <v>#DIV/0!</v>
      </c>
      <c r="S71" s="67" t="e">
        <f t="shared" si="15"/>
        <v>#DIV/0!</v>
      </c>
      <c r="T71" s="64" t="e">
        <f t="shared" si="16"/>
        <v>#DIV/0!</v>
      </c>
      <c r="U71" s="68" t="e">
        <f t="shared" si="17"/>
        <v>#DIV/0!</v>
      </c>
    </row>
    <row r="72" spans="1:21" x14ac:dyDescent="0.2">
      <c r="A72" s="61" t="s">
        <v>208</v>
      </c>
      <c r="B72" s="62" t="s">
        <v>320</v>
      </c>
      <c r="C72" s="62" t="s">
        <v>210</v>
      </c>
      <c r="D72" s="62" t="s">
        <v>328</v>
      </c>
      <c r="E72" s="62" t="s">
        <v>209</v>
      </c>
      <c r="F72" s="63" t="s">
        <v>329</v>
      </c>
      <c r="G72" s="62" t="s">
        <v>234</v>
      </c>
      <c r="H72" s="62" t="s">
        <v>192</v>
      </c>
      <c r="I72" s="62" t="s">
        <v>16</v>
      </c>
      <c r="J72" s="62" t="s">
        <v>140</v>
      </c>
      <c r="K72" s="64">
        <v>2</v>
      </c>
      <c r="L72" s="64">
        <f t="shared" si="12"/>
        <v>0.8</v>
      </c>
      <c r="M72" s="65">
        <f>prodnorm44</f>
        <v>0</v>
      </c>
      <c r="N72" s="66">
        <f>dagwerk44</f>
        <v>0</v>
      </c>
      <c r="O72" s="62" t="s">
        <v>44</v>
      </c>
      <c r="P72" s="67">
        <f>uurtarief44</f>
        <v>0</v>
      </c>
      <c r="Q72" s="64" t="e">
        <f t="shared" si="13"/>
        <v>#DIV/0!</v>
      </c>
      <c r="R72" s="64" t="e">
        <f t="shared" si="14"/>
        <v>#DIV/0!</v>
      </c>
      <c r="S72" s="67" t="e">
        <f t="shared" si="15"/>
        <v>#DIV/0!</v>
      </c>
      <c r="T72" s="64" t="e">
        <f t="shared" si="16"/>
        <v>#DIV/0!</v>
      </c>
      <c r="U72" s="68" t="e">
        <f t="shared" si="17"/>
        <v>#DIV/0!</v>
      </c>
    </row>
    <row r="73" spans="1:21" x14ac:dyDescent="0.2">
      <c r="A73" s="61" t="s">
        <v>208</v>
      </c>
      <c r="B73" s="62" t="s">
        <v>320</v>
      </c>
      <c r="C73" s="62" t="s">
        <v>210</v>
      </c>
      <c r="D73" s="62" t="s">
        <v>330</v>
      </c>
      <c r="E73" s="62" t="s">
        <v>209</v>
      </c>
      <c r="F73" s="63" t="s">
        <v>254</v>
      </c>
      <c r="G73" s="62" t="s">
        <v>234</v>
      </c>
      <c r="H73" s="62" t="s">
        <v>192</v>
      </c>
      <c r="I73" s="62" t="s">
        <v>16</v>
      </c>
      <c r="J73" s="62" t="s">
        <v>140</v>
      </c>
      <c r="K73" s="64">
        <v>1.4</v>
      </c>
      <c r="L73" s="64">
        <f t="shared" si="12"/>
        <v>0.55999999999999994</v>
      </c>
      <c r="M73" s="65">
        <f>prodnorm44</f>
        <v>0</v>
      </c>
      <c r="N73" s="66">
        <f>dagwerk44</f>
        <v>0</v>
      </c>
      <c r="O73" s="62" t="s">
        <v>44</v>
      </c>
      <c r="P73" s="67">
        <f>uurtarief44</f>
        <v>0</v>
      </c>
      <c r="Q73" s="64" t="e">
        <f t="shared" si="13"/>
        <v>#DIV/0!</v>
      </c>
      <c r="R73" s="64" t="e">
        <f t="shared" si="14"/>
        <v>#DIV/0!</v>
      </c>
      <c r="S73" s="67" t="e">
        <f t="shared" si="15"/>
        <v>#DIV/0!</v>
      </c>
      <c r="T73" s="64" t="e">
        <f t="shared" si="16"/>
        <v>#DIV/0!</v>
      </c>
      <c r="U73" s="68" t="e">
        <f t="shared" si="17"/>
        <v>#DIV/0!</v>
      </c>
    </row>
    <row r="74" spans="1:21" x14ac:dyDescent="0.2">
      <c r="A74" s="61" t="s">
        <v>208</v>
      </c>
      <c r="B74" s="62" t="s">
        <v>320</v>
      </c>
      <c r="C74" s="62" t="s">
        <v>210</v>
      </c>
      <c r="D74" s="62" t="s">
        <v>331</v>
      </c>
      <c r="E74" s="62" t="s">
        <v>209</v>
      </c>
      <c r="F74" s="63" t="s">
        <v>329</v>
      </c>
      <c r="G74" s="62" t="s">
        <v>234</v>
      </c>
      <c r="H74" s="62" t="s">
        <v>192</v>
      </c>
      <c r="I74" s="62" t="s">
        <v>16</v>
      </c>
      <c r="J74" s="62" t="s">
        <v>140</v>
      </c>
      <c r="K74" s="64">
        <v>2</v>
      </c>
      <c r="L74" s="64">
        <f t="shared" si="12"/>
        <v>0.8</v>
      </c>
      <c r="M74" s="65">
        <f>prodnorm44</f>
        <v>0</v>
      </c>
      <c r="N74" s="66">
        <f>dagwerk44</f>
        <v>0</v>
      </c>
      <c r="O74" s="62" t="s">
        <v>44</v>
      </c>
      <c r="P74" s="67">
        <f>uurtarief44</f>
        <v>0</v>
      </c>
      <c r="Q74" s="64" t="e">
        <f t="shared" si="13"/>
        <v>#DIV/0!</v>
      </c>
      <c r="R74" s="64" t="e">
        <f t="shared" si="14"/>
        <v>#DIV/0!</v>
      </c>
      <c r="S74" s="67" t="e">
        <f t="shared" si="15"/>
        <v>#DIV/0!</v>
      </c>
      <c r="T74" s="64" t="e">
        <f t="shared" si="16"/>
        <v>#DIV/0!</v>
      </c>
      <c r="U74" s="68" t="e">
        <f t="shared" si="17"/>
        <v>#DIV/0!</v>
      </c>
    </row>
    <row r="75" spans="1:21" x14ac:dyDescent="0.2">
      <c r="A75" s="61" t="s">
        <v>208</v>
      </c>
      <c r="B75" s="62" t="s">
        <v>320</v>
      </c>
      <c r="C75" s="62" t="s">
        <v>210</v>
      </c>
      <c r="D75" s="62" t="s">
        <v>332</v>
      </c>
      <c r="E75" s="62" t="s">
        <v>209</v>
      </c>
      <c r="F75" s="63" t="s">
        <v>254</v>
      </c>
      <c r="G75" s="62" t="s">
        <v>234</v>
      </c>
      <c r="H75" s="62" t="s">
        <v>192</v>
      </c>
      <c r="I75" s="62" t="s">
        <v>16</v>
      </c>
      <c r="J75" s="62" t="s">
        <v>140</v>
      </c>
      <c r="K75" s="64">
        <v>1.4</v>
      </c>
      <c r="L75" s="64">
        <f t="shared" si="12"/>
        <v>0.55999999999999994</v>
      </c>
      <c r="M75" s="65">
        <f>prodnorm44</f>
        <v>0</v>
      </c>
      <c r="N75" s="66">
        <f>dagwerk44</f>
        <v>0</v>
      </c>
      <c r="O75" s="62" t="s">
        <v>44</v>
      </c>
      <c r="P75" s="67">
        <f>uurtarief44</f>
        <v>0</v>
      </c>
      <c r="Q75" s="64" t="e">
        <f t="shared" si="13"/>
        <v>#DIV/0!</v>
      </c>
      <c r="R75" s="64" t="e">
        <f t="shared" si="14"/>
        <v>#DIV/0!</v>
      </c>
      <c r="S75" s="67" t="e">
        <f t="shared" si="15"/>
        <v>#DIV/0!</v>
      </c>
      <c r="T75" s="64" t="e">
        <f t="shared" si="16"/>
        <v>#DIV/0!</v>
      </c>
      <c r="U75" s="68" t="e">
        <f t="shared" si="17"/>
        <v>#DIV/0!</v>
      </c>
    </row>
    <row r="76" spans="1:21" x14ac:dyDescent="0.2">
      <c r="A76" s="61" t="s">
        <v>208</v>
      </c>
      <c r="B76" s="62" t="s">
        <v>320</v>
      </c>
      <c r="C76" s="62" t="s">
        <v>210</v>
      </c>
      <c r="D76" s="62" t="s">
        <v>335</v>
      </c>
      <c r="E76" s="62" t="s">
        <v>209</v>
      </c>
      <c r="F76" s="63" t="s">
        <v>336</v>
      </c>
      <c r="G76" s="62" t="s">
        <v>213</v>
      </c>
      <c r="H76" s="62" t="s">
        <v>194</v>
      </c>
      <c r="I76" s="62" t="s">
        <v>16</v>
      </c>
      <c r="J76" s="62" t="s">
        <v>140</v>
      </c>
      <c r="K76" s="64">
        <v>17.7</v>
      </c>
      <c r="L76" s="64">
        <f t="shared" si="12"/>
        <v>7.08</v>
      </c>
      <c r="M76" s="65">
        <f>prodnorm46</f>
        <v>0</v>
      </c>
      <c r="N76" s="66">
        <f>dagwerk46</f>
        <v>0</v>
      </c>
      <c r="O76" s="62" t="s">
        <v>44</v>
      </c>
      <c r="P76" s="67">
        <f>uurtarief46</f>
        <v>0</v>
      </c>
      <c r="Q76" s="64" t="e">
        <f t="shared" si="13"/>
        <v>#DIV/0!</v>
      </c>
      <c r="R76" s="64" t="e">
        <f t="shared" si="14"/>
        <v>#DIV/0!</v>
      </c>
      <c r="S76" s="67" t="e">
        <f t="shared" si="15"/>
        <v>#DIV/0!</v>
      </c>
      <c r="T76" s="64" t="e">
        <f t="shared" si="16"/>
        <v>#DIV/0!</v>
      </c>
      <c r="U76" s="68" t="e">
        <f t="shared" si="17"/>
        <v>#DIV/0!</v>
      </c>
    </row>
    <row r="77" spans="1:21" x14ac:dyDescent="0.2">
      <c r="A77" s="61" t="s">
        <v>208</v>
      </c>
      <c r="B77" s="62" t="s">
        <v>320</v>
      </c>
      <c r="C77" s="62" t="s">
        <v>210</v>
      </c>
      <c r="D77" s="62" t="s">
        <v>337</v>
      </c>
      <c r="E77" s="62" t="s">
        <v>209</v>
      </c>
      <c r="F77" s="63" t="s">
        <v>254</v>
      </c>
      <c r="G77" s="62" t="s">
        <v>234</v>
      </c>
      <c r="H77" s="62" t="s">
        <v>192</v>
      </c>
      <c r="I77" s="62" t="s">
        <v>16</v>
      </c>
      <c r="J77" s="62" t="s">
        <v>140</v>
      </c>
      <c r="K77" s="64">
        <v>1.4</v>
      </c>
      <c r="L77" s="64">
        <f t="shared" si="12"/>
        <v>0.55999999999999994</v>
      </c>
      <c r="M77" s="65">
        <f>prodnorm44</f>
        <v>0</v>
      </c>
      <c r="N77" s="66">
        <f>dagwerk44</f>
        <v>0</v>
      </c>
      <c r="O77" s="62" t="s">
        <v>44</v>
      </c>
      <c r="P77" s="67">
        <f>uurtarief44</f>
        <v>0</v>
      </c>
      <c r="Q77" s="64" t="e">
        <f t="shared" si="13"/>
        <v>#DIV/0!</v>
      </c>
      <c r="R77" s="64" t="e">
        <f t="shared" si="14"/>
        <v>#DIV/0!</v>
      </c>
      <c r="S77" s="67" t="e">
        <f t="shared" si="15"/>
        <v>#DIV/0!</v>
      </c>
      <c r="T77" s="64" t="e">
        <f t="shared" si="16"/>
        <v>#DIV/0!</v>
      </c>
      <c r="U77" s="68" t="e">
        <f t="shared" si="17"/>
        <v>#DIV/0!</v>
      </c>
    </row>
    <row r="78" spans="1:21" x14ac:dyDescent="0.2">
      <c r="A78" s="61" t="s">
        <v>208</v>
      </c>
      <c r="B78" s="62" t="s">
        <v>320</v>
      </c>
      <c r="C78" s="62" t="s">
        <v>210</v>
      </c>
      <c r="D78" s="62" t="s">
        <v>338</v>
      </c>
      <c r="E78" s="62" t="s">
        <v>209</v>
      </c>
      <c r="F78" s="63" t="s">
        <v>339</v>
      </c>
      <c r="G78" s="62" t="s">
        <v>213</v>
      </c>
      <c r="H78" s="62" t="s">
        <v>187</v>
      </c>
      <c r="I78" s="62" t="s">
        <v>16</v>
      </c>
      <c r="J78" s="62" t="s">
        <v>140</v>
      </c>
      <c r="K78" s="64">
        <v>67.099999999999994</v>
      </c>
      <c r="L78" s="64">
        <f t="shared" si="12"/>
        <v>26.84</v>
      </c>
      <c r="M78" s="65">
        <f>prodnorm39</f>
        <v>0</v>
      </c>
      <c r="N78" s="66">
        <f>dagwerk39</f>
        <v>0</v>
      </c>
      <c r="O78" s="62" t="s">
        <v>44</v>
      </c>
      <c r="P78" s="67">
        <f>uurtarief39</f>
        <v>0</v>
      </c>
      <c r="Q78" s="64" t="e">
        <f t="shared" si="13"/>
        <v>#DIV/0!</v>
      </c>
      <c r="R78" s="64" t="e">
        <f t="shared" si="14"/>
        <v>#DIV/0!</v>
      </c>
      <c r="S78" s="67" t="e">
        <f t="shared" si="15"/>
        <v>#DIV/0!</v>
      </c>
      <c r="T78" s="64" t="e">
        <f t="shared" si="16"/>
        <v>#DIV/0!</v>
      </c>
      <c r="U78" s="68" t="e">
        <f t="shared" si="17"/>
        <v>#DIV/0!</v>
      </c>
    </row>
    <row r="79" spans="1:21" x14ac:dyDescent="0.2">
      <c r="A79" s="61" t="s">
        <v>208</v>
      </c>
      <c r="B79" s="62" t="s">
        <v>320</v>
      </c>
      <c r="C79" s="62" t="s">
        <v>210</v>
      </c>
      <c r="D79" s="62" t="s">
        <v>340</v>
      </c>
      <c r="E79" s="62" t="s">
        <v>209</v>
      </c>
      <c r="F79" s="63" t="s">
        <v>341</v>
      </c>
      <c r="G79" s="62" t="s">
        <v>234</v>
      </c>
      <c r="H79" s="62" t="s">
        <v>194</v>
      </c>
      <c r="I79" s="62" t="s">
        <v>16</v>
      </c>
      <c r="J79" s="62" t="s">
        <v>140</v>
      </c>
      <c r="K79" s="64">
        <v>166.9</v>
      </c>
      <c r="L79" s="64">
        <f t="shared" si="12"/>
        <v>66.760000000000005</v>
      </c>
      <c r="M79" s="65">
        <f>prodnorm46</f>
        <v>0</v>
      </c>
      <c r="N79" s="66">
        <f>dagwerk46</f>
        <v>0</v>
      </c>
      <c r="O79" s="62" t="s">
        <v>44</v>
      </c>
      <c r="P79" s="67">
        <f>uurtarief46</f>
        <v>0</v>
      </c>
      <c r="Q79" s="64" t="e">
        <f t="shared" si="13"/>
        <v>#DIV/0!</v>
      </c>
      <c r="R79" s="64" t="e">
        <f t="shared" si="14"/>
        <v>#DIV/0!</v>
      </c>
      <c r="S79" s="67" t="e">
        <f t="shared" si="15"/>
        <v>#DIV/0!</v>
      </c>
      <c r="T79" s="64" t="e">
        <f t="shared" si="16"/>
        <v>#DIV/0!</v>
      </c>
      <c r="U79" s="68" t="e">
        <f t="shared" si="17"/>
        <v>#DIV/0!</v>
      </c>
    </row>
    <row r="80" spans="1:21" x14ac:dyDescent="0.2">
      <c r="A80" s="61" t="s">
        <v>208</v>
      </c>
      <c r="B80" s="62" t="s">
        <v>320</v>
      </c>
      <c r="C80" s="62" t="s">
        <v>210</v>
      </c>
      <c r="D80" s="62" t="s">
        <v>342</v>
      </c>
      <c r="E80" s="62" t="s">
        <v>209</v>
      </c>
      <c r="F80" s="63" t="s">
        <v>212</v>
      </c>
      <c r="G80" s="62" t="s">
        <v>213</v>
      </c>
      <c r="H80" s="62" t="s">
        <v>193</v>
      </c>
      <c r="I80" s="62" t="s">
        <v>16</v>
      </c>
      <c r="J80" s="62" t="s">
        <v>140</v>
      </c>
      <c r="K80" s="64">
        <v>56.1</v>
      </c>
      <c r="L80" s="64">
        <f t="shared" si="12"/>
        <v>22.44</v>
      </c>
      <c r="M80" s="65">
        <f>prodnorm45</f>
        <v>0</v>
      </c>
      <c r="N80" s="66">
        <f>dagwerk45</f>
        <v>0</v>
      </c>
      <c r="O80" s="62" t="s">
        <v>44</v>
      </c>
      <c r="P80" s="67">
        <f>uurtarief45</f>
        <v>0</v>
      </c>
      <c r="Q80" s="64" t="e">
        <f t="shared" si="13"/>
        <v>#DIV/0!</v>
      </c>
      <c r="R80" s="64" t="e">
        <f t="shared" si="14"/>
        <v>#DIV/0!</v>
      </c>
      <c r="S80" s="67" t="e">
        <f t="shared" si="15"/>
        <v>#DIV/0!</v>
      </c>
      <c r="T80" s="64" t="e">
        <f t="shared" si="16"/>
        <v>#DIV/0!</v>
      </c>
      <c r="U80" s="68" t="e">
        <f t="shared" si="17"/>
        <v>#DIV/0!</v>
      </c>
    </row>
    <row r="81" spans="1:21" x14ac:dyDescent="0.2">
      <c r="A81" s="61" t="s">
        <v>208</v>
      </c>
      <c r="B81" s="62" t="s">
        <v>320</v>
      </c>
      <c r="C81" s="62" t="s">
        <v>210</v>
      </c>
      <c r="D81" s="62" t="s">
        <v>343</v>
      </c>
      <c r="E81" s="62" t="s">
        <v>209</v>
      </c>
      <c r="F81" s="63" t="s">
        <v>236</v>
      </c>
      <c r="G81" s="62" t="s">
        <v>213</v>
      </c>
      <c r="H81" s="62" t="s">
        <v>188</v>
      </c>
      <c r="I81" s="62" t="s">
        <v>16</v>
      </c>
      <c r="J81" s="62" t="s">
        <v>140</v>
      </c>
      <c r="K81" s="64">
        <v>8</v>
      </c>
      <c r="L81" s="64">
        <f t="shared" si="12"/>
        <v>3.2</v>
      </c>
      <c r="M81" s="65">
        <f>prodnorm40</f>
        <v>0</v>
      </c>
      <c r="N81" s="66">
        <f>dagwerk40</f>
        <v>0</v>
      </c>
      <c r="O81" s="62" t="s">
        <v>44</v>
      </c>
      <c r="P81" s="67">
        <f>uurtarief40</f>
        <v>0</v>
      </c>
      <c r="Q81" s="64" t="e">
        <f t="shared" si="13"/>
        <v>#DIV/0!</v>
      </c>
      <c r="R81" s="64" t="e">
        <f t="shared" si="14"/>
        <v>#DIV/0!</v>
      </c>
      <c r="S81" s="67" t="e">
        <f t="shared" si="15"/>
        <v>#DIV/0!</v>
      </c>
      <c r="T81" s="64" t="e">
        <f t="shared" si="16"/>
        <v>#DIV/0!</v>
      </c>
      <c r="U81" s="68" t="e">
        <f t="shared" si="17"/>
        <v>#DIV/0!</v>
      </c>
    </row>
    <row r="82" spans="1:21" x14ac:dyDescent="0.2">
      <c r="A82" s="61" t="s">
        <v>208</v>
      </c>
      <c r="B82" s="62" t="s">
        <v>320</v>
      </c>
      <c r="C82" s="62" t="s">
        <v>210</v>
      </c>
      <c r="D82" s="62" t="s">
        <v>344</v>
      </c>
      <c r="E82" s="62" t="s">
        <v>209</v>
      </c>
      <c r="F82" s="63" t="s">
        <v>236</v>
      </c>
      <c r="G82" s="62" t="s">
        <v>213</v>
      </c>
      <c r="H82" s="62" t="s">
        <v>188</v>
      </c>
      <c r="I82" s="62" t="s">
        <v>16</v>
      </c>
      <c r="J82" s="62" t="s">
        <v>140</v>
      </c>
      <c r="K82" s="64">
        <v>8</v>
      </c>
      <c r="L82" s="64">
        <f t="shared" si="12"/>
        <v>3.2</v>
      </c>
      <c r="M82" s="65">
        <f>prodnorm40</f>
        <v>0</v>
      </c>
      <c r="N82" s="66">
        <f>dagwerk40</f>
        <v>0</v>
      </c>
      <c r="O82" s="62" t="s">
        <v>44</v>
      </c>
      <c r="P82" s="67">
        <f>uurtarief40</f>
        <v>0</v>
      </c>
      <c r="Q82" s="64" t="e">
        <f t="shared" si="13"/>
        <v>#DIV/0!</v>
      </c>
      <c r="R82" s="64" t="e">
        <f t="shared" si="14"/>
        <v>#DIV/0!</v>
      </c>
      <c r="S82" s="67" t="e">
        <f t="shared" si="15"/>
        <v>#DIV/0!</v>
      </c>
      <c r="T82" s="64" t="e">
        <f t="shared" si="16"/>
        <v>#DIV/0!</v>
      </c>
      <c r="U82" s="68" t="e">
        <f t="shared" si="17"/>
        <v>#DIV/0!</v>
      </c>
    </row>
    <row r="83" spans="1:21" x14ac:dyDescent="0.2">
      <c r="A83" s="61" t="s">
        <v>208</v>
      </c>
      <c r="B83" s="62" t="s">
        <v>320</v>
      </c>
      <c r="C83" s="62" t="s">
        <v>210</v>
      </c>
      <c r="D83" s="62" t="s">
        <v>350</v>
      </c>
      <c r="E83" s="62" t="s">
        <v>209</v>
      </c>
      <c r="F83" s="63" t="s">
        <v>351</v>
      </c>
      <c r="G83" s="62" t="s">
        <v>234</v>
      </c>
      <c r="H83" s="62" t="s">
        <v>191</v>
      </c>
      <c r="I83" s="62" t="s">
        <v>16</v>
      </c>
      <c r="J83" s="62" t="s">
        <v>140</v>
      </c>
      <c r="K83" s="64">
        <v>4.0999999999999996</v>
      </c>
      <c r="L83" s="64">
        <f t="shared" si="12"/>
        <v>1.64</v>
      </c>
      <c r="M83" s="65">
        <f>prodnorm43</f>
        <v>0</v>
      </c>
      <c r="N83" s="66">
        <f>dagwerk43</f>
        <v>0</v>
      </c>
      <c r="O83" s="62" t="s">
        <v>44</v>
      </c>
      <c r="P83" s="67">
        <f>uurtarief43</f>
        <v>0</v>
      </c>
      <c r="Q83" s="64" t="e">
        <f t="shared" si="13"/>
        <v>#DIV/0!</v>
      </c>
      <c r="R83" s="64" t="e">
        <f t="shared" si="14"/>
        <v>#DIV/0!</v>
      </c>
      <c r="S83" s="67" t="e">
        <f t="shared" si="15"/>
        <v>#DIV/0!</v>
      </c>
      <c r="T83" s="64" t="e">
        <f t="shared" si="16"/>
        <v>#DIV/0!</v>
      </c>
      <c r="U83" s="68" t="e">
        <f t="shared" si="17"/>
        <v>#DIV/0!</v>
      </c>
    </row>
    <row r="84" spans="1:21" x14ac:dyDescent="0.2">
      <c r="A84" s="61" t="s">
        <v>208</v>
      </c>
      <c r="B84" s="62" t="s">
        <v>320</v>
      </c>
      <c r="C84" s="62" t="s">
        <v>210</v>
      </c>
      <c r="D84" s="62" t="s">
        <v>489</v>
      </c>
      <c r="E84" s="62" t="s">
        <v>209</v>
      </c>
      <c r="F84" s="63" t="s">
        <v>254</v>
      </c>
      <c r="G84" s="62" t="s">
        <v>234</v>
      </c>
      <c r="H84" s="62" t="s">
        <v>192</v>
      </c>
      <c r="I84" s="62" t="s">
        <v>16</v>
      </c>
      <c r="J84" s="62" t="s">
        <v>140</v>
      </c>
      <c r="K84" s="64">
        <v>1.3</v>
      </c>
      <c r="L84" s="64">
        <f t="shared" si="12"/>
        <v>0.52</v>
      </c>
      <c r="M84" s="65">
        <f>prodnorm44</f>
        <v>0</v>
      </c>
      <c r="N84" s="66">
        <f>dagwerk44</f>
        <v>0</v>
      </c>
      <c r="O84" s="62" t="s">
        <v>44</v>
      </c>
      <c r="P84" s="67">
        <f>uurtarief44</f>
        <v>0</v>
      </c>
      <c r="Q84" s="64" t="e">
        <f t="shared" si="13"/>
        <v>#DIV/0!</v>
      </c>
      <c r="R84" s="64" t="e">
        <f t="shared" si="14"/>
        <v>#DIV/0!</v>
      </c>
      <c r="S84" s="67" t="e">
        <f t="shared" si="15"/>
        <v>#DIV/0!</v>
      </c>
      <c r="T84" s="64" t="e">
        <f t="shared" si="16"/>
        <v>#DIV/0!</v>
      </c>
      <c r="U84" s="68" t="e">
        <f t="shared" si="17"/>
        <v>#DIV/0!</v>
      </c>
    </row>
    <row r="85" spans="1:21" x14ac:dyDescent="0.2">
      <c r="A85" s="61" t="s">
        <v>208</v>
      </c>
      <c r="B85" s="62" t="s">
        <v>320</v>
      </c>
      <c r="C85" s="62" t="s">
        <v>210</v>
      </c>
      <c r="D85" s="62" t="s">
        <v>489</v>
      </c>
      <c r="E85" s="62" t="s">
        <v>209</v>
      </c>
      <c r="F85" s="63" t="s">
        <v>254</v>
      </c>
      <c r="G85" s="62" t="s">
        <v>234</v>
      </c>
      <c r="H85" s="62" t="s">
        <v>192</v>
      </c>
      <c r="I85" s="62" t="s">
        <v>16</v>
      </c>
      <c r="J85" s="62" t="s">
        <v>140</v>
      </c>
      <c r="K85" s="64">
        <v>1.3</v>
      </c>
      <c r="L85" s="64">
        <f t="shared" si="12"/>
        <v>0.52</v>
      </c>
      <c r="M85" s="65">
        <f>prodnorm44</f>
        <v>0</v>
      </c>
      <c r="N85" s="66">
        <f>dagwerk44</f>
        <v>0</v>
      </c>
      <c r="O85" s="62" t="s">
        <v>44</v>
      </c>
      <c r="P85" s="67">
        <f>uurtarief44</f>
        <v>0</v>
      </c>
      <c r="Q85" s="64" t="e">
        <f t="shared" si="13"/>
        <v>#DIV/0!</v>
      </c>
      <c r="R85" s="64" t="e">
        <f t="shared" si="14"/>
        <v>#DIV/0!</v>
      </c>
      <c r="S85" s="67" t="e">
        <f t="shared" si="15"/>
        <v>#DIV/0!</v>
      </c>
      <c r="T85" s="64" t="e">
        <f t="shared" si="16"/>
        <v>#DIV/0!</v>
      </c>
      <c r="U85" s="68" t="e">
        <f t="shared" si="17"/>
        <v>#DIV/0!</v>
      </c>
    </row>
    <row r="86" spans="1:21" x14ac:dyDescent="0.2">
      <c r="A86" s="61" t="s">
        <v>208</v>
      </c>
      <c r="B86" s="62" t="s">
        <v>320</v>
      </c>
      <c r="C86" s="62" t="s">
        <v>210</v>
      </c>
      <c r="D86" s="62" t="s">
        <v>352</v>
      </c>
      <c r="E86" s="62" t="s">
        <v>209</v>
      </c>
      <c r="F86" s="63" t="s">
        <v>254</v>
      </c>
      <c r="G86" s="62" t="s">
        <v>234</v>
      </c>
      <c r="H86" s="62" t="s">
        <v>192</v>
      </c>
      <c r="I86" s="62" t="s">
        <v>16</v>
      </c>
      <c r="J86" s="62" t="s">
        <v>140</v>
      </c>
      <c r="K86" s="64">
        <v>1.3</v>
      </c>
      <c r="L86" s="64">
        <f t="shared" si="12"/>
        <v>0.52</v>
      </c>
      <c r="M86" s="65">
        <f>prodnorm44</f>
        <v>0</v>
      </c>
      <c r="N86" s="66">
        <f>dagwerk44</f>
        <v>0</v>
      </c>
      <c r="O86" s="62" t="s">
        <v>44</v>
      </c>
      <c r="P86" s="67">
        <f>uurtarief44</f>
        <v>0</v>
      </c>
      <c r="Q86" s="64" t="e">
        <f t="shared" si="13"/>
        <v>#DIV/0!</v>
      </c>
      <c r="R86" s="64" t="e">
        <f t="shared" si="14"/>
        <v>#DIV/0!</v>
      </c>
      <c r="S86" s="67" t="e">
        <f t="shared" si="15"/>
        <v>#DIV/0!</v>
      </c>
      <c r="T86" s="64" t="e">
        <f t="shared" si="16"/>
        <v>#DIV/0!</v>
      </c>
      <c r="U86" s="68" t="e">
        <f t="shared" si="17"/>
        <v>#DIV/0!</v>
      </c>
    </row>
    <row r="87" spans="1:21" x14ac:dyDescent="0.2">
      <c r="A87" s="61" t="s">
        <v>208</v>
      </c>
      <c r="B87" s="62" t="s">
        <v>320</v>
      </c>
      <c r="C87" s="62" t="s">
        <v>210</v>
      </c>
      <c r="D87" s="62" t="s">
        <v>363</v>
      </c>
      <c r="E87" s="62" t="s">
        <v>209</v>
      </c>
      <c r="F87" s="63" t="s">
        <v>250</v>
      </c>
      <c r="G87" s="62" t="s">
        <v>213</v>
      </c>
      <c r="H87" s="62" t="s">
        <v>194</v>
      </c>
      <c r="I87" s="62" t="s">
        <v>16</v>
      </c>
      <c r="J87" s="62" t="s">
        <v>140</v>
      </c>
      <c r="K87" s="64">
        <v>98.1</v>
      </c>
      <c r="L87" s="64">
        <f t="shared" si="12"/>
        <v>39.24</v>
      </c>
      <c r="M87" s="65">
        <f>prodnorm46</f>
        <v>0</v>
      </c>
      <c r="N87" s="66">
        <f>dagwerk46</f>
        <v>0</v>
      </c>
      <c r="O87" s="62" t="s">
        <v>44</v>
      </c>
      <c r="P87" s="67">
        <f>uurtarief46</f>
        <v>0</v>
      </c>
      <c r="Q87" s="64" t="e">
        <f t="shared" si="13"/>
        <v>#DIV/0!</v>
      </c>
      <c r="R87" s="64" t="e">
        <f t="shared" si="14"/>
        <v>#DIV/0!</v>
      </c>
      <c r="S87" s="67" t="e">
        <f t="shared" si="15"/>
        <v>#DIV/0!</v>
      </c>
      <c r="T87" s="64" t="e">
        <f t="shared" si="16"/>
        <v>#DIV/0!</v>
      </c>
      <c r="U87" s="68" t="e">
        <f t="shared" si="17"/>
        <v>#DIV/0!</v>
      </c>
    </row>
    <row r="88" spans="1:21" x14ac:dyDescent="0.2">
      <c r="A88" s="61" t="s">
        <v>208</v>
      </c>
      <c r="B88" s="62" t="s">
        <v>320</v>
      </c>
      <c r="C88" s="62" t="s">
        <v>248</v>
      </c>
      <c r="D88" s="62" t="s">
        <v>364</v>
      </c>
      <c r="E88" s="62" t="s">
        <v>209</v>
      </c>
      <c r="F88" s="63" t="s">
        <v>212</v>
      </c>
      <c r="G88" s="62" t="s">
        <v>213</v>
      </c>
      <c r="H88" s="62" t="s">
        <v>193</v>
      </c>
      <c r="I88" s="62" t="s">
        <v>16</v>
      </c>
      <c r="J88" s="62" t="s">
        <v>140</v>
      </c>
      <c r="K88" s="64">
        <v>44.7</v>
      </c>
      <c r="L88" s="64">
        <f t="shared" si="12"/>
        <v>17.880000000000003</v>
      </c>
      <c r="M88" s="65">
        <f>prodnorm45</f>
        <v>0</v>
      </c>
      <c r="N88" s="66">
        <f>dagwerk45</f>
        <v>0</v>
      </c>
      <c r="O88" s="62" t="s">
        <v>44</v>
      </c>
      <c r="P88" s="67">
        <f>uurtarief45</f>
        <v>0</v>
      </c>
      <c r="Q88" s="64" t="e">
        <f t="shared" si="13"/>
        <v>#DIV/0!</v>
      </c>
      <c r="R88" s="64" t="e">
        <f t="shared" si="14"/>
        <v>#DIV/0!</v>
      </c>
      <c r="S88" s="67" t="e">
        <f t="shared" si="15"/>
        <v>#DIV/0!</v>
      </c>
      <c r="T88" s="64" t="e">
        <f t="shared" si="16"/>
        <v>#DIV/0!</v>
      </c>
      <c r="U88" s="68" t="e">
        <f t="shared" si="17"/>
        <v>#DIV/0!</v>
      </c>
    </row>
    <row r="89" spans="1:21" x14ac:dyDescent="0.2">
      <c r="A89" s="61" t="s">
        <v>208</v>
      </c>
      <c r="B89" s="62" t="s">
        <v>320</v>
      </c>
      <c r="C89" s="62" t="s">
        <v>248</v>
      </c>
      <c r="D89" s="62" t="s">
        <v>367</v>
      </c>
      <c r="E89" s="62" t="s">
        <v>209</v>
      </c>
      <c r="F89" s="63" t="s">
        <v>257</v>
      </c>
      <c r="G89" s="62" t="s">
        <v>234</v>
      </c>
      <c r="H89" s="62" t="s">
        <v>186</v>
      </c>
      <c r="I89" s="62" t="s">
        <v>16</v>
      </c>
      <c r="J89" s="62" t="s">
        <v>140</v>
      </c>
      <c r="K89" s="64">
        <v>10.7</v>
      </c>
      <c r="L89" s="64">
        <f t="shared" si="12"/>
        <v>4.28</v>
      </c>
      <c r="M89" s="65">
        <f>prodnorm38</f>
        <v>0</v>
      </c>
      <c r="N89" s="66">
        <f>dagwerk38</f>
        <v>0</v>
      </c>
      <c r="O89" s="62" t="s">
        <v>44</v>
      </c>
      <c r="P89" s="67">
        <f>uurtarief38</f>
        <v>0</v>
      </c>
      <c r="Q89" s="64" t="e">
        <f t="shared" si="13"/>
        <v>#DIV/0!</v>
      </c>
      <c r="R89" s="64" t="e">
        <f t="shared" si="14"/>
        <v>#DIV/0!</v>
      </c>
      <c r="S89" s="67" t="e">
        <f t="shared" si="15"/>
        <v>#DIV/0!</v>
      </c>
      <c r="T89" s="64" t="e">
        <f t="shared" si="16"/>
        <v>#DIV/0!</v>
      </c>
      <c r="U89" s="68" t="e">
        <f t="shared" si="17"/>
        <v>#DIV/0!</v>
      </c>
    </row>
    <row r="90" spans="1:21" x14ac:dyDescent="0.2">
      <c r="A90" s="61" t="s">
        <v>208</v>
      </c>
      <c r="B90" s="62" t="s">
        <v>320</v>
      </c>
      <c r="C90" s="62" t="s">
        <v>248</v>
      </c>
      <c r="D90" s="62" t="s">
        <v>368</v>
      </c>
      <c r="E90" s="62" t="s">
        <v>209</v>
      </c>
      <c r="F90" s="63" t="s">
        <v>215</v>
      </c>
      <c r="G90" s="62" t="s">
        <v>213</v>
      </c>
      <c r="H90" s="62" t="s">
        <v>194</v>
      </c>
      <c r="I90" s="62" t="s">
        <v>16</v>
      </c>
      <c r="J90" s="62" t="s">
        <v>140</v>
      </c>
      <c r="K90" s="64">
        <v>50.4</v>
      </c>
      <c r="L90" s="64">
        <f t="shared" si="12"/>
        <v>20.16</v>
      </c>
      <c r="M90" s="65">
        <f>prodnorm46</f>
        <v>0</v>
      </c>
      <c r="N90" s="66">
        <f>dagwerk46</f>
        <v>0</v>
      </c>
      <c r="O90" s="62" t="s">
        <v>44</v>
      </c>
      <c r="P90" s="67">
        <f>uurtarief46</f>
        <v>0</v>
      </c>
      <c r="Q90" s="64" t="e">
        <f t="shared" si="13"/>
        <v>#DIV/0!</v>
      </c>
      <c r="R90" s="64" t="e">
        <f t="shared" si="14"/>
        <v>#DIV/0!</v>
      </c>
      <c r="S90" s="67" t="e">
        <f t="shared" si="15"/>
        <v>#DIV/0!</v>
      </c>
      <c r="T90" s="64" t="e">
        <f t="shared" si="16"/>
        <v>#DIV/0!</v>
      </c>
      <c r="U90" s="68" t="e">
        <f t="shared" si="17"/>
        <v>#DIV/0!</v>
      </c>
    </row>
    <row r="91" spans="1:21" x14ac:dyDescent="0.2">
      <c r="A91" s="61" t="s">
        <v>208</v>
      </c>
      <c r="B91" s="62" t="s">
        <v>320</v>
      </c>
      <c r="C91" s="62" t="s">
        <v>248</v>
      </c>
      <c r="D91" s="62" t="s">
        <v>369</v>
      </c>
      <c r="E91" s="62" t="s">
        <v>209</v>
      </c>
      <c r="F91" s="63" t="s">
        <v>254</v>
      </c>
      <c r="G91" s="62" t="s">
        <v>234</v>
      </c>
      <c r="H91" s="62" t="s">
        <v>192</v>
      </c>
      <c r="I91" s="62" t="s">
        <v>16</v>
      </c>
      <c r="J91" s="62" t="s">
        <v>140</v>
      </c>
      <c r="K91" s="64">
        <v>1.1000000000000001</v>
      </c>
      <c r="L91" s="64">
        <f t="shared" si="12"/>
        <v>0.44000000000000006</v>
      </c>
      <c r="M91" s="65">
        <f>prodnorm44</f>
        <v>0</v>
      </c>
      <c r="N91" s="66">
        <f>dagwerk44</f>
        <v>0</v>
      </c>
      <c r="O91" s="62" t="s">
        <v>44</v>
      </c>
      <c r="P91" s="67">
        <f>uurtarief44</f>
        <v>0</v>
      </c>
      <c r="Q91" s="64" t="e">
        <f t="shared" si="13"/>
        <v>#DIV/0!</v>
      </c>
      <c r="R91" s="64" t="e">
        <f t="shared" si="14"/>
        <v>#DIV/0!</v>
      </c>
      <c r="S91" s="67" t="e">
        <f t="shared" si="15"/>
        <v>#DIV/0!</v>
      </c>
      <c r="T91" s="64" t="e">
        <f t="shared" si="16"/>
        <v>#DIV/0!</v>
      </c>
      <c r="U91" s="68" t="e">
        <f t="shared" si="17"/>
        <v>#DIV/0!</v>
      </c>
    </row>
    <row r="92" spans="1:21" x14ac:dyDescent="0.2">
      <c r="A92" s="61" t="s">
        <v>208</v>
      </c>
      <c r="B92" s="62" t="s">
        <v>320</v>
      </c>
      <c r="C92" s="62" t="s">
        <v>248</v>
      </c>
      <c r="D92" s="62" t="s">
        <v>371</v>
      </c>
      <c r="E92" s="62" t="s">
        <v>209</v>
      </c>
      <c r="F92" s="63" t="s">
        <v>257</v>
      </c>
      <c r="G92" s="62" t="s">
        <v>234</v>
      </c>
      <c r="H92" s="62" t="s">
        <v>186</v>
      </c>
      <c r="I92" s="62" t="s">
        <v>16</v>
      </c>
      <c r="J92" s="62" t="s">
        <v>140</v>
      </c>
      <c r="K92" s="64">
        <v>2</v>
      </c>
      <c r="L92" s="64">
        <f t="shared" si="12"/>
        <v>0.8</v>
      </c>
      <c r="M92" s="65">
        <f>prodnorm38</f>
        <v>0</v>
      </c>
      <c r="N92" s="66">
        <f>dagwerk38</f>
        <v>0</v>
      </c>
      <c r="O92" s="62" t="s">
        <v>44</v>
      </c>
      <c r="P92" s="67">
        <f>uurtarief38</f>
        <v>0</v>
      </c>
      <c r="Q92" s="64" t="e">
        <f t="shared" si="13"/>
        <v>#DIV/0!</v>
      </c>
      <c r="R92" s="64" t="e">
        <f t="shared" si="14"/>
        <v>#DIV/0!</v>
      </c>
      <c r="S92" s="67" t="e">
        <f t="shared" si="15"/>
        <v>#DIV/0!</v>
      </c>
      <c r="T92" s="64" t="e">
        <f t="shared" si="16"/>
        <v>#DIV/0!</v>
      </c>
      <c r="U92" s="68" t="e">
        <f t="shared" si="17"/>
        <v>#DIV/0!</v>
      </c>
    </row>
    <row r="93" spans="1:21" x14ac:dyDescent="0.2">
      <c r="A93" s="61" t="s">
        <v>208</v>
      </c>
      <c r="B93" s="62" t="s">
        <v>320</v>
      </c>
      <c r="C93" s="62" t="s">
        <v>248</v>
      </c>
      <c r="D93" s="62" t="s">
        <v>374</v>
      </c>
      <c r="E93" s="62" t="s">
        <v>209</v>
      </c>
      <c r="F93" s="63" t="s">
        <v>254</v>
      </c>
      <c r="G93" s="62" t="s">
        <v>234</v>
      </c>
      <c r="H93" s="62" t="s">
        <v>192</v>
      </c>
      <c r="I93" s="62" t="s">
        <v>16</v>
      </c>
      <c r="J93" s="62" t="s">
        <v>140</v>
      </c>
      <c r="K93" s="64">
        <v>2</v>
      </c>
      <c r="L93" s="64">
        <f t="shared" si="12"/>
        <v>0.8</v>
      </c>
      <c r="M93" s="65">
        <f>prodnorm44</f>
        <v>0</v>
      </c>
      <c r="N93" s="66">
        <f>dagwerk44</f>
        <v>0</v>
      </c>
      <c r="O93" s="62" t="s">
        <v>44</v>
      </c>
      <c r="P93" s="67">
        <f>uurtarief44</f>
        <v>0</v>
      </c>
      <c r="Q93" s="64" t="e">
        <f t="shared" si="13"/>
        <v>#DIV/0!</v>
      </c>
      <c r="R93" s="64" t="e">
        <f t="shared" si="14"/>
        <v>#DIV/0!</v>
      </c>
      <c r="S93" s="67" t="e">
        <f t="shared" si="15"/>
        <v>#DIV/0!</v>
      </c>
      <c r="T93" s="64" t="e">
        <f t="shared" si="16"/>
        <v>#DIV/0!</v>
      </c>
      <c r="U93" s="68" t="e">
        <f t="shared" si="17"/>
        <v>#DIV/0!</v>
      </c>
    </row>
    <row r="94" spans="1:21" x14ac:dyDescent="0.2">
      <c r="A94" s="61" t="s">
        <v>208</v>
      </c>
      <c r="B94" s="62" t="s">
        <v>320</v>
      </c>
      <c r="C94" s="62" t="s">
        <v>248</v>
      </c>
      <c r="D94" s="62" t="s">
        <v>375</v>
      </c>
      <c r="E94" s="62" t="s">
        <v>209</v>
      </c>
      <c r="F94" s="63" t="s">
        <v>261</v>
      </c>
      <c r="G94" s="62" t="s">
        <v>234</v>
      </c>
      <c r="H94" s="62" t="s">
        <v>190</v>
      </c>
      <c r="I94" s="62" t="s">
        <v>16</v>
      </c>
      <c r="J94" s="62" t="s">
        <v>140</v>
      </c>
      <c r="K94" s="64">
        <v>10.8</v>
      </c>
      <c r="L94" s="64">
        <f t="shared" si="12"/>
        <v>4.32</v>
      </c>
      <c r="M94" s="65">
        <f>prodnorm42</f>
        <v>0</v>
      </c>
      <c r="N94" s="66">
        <f>dagwerk42</f>
        <v>0</v>
      </c>
      <c r="O94" s="62" t="s">
        <v>44</v>
      </c>
      <c r="P94" s="67">
        <f>uurtarief42</f>
        <v>0</v>
      </c>
      <c r="Q94" s="64" t="e">
        <f t="shared" si="13"/>
        <v>#DIV/0!</v>
      </c>
      <c r="R94" s="64" t="e">
        <f t="shared" si="14"/>
        <v>#DIV/0!</v>
      </c>
      <c r="S94" s="67" t="e">
        <f t="shared" si="15"/>
        <v>#DIV/0!</v>
      </c>
      <c r="T94" s="64" t="e">
        <f t="shared" si="16"/>
        <v>#DIV/0!</v>
      </c>
      <c r="U94" s="68" t="e">
        <f t="shared" si="17"/>
        <v>#DIV/0!</v>
      </c>
    </row>
    <row r="95" spans="1:21" x14ac:dyDescent="0.2">
      <c r="A95" s="61" t="s">
        <v>208</v>
      </c>
      <c r="B95" s="62" t="s">
        <v>320</v>
      </c>
      <c r="C95" s="62" t="s">
        <v>248</v>
      </c>
      <c r="D95" s="62" t="s">
        <v>377</v>
      </c>
      <c r="E95" s="62" t="s">
        <v>209</v>
      </c>
      <c r="F95" s="63" t="s">
        <v>254</v>
      </c>
      <c r="G95" s="62" t="s">
        <v>234</v>
      </c>
      <c r="H95" s="62" t="s">
        <v>192</v>
      </c>
      <c r="I95" s="62" t="s">
        <v>16</v>
      </c>
      <c r="J95" s="62" t="s">
        <v>140</v>
      </c>
      <c r="K95" s="64">
        <v>2</v>
      </c>
      <c r="L95" s="64">
        <f t="shared" si="12"/>
        <v>0.8</v>
      </c>
      <c r="M95" s="65">
        <f>prodnorm44</f>
        <v>0</v>
      </c>
      <c r="N95" s="66">
        <f>dagwerk44</f>
        <v>0</v>
      </c>
      <c r="O95" s="62" t="s">
        <v>44</v>
      </c>
      <c r="P95" s="67">
        <f>uurtarief44</f>
        <v>0</v>
      </c>
      <c r="Q95" s="64" t="e">
        <f t="shared" si="13"/>
        <v>#DIV/0!</v>
      </c>
      <c r="R95" s="64" t="e">
        <f t="shared" si="14"/>
        <v>#DIV/0!</v>
      </c>
      <c r="S95" s="67" t="e">
        <f t="shared" si="15"/>
        <v>#DIV/0!</v>
      </c>
      <c r="T95" s="64" t="e">
        <f t="shared" si="16"/>
        <v>#DIV/0!</v>
      </c>
      <c r="U95" s="68" t="e">
        <f t="shared" si="17"/>
        <v>#DIV/0!</v>
      </c>
    </row>
    <row r="96" spans="1:21" x14ac:dyDescent="0.2">
      <c r="A96" s="61" t="s">
        <v>208</v>
      </c>
      <c r="B96" s="62" t="s">
        <v>320</v>
      </c>
      <c r="C96" s="62" t="s">
        <v>248</v>
      </c>
      <c r="D96" s="62" t="s">
        <v>378</v>
      </c>
      <c r="E96" s="62" t="s">
        <v>209</v>
      </c>
      <c r="F96" s="63" t="s">
        <v>257</v>
      </c>
      <c r="G96" s="62" t="s">
        <v>234</v>
      </c>
      <c r="H96" s="62" t="s">
        <v>186</v>
      </c>
      <c r="I96" s="62" t="s">
        <v>16</v>
      </c>
      <c r="J96" s="62" t="s">
        <v>140</v>
      </c>
      <c r="K96" s="64">
        <v>2</v>
      </c>
      <c r="L96" s="64">
        <f t="shared" si="12"/>
        <v>0.8</v>
      </c>
      <c r="M96" s="65">
        <f>prodnorm38</f>
        <v>0</v>
      </c>
      <c r="N96" s="66">
        <f>dagwerk38</f>
        <v>0</v>
      </c>
      <c r="O96" s="62" t="s">
        <v>44</v>
      </c>
      <c r="P96" s="67">
        <f>uurtarief38</f>
        <v>0</v>
      </c>
      <c r="Q96" s="64" t="e">
        <f t="shared" si="13"/>
        <v>#DIV/0!</v>
      </c>
      <c r="R96" s="64" t="e">
        <f t="shared" si="14"/>
        <v>#DIV/0!</v>
      </c>
      <c r="S96" s="67" t="e">
        <f t="shared" si="15"/>
        <v>#DIV/0!</v>
      </c>
      <c r="T96" s="64" t="e">
        <f t="shared" si="16"/>
        <v>#DIV/0!</v>
      </c>
      <c r="U96" s="68" t="e">
        <f t="shared" si="17"/>
        <v>#DIV/0!</v>
      </c>
    </row>
    <row r="97" spans="1:21" x14ac:dyDescent="0.2">
      <c r="A97" s="61" t="s">
        <v>208</v>
      </c>
      <c r="B97" s="62" t="s">
        <v>320</v>
      </c>
      <c r="C97" s="62" t="s">
        <v>248</v>
      </c>
      <c r="D97" s="62" t="s">
        <v>379</v>
      </c>
      <c r="E97" s="62" t="s">
        <v>209</v>
      </c>
      <c r="F97" s="63" t="s">
        <v>254</v>
      </c>
      <c r="G97" s="62" t="s">
        <v>234</v>
      </c>
      <c r="H97" s="62" t="s">
        <v>192</v>
      </c>
      <c r="I97" s="62" t="s">
        <v>16</v>
      </c>
      <c r="J97" s="62" t="s">
        <v>140</v>
      </c>
      <c r="K97" s="64">
        <v>4.0999999999999996</v>
      </c>
      <c r="L97" s="64">
        <f t="shared" si="12"/>
        <v>1.64</v>
      </c>
      <c r="M97" s="65">
        <f>prodnorm44</f>
        <v>0</v>
      </c>
      <c r="N97" s="66">
        <f>dagwerk44</f>
        <v>0</v>
      </c>
      <c r="O97" s="62" t="s">
        <v>44</v>
      </c>
      <c r="P97" s="67">
        <f>uurtarief44</f>
        <v>0</v>
      </c>
      <c r="Q97" s="64" t="e">
        <f t="shared" si="13"/>
        <v>#DIV/0!</v>
      </c>
      <c r="R97" s="64" t="e">
        <f t="shared" si="14"/>
        <v>#DIV/0!</v>
      </c>
      <c r="S97" s="67" t="e">
        <f t="shared" si="15"/>
        <v>#DIV/0!</v>
      </c>
      <c r="T97" s="64" t="e">
        <f t="shared" si="16"/>
        <v>#DIV/0!</v>
      </c>
      <c r="U97" s="68" t="e">
        <f t="shared" si="17"/>
        <v>#DIV/0!</v>
      </c>
    </row>
    <row r="98" spans="1:21" x14ac:dyDescent="0.2">
      <c r="A98" s="61" t="s">
        <v>208</v>
      </c>
      <c r="B98" s="62" t="s">
        <v>320</v>
      </c>
      <c r="C98" s="62" t="s">
        <v>248</v>
      </c>
      <c r="D98" s="62" t="s">
        <v>380</v>
      </c>
      <c r="E98" s="62" t="s">
        <v>209</v>
      </c>
      <c r="F98" s="63" t="s">
        <v>257</v>
      </c>
      <c r="G98" s="62" t="s">
        <v>234</v>
      </c>
      <c r="H98" s="62" t="s">
        <v>186</v>
      </c>
      <c r="I98" s="62" t="s">
        <v>16</v>
      </c>
      <c r="J98" s="62" t="s">
        <v>140</v>
      </c>
      <c r="K98" s="64">
        <v>4.0999999999999996</v>
      </c>
      <c r="L98" s="64">
        <f t="shared" si="12"/>
        <v>1.64</v>
      </c>
      <c r="M98" s="65">
        <f>prodnorm38</f>
        <v>0</v>
      </c>
      <c r="N98" s="66">
        <f>dagwerk38</f>
        <v>0</v>
      </c>
      <c r="O98" s="62" t="s">
        <v>44</v>
      </c>
      <c r="P98" s="67">
        <f>uurtarief38</f>
        <v>0</v>
      </c>
      <c r="Q98" s="64" t="e">
        <f t="shared" si="13"/>
        <v>#DIV/0!</v>
      </c>
      <c r="R98" s="64" t="e">
        <f t="shared" si="14"/>
        <v>#DIV/0!</v>
      </c>
      <c r="S98" s="67" t="e">
        <f t="shared" si="15"/>
        <v>#DIV/0!</v>
      </c>
      <c r="T98" s="64" t="e">
        <f t="shared" si="16"/>
        <v>#DIV/0!</v>
      </c>
      <c r="U98" s="68" t="e">
        <f t="shared" si="17"/>
        <v>#DIV/0!</v>
      </c>
    </row>
    <row r="99" spans="1:21" x14ac:dyDescent="0.2">
      <c r="A99" s="61" t="s">
        <v>208</v>
      </c>
      <c r="B99" s="62" t="s">
        <v>320</v>
      </c>
      <c r="C99" s="62" t="s">
        <v>248</v>
      </c>
      <c r="D99" s="62" t="s">
        <v>381</v>
      </c>
      <c r="E99" s="62" t="s">
        <v>209</v>
      </c>
      <c r="F99" s="63" t="s">
        <v>254</v>
      </c>
      <c r="G99" s="62" t="s">
        <v>234</v>
      </c>
      <c r="H99" s="62" t="s">
        <v>192</v>
      </c>
      <c r="I99" s="62" t="s">
        <v>16</v>
      </c>
      <c r="J99" s="62" t="s">
        <v>140</v>
      </c>
      <c r="K99" s="64">
        <v>2.1</v>
      </c>
      <c r="L99" s="64">
        <f t="shared" si="12"/>
        <v>0.84000000000000008</v>
      </c>
      <c r="M99" s="65">
        <f>prodnorm44</f>
        <v>0</v>
      </c>
      <c r="N99" s="66">
        <f>dagwerk44</f>
        <v>0</v>
      </c>
      <c r="O99" s="62" t="s">
        <v>44</v>
      </c>
      <c r="P99" s="67">
        <f>uurtarief44</f>
        <v>0</v>
      </c>
      <c r="Q99" s="64" t="e">
        <f t="shared" si="13"/>
        <v>#DIV/0!</v>
      </c>
      <c r="R99" s="64" t="e">
        <f t="shared" si="14"/>
        <v>#DIV/0!</v>
      </c>
      <c r="S99" s="67" t="e">
        <f t="shared" si="15"/>
        <v>#DIV/0!</v>
      </c>
      <c r="T99" s="64" t="e">
        <f t="shared" si="16"/>
        <v>#DIV/0!</v>
      </c>
      <c r="U99" s="68" t="e">
        <f t="shared" si="17"/>
        <v>#DIV/0!</v>
      </c>
    </row>
    <row r="100" spans="1:21" x14ac:dyDescent="0.2">
      <c r="A100" s="61" t="s">
        <v>208</v>
      </c>
      <c r="B100" s="62" t="s">
        <v>320</v>
      </c>
      <c r="C100" s="62" t="s">
        <v>248</v>
      </c>
      <c r="D100" s="62" t="s">
        <v>382</v>
      </c>
      <c r="E100" s="62" t="s">
        <v>209</v>
      </c>
      <c r="F100" s="63" t="s">
        <v>257</v>
      </c>
      <c r="G100" s="62" t="s">
        <v>234</v>
      </c>
      <c r="H100" s="62" t="s">
        <v>186</v>
      </c>
      <c r="I100" s="62" t="s">
        <v>16</v>
      </c>
      <c r="J100" s="62" t="s">
        <v>140</v>
      </c>
      <c r="K100" s="64">
        <v>2.1</v>
      </c>
      <c r="L100" s="64">
        <f t="shared" si="12"/>
        <v>0.84000000000000008</v>
      </c>
      <c r="M100" s="65">
        <f>prodnorm38</f>
        <v>0</v>
      </c>
      <c r="N100" s="66">
        <f>dagwerk38</f>
        <v>0</v>
      </c>
      <c r="O100" s="62" t="s">
        <v>44</v>
      </c>
      <c r="P100" s="67">
        <f>uurtarief38</f>
        <v>0</v>
      </c>
      <c r="Q100" s="64" t="e">
        <f t="shared" si="13"/>
        <v>#DIV/0!</v>
      </c>
      <c r="R100" s="64" t="e">
        <f t="shared" si="14"/>
        <v>#DIV/0!</v>
      </c>
      <c r="S100" s="67" t="e">
        <f t="shared" si="15"/>
        <v>#DIV/0!</v>
      </c>
      <c r="T100" s="64" t="e">
        <f t="shared" si="16"/>
        <v>#DIV/0!</v>
      </c>
      <c r="U100" s="68" t="e">
        <f t="shared" si="17"/>
        <v>#DIV/0!</v>
      </c>
    </row>
    <row r="101" spans="1:21" x14ac:dyDescent="0.2">
      <c r="A101" s="61" t="s">
        <v>208</v>
      </c>
      <c r="B101" s="62" t="s">
        <v>320</v>
      </c>
      <c r="C101" s="62" t="s">
        <v>248</v>
      </c>
      <c r="D101" s="62" t="s">
        <v>383</v>
      </c>
      <c r="E101" s="62" t="s">
        <v>209</v>
      </c>
      <c r="F101" s="63" t="s">
        <v>215</v>
      </c>
      <c r="G101" s="62" t="s">
        <v>213</v>
      </c>
      <c r="H101" s="62" t="s">
        <v>194</v>
      </c>
      <c r="I101" s="62" t="s">
        <v>16</v>
      </c>
      <c r="J101" s="62" t="s">
        <v>140</v>
      </c>
      <c r="K101" s="64">
        <v>70.599999999999994</v>
      </c>
      <c r="L101" s="64">
        <f t="shared" ref="L101:L132" si="18">K101*VLOOKUP(I101,dagsoorttabel1,2,FALSE)</f>
        <v>28.24</v>
      </c>
      <c r="M101" s="65">
        <f>prodnorm46</f>
        <v>0</v>
      </c>
      <c r="N101" s="66">
        <f>dagwerk46</f>
        <v>0</v>
      </c>
      <c r="O101" s="62" t="s">
        <v>44</v>
      </c>
      <c r="P101" s="67">
        <f>uurtarief46</f>
        <v>0</v>
      </c>
      <c r="Q101" s="64" t="e">
        <f t="shared" ref="Q101:Q132" si="19">IF(ISBLANK(M101),0,L101/ROUND(M101,4))</f>
        <v>#DIV/0!</v>
      </c>
      <c r="R101" s="64" t="e">
        <f t="shared" ref="R101:R132" si="20">IF(ISBLANK(M101),0,Q101*ROUND(N101,2))</f>
        <v>#DIV/0!</v>
      </c>
      <c r="S101" s="67" t="e">
        <f t="shared" ref="S101:S132" si="21">ROUND(P101,2)*Q101</f>
        <v>#DIV/0!</v>
      </c>
      <c r="T101" s="64" t="e">
        <f t="shared" ref="T101:T132" si="22">Q101*dagenperjaar1</f>
        <v>#DIV/0!</v>
      </c>
      <c r="U101" s="68" t="e">
        <f t="shared" ref="U101:U132" si="23">T101*ROUND(P101,2)</f>
        <v>#DIV/0!</v>
      </c>
    </row>
    <row r="102" spans="1:21" x14ac:dyDescent="0.2">
      <c r="A102" s="61" t="s">
        <v>208</v>
      </c>
      <c r="B102" s="62" t="s">
        <v>320</v>
      </c>
      <c r="C102" s="62" t="s">
        <v>267</v>
      </c>
      <c r="D102" s="62" t="s">
        <v>384</v>
      </c>
      <c r="E102" s="62" t="s">
        <v>209</v>
      </c>
      <c r="F102" s="63" t="s">
        <v>212</v>
      </c>
      <c r="G102" s="62" t="s">
        <v>213</v>
      </c>
      <c r="H102" s="62" t="s">
        <v>193</v>
      </c>
      <c r="I102" s="62" t="s">
        <v>16</v>
      </c>
      <c r="J102" s="62" t="s">
        <v>140</v>
      </c>
      <c r="K102" s="64">
        <v>49.2</v>
      </c>
      <c r="L102" s="64">
        <f t="shared" si="18"/>
        <v>19.680000000000003</v>
      </c>
      <c r="M102" s="65">
        <f>prodnorm45</f>
        <v>0</v>
      </c>
      <c r="N102" s="66">
        <f>dagwerk45</f>
        <v>0</v>
      </c>
      <c r="O102" s="62" t="s">
        <v>44</v>
      </c>
      <c r="P102" s="67">
        <f>uurtarief45</f>
        <v>0</v>
      </c>
      <c r="Q102" s="64" t="e">
        <f t="shared" si="19"/>
        <v>#DIV/0!</v>
      </c>
      <c r="R102" s="64" t="e">
        <f t="shared" si="20"/>
        <v>#DIV/0!</v>
      </c>
      <c r="S102" s="67" t="e">
        <f t="shared" si="21"/>
        <v>#DIV/0!</v>
      </c>
      <c r="T102" s="64" t="e">
        <f t="shared" si="22"/>
        <v>#DIV/0!</v>
      </c>
      <c r="U102" s="68" t="e">
        <f t="shared" si="23"/>
        <v>#DIV/0!</v>
      </c>
    </row>
    <row r="103" spans="1:21" x14ac:dyDescent="0.2">
      <c r="A103" s="61" t="s">
        <v>208</v>
      </c>
      <c r="B103" s="62" t="s">
        <v>320</v>
      </c>
      <c r="C103" s="62" t="s">
        <v>267</v>
      </c>
      <c r="D103" s="62" t="s">
        <v>385</v>
      </c>
      <c r="E103" s="62" t="s">
        <v>209</v>
      </c>
      <c r="F103" s="63" t="s">
        <v>366</v>
      </c>
      <c r="G103" s="62" t="s">
        <v>213</v>
      </c>
      <c r="H103" s="62" t="s">
        <v>185</v>
      </c>
      <c r="I103" s="62" t="s">
        <v>16</v>
      </c>
      <c r="J103" s="62" t="s">
        <v>140</v>
      </c>
      <c r="K103" s="64">
        <v>10</v>
      </c>
      <c r="L103" s="64">
        <f t="shared" si="18"/>
        <v>4</v>
      </c>
      <c r="M103" s="65">
        <f>prodnorm37</f>
        <v>0</v>
      </c>
      <c r="N103" s="66">
        <f>dagwerk37</f>
        <v>0</v>
      </c>
      <c r="O103" s="62" t="s">
        <v>44</v>
      </c>
      <c r="P103" s="67">
        <f>uurtarief37</f>
        <v>0</v>
      </c>
      <c r="Q103" s="64" t="e">
        <f t="shared" si="19"/>
        <v>#DIV/0!</v>
      </c>
      <c r="R103" s="64" t="e">
        <f t="shared" si="20"/>
        <v>#DIV/0!</v>
      </c>
      <c r="S103" s="67" t="e">
        <f t="shared" si="21"/>
        <v>#DIV/0!</v>
      </c>
      <c r="T103" s="64" t="e">
        <f t="shared" si="22"/>
        <v>#DIV/0!</v>
      </c>
      <c r="U103" s="68" t="e">
        <f t="shared" si="23"/>
        <v>#DIV/0!</v>
      </c>
    </row>
    <row r="104" spans="1:21" x14ac:dyDescent="0.2">
      <c r="A104" s="61" t="s">
        <v>208</v>
      </c>
      <c r="B104" s="62" t="s">
        <v>320</v>
      </c>
      <c r="C104" s="62" t="s">
        <v>267</v>
      </c>
      <c r="D104" s="62" t="s">
        <v>386</v>
      </c>
      <c r="E104" s="62" t="s">
        <v>209</v>
      </c>
      <c r="F104" s="63" t="s">
        <v>387</v>
      </c>
      <c r="G104" s="62" t="s">
        <v>234</v>
      </c>
      <c r="H104" s="62" t="s">
        <v>192</v>
      </c>
      <c r="I104" s="62" t="s">
        <v>16</v>
      </c>
      <c r="J104" s="62" t="s">
        <v>140</v>
      </c>
      <c r="K104" s="64">
        <v>6.4</v>
      </c>
      <c r="L104" s="64">
        <f t="shared" si="18"/>
        <v>2.5600000000000005</v>
      </c>
      <c r="M104" s="65">
        <f>prodnorm44</f>
        <v>0</v>
      </c>
      <c r="N104" s="66">
        <f>dagwerk44</f>
        <v>0</v>
      </c>
      <c r="O104" s="62" t="s">
        <v>44</v>
      </c>
      <c r="P104" s="67">
        <f>uurtarief44</f>
        <v>0</v>
      </c>
      <c r="Q104" s="64" t="e">
        <f t="shared" si="19"/>
        <v>#DIV/0!</v>
      </c>
      <c r="R104" s="64" t="e">
        <f t="shared" si="20"/>
        <v>#DIV/0!</v>
      </c>
      <c r="S104" s="67" t="e">
        <f t="shared" si="21"/>
        <v>#DIV/0!</v>
      </c>
      <c r="T104" s="64" t="e">
        <f t="shared" si="22"/>
        <v>#DIV/0!</v>
      </c>
      <c r="U104" s="68" t="e">
        <f t="shared" si="23"/>
        <v>#DIV/0!</v>
      </c>
    </row>
    <row r="105" spans="1:21" x14ac:dyDescent="0.2">
      <c r="A105" s="61" t="s">
        <v>208</v>
      </c>
      <c r="B105" s="62" t="s">
        <v>320</v>
      </c>
      <c r="C105" s="62" t="s">
        <v>267</v>
      </c>
      <c r="D105" s="62" t="s">
        <v>388</v>
      </c>
      <c r="E105" s="62" t="s">
        <v>209</v>
      </c>
      <c r="F105" s="63" t="s">
        <v>257</v>
      </c>
      <c r="G105" s="62" t="s">
        <v>234</v>
      </c>
      <c r="H105" s="62" t="s">
        <v>186</v>
      </c>
      <c r="I105" s="62" t="s">
        <v>16</v>
      </c>
      <c r="J105" s="62" t="s">
        <v>140</v>
      </c>
      <c r="K105" s="64">
        <v>4</v>
      </c>
      <c r="L105" s="64">
        <f t="shared" si="18"/>
        <v>1.6</v>
      </c>
      <c r="M105" s="65">
        <f>prodnorm38</f>
        <v>0</v>
      </c>
      <c r="N105" s="66">
        <f>dagwerk38</f>
        <v>0</v>
      </c>
      <c r="O105" s="62" t="s">
        <v>44</v>
      </c>
      <c r="P105" s="67">
        <f>uurtarief38</f>
        <v>0</v>
      </c>
      <c r="Q105" s="64" t="e">
        <f t="shared" si="19"/>
        <v>#DIV/0!</v>
      </c>
      <c r="R105" s="64" t="e">
        <f t="shared" si="20"/>
        <v>#DIV/0!</v>
      </c>
      <c r="S105" s="67" t="e">
        <f t="shared" si="21"/>
        <v>#DIV/0!</v>
      </c>
      <c r="T105" s="64" t="e">
        <f t="shared" si="22"/>
        <v>#DIV/0!</v>
      </c>
      <c r="U105" s="68" t="e">
        <f t="shared" si="23"/>
        <v>#DIV/0!</v>
      </c>
    </row>
    <row r="106" spans="1:21" x14ac:dyDescent="0.2">
      <c r="A106" s="61" t="s">
        <v>208</v>
      </c>
      <c r="B106" s="62" t="s">
        <v>320</v>
      </c>
      <c r="C106" s="62" t="s">
        <v>267</v>
      </c>
      <c r="D106" s="62" t="s">
        <v>389</v>
      </c>
      <c r="E106" s="62" t="s">
        <v>209</v>
      </c>
      <c r="F106" s="63" t="s">
        <v>215</v>
      </c>
      <c r="G106" s="62" t="s">
        <v>213</v>
      </c>
      <c r="H106" s="62" t="s">
        <v>194</v>
      </c>
      <c r="I106" s="62" t="s">
        <v>16</v>
      </c>
      <c r="J106" s="62" t="s">
        <v>140</v>
      </c>
      <c r="K106" s="64">
        <v>50.4</v>
      </c>
      <c r="L106" s="64">
        <f t="shared" si="18"/>
        <v>20.16</v>
      </c>
      <c r="M106" s="65">
        <f>prodnorm46</f>
        <v>0</v>
      </c>
      <c r="N106" s="66">
        <f>dagwerk46</f>
        <v>0</v>
      </c>
      <c r="O106" s="62" t="s">
        <v>44</v>
      </c>
      <c r="P106" s="67">
        <f>uurtarief46</f>
        <v>0</v>
      </c>
      <c r="Q106" s="64" t="e">
        <f t="shared" si="19"/>
        <v>#DIV/0!</v>
      </c>
      <c r="R106" s="64" t="e">
        <f t="shared" si="20"/>
        <v>#DIV/0!</v>
      </c>
      <c r="S106" s="67" t="e">
        <f t="shared" si="21"/>
        <v>#DIV/0!</v>
      </c>
      <c r="T106" s="64" t="e">
        <f t="shared" si="22"/>
        <v>#DIV/0!</v>
      </c>
      <c r="U106" s="68" t="e">
        <f t="shared" si="23"/>
        <v>#DIV/0!</v>
      </c>
    </row>
    <row r="107" spans="1:21" x14ac:dyDescent="0.2">
      <c r="A107" s="61" t="s">
        <v>208</v>
      </c>
      <c r="B107" s="62" t="s">
        <v>320</v>
      </c>
      <c r="C107" s="62" t="s">
        <v>267</v>
      </c>
      <c r="D107" s="62" t="s">
        <v>390</v>
      </c>
      <c r="E107" s="62" t="s">
        <v>209</v>
      </c>
      <c r="F107" s="63" t="s">
        <v>351</v>
      </c>
      <c r="G107" s="62" t="s">
        <v>234</v>
      </c>
      <c r="H107" s="62" t="s">
        <v>192</v>
      </c>
      <c r="I107" s="62" t="s">
        <v>16</v>
      </c>
      <c r="J107" s="62" t="s">
        <v>140</v>
      </c>
      <c r="K107" s="64">
        <v>1.1000000000000001</v>
      </c>
      <c r="L107" s="64">
        <f t="shared" si="18"/>
        <v>0.44000000000000006</v>
      </c>
      <c r="M107" s="65">
        <f>prodnorm44</f>
        <v>0</v>
      </c>
      <c r="N107" s="66">
        <f>dagwerk44</f>
        <v>0</v>
      </c>
      <c r="O107" s="62" t="s">
        <v>44</v>
      </c>
      <c r="P107" s="67">
        <f>uurtarief44</f>
        <v>0</v>
      </c>
      <c r="Q107" s="64" t="e">
        <f t="shared" si="19"/>
        <v>#DIV/0!</v>
      </c>
      <c r="R107" s="64" t="e">
        <f t="shared" si="20"/>
        <v>#DIV/0!</v>
      </c>
      <c r="S107" s="67" t="e">
        <f t="shared" si="21"/>
        <v>#DIV/0!</v>
      </c>
      <c r="T107" s="64" t="e">
        <f t="shared" si="22"/>
        <v>#DIV/0!</v>
      </c>
      <c r="U107" s="68" t="e">
        <f t="shared" si="23"/>
        <v>#DIV/0!</v>
      </c>
    </row>
    <row r="108" spans="1:21" x14ac:dyDescent="0.2">
      <c r="A108" s="61" t="s">
        <v>208</v>
      </c>
      <c r="B108" s="62" t="s">
        <v>320</v>
      </c>
      <c r="C108" s="62" t="s">
        <v>267</v>
      </c>
      <c r="D108" s="62" t="s">
        <v>391</v>
      </c>
      <c r="E108" s="62" t="s">
        <v>209</v>
      </c>
      <c r="F108" s="63" t="s">
        <v>392</v>
      </c>
      <c r="G108" s="62" t="s">
        <v>213</v>
      </c>
      <c r="H108" s="62" t="s">
        <v>189</v>
      </c>
      <c r="I108" s="62" t="s">
        <v>16</v>
      </c>
      <c r="J108" s="62" t="s">
        <v>140</v>
      </c>
      <c r="K108" s="64">
        <v>12</v>
      </c>
      <c r="L108" s="64">
        <f t="shared" si="18"/>
        <v>4.8000000000000007</v>
      </c>
      <c r="M108" s="65">
        <f>prodnorm41</f>
        <v>0</v>
      </c>
      <c r="N108" s="66">
        <f>dagwerk41</f>
        <v>0</v>
      </c>
      <c r="O108" s="62" t="s">
        <v>44</v>
      </c>
      <c r="P108" s="67">
        <f>uurtarief41</f>
        <v>0</v>
      </c>
      <c r="Q108" s="64" t="e">
        <f t="shared" si="19"/>
        <v>#DIV/0!</v>
      </c>
      <c r="R108" s="64" t="e">
        <f t="shared" si="20"/>
        <v>#DIV/0!</v>
      </c>
      <c r="S108" s="67" t="e">
        <f t="shared" si="21"/>
        <v>#DIV/0!</v>
      </c>
      <c r="T108" s="64" t="e">
        <f t="shared" si="22"/>
        <v>#DIV/0!</v>
      </c>
      <c r="U108" s="68" t="e">
        <f t="shared" si="23"/>
        <v>#DIV/0!</v>
      </c>
    </row>
    <row r="109" spans="1:21" x14ac:dyDescent="0.2">
      <c r="A109" s="61" t="s">
        <v>208</v>
      </c>
      <c r="B109" s="62" t="s">
        <v>320</v>
      </c>
      <c r="C109" s="62" t="s">
        <v>267</v>
      </c>
      <c r="D109" s="62" t="s">
        <v>393</v>
      </c>
      <c r="E109" s="62" t="s">
        <v>209</v>
      </c>
      <c r="F109" s="63" t="s">
        <v>257</v>
      </c>
      <c r="G109" s="62" t="s">
        <v>234</v>
      </c>
      <c r="H109" s="62" t="s">
        <v>186</v>
      </c>
      <c r="I109" s="62" t="s">
        <v>16</v>
      </c>
      <c r="J109" s="62" t="s">
        <v>140</v>
      </c>
      <c r="K109" s="64">
        <v>2</v>
      </c>
      <c r="L109" s="64">
        <f t="shared" si="18"/>
        <v>0.8</v>
      </c>
      <c r="M109" s="65">
        <f>prodnorm38</f>
        <v>0</v>
      </c>
      <c r="N109" s="66">
        <f>dagwerk38</f>
        <v>0</v>
      </c>
      <c r="O109" s="62" t="s">
        <v>44</v>
      </c>
      <c r="P109" s="67">
        <f>uurtarief38</f>
        <v>0</v>
      </c>
      <c r="Q109" s="64" t="e">
        <f t="shared" si="19"/>
        <v>#DIV/0!</v>
      </c>
      <c r="R109" s="64" t="e">
        <f t="shared" si="20"/>
        <v>#DIV/0!</v>
      </c>
      <c r="S109" s="67" t="e">
        <f t="shared" si="21"/>
        <v>#DIV/0!</v>
      </c>
      <c r="T109" s="64" t="e">
        <f t="shared" si="22"/>
        <v>#DIV/0!</v>
      </c>
      <c r="U109" s="68" t="e">
        <f t="shared" si="23"/>
        <v>#DIV/0!</v>
      </c>
    </row>
    <row r="110" spans="1:21" x14ac:dyDescent="0.2">
      <c r="A110" s="61" t="s">
        <v>208</v>
      </c>
      <c r="B110" s="62" t="s">
        <v>320</v>
      </c>
      <c r="C110" s="62" t="s">
        <v>267</v>
      </c>
      <c r="D110" s="62" t="s">
        <v>394</v>
      </c>
      <c r="E110" s="62" t="s">
        <v>209</v>
      </c>
      <c r="F110" s="63" t="s">
        <v>373</v>
      </c>
      <c r="G110" s="62" t="s">
        <v>213</v>
      </c>
      <c r="H110" s="62" t="s">
        <v>189</v>
      </c>
      <c r="I110" s="62" t="s">
        <v>16</v>
      </c>
      <c r="J110" s="62" t="s">
        <v>140</v>
      </c>
      <c r="K110" s="64">
        <v>26</v>
      </c>
      <c r="L110" s="64">
        <f t="shared" si="18"/>
        <v>10.4</v>
      </c>
      <c r="M110" s="65">
        <f>prodnorm41</f>
        <v>0</v>
      </c>
      <c r="N110" s="66">
        <f>dagwerk41</f>
        <v>0</v>
      </c>
      <c r="O110" s="62" t="s">
        <v>44</v>
      </c>
      <c r="P110" s="67">
        <f>uurtarief41</f>
        <v>0</v>
      </c>
      <c r="Q110" s="64" t="e">
        <f t="shared" si="19"/>
        <v>#DIV/0!</v>
      </c>
      <c r="R110" s="64" t="e">
        <f t="shared" si="20"/>
        <v>#DIV/0!</v>
      </c>
      <c r="S110" s="67" t="e">
        <f t="shared" si="21"/>
        <v>#DIV/0!</v>
      </c>
      <c r="T110" s="64" t="e">
        <f t="shared" si="22"/>
        <v>#DIV/0!</v>
      </c>
      <c r="U110" s="68" t="e">
        <f t="shared" si="23"/>
        <v>#DIV/0!</v>
      </c>
    </row>
    <row r="111" spans="1:21" x14ac:dyDescent="0.2">
      <c r="A111" s="61" t="s">
        <v>208</v>
      </c>
      <c r="B111" s="62" t="s">
        <v>320</v>
      </c>
      <c r="C111" s="62" t="s">
        <v>267</v>
      </c>
      <c r="D111" s="62" t="s">
        <v>395</v>
      </c>
      <c r="E111" s="62" t="s">
        <v>209</v>
      </c>
      <c r="F111" s="63" t="s">
        <v>254</v>
      </c>
      <c r="G111" s="62" t="s">
        <v>234</v>
      </c>
      <c r="H111" s="62" t="s">
        <v>192</v>
      </c>
      <c r="I111" s="62" t="s">
        <v>16</v>
      </c>
      <c r="J111" s="62" t="s">
        <v>140</v>
      </c>
      <c r="K111" s="64">
        <v>2</v>
      </c>
      <c r="L111" s="64">
        <f t="shared" si="18"/>
        <v>0.8</v>
      </c>
      <c r="M111" s="65">
        <f>prodnorm44</f>
        <v>0</v>
      </c>
      <c r="N111" s="66">
        <f>dagwerk44</f>
        <v>0</v>
      </c>
      <c r="O111" s="62" t="s">
        <v>44</v>
      </c>
      <c r="P111" s="67">
        <f>uurtarief44</f>
        <v>0</v>
      </c>
      <c r="Q111" s="64" t="e">
        <f t="shared" si="19"/>
        <v>#DIV/0!</v>
      </c>
      <c r="R111" s="64" t="e">
        <f t="shared" si="20"/>
        <v>#DIV/0!</v>
      </c>
      <c r="S111" s="67" t="e">
        <f t="shared" si="21"/>
        <v>#DIV/0!</v>
      </c>
      <c r="T111" s="64" t="e">
        <f t="shared" si="22"/>
        <v>#DIV/0!</v>
      </c>
      <c r="U111" s="68" t="e">
        <f t="shared" si="23"/>
        <v>#DIV/0!</v>
      </c>
    </row>
    <row r="112" spans="1:21" x14ac:dyDescent="0.2">
      <c r="A112" s="61" t="s">
        <v>208</v>
      </c>
      <c r="B112" s="62" t="s">
        <v>320</v>
      </c>
      <c r="C112" s="62" t="s">
        <v>267</v>
      </c>
      <c r="D112" s="62" t="s">
        <v>396</v>
      </c>
      <c r="E112" s="62" t="s">
        <v>209</v>
      </c>
      <c r="F112" s="63" t="s">
        <v>261</v>
      </c>
      <c r="G112" s="62" t="s">
        <v>234</v>
      </c>
      <c r="H112" s="62" t="s">
        <v>190</v>
      </c>
      <c r="I112" s="62" t="s">
        <v>16</v>
      </c>
      <c r="J112" s="62" t="s">
        <v>140</v>
      </c>
      <c r="K112" s="64">
        <v>10.8</v>
      </c>
      <c r="L112" s="64">
        <f t="shared" si="18"/>
        <v>4.32</v>
      </c>
      <c r="M112" s="65">
        <f>prodnorm42</f>
        <v>0</v>
      </c>
      <c r="N112" s="66">
        <f>dagwerk42</f>
        <v>0</v>
      </c>
      <c r="O112" s="62" t="s">
        <v>44</v>
      </c>
      <c r="P112" s="67">
        <f>uurtarief42</f>
        <v>0</v>
      </c>
      <c r="Q112" s="64" t="e">
        <f t="shared" si="19"/>
        <v>#DIV/0!</v>
      </c>
      <c r="R112" s="64" t="e">
        <f t="shared" si="20"/>
        <v>#DIV/0!</v>
      </c>
      <c r="S112" s="67" t="e">
        <f t="shared" si="21"/>
        <v>#DIV/0!</v>
      </c>
      <c r="T112" s="64" t="e">
        <f t="shared" si="22"/>
        <v>#DIV/0!</v>
      </c>
      <c r="U112" s="68" t="e">
        <f t="shared" si="23"/>
        <v>#DIV/0!</v>
      </c>
    </row>
    <row r="113" spans="1:21" x14ac:dyDescent="0.2">
      <c r="A113" s="61" t="s">
        <v>208</v>
      </c>
      <c r="B113" s="62" t="s">
        <v>320</v>
      </c>
      <c r="C113" s="62" t="s">
        <v>267</v>
      </c>
      <c r="D113" s="62" t="s">
        <v>397</v>
      </c>
      <c r="E113" s="62" t="s">
        <v>209</v>
      </c>
      <c r="F113" s="63" t="s">
        <v>259</v>
      </c>
      <c r="G113" s="62" t="s">
        <v>213</v>
      </c>
      <c r="H113" s="62" t="s">
        <v>186</v>
      </c>
      <c r="I113" s="62" t="s">
        <v>16</v>
      </c>
      <c r="J113" s="62" t="s">
        <v>140</v>
      </c>
      <c r="K113" s="64">
        <v>12</v>
      </c>
      <c r="L113" s="64">
        <f t="shared" si="18"/>
        <v>4.8000000000000007</v>
      </c>
      <c r="M113" s="65">
        <f>prodnorm38</f>
        <v>0</v>
      </c>
      <c r="N113" s="66">
        <f>dagwerk38</f>
        <v>0</v>
      </c>
      <c r="O113" s="62" t="s">
        <v>44</v>
      </c>
      <c r="P113" s="67">
        <f>uurtarief38</f>
        <v>0</v>
      </c>
      <c r="Q113" s="64" t="e">
        <f t="shared" si="19"/>
        <v>#DIV/0!</v>
      </c>
      <c r="R113" s="64" t="e">
        <f t="shared" si="20"/>
        <v>#DIV/0!</v>
      </c>
      <c r="S113" s="67" t="e">
        <f t="shared" si="21"/>
        <v>#DIV/0!</v>
      </c>
      <c r="T113" s="64" t="e">
        <f t="shared" si="22"/>
        <v>#DIV/0!</v>
      </c>
      <c r="U113" s="68" t="e">
        <f t="shared" si="23"/>
        <v>#DIV/0!</v>
      </c>
    </row>
    <row r="114" spans="1:21" x14ac:dyDescent="0.2">
      <c r="A114" s="61" t="s">
        <v>208</v>
      </c>
      <c r="B114" s="62" t="s">
        <v>320</v>
      </c>
      <c r="C114" s="62" t="s">
        <v>267</v>
      </c>
      <c r="D114" s="62" t="s">
        <v>398</v>
      </c>
      <c r="E114" s="62" t="s">
        <v>209</v>
      </c>
      <c r="F114" s="63" t="s">
        <v>254</v>
      </c>
      <c r="G114" s="62" t="s">
        <v>234</v>
      </c>
      <c r="H114" s="62" t="s">
        <v>192</v>
      </c>
      <c r="I114" s="62" t="s">
        <v>16</v>
      </c>
      <c r="J114" s="62" t="s">
        <v>140</v>
      </c>
      <c r="K114" s="64">
        <v>2</v>
      </c>
      <c r="L114" s="64">
        <f t="shared" si="18"/>
        <v>0.8</v>
      </c>
      <c r="M114" s="65">
        <f>prodnorm44</f>
        <v>0</v>
      </c>
      <c r="N114" s="66">
        <f>dagwerk44</f>
        <v>0</v>
      </c>
      <c r="O114" s="62" t="s">
        <v>44</v>
      </c>
      <c r="P114" s="67">
        <f>uurtarief44</f>
        <v>0</v>
      </c>
      <c r="Q114" s="64" t="e">
        <f t="shared" si="19"/>
        <v>#DIV/0!</v>
      </c>
      <c r="R114" s="64" t="e">
        <f t="shared" si="20"/>
        <v>#DIV/0!</v>
      </c>
      <c r="S114" s="67" t="e">
        <f t="shared" si="21"/>
        <v>#DIV/0!</v>
      </c>
      <c r="T114" s="64" t="e">
        <f t="shared" si="22"/>
        <v>#DIV/0!</v>
      </c>
      <c r="U114" s="68" t="e">
        <f t="shared" si="23"/>
        <v>#DIV/0!</v>
      </c>
    </row>
    <row r="115" spans="1:21" x14ac:dyDescent="0.2">
      <c r="A115" s="61" t="s">
        <v>208</v>
      </c>
      <c r="B115" s="62" t="s">
        <v>320</v>
      </c>
      <c r="C115" s="62" t="s">
        <v>267</v>
      </c>
      <c r="D115" s="62" t="s">
        <v>399</v>
      </c>
      <c r="E115" s="62" t="s">
        <v>209</v>
      </c>
      <c r="F115" s="63" t="s">
        <v>257</v>
      </c>
      <c r="G115" s="62" t="s">
        <v>234</v>
      </c>
      <c r="H115" s="62" t="s">
        <v>186</v>
      </c>
      <c r="I115" s="62" t="s">
        <v>16</v>
      </c>
      <c r="J115" s="62" t="s">
        <v>140</v>
      </c>
      <c r="K115" s="64">
        <v>2</v>
      </c>
      <c r="L115" s="64">
        <f t="shared" si="18"/>
        <v>0.8</v>
      </c>
      <c r="M115" s="65">
        <f>prodnorm38</f>
        <v>0</v>
      </c>
      <c r="N115" s="66">
        <f>dagwerk38</f>
        <v>0</v>
      </c>
      <c r="O115" s="62" t="s">
        <v>44</v>
      </c>
      <c r="P115" s="67">
        <f>uurtarief38</f>
        <v>0</v>
      </c>
      <c r="Q115" s="64" t="e">
        <f t="shared" si="19"/>
        <v>#DIV/0!</v>
      </c>
      <c r="R115" s="64" t="e">
        <f t="shared" si="20"/>
        <v>#DIV/0!</v>
      </c>
      <c r="S115" s="67" t="e">
        <f t="shared" si="21"/>
        <v>#DIV/0!</v>
      </c>
      <c r="T115" s="64" t="e">
        <f t="shared" si="22"/>
        <v>#DIV/0!</v>
      </c>
      <c r="U115" s="68" t="e">
        <f t="shared" si="23"/>
        <v>#DIV/0!</v>
      </c>
    </row>
    <row r="116" spans="1:21" x14ac:dyDescent="0.2">
      <c r="A116" s="61" t="s">
        <v>208</v>
      </c>
      <c r="B116" s="62" t="s">
        <v>320</v>
      </c>
      <c r="C116" s="62" t="s">
        <v>267</v>
      </c>
      <c r="D116" s="62" t="s">
        <v>400</v>
      </c>
      <c r="E116" s="62" t="s">
        <v>209</v>
      </c>
      <c r="F116" s="63" t="s">
        <v>254</v>
      </c>
      <c r="G116" s="62" t="s">
        <v>234</v>
      </c>
      <c r="H116" s="62" t="s">
        <v>192</v>
      </c>
      <c r="I116" s="62" t="s">
        <v>16</v>
      </c>
      <c r="J116" s="62" t="s">
        <v>140</v>
      </c>
      <c r="K116" s="64">
        <v>2.5</v>
      </c>
      <c r="L116" s="64">
        <f t="shared" si="18"/>
        <v>1</v>
      </c>
      <c r="M116" s="65">
        <f>prodnorm44</f>
        <v>0</v>
      </c>
      <c r="N116" s="66">
        <f>dagwerk44</f>
        <v>0</v>
      </c>
      <c r="O116" s="62" t="s">
        <v>44</v>
      </c>
      <c r="P116" s="67">
        <f>uurtarief44</f>
        <v>0</v>
      </c>
      <c r="Q116" s="64" t="e">
        <f t="shared" si="19"/>
        <v>#DIV/0!</v>
      </c>
      <c r="R116" s="64" t="e">
        <f t="shared" si="20"/>
        <v>#DIV/0!</v>
      </c>
      <c r="S116" s="67" t="e">
        <f t="shared" si="21"/>
        <v>#DIV/0!</v>
      </c>
      <c r="T116" s="64" t="e">
        <f t="shared" si="22"/>
        <v>#DIV/0!</v>
      </c>
      <c r="U116" s="68" t="e">
        <f t="shared" si="23"/>
        <v>#DIV/0!</v>
      </c>
    </row>
    <row r="117" spans="1:21" x14ac:dyDescent="0.2">
      <c r="A117" s="61" t="s">
        <v>208</v>
      </c>
      <c r="B117" s="62" t="s">
        <v>320</v>
      </c>
      <c r="C117" s="62" t="s">
        <v>267</v>
      </c>
      <c r="D117" s="62" t="s">
        <v>401</v>
      </c>
      <c r="E117" s="62" t="s">
        <v>209</v>
      </c>
      <c r="F117" s="63" t="s">
        <v>257</v>
      </c>
      <c r="G117" s="62" t="s">
        <v>234</v>
      </c>
      <c r="H117" s="62" t="s">
        <v>186</v>
      </c>
      <c r="I117" s="62" t="s">
        <v>16</v>
      </c>
      <c r="J117" s="62" t="s">
        <v>140</v>
      </c>
      <c r="K117" s="64">
        <v>2</v>
      </c>
      <c r="L117" s="64">
        <f t="shared" si="18"/>
        <v>0.8</v>
      </c>
      <c r="M117" s="65">
        <f>prodnorm38</f>
        <v>0</v>
      </c>
      <c r="N117" s="66">
        <f>dagwerk38</f>
        <v>0</v>
      </c>
      <c r="O117" s="62" t="s">
        <v>44</v>
      </c>
      <c r="P117" s="67">
        <f>uurtarief38</f>
        <v>0</v>
      </c>
      <c r="Q117" s="64" t="e">
        <f t="shared" si="19"/>
        <v>#DIV/0!</v>
      </c>
      <c r="R117" s="64" t="e">
        <f t="shared" si="20"/>
        <v>#DIV/0!</v>
      </c>
      <c r="S117" s="67" t="e">
        <f t="shared" si="21"/>
        <v>#DIV/0!</v>
      </c>
      <c r="T117" s="64" t="e">
        <f t="shared" si="22"/>
        <v>#DIV/0!</v>
      </c>
      <c r="U117" s="68" t="e">
        <f t="shared" si="23"/>
        <v>#DIV/0!</v>
      </c>
    </row>
    <row r="118" spans="1:21" x14ac:dyDescent="0.2">
      <c r="A118" s="61" t="s">
        <v>208</v>
      </c>
      <c r="B118" s="62" t="s">
        <v>320</v>
      </c>
      <c r="C118" s="62" t="s">
        <v>267</v>
      </c>
      <c r="D118" s="62" t="s">
        <v>402</v>
      </c>
      <c r="E118" s="62" t="s">
        <v>209</v>
      </c>
      <c r="F118" s="63" t="s">
        <v>254</v>
      </c>
      <c r="G118" s="62" t="s">
        <v>234</v>
      </c>
      <c r="H118" s="62" t="s">
        <v>192</v>
      </c>
      <c r="I118" s="62" t="s">
        <v>16</v>
      </c>
      <c r="J118" s="62" t="s">
        <v>140</v>
      </c>
      <c r="K118" s="64">
        <v>2.2000000000000002</v>
      </c>
      <c r="L118" s="64">
        <f t="shared" si="18"/>
        <v>0.88000000000000012</v>
      </c>
      <c r="M118" s="65">
        <f>prodnorm44</f>
        <v>0</v>
      </c>
      <c r="N118" s="66">
        <f>dagwerk44</f>
        <v>0</v>
      </c>
      <c r="O118" s="62" t="s">
        <v>44</v>
      </c>
      <c r="P118" s="67">
        <f>uurtarief44</f>
        <v>0</v>
      </c>
      <c r="Q118" s="64" t="e">
        <f t="shared" si="19"/>
        <v>#DIV/0!</v>
      </c>
      <c r="R118" s="64" t="e">
        <f t="shared" si="20"/>
        <v>#DIV/0!</v>
      </c>
      <c r="S118" s="67" t="e">
        <f t="shared" si="21"/>
        <v>#DIV/0!</v>
      </c>
      <c r="T118" s="64" t="e">
        <f t="shared" si="22"/>
        <v>#DIV/0!</v>
      </c>
      <c r="U118" s="68" t="e">
        <f t="shared" si="23"/>
        <v>#DIV/0!</v>
      </c>
    </row>
    <row r="119" spans="1:21" x14ac:dyDescent="0.2">
      <c r="A119" s="61" t="s">
        <v>208</v>
      </c>
      <c r="B119" s="62" t="s">
        <v>320</v>
      </c>
      <c r="C119" s="62" t="s">
        <v>267</v>
      </c>
      <c r="D119" s="62" t="s">
        <v>403</v>
      </c>
      <c r="E119" s="62" t="s">
        <v>209</v>
      </c>
      <c r="F119" s="63" t="s">
        <v>257</v>
      </c>
      <c r="G119" s="62" t="s">
        <v>234</v>
      </c>
      <c r="H119" s="62" t="s">
        <v>186</v>
      </c>
      <c r="I119" s="62" t="s">
        <v>16</v>
      </c>
      <c r="J119" s="62" t="s">
        <v>140</v>
      </c>
      <c r="K119" s="64">
        <v>2</v>
      </c>
      <c r="L119" s="64">
        <f t="shared" si="18"/>
        <v>0.8</v>
      </c>
      <c r="M119" s="65">
        <f>prodnorm38</f>
        <v>0</v>
      </c>
      <c r="N119" s="66">
        <f>dagwerk38</f>
        <v>0</v>
      </c>
      <c r="O119" s="62" t="s">
        <v>44</v>
      </c>
      <c r="P119" s="67">
        <f>uurtarief38</f>
        <v>0</v>
      </c>
      <c r="Q119" s="64" t="e">
        <f t="shared" si="19"/>
        <v>#DIV/0!</v>
      </c>
      <c r="R119" s="64" t="e">
        <f t="shared" si="20"/>
        <v>#DIV/0!</v>
      </c>
      <c r="S119" s="67" t="e">
        <f t="shared" si="21"/>
        <v>#DIV/0!</v>
      </c>
      <c r="T119" s="64" t="e">
        <f t="shared" si="22"/>
        <v>#DIV/0!</v>
      </c>
      <c r="U119" s="68" t="e">
        <f t="shared" si="23"/>
        <v>#DIV/0!</v>
      </c>
    </row>
    <row r="120" spans="1:21" x14ac:dyDescent="0.2">
      <c r="A120" s="61" t="s">
        <v>208</v>
      </c>
      <c r="B120" s="62" t="s">
        <v>320</v>
      </c>
      <c r="C120" s="62" t="s">
        <v>267</v>
      </c>
      <c r="D120" s="62" t="s">
        <v>404</v>
      </c>
      <c r="E120" s="62" t="s">
        <v>209</v>
      </c>
      <c r="F120" s="63" t="s">
        <v>215</v>
      </c>
      <c r="G120" s="62" t="s">
        <v>213</v>
      </c>
      <c r="H120" s="62" t="s">
        <v>194</v>
      </c>
      <c r="I120" s="62" t="s">
        <v>16</v>
      </c>
      <c r="J120" s="62" t="s">
        <v>140</v>
      </c>
      <c r="K120" s="64">
        <v>70.599999999999994</v>
      </c>
      <c r="L120" s="64">
        <f t="shared" si="18"/>
        <v>28.24</v>
      </c>
      <c r="M120" s="65">
        <f>prodnorm46</f>
        <v>0</v>
      </c>
      <c r="N120" s="66">
        <f>dagwerk46</f>
        <v>0</v>
      </c>
      <c r="O120" s="62" t="s">
        <v>44</v>
      </c>
      <c r="P120" s="67">
        <f>uurtarief46</f>
        <v>0</v>
      </c>
      <c r="Q120" s="64" t="e">
        <f t="shared" si="19"/>
        <v>#DIV/0!</v>
      </c>
      <c r="R120" s="64" t="e">
        <f t="shared" si="20"/>
        <v>#DIV/0!</v>
      </c>
      <c r="S120" s="67" t="e">
        <f t="shared" si="21"/>
        <v>#DIV/0!</v>
      </c>
      <c r="T120" s="64" t="e">
        <f t="shared" si="22"/>
        <v>#DIV/0!</v>
      </c>
      <c r="U120" s="68" t="e">
        <f t="shared" si="23"/>
        <v>#DIV/0!</v>
      </c>
    </row>
    <row r="121" spans="1:21" x14ac:dyDescent="0.2">
      <c r="A121" s="61" t="s">
        <v>208</v>
      </c>
      <c r="B121" s="62" t="s">
        <v>320</v>
      </c>
      <c r="C121" s="62" t="s">
        <v>280</v>
      </c>
      <c r="D121" s="62" t="s">
        <v>405</v>
      </c>
      <c r="E121" s="62" t="s">
        <v>209</v>
      </c>
      <c r="F121" s="63" t="s">
        <v>212</v>
      </c>
      <c r="G121" s="62" t="s">
        <v>213</v>
      </c>
      <c r="H121" s="62" t="s">
        <v>193</v>
      </c>
      <c r="I121" s="62" t="s">
        <v>16</v>
      </c>
      <c r="J121" s="62" t="s">
        <v>140</v>
      </c>
      <c r="K121" s="64">
        <v>48.7</v>
      </c>
      <c r="L121" s="64">
        <f t="shared" si="18"/>
        <v>19.480000000000004</v>
      </c>
      <c r="M121" s="65">
        <f>prodnorm45</f>
        <v>0</v>
      </c>
      <c r="N121" s="66">
        <f>dagwerk45</f>
        <v>0</v>
      </c>
      <c r="O121" s="62" t="s">
        <v>44</v>
      </c>
      <c r="P121" s="67">
        <f>uurtarief45</f>
        <v>0</v>
      </c>
      <c r="Q121" s="64" t="e">
        <f t="shared" si="19"/>
        <v>#DIV/0!</v>
      </c>
      <c r="R121" s="64" t="e">
        <f t="shared" si="20"/>
        <v>#DIV/0!</v>
      </c>
      <c r="S121" s="67" t="e">
        <f t="shared" si="21"/>
        <v>#DIV/0!</v>
      </c>
      <c r="T121" s="64" t="e">
        <f t="shared" si="22"/>
        <v>#DIV/0!</v>
      </c>
      <c r="U121" s="68" t="e">
        <f t="shared" si="23"/>
        <v>#DIV/0!</v>
      </c>
    </row>
    <row r="122" spans="1:21" x14ac:dyDescent="0.2">
      <c r="A122" s="61" t="s">
        <v>208</v>
      </c>
      <c r="B122" s="62" t="s">
        <v>320</v>
      </c>
      <c r="C122" s="62" t="s">
        <v>280</v>
      </c>
      <c r="D122" s="62" t="s">
        <v>407</v>
      </c>
      <c r="E122" s="62" t="s">
        <v>209</v>
      </c>
      <c r="F122" s="63" t="s">
        <v>387</v>
      </c>
      <c r="G122" s="62" t="s">
        <v>234</v>
      </c>
      <c r="H122" s="62" t="s">
        <v>192</v>
      </c>
      <c r="I122" s="62" t="s">
        <v>16</v>
      </c>
      <c r="J122" s="62" t="s">
        <v>140</v>
      </c>
      <c r="K122" s="64">
        <v>6.4</v>
      </c>
      <c r="L122" s="64">
        <f t="shared" si="18"/>
        <v>2.5600000000000005</v>
      </c>
      <c r="M122" s="65">
        <f>prodnorm44</f>
        <v>0</v>
      </c>
      <c r="N122" s="66">
        <f>dagwerk44</f>
        <v>0</v>
      </c>
      <c r="O122" s="62" t="s">
        <v>44</v>
      </c>
      <c r="P122" s="67">
        <f>uurtarief44</f>
        <v>0</v>
      </c>
      <c r="Q122" s="64" t="e">
        <f t="shared" si="19"/>
        <v>#DIV/0!</v>
      </c>
      <c r="R122" s="64" t="e">
        <f t="shared" si="20"/>
        <v>#DIV/0!</v>
      </c>
      <c r="S122" s="67" t="e">
        <f t="shared" si="21"/>
        <v>#DIV/0!</v>
      </c>
      <c r="T122" s="64" t="e">
        <f t="shared" si="22"/>
        <v>#DIV/0!</v>
      </c>
      <c r="U122" s="68" t="e">
        <f t="shared" si="23"/>
        <v>#DIV/0!</v>
      </c>
    </row>
    <row r="123" spans="1:21" x14ac:dyDescent="0.2">
      <c r="A123" s="61" t="s">
        <v>208</v>
      </c>
      <c r="B123" s="62" t="s">
        <v>320</v>
      </c>
      <c r="C123" s="62" t="s">
        <v>280</v>
      </c>
      <c r="D123" s="62" t="s">
        <v>408</v>
      </c>
      <c r="E123" s="62" t="s">
        <v>209</v>
      </c>
      <c r="F123" s="63" t="s">
        <v>257</v>
      </c>
      <c r="G123" s="62" t="s">
        <v>234</v>
      </c>
      <c r="H123" s="62" t="s">
        <v>186</v>
      </c>
      <c r="I123" s="62" t="s">
        <v>16</v>
      </c>
      <c r="J123" s="62" t="s">
        <v>140</v>
      </c>
      <c r="K123" s="64">
        <v>4</v>
      </c>
      <c r="L123" s="64">
        <f t="shared" si="18"/>
        <v>1.6</v>
      </c>
      <c r="M123" s="65">
        <f>prodnorm38</f>
        <v>0</v>
      </c>
      <c r="N123" s="66">
        <f>dagwerk38</f>
        <v>0</v>
      </c>
      <c r="O123" s="62" t="s">
        <v>44</v>
      </c>
      <c r="P123" s="67">
        <f>uurtarief38</f>
        <v>0</v>
      </c>
      <c r="Q123" s="64" t="e">
        <f t="shared" si="19"/>
        <v>#DIV/0!</v>
      </c>
      <c r="R123" s="64" t="e">
        <f t="shared" si="20"/>
        <v>#DIV/0!</v>
      </c>
      <c r="S123" s="67" t="e">
        <f t="shared" si="21"/>
        <v>#DIV/0!</v>
      </c>
      <c r="T123" s="64" t="e">
        <f t="shared" si="22"/>
        <v>#DIV/0!</v>
      </c>
      <c r="U123" s="68" t="e">
        <f t="shared" si="23"/>
        <v>#DIV/0!</v>
      </c>
    </row>
    <row r="124" spans="1:21" x14ac:dyDescent="0.2">
      <c r="A124" s="61" t="s">
        <v>208</v>
      </c>
      <c r="B124" s="62" t="s">
        <v>320</v>
      </c>
      <c r="C124" s="62" t="s">
        <v>280</v>
      </c>
      <c r="D124" s="62" t="s">
        <v>409</v>
      </c>
      <c r="E124" s="62" t="s">
        <v>209</v>
      </c>
      <c r="F124" s="63" t="s">
        <v>215</v>
      </c>
      <c r="G124" s="62" t="s">
        <v>213</v>
      </c>
      <c r="H124" s="62" t="s">
        <v>194</v>
      </c>
      <c r="I124" s="62" t="s">
        <v>16</v>
      </c>
      <c r="J124" s="62" t="s">
        <v>140</v>
      </c>
      <c r="K124" s="64">
        <v>51</v>
      </c>
      <c r="L124" s="64">
        <f t="shared" si="18"/>
        <v>20.400000000000002</v>
      </c>
      <c r="M124" s="65">
        <f>prodnorm46</f>
        <v>0</v>
      </c>
      <c r="N124" s="66">
        <f>dagwerk46</f>
        <v>0</v>
      </c>
      <c r="O124" s="62" t="s">
        <v>44</v>
      </c>
      <c r="P124" s="67">
        <f>uurtarief46</f>
        <v>0</v>
      </c>
      <c r="Q124" s="64" t="e">
        <f t="shared" si="19"/>
        <v>#DIV/0!</v>
      </c>
      <c r="R124" s="64" t="e">
        <f t="shared" si="20"/>
        <v>#DIV/0!</v>
      </c>
      <c r="S124" s="67" t="e">
        <f t="shared" si="21"/>
        <v>#DIV/0!</v>
      </c>
      <c r="T124" s="64" t="e">
        <f t="shared" si="22"/>
        <v>#DIV/0!</v>
      </c>
      <c r="U124" s="68" t="e">
        <f t="shared" si="23"/>
        <v>#DIV/0!</v>
      </c>
    </row>
    <row r="125" spans="1:21" x14ac:dyDescent="0.2">
      <c r="A125" s="61" t="s">
        <v>208</v>
      </c>
      <c r="B125" s="62" t="s">
        <v>320</v>
      </c>
      <c r="C125" s="62" t="s">
        <v>280</v>
      </c>
      <c r="D125" s="62" t="s">
        <v>412</v>
      </c>
      <c r="E125" s="62" t="s">
        <v>209</v>
      </c>
      <c r="F125" s="63" t="s">
        <v>257</v>
      </c>
      <c r="G125" s="62" t="s">
        <v>234</v>
      </c>
      <c r="H125" s="62" t="s">
        <v>186</v>
      </c>
      <c r="I125" s="62" t="s">
        <v>16</v>
      </c>
      <c r="J125" s="62" t="s">
        <v>140</v>
      </c>
      <c r="K125" s="64">
        <v>1.8</v>
      </c>
      <c r="L125" s="64">
        <f t="shared" si="18"/>
        <v>0.72000000000000008</v>
      </c>
      <c r="M125" s="65">
        <f>prodnorm38</f>
        <v>0</v>
      </c>
      <c r="N125" s="66">
        <f>dagwerk38</f>
        <v>0</v>
      </c>
      <c r="O125" s="62" t="s">
        <v>44</v>
      </c>
      <c r="P125" s="67">
        <f>uurtarief38</f>
        <v>0</v>
      </c>
      <c r="Q125" s="64" t="e">
        <f t="shared" si="19"/>
        <v>#DIV/0!</v>
      </c>
      <c r="R125" s="64" t="e">
        <f t="shared" si="20"/>
        <v>#DIV/0!</v>
      </c>
      <c r="S125" s="67" t="e">
        <f t="shared" si="21"/>
        <v>#DIV/0!</v>
      </c>
      <c r="T125" s="64" t="e">
        <f t="shared" si="22"/>
        <v>#DIV/0!</v>
      </c>
      <c r="U125" s="68" t="e">
        <f t="shared" si="23"/>
        <v>#DIV/0!</v>
      </c>
    </row>
    <row r="126" spans="1:21" x14ac:dyDescent="0.2">
      <c r="A126" s="61" t="s">
        <v>208</v>
      </c>
      <c r="B126" s="62" t="s">
        <v>320</v>
      </c>
      <c r="C126" s="62" t="s">
        <v>280</v>
      </c>
      <c r="D126" s="62" t="s">
        <v>414</v>
      </c>
      <c r="E126" s="62" t="s">
        <v>209</v>
      </c>
      <c r="F126" s="63" t="s">
        <v>254</v>
      </c>
      <c r="G126" s="62" t="s">
        <v>234</v>
      </c>
      <c r="H126" s="62" t="s">
        <v>192</v>
      </c>
      <c r="I126" s="62" t="s">
        <v>16</v>
      </c>
      <c r="J126" s="62" t="s">
        <v>140</v>
      </c>
      <c r="K126" s="64">
        <v>1.8</v>
      </c>
      <c r="L126" s="64">
        <f t="shared" si="18"/>
        <v>0.72000000000000008</v>
      </c>
      <c r="M126" s="65">
        <f>prodnorm44</f>
        <v>0</v>
      </c>
      <c r="N126" s="66">
        <f>dagwerk44</f>
        <v>0</v>
      </c>
      <c r="O126" s="62" t="s">
        <v>44</v>
      </c>
      <c r="P126" s="67">
        <f>uurtarief44</f>
        <v>0</v>
      </c>
      <c r="Q126" s="64" t="e">
        <f t="shared" si="19"/>
        <v>#DIV/0!</v>
      </c>
      <c r="R126" s="64" t="e">
        <f t="shared" si="20"/>
        <v>#DIV/0!</v>
      </c>
      <c r="S126" s="67" t="e">
        <f t="shared" si="21"/>
        <v>#DIV/0!</v>
      </c>
      <c r="T126" s="64" t="e">
        <f t="shared" si="22"/>
        <v>#DIV/0!</v>
      </c>
      <c r="U126" s="68" t="e">
        <f t="shared" si="23"/>
        <v>#DIV/0!</v>
      </c>
    </row>
    <row r="127" spans="1:21" x14ac:dyDescent="0.2">
      <c r="A127" s="61" t="s">
        <v>208</v>
      </c>
      <c r="B127" s="62" t="s">
        <v>320</v>
      </c>
      <c r="C127" s="62" t="s">
        <v>280</v>
      </c>
      <c r="D127" s="62" t="s">
        <v>415</v>
      </c>
      <c r="E127" s="62" t="s">
        <v>209</v>
      </c>
      <c r="F127" s="63" t="s">
        <v>261</v>
      </c>
      <c r="G127" s="62" t="s">
        <v>234</v>
      </c>
      <c r="H127" s="62" t="s">
        <v>190</v>
      </c>
      <c r="I127" s="62" t="s">
        <v>16</v>
      </c>
      <c r="J127" s="62" t="s">
        <v>140</v>
      </c>
      <c r="K127" s="64">
        <v>10.8</v>
      </c>
      <c r="L127" s="64">
        <f t="shared" si="18"/>
        <v>4.32</v>
      </c>
      <c r="M127" s="65">
        <f>prodnorm42</f>
        <v>0</v>
      </c>
      <c r="N127" s="66">
        <f>dagwerk42</f>
        <v>0</v>
      </c>
      <c r="O127" s="62" t="s">
        <v>44</v>
      </c>
      <c r="P127" s="67">
        <f>uurtarief42</f>
        <v>0</v>
      </c>
      <c r="Q127" s="64" t="e">
        <f t="shared" si="19"/>
        <v>#DIV/0!</v>
      </c>
      <c r="R127" s="64" t="e">
        <f t="shared" si="20"/>
        <v>#DIV/0!</v>
      </c>
      <c r="S127" s="67" t="e">
        <f t="shared" si="21"/>
        <v>#DIV/0!</v>
      </c>
      <c r="T127" s="64" t="e">
        <f t="shared" si="22"/>
        <v>#DIV/0!</v>
      </c>
      <c r="U127" s="68" t="e">
        <f t="shared" si="23"/>
        <v>#DIV/0!</v>
      </c>
    </row>
    <row r="128" spans="1:21" x14ac:dyDescent="0.2">
      <c r="A128" s="61" t="s">
        <v>208</v>
      </c>
      <c r="B128" s="62" t="s">
        <v>320</v>
      </c>
      <c r="C128" s="62" t="s">
        <v>280</v>
      </c>
      <c r="D128" s="62" t="s">
        <v>417</v>
      </c>
      <c r="E128" s="62" t="s">
        <v>209</v>
      </c>
      <c r="F128" s="63" t="s">
        <v>254</v>
      </c>
      <c r="G128" s="62" t="s">
        <v>234</v>
      </c>
      <c r="H128" s="62" t="s">
        <v>192</v>
      </c>
      <c r="I128" s="62" t="s">
        <v>16</v>
      </c>
      <c r="J128" s="62" t="s">
        <v>140</v>
      </c>
      <c r="K128" s="64">
        <v>5.4</v>
      </c>
      <c r="L128" s="64">
        <f t="shared" si="18"/>
        <v>2.16</v>
      </c>
      <c r="M128" s="65">
        <f>prodnorm44</f>
        <v>0</v>
      </c>
      <c r="N128" s="66">
        <f>dagwerk44</f>
        <v>0</v>
      </c>
      <c r="O128" s="62" t="s">
        <v>44</v>
      </c>
      <c r="P128" s="67">
        <f>uurtarief44</f>
        <v>0</v>
      </c>
      <c r="Q128" s="64" t="e">
        <f t="shared" si="19"/>
        <v>#DIV/0!</v>
      </c>
      <c r="R128" s="64" t="e">
        <f t="shared" si="20"/>
        <v>#DIV/0!</v>
      </c>
      <c r="S128" s="67" t="e">
        <f t="shared" si="21"/>
        <v>#DIV/0!</v>
      </c>
      <c r="T128" s="64" t="e">
        <f t="shared" si="22"/>
        <v>#DIV/0!</v>
      </c>
      <c r="U128" s="68" t="e">
        <f t="shared" si="23"/>
        <v>#DIV/0!</v>
      </c>
    </row>
    <row r="129" spans="1:21" x14ac:dyDescent="0.2">
      <c r="A129" s="61" t="s">
        <v>208</v>
      </c>
      <c r="B129" s="62" t="s">
        <v>320</v>
      </c>
      <c r="C129" s="62" t="s">
        <v>280</v>
      </c>
      <c r="D129" s="62" t="s">
        <v>418</v>
      </c>
      <c r="E129" s="62" t="s">
        <v>209</v>
      </c>
      <c r="F129" s="63" t="s">
        <v>257</v>
      </c>
      <c r="G129" s="62" t="s">
        <v>234</v>
      </c>
      <c r="H129" s="62" t="s">
        <v>186</v>
      </c>
      <c r="I129" s="62" t="s">
        <v>16</v>
      </c>
      <c r="J129" s="62" t="s">
        <v>140</v>
      </c>
      <c r="K129" s="64">
        <v>5.4</v>
      </c>
      <c r="L129" s="64">
        <f t="shared" si="18"/>
        <v>2.16</v>
      </c>
      <c r="M129" s="65">
        <f>prodnorm38</f>
        <v>0</v>
      </c>
      <c r="N129" s="66">
        <f>dagwerk38</f>
        <v>0</v>
      </c>
      <c r="O129" s="62" t="s">
        <v>44</v>
      </c>
      <c r="P129" s="67">
        <f>uurtarief38</f>
        <v>0</v>
      </c>
      <c r="Q129" s="64" t="e">
        <f t="shared" si="19"/>
        <v>#DIV/0!</v>
      </c>
      <c r="R129" s="64" t="e">
        <f t="shared" si="20"/>
        <v>#DIV/0!</v>
      </c>
      <c r="S129" s="67" t="e">
        <f t="shared" si="21"/>
        <v>#DIV/0!</v>
      </c>
      <c r="T129" s="64" t="e">
        <f t="shared" si="22"/>
        <v>#DIV/0!</v>
      </c>
      <c r="U129" s="68" t="e">
        <f t="shared" si="23"/>
        <v>#DIV/0!</v>
      </c>
    </row>
    <row r="130" spans="1:21" x14ac:dyDescent="0.2">
      <c r="A130" s="61" t="s">
        <v>208</v>
      </c>
      <c r="B130" s="62" t="s">
        <v>320</v>
      </c>
      <c r="C130" s="62" t="s">
        <v>280</v>
      </c>
      <c r="D130" s="62" t="s">
        <v>419</v>
      </c>
      <c r="E130" s="62" t="s">
        <v>209</v>
      </c>
      <c r="F130" s="63" t="s">
        <v>254</v>
      </c>
      <c r="G130" s="62" t="s">
        <v>234</v>
      </c>
      <c r="H130" s="62" t="s">
        <v>192</v>
      </c>
      <c r="I130" s="62" t="s">
        <v>16</v>
      </c>
      <c r="J130" s="62" t="s">
        <v>140</v>
      </c>
      <c r="K130" s="64">
        <v>1.8</v>
      </c>
      <c r="L130" s="64">
        <f t="shared" si="18"/>
        <v>0.72000000000000008</v>
      </c>
      <c r="M130" s="65">
        <f>prodnorm44</f>
        <v>0</v>
      </c>
      <c r="N130" s="66">
        <f>dagwerk44</f>
        <v>0</v>
      </c>
      <c r="O130" s="62" t="s">
        <v>44</v>
      </c>
      <c r="P130" s="67">
        <f>uurtarief44</f>
        <v>0</v>
      </c>
      <c r="Q130" s="64" t="e">
        <f t="shared" si="19"/>
        <v>#DIV/0!</v>
      </c>
      <c r="R130" s="64" t="e">
        <f t="shared" si="20"/>
        <v>#DIV/0!</v>
      </c>
      <c r="S130" s="67" t="e">
        <f t="shared" si="21"/>
        <v>#DIV/0!</v>
      </c>
      <c r="T130" s="64" t="e">
        <f t="shared" si="22"/>
        <v>#DIV/0!</v>
      </c>
      <c r="U130" s="68" t="e">
        <f t="shared" si="23"/>
        <v>#DIV/0!</v>
      </c>
    </row>
    <row r="131" spans="1:21" x14ac:dyDescent="0.2">
      <c r="A131" s="61" t="s">
        <v>208</v>
      </c>
      <c r="B131" s="62" t="s">
        <v>320</v>
      </c>
      <c r="C131" s="62" t="s">
        <v>280</v>
      </c>
      <c r="D131" s="62" t="s">
        <v>420</v>
      </c>
      <c r="E131" s="62" t="s">
        <v>209</v>
      </c>
      <c r="F131" s="63" t="s">
        <v>257</v>
      </c>
      <c r="G131" s="62" t="s">
        <v>234</v>
      </c>
      <c r="H131" s="62" t="s">
        <v>186</v>
      </c>
      <c r="I131" s="62" t="s">
        <v>16</v>
      </c>
      <c r="J131" s="62" t="s">
        <v>140</v>
      </c>
      <c r="K131" s="64">
        <v>1.8</v>
      </c>
      <c r="L131" s="64">
        <f t="shared" si="18"/>
        <v>0.72000000000000008</v>
      </c>
      <c r="M131" s="65">
        <f>prodnorm38</f>
        <v>0</v>
      </c>
      <c r="N131" s="66">
        <f>dagwerk38</f>
        <v>0</v>
      </c>
      <c r="O131" s="62" t="s">
        <v>44</v>
      </c>
      <c r="P131" s="67">
        <f>uurtarief38</f>
        <v>0</v>
      </c>
      <c r="Q131" s="64" t="e">
        <f t="shared" si="19"/>
        <v>#DIV/0!</v>
      </c>
      <c r="R131" s="64" t="e">
        <f t="shared" si="20"/>
        <v>#DIV/0!</v>
      </c>
      <c r="S131" s="67" t="e">
        <f t="shared" si="21"/>
        <v>#DIV/0!</v>
      </c>
      <c r="T131" s="64" t="e">
        <f t="shared" si="22"/>
        <v>#DIV/0!</v>
      </c>
      <c r="U131" s="68" t="e">
        <f t="shared" si="23"/>
        <v>#DIV/0!</v>
      </c>
    </row>
    <row r="132" spans="1:21" x14ac:dyDescent="0.2">
      <c r="A132" s="61" t="s">
        <v>208</v>
      </c>
      <c r="B132" s="62" t="s">
        <v>320</v>
      </c>
      <c r="C132" s="62" t="s">
        <v>280</v>
      </c>
      <c r="D132" s="62" t="s">
        <v>421</v>
      </c>
      <c r="E132" s="62" t="s">
        <v>209</v>
      </c>
      <c r="F132" s="63" t="s">
        <v>254</v>
      </c>
      <c r="G132" s="62" t="s">
        <v>234</v>
      </c>
      <c r="H132" s="62" t="s">
        <v>192</v>
      </c>
      <c r="I132" s="62" t="s">
        <v>16</v>
      </c>
      <c r="J132" s="62" t="s">
        <v>140</v>
      </c>
      <c r="K132" s="64">
        <v>2.2999999999999998</v>
      </c>
      <c r="L132" s="64">
        <f t="shared" si="18"/>
        <v>0.91999999999999993</v>
      </c>
      <c r="M132" s="65">
        <f>prodnorm44</f>
        <v>0</v>
      </c>
      <c r="N132" s="66">
        <f>dagwerk44</f>
        <v>0</v>
      </c>
      <c r="O132" s="62" t="s">
        <v>44</v>
      </c>
      <c r="P132" s="67">
        <f>uurtarief44</f>
        <v>0</v>
      </c>
      <c r="Q132" s="64" t="e">
        <f t="shared" si="19"/>
        <v>#DIV/0!</v>
      </c>
      <c r="R132" s="64" t="e">
        <f t="shared" si="20"/>
        <v>#DIV/0!</v>
      </c>
      <c r="S132" s="67" t="e">
        <f t="shared" si="21"/>
        <v>#DIV/0!</v>
      </c>
      <c r="T132" s="64" t="e">
        <f t="shared" si="22"/>
        <v>#DIV/0!</v>
      </c>
      <c r="U132" s="68" t="e">
        <f t="shared" si="23"/>
        <v>#DIV/0!</v>
      </c>
    </row>
    <row r="133" spans="1:21" x14ac:dyDescent="0.2">
      <c r="A133" s="61" t="s">
        <v>208</v>
      </c>
      <c r="B133" s="62" t="s">
        <v>320</v>
      </c>
      <c r="C133" s="62" t="s">
        <v>280</v>
      </c>
      <c r="D133" s="62" t="s">
        <v>422</v>
      </c>
      <c r="E133" s="62" t="s">
        <v>209</v>
      </c>
      <c r="F133" s="63" t="s">
        <v>257</v>
      </c>
      <c r="G133" s="62" t="s">
        <v>234</v>
      </c>
      <c r="H133" s="62" t="s">
        <v>186</v>
      </c>
      <c r="I133" s="62" t="s">
        <v>16</v>
      </c>
      <c r="J133" s="62" t="s">
        <v>140</v>
      </c>
      <c r="K133" s="64">
        <v>2.2000000000000002</v>
      </c>
      <c r="L133" s="64">
        <f t="shared" ref="L133:L164" si="24">K133*VLOOKUP(I133,dagsoorttabel1,2,FALSE)</f>
        <v>0.88000000000000012</v>
      </c>
      <c r="M133" s="65">
        <f>prodnorm38</f>
        <v>0</v>
      </c>
      <c r="N133" s="66">
        <f>dagwerk38</f>
        <v>0</v>
      </c>
      <c r="O133" s="62" t="s">
        <v>44</v>
      </c>
      <c r="P133" s="67">
        <f>uurtarief38</f>
        <v>0</v>
      </c>
      <c r="Q133" s="64" t="e">
        <f t="shared" ref="Q133:Q164" si="25">IF(ISBLANK(M133),0,L133/ROUND(M133,4))</f>
        <v>#DIV/0!</v>
      </c>
      <c r="R133" s="64" t="e">
        <f t="shared" ref="R133:R164" si="26">IF(ISBLANK(M133),0,Q133*ROUND(N133,2))</f>
        <v>#DIV/0!</v>
      </c>
      <c r="S133" s="67" t="e">
        <f t="shared" ref="S133:S164" si="27">ROUND(P133,2)*Q133</f>
        <v>#DIV/0!</v>
      </c>
      <c r="T133" s="64" t="e">
        <f t="shared" ref="T133:T164" si="28">Q133*dagenperjaar1</f>
        <v>#DIV/0!</v>
      </c>
      <c r="U133" s="68" t="e">
        <f t="shared" ref="U133:U164" si="29">T133*ROUND(P133,2)</f>
        <v>#DIV/0!</v>
      </c>
    </row>
    <row r="134" spans="1:21" x14ac:dyDescent="0.2">
      <c r="A134" s="61" t="s">
        <v>208</v>
      </c>
      <c r="B134" s="62" t="s">
        <v>320</v>
      </c>
      <c r="C134" s="62" t="s">
        <v>280</v>
      </c>
      <c r="D134" s="62" t="s">
        <v>423</v>
      </c>
      <c r="E134" s="62" t="s">
        <v>209</v>
      </c>
      <c r="F134" s="63" t="s">
        <v>254</v>
      </c>
      <c r="G134" s="62" t="s">
        <v>234</v>
      </c>
      <c r="H134" s="62" t="s">
        <v>192</v>
      </c>
      <c r="I134" s="62" t="s">
        <v>16</v>
      </c>
      <c r="J134" s="62" t="s">
        <v>140</v>
      </c>
      <c r="K134" s="64">
        <v>2.1</v>
      </c>
      <c r="L134" s="64">
        <f t="shared" si="24"/>
        <v>0.84000000000000008</v>
      </c>
      <c r="M134" s="65">
        <f>prodnorm44</f>
        <v>0</v>
      </c>
      <c r="N134" s="66">
        <f>dagwerk44</f>
        <v>0</v>
      </c>
      <c r="O134" s="62" t="s">
        <v>44</v>
      </c>
      <c r="P134" s="67">
        <f>uurtarief44</f>
        <v>0</v>
      </c>
      <c r="Q134" s="64" t="e">
        <f t="shared" si="25"/>
        <v>#DIV/0!</v>
      </c>
      <c r="R134" s="64" t="e">
        <f t="shared" si="26"/>
        <v>#DIV/0!</v>
      </c>
      <c r="S134" s="67" t="e">
        <f t="shared" si="27"/>
        <v>#DIV/0!</v>
      </c>
      <c r="T134" s="64" t="e">
        <f t="shared" si="28"/>
        <v>#DIV/0!</v>
      </c>
      <c r="U134" s="68" t="e">
        <f t="shared" si="29"/>
        <v>#DIV/0!</v>
      </c>
    </row>
    <row r="135" spans="1:21" x14ac:dyDescent="0.2">
      <c r="A135" s="61" t="s">
        <v>208</v>
      </c>
      <c r="B135" s="62" t="s">
        <v>320</v>
      </c>
      <c r="C135" s="62" t="s">
        <v>280</v>
      </c>
      <c r="D135" s="62" t="s">
        <v>424</v>
      </c>
      <c r="E135" s="62" t="s">
        <v>209</v>
      </c>
      <c r="F135" s="63" t="s">
        <v>257</v>
      </c>
      <c r="G135" s="62" t="s">
        <v>234</v>
      </c>
      <c r="H135" s="62" t="s">
        <v>186</v>
      </c>
      <c r="I135" s="62" t="s">
        <v>16</v>
      </c>
      <c r="J135" s="62" t="s">
        <v>140</v>
      </c>
      <c r="K135" s="64">
        <v>2.1</v>
      </c>
      <c r="L135" s="64">
        <f t="shared" si="24"/>
        <v>0.84000000000000008</v>
      </c>
      <c r="M135" s="65">
        <f>prodnorm38</f>
        <v>0</v>
      </c>
      <c r="N135" s="66">
        <f>dagwerk38</f>
        <v>0</v>
      </c>
      <c r="O135" s="62" t="s">
        <v>44</v>
      </c>
      <c r="P135" s="67">
        <f>uurtarief38</f>
        <v>0</v>
      </c>
      <c r="Q135" s="64" t="e">
        <f t="shared" si="25"/>
        <v>#DIV/0!</v>
      </c>
      <c r="R135" s="64" t="e">
        <f t="shared" si="26"/>
        <v>#DIV/0!</v>
      </c>
      <c r="S135" s="67" t="e">
        <f t="shared" si="27"/>
        <v>#DIV/0!</v>
      </c>
      <c r="T135" s="64" t="e">
        <f t="shared" si="28"/>
        <v>#DIV/0!</v>
      </c>
      <c r="U135" s="68" t="e">
        <f t="shared" si="29"/>
        <v>#DIV/0!</v>
      </c>
    </row>
    <row r="136" spans="1:21" x14ac:dyDescent="0.2">
      <c r="A136" s="61" t="s">
        <v>208</v>
      </c>
      <c r="B136" s="62" t="s">
        <v>320</v>
      </c>
      <c r="C136" s="62" t="s">
        <v>280</v>
      </c>
      <c r="D136" s="62" t="s">
        <v>425</v>
      </c>
      <c r="E136" s="62" t="s">
        <v>209</v>
      </c>
      <c r="F136" s="63" t="s">
        <v>215</v>
      </c>
      <c r="G136" s="62" t="s">
        <v>213</v>
      </c>
      <c r="H136" s="62" t="s">
        <v>194</v>
      </c>
      <c r="I136" s="62" t="s">
        <v>16</v>
      </c>
      <c r="J136" s="62" t="s">
        <v>140</v>
      </c>
      <c r="K136" s="64">
        <v>72.599999999999994</v>
      </c>
      <c r="L136" s="64">
        <f t="shared" si="24"/>
        <v>29.04</v>
      </c>
      <c r="M136" s="65">
        <f>prodnorm46</f>
        <v>0</v>
      </c>
      <c r="N136" s="66">
        <f>dagwerk46</f>
        <v>0</v>
      </c>
      <c r="O136" s="62" t="s">
        <v>44</v>
      </c>
      <c r="P136" s="67">
        <f>uurtarief46</f>
        <v>0</v>
      </c>
      <c r="Q136" s="64" t="e">
        <f t="shared" si="25"/>
        <v>#DIV/0!</v>
      </c>
      <c r="R136" s="64" t="e">
        <f t="shared" si="26"/>
        <v>#DIV/0!</v>
      </c>
      <c r="S136" s="67" t="e">
        <f t="shared" si="27"/>
        <v>#DIV/0!</v>
      </c>
      <c r="T136" s="64" t="e">
        <f t="shared" si="28"/>
        <v>#DIV/0!</v>
      </c>
      <c r="U136" s="68" t="e">
        <f t="shared" si="29"/>
        <v>#DIV/0!</v>
      </c>
    </row>
    <row r="137" spans="1:21" x14ac:dyDescent="0.2">
      <c r="A137" s="61" t="s">
        <v>208</v>
      </c>
      <c r="B137" s="62" t="s">
        <v>320</v>
      </c>
      <c r="C137" s="62" t="s">
        <v>294</v>
      </c>
      <c r="D137" s="62" t="s">
        <v>426</v>
      </c>
      <c r="E137" s="62" t="s">
        <v>209</v>
      </c>
      <c r="F137" s="63" t="s">
        <v>254</v>
      </c>
      <c r="G137" s="62" t="s">
        <v>234</v>
      </c>
      <c r="H137" s="62" t="s">
        <v>192</v>
      </c>
      <c r="I137" s="62" t="s">
        <v>16</v>
      </c>
      <c r="J137" s="62" t="s">
        <v>140</v>
      </c>
      <c r="K137" s="64">
        <v>6.7</v>
      </c>
      <c r="L137" s="64">
        <f t="shared" si="24"/>
        <v>2.68</v>
      </c>
      <c r="M137" s="65">
        <f>prodnorm44</f>
        <v>0</v>
      </c>
      <c r="N137" s="66">
        <f>dagwerk44</f>
        <v>0</v>
      </c>
      <c r="O137" s="62" t="s">
        <v>44</v>
      </c>
      <c r="P137" s="67">
        <f>uurtarief44</f>
        <v>0</v>
      </c>
      <c r="Q137" s="64" t="e">
        <f t="shared" si="25"/>
        <v>#DIV/0!</v>
      </c>
      <c r="R137" s="64" t="e">
        <f t="shared" si="26"/>
        <v>#DIV/0!</v>
      </c>
      <c r="S137" s="67" t="e">
        <f t="shared" si="27"/>
        <v>#DIV/0!</v>
      </c>
      <c r="T137" s="64" t="e">
        <f t="shared" si="28"/>
        <v>#DIV/0!</v>
      </c>
      <c r="U137" s="68" t="e">
        <f t="shared" si="29"/>
        <v>#DIV/0!</v>
      </c>
    </row>
    <row r="138" spans="1:21" x14ac:dyDescent="0.2">
      <c r="A138" s="61" t="s">
        <v>208</v>
      </c>
      <c r="B138" s="62" t="s">
        <v>320</v>
      </c>
      <c r="C138" s="62" t="s">
        <v>294</v>
      </c>
      <c r="D138" s="62" t="s">
        <v>427</v>
      </c>
      <c r="E138" s="62" t="s">
        <v>209</v>
      </c>
      <c r="F138" s="63" t="s">
        <v>257</v>
      </c>
      <c r="G138" s="62" t="s">
        <v>234</v>
      </c>
      <c r="H138" s="62" t="s">
        <v>186</v>
      </c>
      <c r="I138" s="62" t="s">
        <v>16</v>
      </c>
      <c r="J138" s="62" t="s">
        <v>140</v>
      </c>
      <c r="K138" s="64">
        <v>4</v>
      </c>
      <c r="L138" s="64">
        <f t="shared" si="24"/>
        <v>1.6</v>
      </c>
      <c r="M138" s="65">
        <f>prodnorm38</f>
        <v>0</v>
      </c>
      <c r="N138" s="66">
        <f>dagwerk38</f>
        <v>0</v>
      </c>
      <c r="O138" s="62" t="s">
        <v>44</v>
      </c>
      <c r="P138" s="67">
        <f>uurtarief38</f>
        <v>0</v>
      </c>
      <c r="Q138" s="64" t="e">
        <f t="shared" si="25"/>
        <v>#DIV/0!</v>
      </c>
      <c r="R138" s="64" t="e">
        <f t="shared" si="26"/>
        <v>#DIV/0!</v>
      </c>
      <c r="S138" s="67" t="e">
        <f t="shared" si="27"/>
        <v>#DIV/0!</v>
      </c>
      <c r="T138" s="64" t="e">
        <f t="shared" si="28"/>
        <v>#DIV/0!</v>
      </c>
      <c r="U138" s="68" t="e">
        <f t="shared" si="29"/>
        <v>#DIV/0!</v>
      </c>
    </row>
    <row r="139" spans="1:21" x14ac:dyDescent="0.2">
      <c r="A139" s="61" t="s">
        <v>208</v>
      </c>
      <c r="B139" s="62" t="s">
        <v>320</v>
      </c>
      <c r="C139" s="62" t="s">
        <v>294</v>
      </c>
      <c r="D139" s="62" t="s">
        <v>428</v>
      </c>
      <c r="E139" s="62" t="s">
        <v>209</v>
      </c>
      <c r="F139" s="63" t="s">
        <v>212</v>
      </c>
      <c r="G139" s="62" t="s">
        <v>213</v>
      </c>
      <c r="H139" s="62" t="s">
        <v>193</v>
      </c>
      <c r="I139" s="62" t="s">
        <v>16</v>
      </c>
      <c r="J139" s="62" t="s">
        <v>140</v>
      </c>
      <c r="K139" s="64">
        <v>48.7</v>
      </c>
      <c r="L139" s="64">
        <f t="shared" si="24"/>
        <v>19.480000000000004</v>
      </c>
      <c r="M139" s="65">
        <f>prodnorm45</f>
        <v>0</v>
      </c>
      <c r="N139" s="66">
        <f>dagwerk45</f>
        <v>0</v>
      </c>
      <c r="O139" s="62" t="s">
        <v>44</v>
      </c>
      <c r="P139" s="67">
        <f>uurtarief45</f>
        <v>0</v>
      </c>
      <c r="Q139" s="64" t="e">
        <f t="shared" si="25"/>
        <v>#DIV/0!</v>
      </c>
      <c r="R139" s="64" t="e">
        <f t="shared" si="26"/>
        <v>#DIV/0!</v>
      </c>
      <c r="S139" s="67" t="e">
        <f t="shared" si="27"/>
        <v>#DIV/0!</v>
      </c>
      <c r="T139" s="64" t="e">
        <f t="shared" si="28"/>
        <v>#DIV/0!</v>
      </c>
      <c r="U139" s="68" t="e">
        <f t="shared" si="29"/>
        <v>#DIV/0!</v>
      </c>
    </row>
    <row r="140" spans="1:21" x14ac:dyDescent="0.2">
      <c r="A140" s="61" t="s">
        <v>208</v>
      </c>
      <c r="B140" s="62" t="s">
        <v>320</v>
      </c>
      <c r="C140" s="62" t="s">
        <v>294</v>
      </c>
      <c r="D140" s="62" t="s">
        <v>429</v>
      </c>
      <c r="E140" s="62" t="s">
        <v>209</v>
      </c>
      <c r="F140" s="63" t="s">
        <v>215</v>
      </c>
      <c r="G140" s="62" t="s">
        <v>213</v>
      </c>
      <c r="H140" s="62" t="s">
        <v>194</v>
      </c>
      <c r="I140" s="62" t="s">
        <v>16</v>
      </c>
      <c r="J140" s="62" t="s">
        <v>140</v>
      </c>
      <c r="K140" s="64">
        <v>50.4</v>
      </c>
      <c r="L140" s="64">
        <f t="shared" si="24"/>
        <v>20.16</v>
      </c>
      <c r="M140" s="65">
        <f>prodnorm46</f>
        <v>0</v>
      </c>
      <c r="N140" s="66">
        <f>dagwerk46</f>
        <v>0</v>
      </c>
      <c r="O140" s="62" t="s">
        <v>44</v>
      </c>
      <c r="P140" s="67">
        <f>uurtarief46</f>
        <v>0</v>
      </c>
      <c r="Q140" s="64" t="e">
        <f t="shared" si="25"/>
        <v>#DIV/0!</v>
      </c>
      <c r="R140" s="64" t="e">
        <f t="shared" si="26"/>
        <v>#DIV/0!</v>
      </c>
      <c r="S140" s="67" t="e">
        <f t="shared" si="27"/>
        <v>#DIV/0!</v>
      </c>
      <c r="T140" s="64" t="e">
        <f t="shared" si="28"/>
        <v>#DIV/0!</v>
      </c>
      <c r="U140" s="68" t="e">
        <f t="shared" si="29"/>
        <v>#DIV/0!</v>
      </c>
    </row>
    <row r="141" spans="1:21" x14ac:dyDescent="0.2">
      <c r="A141" s="61" t="s">
        <v>208</v>
      </c>
      <c r="B141" s="62" t="s">
        <v>320</v>
      </c>
      <c r="C141" s="62" t="s">
        <v>294</v>
      </c>
      <c r="D141" s="62" t="s">
        <v>432</v>
      </c>
      <c r="E141" s="62" t="s">
        <v>209</v>
      </c>
      <c r="F141" s="63" t="s">
        <v>257</v>
      </c>
      <c r="G141" s="62" t="s">
        <v>234</v>
      </c>
      <c r="H141" s="62" t="s">
        <v>186</v>
      </c>
      <c r="I141" s="62" t="s">
        <v>16</v>
      </c>
      <c r="J141" s="62" t="s">
        <v>140</v>
      </c>
      <c r="K141" s="64">
        <v>2</v>
      </c>
      <c r="L141" s="64">
        <f t="shared" si="24"/>
        <v>0.8</v>
      </c>
      <c r="M141" s="65">
        <f>prodnorm38</f>
        <v>0</v>
      </c>
      <c r="N141" s="66">
        <f>dagwerk38</f>
        <v>0</v>
      </c>
      <c r="O141" s="62" t="s">
        <v>44</v>
      </c>
      <c r="P141" s="67">
        <f>uurtarief38</f>
        <v>0</v>
      </c>
      <c r="Q141" s="64" t="e">
        <f t="shared" si="25"/>
        <v>#DIV/0!</v>
      </c>
      <c r="R141" s="64" t="e">
        <f t="shared" si="26"/>
        <v>#DIV/0!</v>
      </c>
      <c r="S141" s="67" t="e">
        <f t="shared" si="27"/>
        <v>#DIV/0!</v>
      </c>
      <c r="T141" s="64" t="e">
        <f t="shared" si="28"/>
        <v>#DIV/0!</v>
      </c>
      <c r="U141" s="68" t="e">
        <f t="shared" si="29"/>
        <v>#DIV/0!</v>
      </c>
    </row>
    <row r="142" spans="1:21" x14ac:dyDescent="0.2">
      <c r="A142" s="61" t="s">
        <v>208</v>
      </c>
      <c r="B142" s="62" t="s">
        <v>320</v>
      </c>
      <c r="C142" s="62" t="s">
        <v>294</v>
      </c>
      <c r="D142" s="62" t="s">
        <v>434</v>
      </c>
      <c r="E142" s="62" t="s">
        <v>209</v>
      </c>
      <c r="F142" s="63" t="s">
        <v>254</v>
      </c>
      <c r="G142" s="62" t="s">
        <v>234</v>
      </c>
      <c r="H142" s="62" t="s">
        <v>192</v>
      </c>
      <c r="I142" s="62" t="s">
        <v>16</v>
      </c>
      <c r="J142" s="62" t="s">
        <v>140</v>
      </c>
      <c r="K142" s="64">
        <v>2</v>
      </c>
      <c r="L142" s="64">
        <f t="shared" si="24"/>
        <v>0.8</v>
      </c>
      <c r="M142" s="65">
        <f>prodnorm44</f>
        <v>0</v>
      </c>
      <c r="N142" s="66">
        <f>dagwerk44</f>
        <v>0</v>
      </c>
      <c r="O142" s="62" t="s">
        <v>44</v>
      </c>
      <c r="P142" s="67">
        <f>uurtarief44</f>
        <v>0</v>
      </c>
      <c r="Q142" s="64" t="e">
        <f t="shared" si="25"/>
        <v>#DIV/0!</v>
      </c>
      <c r="R142" s="64" t="e">
        <f t="shared" si="26"/>
        <v>#DIV/0!</v>
      </c>
      <c r="S142" s="67" t="e">
        <f t="shared" si="27"/>
        <v>#DIV/0!</v>
      </c>
      <c r="T142" s="64" t="e">
        <f t="shared" si="28"/>
        <v>#DIV/0!</v>
      </c>
      <c r="U142" s="68" t="e">
        <f t="shared" si="29"/>
        <v>#DIV/0!</v>
      </c>
    </row>
    <row r="143" spans="1:21" x14ac:dyDescent="0.2">
      <c r="A143" s="61" t="s">
        <v>208</v>
      </c>
      <c r="B143" s="62" t="s">
        <v>320</v>
      </c>
      <c r="C143" s="62" t="s">
        <v>294</v>
      </c>
      <c r="D143" s="62" t="s">
        <v>435</v>
      </c>
      <c r="E143" s="62" t="s">
        <v>209</v>
      </c>
      <c r="F143" s="63" t="s">
        <v>261</v>
      </c>
      <c r="G143" s="62" t="s">
        <v>234</v>
      </c>
      <c r="H143" s="62" t="s">
        <v>190</v>
      </c>
      <c r="I143" s="62" t="s">
        <v>16</v>
      </c>
      <c r="J143" s="62" t="s">
        <v>140</v>
      </c>
      <c r="K143" s="64">
        <v>10.8</v>
      </c>
      <c r="L143" s="64">
        <f t="shared" si="24"/>
        <v>4.32</v>
      </c>
      <c r="M143" s="65">
        <f>prodnorm42</f>
        <v>0</v>
      </c>
      <c r="N143" s="66">
        <f>dagwerk42</f>
        <v>0</v>
      </c>
      <c r="O143" s="62" t="s">
        <v>44</v>
      </c>
      <c r="P143" s="67">
        <f>uurtarief42</f>
        <v>0</v>
      </c>
      <c r="Q143" s="64" t="e">
        <f t="shared" si="25"/>
        <v>#DIV/0!</v>
      </c>
      <c r="R143" s="64" t="e">
        <f t="shared" si="26"/>
        <v>#DIV/0!</v>
      </c>
      <c r="S143" s="67" t="e">
        <f t="shared" si="27"/>
        <v>#DIV/0!</v>
      </c>
      <c r="T143" s="64" t="e">
        <f t="shared" si="28"/>
        <v>#DIV/0!</v>
      </c>
      <c r="U143" s="68" t="e">
        <f t="shared" si="29"/>
        <v>#DIV/0!</v>
      </c>
    </row>
    <row r="144" spans="1:21" x14ac:dyDescent="0.2">
      <c r="A144" s="61" t="s">
        <v>208</v>
      </c>
      <c r="B144" s="62" t="s">
        <v>320</v>
      </c>
      <c r="C144" s="62" t="s">
        <v>294</v>
      </c>
      <c r="D144" s="62" t="s">
        <v>437</v>
      </c>
      <c r="E144" s="62" t="s">
        <v>209</v>
      </c>
      <c r="F144" s="63" t="s">
        <v>254</v>
      </c>
      <c r="G144" s="62" t="s">
        <v>234</v>
      </c>
      <c r="H144" s="62" t="s">
        <v>192</v>
      </c>
      <c r="I144" s="62" t="s">
        <v>16</v>
      </c>
      <c r="J144" s="62" t="s">
        <v>140</v>
      </c>
      <c r="K144" s="64">
        <v>6.8</v>
      </c>
      <c r="L144" s="64">
        <f t="shared" si="24"/>
        <v>2.72</v>
      </c>
      <c r="M144" s="65">
        <f>prodnorm44</f>
        <v>0</v>
      </c>
      <c r="N144" s="66">
        <f>dagwerk44</f>
        <v>0</v>
      </c>
      <c r="O144" s="62" t="s">
        <v>44</v>
      </c>
      <c r="P144" s="67">
        <f>uurtarief44</f>
        <v>0</v>
      </c>
      <c r="Q144" s="64" t="e">
        <f t="shared" si="25"/>
        <v>#DIV/0!</v>
      </c>
      <c r="R144" s="64" t="e">
        <f t="shared" si="26"/>
        <v>#DIV/0!</v>
      </c>
      <c r="S144" s="67" t="e">
        <f t="shared" si="27"/>
        <v>#DIV/0!</v>
      </c>
      <c r="T144" s="64" t="e">
        <f t="shared" si="28"/>
        <v>#DIV/0!</v>
      </c>
      <c r="U144" s="68" t="e">
        <f t="shared" si="29"/>
        <v>#DIV/0!</v>
      </c>
    </row>
    <row r="145" spans="1:21" x14ac:dyDescent="0.2">
      <c r="A145" s="61" t="s">
        <v>208</v>
      </c>
      <c r="B145" s="62" t="s">
        <v>320</v>
      </c>
      <c r="C145" s="62" t="s">
        <v>294</v>
      </c>
      <c r="D145" s="62" t="s">
        <v>438</v>
      </c>
      <c r="E145" s="62" t="s">
        <v>209</v>
      </c>
      <c r="F145" s="63" t="s">
        <v>257</v>
      </c>
      <c r="G145" s="62" t="s">
        <v>234</v>
      </c>
      <c r="H145" s="62" t="s">
        <v>186</v>
      </c>
      <c r="I145" s="62" t="s">
        <v>16</v>
      </c>
      <c r="J145" s="62" t="s">
        <v>140</v>
      </c>
      <c r="K145" s="64">
        <v>4</v>
      </c>
      <c r="L145" s="64">
        <f t="shared" si="24"/>
        <v>1.6</v>
      </c>
      <c r="M145" s="65">
        <f>prodnorm38</f>
        <v>0</v>
      </c>
      <c r="N145" s="66">
        <f>dagwerk38</f>
        <v>0</v>
      </c>
      <c r="O145" s="62" t="s">
        <v>44</v>
      </c>
      <c r="P145" s="67">
        <f>uurtarief38</f>
        <v>0</v>
      </c>
      <c r="Q145" s="64" t="e">
        <f t="shared" si="25"/>
        <v>#DIV/0!</v>
      </c>
      <c r="R145" s="64" t="e">
        <f t="shared" si="26"/>
        <v>#DIV/0!</v>
      </c>
      <c r="S145" s="67" t="e">
        <f t="shared" si="27"/>
        <v>#DIV/0!</v>
      </c>
      <c r="T145" s="64" t="e">
        <f t="shared" si="28"/>
        <v>#DIV/0!</v>
      </c>
      <c r="U145" s="68" t="e">
        <f t="shared" si="29"/>
        <v>#DIV/0!</v>
      </c>
    </row>
    <row r="146" spans="1:21" x14ac:dyDescent="0.2">
      <c r="A146" s="61" t="s">
        <v>208</v>
      </c>
      <c r="B146" s="62" t="s">
        <v>320</v>
      </c>
      <c r="C146" s="62" t="s">
        <v>294</v>
      </c>
      <c r="D146" s="62" t="s">
        <v>439</v>
      </c>
      <c r="E146" s="62" t="s">
        <v>209</v>
      </c>
      <c r="F146" s="63" t="s">
        <v>254</v>
      </c>
      <c r="G146" s="62" t="s">
        <v>234</v>
      </c>
      <c r="H146" s="62" t="s">
        <v>192</v>
      </c>
      <c r="I146" s="62" t="s">
        <v>16</v>
      </c>
      <c r="J146" s="62" t="s">
        <v>140</v>
      </c>
      <c r="K146" s="64">
        <v>2</v>
      </c>
      <c r="L146" s="64">
        <f t="shared" si="24"/>
        <v>0.8</v>
      </c>
      <c r="M146" s="65">
        <f>prodnorm44</f>
        <v>0</v>
      </c>
      <c r="N146" s="66">
        <f>dagwerk44</f>
        <v>0</v>
      </c>
      <c r="O146" s="62" t="s">
        <v>44</v>
      </c>
      <c r="P146" s="67">
        <f>uurtarief44</f>
        <v>0</v>
      </c>
      <c r="Q146" s="64" t="e">
        <f t="shared" si="25"/>
        <v>#DIV/0!</v>
      </c>
      <c r="R146" s="64" t="e">
        <f t="shared" si="26"/>
        <v>#DIV/0!</v>
      </c>
      <c r="S146" s="67" t="e">
        <f t="shared" si="27"/>
        <v>#DIV/0!</v>
      </c>
      <c r="T146" s="64" t="e">
        <f t="shared" si="28"/>
        <v>#DIV/0!</v>
      </c>
      <c r="U146" s="68" t="e">
        <f t="shared" si="29"/>
        <v>#DIV/0!</v>
      </c>
    </row>
    <row r="147" spans="1:21" x14ac:dyDescent="0.2">
      <c r="A147" s="61" t="s">
        <v>208</v>
      </c>
      <c r="B147" s="62" t="s">
        <v>320</v>
      </c>
      <c r="C147" s="62" t="s">
        <v>294</v>
      </c>
      <c r="D147" s="62" t="s">
        <v>440</v>
      </c>
      <c r="E147" s="62" t="s">
        <v>209</v>
      </c>
      <c r="F147" s="63" t="s">
        <v>257</v>
      </c>
      <c r="G147" s="62" t="s">
        <v>234</v>
      </c>
      <c r="H147" s="62" t="s">
        <v>186</v>
      </c>
      <c r="I147" s="62" t="s">
        <v>16</v>
      </c>
      <c r="J147" s="62" t="s">
        <v>140</v>
      </c>
      <c r="K147" s="64">
        <v>2.1</v>
      </c>
      <c r="L147" s="64">
        <f t="shared" si="24"/>
        <v>0.84000000000000008</v>
      </c>
      <c r="M147" s="65">
        <f>prodnorm38</f>
        <v>0</v>
      </c>
      <c r="N147" s="66">
        <f>dagwerk38</f>
        <v>0</v>
      </c>
      <c r="O147" s="62" t="s">
        <v>44</v>
      </c>
      <c r="P147" s="67">
        <f>uurtarief38</f>
        <v>0</v>
      </c>
      <c r="Q147" s="64" t="e">
        <f t="shared" si="25"/>
        <v>#DIV/0!</v>
      </c>
      <c r="R147" s="64" t="e">
        <f t="shared" si="26"/>
        <v>#DIV/0!</v>
      </c>
      <c r="S147" s="67" t="e">
        <f t="shared" si="27"/>
        <v>#DIV/0!</v>
      </c>
      <c r="T147" s="64" t="e">
        <f t="shared" si="28"/>
        <v>#DIV/0!</v>
      </c>
      <c r="U147" s="68" t="e">
        <f t="shared" si="29"/>
        <v>#DIV/0!</v>
      </c>
    </row>
    <row r="148" spans="1:21" x14ac:dyDescent="0.2">
      <c r="A148" s="61" t="s">
        <v>208</v>
      </c>
      <c r="B148" s="62" t="s">
        <v>320</v>
      </c>
      <c r="C148" s="62" t="s">
        <v>294</v>
      </c>
      <c r="D148" s="62" t="s">
        <v>441</v>
      </c>
      <c r="E148" s="62" t="s">
        <v>209</v>
      </c>
      <c r="F148" s="63" t="s">
        <v>254</v>
      </c>
      <c r="G148" s="62" t="s">
        <v>234</v>
      </c>
      <c r="H148" s="62" t="s">
        <v>192</v>
      </c>
      <c r="I148" s="62" t="s">
        <v>16</v>
      </c>
      <c r="J148" s="62" t="s">
        <v>140</v>
      </c>
      <c r="K148" s="64">
        <v>2.2999999999999998</v>
      </c>
      <c r="L148" s="64">
        <f t="shared" si="24"/>
        <v>0.91999999999999993</v>
      </c>
      <c r="M148" s="65">
        <f>prodnorm44</f>
        <v>0</v>
      </c>
      <c r="N148" s="66">
        <f>dagwerk44</f>
        <v>0</v>
      </c>
      <c r="O148" s="62" t="s">
        <v>44</v>
      </c>
      <c r="P148" s="67">
        <f>uurtarief44</f>
        <v>0</v>
      </c>
      <c r="Q148" s="64" t="e">
        <f t="shared" si="25"/>
        <v>#DIV/0!</v>
      </c>
      <c r="R148" s="64" t="e">
        <f t="shared" si="26"/>
        <v>#DIV/0!</v>
      </c>
      <c r="S148" s="67" t="e">
        <f t="shared" si="27"/>
        <v>#DIV/0!</v>
      </c>
      <c r="T148" s="64" t="e">
        <f t="shared" si="28"/>
        <v>#DIV/0!</v>
      </c>
      <c r="U148" s="68" t="e">
        <f t="shared" si="29"/>
        <v>#DIV/0!</v>
      </c>
    </row>
    <row r="149" spans="1:21" x14ac:dyDescent="0.2">
      <c r="A149" s="61" t="s">
        <v>208</v>
      </c>
      <c r="B149" s="62" t="s">
        <v>320</v>
      </c>
      <c r="C149" s="62" t="s">
        <v>294</v>
      </c>
      <c r="D149" s="62" t="s">
        <v>442</v>
      </c>
      <c r="E149" s="62" t="s">
        <v>209</v>
      </c>
      <c r="F149" s="63" t="s">
        <v>257</v>
      </c>
      <c r="G149" s="62" t="s">
        <v>234</v>
      </c>
      <c r="H149" s="62" t="s">
        <v>186</v>
      </c>
      <c r="I149" s="62" t="s">
        <v>16</v>
      </c>
      <c r="J149" s="62" t="s">
        <v>140</v>
      </c>
      <c r="K149" s="64">
        <v>2.2000000000000002</v>
      </c>
      <c r="L149" s="64">
        <f t="shared" si="24"/>
        <v>0.88000000000000012</v>
      </c>
      <c r="M149" s="65">
        <f>prodnorm38</f>
        <v>0</v>
      </c>
      <c r="N149" s="66">
        <f>dagwerk38</f>
        <v>0</v>
      </c>
      <c r="O149" s="62" t="s">
        <v>44</v>
      </c>
      <c r="P149" s="67">
        <f>uurtarief38</f>
        <v>0</v>
      </c>
      <c r="Q149" s="64" t="e">
        <f t="shared" si="25"/>
        <v>#DIV/0!</v>
      </c>
      <c r="R149" s="64" t="e">
        <f t="shared" si="26"/>
        <v>#DIV/0!</v>
      </c>
      <c r="S149" s="67" t="e">
        <f t="shared" si="27"/>
        <v>#DIV/0!</v>
      </c>
      <c r="T149" s="64" t="e">
        <f t="shared" si="28"/>
        <v>#DIV/0!</v>
      </c>
      <c r="U149" s="68" t="e">
        <f t="shared" si="29"/>
        <v>#DIV/0!</v>
      </c>
    </row>
    <row r="150" spans="1:21" x14ac:dyDescent="0.2">
      <c r="A150" s="61" t="s">
        <v>208</v>
      </c>
      <c r="B150" s="62" t="s">
        <v>320</v>
      </c>
      <c r="C150" s="62" t="s">
        <v>294</v>
      </c>
      <c r="D150" s="62" t="s">
        <v>443</v>
      </c>
      <c r="E150" s="62" t="s">
        <v>209</v>
      </c>
      <c r="F150" s="63" t="s">
        <v>254</v>
      </c>
      <c r="G150" s="62" t="s">
        <v>234</v>
      </c>
      <c r="H150" s="62" t="s">
        <v>192</v>
      </c>
      <c r="I150" s="62" t="s">
        <v>16</v>
      </c>
      <c r="J150" s="62" t="s">
        <v>140</v>
      </c>
      <c r="K150" s="64">
        <v>2.1</v>
      </c>
      <c r="L150" s="64">
        <f t="shared" si="24"/>
        <v>0.84000000000000008</v>
      </c>
      <c r="M150" s="65">
        <f>prodnorm44</f>
        <v>0</v>
      </c>
      <c r="N150" s="66">
        <f>dagwerk44</f>
        <v>0</v>
      </c>
      <c r="O150" s="62" t="s">
        <v>44</v>
      </c>
      <c r="P150" s="67">
        <f>uurtarief44</f>
        <v>0</v>
      </c>
      <c r="Q150" s="64" t="e">
        <f t="shared" si="25"/>
        <v>#DIV/0!</v>
      </c>
      <c r="R150" s="64" t="e">
        <f t="shared" si="26"/>
        <v>#DIV/0!</v>
      </c>
      <c r="S150" s="67" t="e">
        <f t="shared" si="27"/>
        <v>#DIV/0!</v>
      </c>
      <c r="T150" s="64" t="e">
        <f t="shared" si="28"/>
        <v>#DIV/0!</v>
      </c>
      <c r="U150" s="68" t="e">
        <f t="shared" si="29"/>
        <v>#DIV/0!</v>
      </c>
    </row>
    <row r="151" spans="1:21" x14ac:dyDescent="0.2">
      <c r="A151" s="61" t="s">
        <v>208</v>
      </c>
      <c r="B151" s="62" t="s">
        <v>320</v>
      </c>
      <c r="C151" s="62" t="s">
        <v>294</v>
      </c>
      <c r="D151" s="62" t="s">
        <v>444</v>
      </c>
      <c r="E151" s="62" t="s">
        <v>209</v>
      </c>
      <c r="F151" s="63" t="s">
        <v>257</v>
      </c>
      <c r="G151" s="62" t="s">
        <v>234</v>
      </c>
      <c r="H151" s="62" t="s">
        <v>186</v>
      </c>
      <c r="I151" s="62" t="s">
        <v>16</v>
      </c>
      <c r="J151" s="62" t="s">
        <v>140</v>
      </c>
      <c r="K151" s="64">
        <v>2.1</v>
      </c>
      <c r="L151" s="64">
        <f t="shared" si="24"/>
        <v>0.84000000000000008</v>
      </c>
      <c r="M151" s="65">
        <f>prodnorm38</f>
        <v>0</v>
      </c>
      <c r="N151" s="66">
        <f>dagwerk38</f>
        <v>0</v>
      </c>
      <c r="O151" s="62" t="s">
        <v>44</v>
      </c>
      <c r="P151" s="67">
        <f>uurtarief38</f>
        <v>0</v>
      </c>
      <c r="Q151" s="64" t="e">
        <f t="shared" si="25"/>
        <v>#DIV/0!</v>
      </c>
      <c r="R151" s="64" t="e">
        <f t="shared" si="26"/>
        <v>#DIV/0!</v>
      </c>
      <c r="S151" s="67" t="e">
        <f t="shared" si="27"/>
        <v>#DIV/0!</v>
      </c>
      <c r="T151" s="64" t="e">
        <f t="shared" si="28"/>
        <v>#DIV/0!</v>
      </c>
      <c r="U151" s="68" t="e">
        <f t="shared" si="29"/>
        <v>#DIV/0!</v>
      </c>
    </row>
    <row r="152" spans="1:21" x14ac:dyDescent="0.2">
      <c r="A152" s="61" t="s">
        <v>208</v>
      </c>
      <c r="B152" s="62" t="s">
        <v>320</v>
      </c>
      <c r="C152" s="62" t="s">
        <v>294</v>
      </c>
      <c r="D152" s="62" t="s">
        <v>445</v>
      </c>
      <c r="E152" s="62" t="s">
        <v>209</v>
      </c>
      <c r="F152" s="63" t="s">
        <v>215</v>
      </c>
      <c r="G152" s="62" t="s">
        <v>213</v>
      </c>
      <c r="H152" s="62" t="s">
        <v>194</v>
      </c>
      <c r="I152" s="62" t="s">
        <v>16</v>
      </c>
      <c r="J152" s="62" t="s">
        <v>140</v>
      </c>
      <c r="K152" s="64">
        <v>72.5</v>
      </c>
      <c r="L152" s="64">
        <f t="shared" si="24"/>
        <v>29</v>
      </c>
      <c r="M152" s="65">
        <f>prodnorm46</f>
        <v>0</v>
      </c>
      <c r="N152" s="66">
        <f>dagwerk46</f>
        <v>0</v>
      </c>
      <c r="O152" s="62" t="s">
        <v>44</v>
      </c>
      <c r="P152" s="67">
        <f>uurtarief46</f>
        <v>0</v>
      </c>
      <c r="Q152" s="64" t="e">
        <f t="shared" si="25"/>
        <v>#DIV/0!</v>
      </c>
      <c r="R152" s="64" t="e">
        <f t="shared" si="26"/>
        <v>#DIV/0!</v>
      </c>
      <c r="S152" s="67" t="e">
        <f t="shared" si="27"/>
        <v>#DIV/0!</v>
      </c>
      <c r="T152" s="64" t="e">
        <f t="shared" si="28"/>
        <v>#DIV/0!</v>
      </c>
      <c r="U152" s="68" t="e">
        <f t="shared" si="29"/>
        <v>#DIV/0!</v>
      </c>
    </row>
    <row r="153" spans="1:21" x14ac:dyDescent="0.2">
      <c r="A153" s="61" t="s">
        <v>208</v>
      </c>
      <c r="B153" s="62" t="s">
        <v>320</v>
      </c>
      <c r="C153" s="62" t="s">
        <v>307</v>
      </c>
      <c r="D153" s="62" t="s">
        <v>446</v>
      </c>
      <c r="E153" s="62" t="s">
        <v>209</v>
      </c>
      <c r="F153" s="63" t="s">
        <v>212</v>
      </c>
      <c r="G153" s="62" t="s">
        <v>213</v>
      </c>
      <c r="H153" s="62" t="s">
        <v>193</v>
      </c>
      <c r="I153" s="62" t="s">
        <v>16</v>
      </c>
      <c r="J153" s="62" t="s">
        <v>140</v>
      </c>
      <c r="K153" s="64">
        <v>48.7</v>
      </c>
      <c r="L153" s="64">
        <f t="shared" si="24"/>
        <v>19.480000000000004</v>
      </c>
      <c r="M153" s="65">
        <f>prodnorm45</f>
        <v>0</v>
      </c>
      <c r="N153" s="66">
        <f>dagwerk45</f>
        <v>0</v>
      </c>
      <c r="O153" s="62" t="s">
        <v>44</v>
      </c>
      <c r="P153" s="67">
        <f>uurtarief45</f>
        <v>0</v>
      </c>
      <c r="Q153" s="64" t="e">
        <f t="shared" si="25"/>
        <v>#DIV/0!</v>
      </c>
      <c r="R153" s="64" t="e">
        <f t="shared" si="26"/>
        <v>#DIV/0!</v>
      </c>
      <c r="S153" s="67" t="e">
        <f t="shared" si="27"/>
        <v>#DIV/0!</v>
      </c>
      <c r="T153" s="64" t="e">
        <f t="shared" si="28"/>
        <v>#DIV/0!</v>
      </c>
      <c r="U153" s="68" t="e">
        <f t="shared" si="29"/>
        <v>#DIV/0!</v>
      </c>
    </row>
    <row r="154" spans="1:21" x14ac:dyDescent="0.2">
      <c r="A154" s="61" t="s">
        <v>208</v>
      </c>
      <c r="B154" s="62" t="s">
        <v>320</v>
      </c>
      <c r="C154" s="62" t="s">
        <v>307</v>
      </c>
      <c r="D154" s="62" t="s">
        <v>448</v>
      </c>
      <c r="E154" s="62" t="s">
        <v>209</v>
      </c>
      <c r="F154" s="63" t="s">
        <v>449</v>
      </c>
      <c r="G154" s="62" t="s">
        <v>234</v>
      </c>
      <c r="H154" s="62" t="s">
        <v>192</v>
      </c>
      <c r="I154" s="62" t="s">
        <v>16</v>
      </c>
      <c r="J154" s="62" t="s">
        <v>140</v>
      </c>
      <c r="K154" s="64">
        <v>10.4</v>
      </c>
      <c r="L154" s="64">
        <f t="shared" si="24"/>
        <v>4.16</v>
      </c>
      <c r="M154" s="65">
        <f>prodnorm44</f>
        <v>0</v>
      </c>
      <c r="N154" s="66">
        <f>dagwerk44</f>
        <v>0</v>
      </c>
      <c r="O154" s="62" t="s">
        <v>44</v>
      </c>
      <c r="P154" s="67">
        <f>uurtarief44</f>
        <v>0</v>
      </c>
      <c r="Q154" s="64" t="e">
        <f t="shared" si="25"/>
        <v>#DIV/0!</v>
      </c>
      <c r="R154" s="64" t="e">
        <f t="shared" si="26"/>
        <v>#DIV/0!</v>
      </c>
      <c r="S154" s="67" t="e">
        <f t="shared" si="27"/>
        <v>#DIV/0!</v>
      </c>
      <c r="T154" s="64" t="e">
        <f t="shared" si="28"/>
        <v>#DIV/0!</v>
      </c>
      <c r="U154" s="68" t="e">
        <f t="shared" si="29"/>
        <v>#DIV/0!</v>
      </c>
    </row>
    <row r="155" spans="1:21" x14ac:dyDescent="0.2">
      <c r="A155" s="61" t="s">
        <v>208</v>
      </c>
      <c r="B155" s="62" t="s">
        <v>320</v>
      </c>
      <c r="C155" s="62" t="s">
        <v>307</v>
      </c>
      <c r="D155" s="62" t="s">
        <v>450</v>
      </c>
      <c r="E155" s="62" t="s">
        <v>209</v>
      </c>
      <c r="F155" s="63" t="s">
        <v>215</v>
      </c>
      <c r="G155" s="62" t="s">
        <v>213</v>
      </c>
      <c r="H155" s="62" t="s">
        <v>194</v>
      </c>
      <c r="I155" s="62" t="s">
        <v>16</v>
      </c>
      <c r="J155" s="62" t="s">
        <v>140</v>
      </c>
      <c r="K155" s="64">
        <v>50.6</v>
      </c>
      <c r="L155" s="64">
        <f t="shared" si="24"/>
        <v>20.240000000000002</v>
      </c>
      <c r="M155" s="65">
        <f>prodnorm46</f>
        <v>0</v>
      </c>
      <c r="N155" s="66">
        <f>dagwerk46</f>
        <v>0</v>
      </c>
      <c r="O155" s="62" t="s">
        <v>44</v>
      </c>
      <c r="P155" s="67">
        <f>uurtarief46</f>
        <v>0</v>
      </c>
      <c r="Q155" s="64" t="e">
        <f t="shared" si="25"/>
        <v>#DIV/0!</v>
      </c>
      <c r="R155" s="64" t="e">
        <f t="shared" si="26"/>
        <v>#DIV/0!</v>
      </c>
      <c r="S155" s="67" t="e">
        <f t="shared" si="27"/>
        <v>#DIV/0!</v>
      </c>
      <c r="T155" s="64" t="e">
        <f t="shared" si="28"/>
        <v>#DIV/0!</v>
      </c>
      <c r="U155" s="68" t="e">
        <f t="shared" si="29"/>
        <v>#DIV/0!</v>
      </c>
    </row>
    <row r="156" spans="1:21" x14ac:dyDescent="0.2">
      <c r="A156" s="61" t="s">
        <v>208</v>
      </c>
      <c r="B156" s="62" t="s">
        <v>320</v>
      </c>
      <c r="C156" s="62" t="s">
        <v>307</v>
      </c>
      <c r="D156" s="62" t="s">
        <v>453</v>
      </c>
      <c r="E156" s="62" t="s">
        <v>209</v>
      </c>
      <c r="F156" s="63" t="s">
        <v>257</v>
      </c>
      <c r="G156" s="62" t="s">
        <v>234</v>
      </c>
      <c r="H156" s="62" t="s">
        <v>186</v>
      </c>
      <c r="I156" s="62" t="s">
        <v>16</v>
      </c>
      <c r="J156" s="62" t="s">
        <v>140</v>
      </c>
      <c r="K156" s="64">
        <v>2</v>
      </c>
      <c r="L156" s="64">
        <f t="shared" si="24"/>
        <v>0.8</v>
      </c>
      <c r="M156" s="65">
        <f>prodnorm38</f>
        <v>0</v>
      </c>
      <c r="N156" s="66">
        <f>dagwerk38</f>
        <v>0</v>
      </c>
      <c r="O156" s="62" t="s">
        <v>44</v>
      </c>
      <c r="P156" s="67">
        <f>uurtarief38</f>
        <v>0</v>
      </c>
      <c r="Q156" s="64" t="e">
        <f t="shared" si="25"/>
        <v>#DIV/0!</v>
      </c>
      <c r="R156" s="64" t="e">
        <f t="shared" si="26"/>
        <v>#DIV/0!</v>
      </c>
      <c r="S156" s="67" t="e">
        <f t="shared" si="27"/>
        <v>#DIV/0!</v>
      </c>
      <c r="T156" s="64" t="e">
        <f t="shared" si="28"/>
        <v>#DIV/0!</v>
      </c>
      <c r="U156" s="68" t="e">
        <f t="shared" si="29"/>
        <v>#DIV/0!</v>
      </c>
    </row>
    <row r="157" spans="1:21" x14ac:dyDescent="0.2">
      <c r="A157" s="61" t="s">
        <v>208</v>
      </c>
      <c r="B157" s="62" t="s">
        <v>320</v>
      </c>
      <c r="C157" s="62" t="s">
        <v>307</v>
      </c>
      <c r="D157" s="62" t="s">
        <v>455</v>
      </c>
      <c r="E157" s="62" t="s">
        <v>209</v>
      </c>
      <c r="F157" s="63" t="s">
        <v>254</v>
      </c>
      <c r="G157" s="62" t="s">
        <v>234</v>
      </c>
      <c r="H157" s="62" t="s">
        <v>192</v>
      </c>
      <c r="I157" s="62" t="s">
        <v>16</v>
      </c>
      <c r="J157" s="62" t="s">
        <v>140</v>
      </c>
      <c r="K157" s="64">
        <v>2</v>
      </c>
      <c r="L157" s="64">
        <f t="shared" si="24"/>
        <v>0.8</v>
      </c>
      <c r="M157" s="65">
        <f>prodnorm44</f>
        <v>0</v>
      </c>
      <c r="N157" s="66">
        <f>dagwerk44</f>
        <v>0</v>
      </c>
      <c r="O157" s="62" t="s">
        <v>44</v>
      </c>
      <c r="P157" s="67">
        <f>uurtarief44</f>
        <v>0</v>
      </c>
      <c r="Q157" s="64" t="e">
        <f t="shared" si="25"/>
        <v>#DIV/0!</v>
      </c>
      <c r="R157" s="64" t="e">
        <f t="shared" si="26"/>
        <v>#DIV/0!</v>
      </c>
      <c r="S157" s="67" t="e">
        <f t="shared" si="27"/>
        <v>#DIV/0!</v>
      </c>
      <c r="T157" s="64" t="e">
        <f t="shared" si="28"/>
        <v>#DIV/0!</v>
      </c>
      <c r="U157" s="68" t="e">
        <f t="shared" si="29"/>
        <v>#DIV/0!</v>
      </c>
    </row>
    <row r="158" spans="1:21" x14ac:dyDescent="0.2">
      <c r="A158" s="61" t="s">
        <v>208</v>
      </c>
      <c r="B158" s="62" t="s">
        <v>320</v>
      </c>
      <c r="C158" s="62" t="s">
        <v>307</v>
      </c>
      <c r="D158" s="62" t="s">
        <v>456</v>
      </c>
      <c r="E158" s="62" t="s">
        <v>209</v>
      </c>
      <c r="F158" s="63" t="s">
        <v>261</v>
      </c>
      <c r="G158" s="62" t="s">
        <v>234</v>
      </c>
      <c r="H158" s="62" t="s">
        <v>190</v>
      </c>
      <c r="I158" s="62" t="s">
        <v>16</v>
      </c>
      <c r="J158" s="62" t="s">
        <v>140</v>
      </c>
      <c r="K158" s="64">
        <v>10.8</v>
      </c>
      <c r="L158" s="64">
        <f t="shared" si="24"/>
        <v>4.32</v>
      </c>
      <c r="M158" s="65">
        <f>prodnorm42</f>
        <v>0</v>
      </c>
      <c r="N158" s="66">
        <f>dagwerk42</f>
        <v>0</v>
      </c>
      <c r="O158" s="62" t="s">
        <v>44</v>
      </c>
      <c r="P158" s="67">
        <f>uurtarief42</f>
        <v>0</v>
      </c>
      <c r="Q158" s="64" t="e">
        <f t="shared" si="25"/>
        <v>#DIV/0!</v>
      </c>
      <c r="R158" s="64" t="e">
        <f t="shared" si="26"/>
        <v>#DIV/0!</v>
      </c>
      <c r="S158" s="67" t="e">
        <f t="shared" si="27"/>
        <v>#DIV/0!</v>
      </c>
      <c r="T158" s="64" t="e">
        <f t="shared" si="28"/>
        <v>#DIV/0!</v>
      </c>
      <c r="U158" s="68" t="e">
        <f t="shared" si="29"/>
        <v>#DIV/0!</v>
      </c>
    </row>
    <row r="159" spans="1:21" x14ac:dyDescent="0.2">
      <c r="A159" s="61" t="s">
        <v>208</v>
      </c>
      <c r="B159" s="62" t="s">
        <v>320</v>
      </c>
      <c r="C159" s="62" t="s">
        <v>307</v>
      </c>
      <c r="D159" s="62" t="s">
        <v>458</v>
      </c>
      <c r="E159" s="62" t="s">
        <v>209</v>
      </c>
      <c r="F159" s="63" t="s">
        <v>254</v>
      </c>
      <c r="G159" s="62" t="s">
        <v>234</v>
      </c>
      <c r="H159" s="62" t="s">
        <v>192</v>
      </c>
      <c r="I159" s="62" t="s">
        <v>16</v>
      </c>
      <c r="J159" s="62" t="s">
        <v>140</v>
      </c>
      <c r="K159" s="64">
        <v>6.6</v>
      </c>
      <c r="L159" s="64">
        <f t="shared" si="24"/>
        <v>2.64</v>
      </c>
      <c r="M159" s="65">
        <f>prodnorm44</f>
        <v>0</v>
      </c>
      <c r="N159" s="66">
        <f>dagwerk44</f>
        <v>0</v>
      </c>
      <c r="O159" s="62" t="s">
        <v>44</v>
      </c>
      <c r="P159" s="67">
        <f>uurtarief44</f>
        <v>0</v>
      </c>
      <c r="Q159" s="64" t="e">
        <f t="shared" si="25"/>
        <v>#DIV/0!</v>
      </c>
      <c r="R159" s="64" t="e">
        <f t="shared" si="26"/>
        <v>#DIV/0!</v>
      </c>
      <c r="S159" s="67" t="e">
        <f t="shared" si="27"/>
        <v>#DIV/0!</v>
      </c>
      <c r="T159" s="64" t="e">
        <f t="shared" si="28"/>
        <v>#DIV/0!</v>
      </c>
      <c r="U159" s="68" t="e">
        <f t="shared" si="29"/>
        <v>#DIV/0!</v>
      </c>
    </row>
    <row r="160" spans="1:21" x14ac:dyDescent="0.2">
      <c r="A160" s="61" t="s">
        <v>208</v>
      </c>
      <c r="B160" s="62" t="s">
        <v>320</v>
      </c>
      <c r="C160" s="62" t="s">
        <v>307</v>
      </c>
      <c r="D160" s="62" t="s">
        <v>459</v>
      </c>
      <c r="E160" s="62" t="s">
        <v>209</v>
      </c>
      <c r="F160" s="63" t="s">
        <v>257</v>
      </c>
      <c r="G160" s="62" t="s">
        <v>234</v>
      </c>
      <c r="H160" s="62" t="s">
        <v>186</v>
      </c>
      <c r="I160" s="62" t="s">
        <v>16</v>
      </c>
      <c r="J160" s="62" t="s">
        <v>140</v>
      </c>
      <c r="K160" s="64">
        <v>4</v>
      </c>
      <c r="L160" s="64">
        <f t="shared" si="24"/>
        <v>1.6</v>
      </c>
      <c r="M160" s="65">
        <f>prodnorm38</f>
        <v>0</v>
      </c>
      <c r="N160" s="66">
        <f>dagwerk38</f>
        <v>0</v>
      </c>
      <c r="O160" s="62" t="s">
        <v>44</v>
      </c>
      <c r="P160" s="67">
        <f>uurtarief38</f>
        <v>0</v>
      </c>
      <c r="Q160" s="64" t="e">
        <f t="shared" si="25"/>
        <v>#DIV/0!</v>
      </c>
      <c r="R160" s="64" t="e">
        <f t="shared" si="26"/>
        <v>#DIV/0!</v>
      </c>
      <c r="S160" s="67" t="e">
        <f t="shared" si="27"/>
        <v>#DIV/0!</v>
      </c>
      <c r="T160" s="64" t="e">
        <f t="shared" si="28"/>
        <v>#DIV/0!</v>
      </c>
      <c r="U160" s="68" t="e">
        <f t="shared" si="29"/>
        <v>#DIV/0!</v>
      </c>
    </row>
    <row r="161" spans="1:21" x14ac:dyDescent="0.2">
      <c r="A161" s="61" t="s">
        <v>208</v>
      </c>
      <c r="B161" s="62" t="s">
        <v>320</v>
      </c>
      <c r="C161" s="62" t="s">
        <v>307</v>
      </c>
      <c r="D161" s="62" t="s">
        <v>460</v>
      </c>
      <c r="E161" s="62" t="s">
        <v>209</v>
      </c>
      <c r="F161" s="63" t="s">
        <v>254</v>
      </c>
      <c r="G161" s="62" t="s">
        <v>234</v>
      </c>
      <c r="H161" s="62" t="s">
        <v>192</v>
      </c>
      <c r="I161" s="62" t="s">
        <v>16</v>
      </c>
      <c r="J161" s="62" t="s">
        <v>140</v>
      </c>
      <c r="K161" s="64">
        <v>2</v>
      </c>
      <c r="L161" s="64">
        <f t="shared" si="24"/>
        <v>0.8</v>
      </c>
      <c r="M161" s="65">
        <f>prodnorm44</f>
        <v>0</v>
      </c>
      <c r="N161" s="66">
        <f>dagwerk44</f>
        <v>0</v>
      </c>
      <c r="O161" s="62" t="s">
        <v>44</v>
      </c>
      <c r="P161" s="67">
        <f>uurtarief44</f>
        <v>0</v>
      </c>
      <c r="Q161" s="64" t="e">
        <f t="shared" si="25"/>
        <v>#DIV/0!</v>
      </c>
      <c r="R161" s="64" t="e">
        <f t="shared" si="26"/>
        <v>#DIV/0!</v>
      </c>
      <c r="S161" s="67" t="e">
        <f t="shared" si="27"/>
        <v>#DIV/0!</v>
      </c>
      <c r="T161" s="64" t="e">
        <f t="shared" si="28"/>
        <v>#DIV/0!</v>
      </c>
      <c r="U161" s="68" t="e">
        <f t="shared" si="29"/>
        <v>#DIV/0!</v>
      </c>
    </row>
    <row r="162" spans="1:21" x14ac:dyDescent="0.2">
      <c r="A162" s="61" t="s">
        <v>208</v>
      </c>
      <c r="B162" s="62" t="s">
        <v>320</v>
      </c>
      <c r="C162" s="62" t="s">
        <v>307</v>
      </c>
      <c r="D162" s="62" t="s">
        <v>461</v>
      </c>
      <c r="E162" s="62" t="s">
        <v>209</v>
      </c>
      <c r="F162" s="63" t="s">
        <v>257</v>
      </c>
      <c r="G162" s="62" t="s">
        <v>234</v>
      </c>
      <c r="H162" s="62" t="s">
        <v>186</v>
      </c>
      <c r="I162" s="62" t="s">
        <v>16</v>
      </c>
      <c r="J162" s="62" t="s">
        <v>140</v>
      </c>
      <c r="K162" s="64">
        <v>2</v>
      </c>
      <c r="L162" s="64">
        <f t="shared" si="24"/>
        <v>0.8</v>
      </c>
      <c r="M162" s="65">
        <f>prodnorm38</f>
        <v>0</v>
      </c>
      <c r="N162" s="66">
        <f>dagwerk38</f>
        <v>0</v>
      </c>
      <c r="O162" s="62" t="s">
        <v>44</v>
      </c>
      <c r="P162" s="67">
        <f>uurtarief38</f>
        <v>0</v>
      </c>
      <c r="Q162" s="64" t="e">
        <f t="shared" si="25"/>
        <v>#DIV/0!</v>
      </c>
      <c r="R162" s="64" t="e">
        <f t="shared" si="26"/>
        <v>#DIV/0!</v>
      </c>
      <c r="S162" s="67" t="e">
        <f t="shared" si="27"/>
        <v>#DIV/0!</v>
      </c>
      <c r="T162" s="64" t="e">
        <f t="shared" si="28"/>
        <v>#DIV/0!</v>
      </c>
      <c r="U162" s="68" t="e">
        <f t="shared" si="29"/>
        <v>#DIV/0!</v>
      </c>
    </row>
    <row r="163" spans="1:21" x14ac:dyDescent="0.2">
      <c r="A163" s="61" t="s">
        <v>208</v>
      </c>
      <c r="B163" s="62" t="s">
        <v>320</v>
      </c>
      <c r="C163" s="62" t="s">
        <v>307</v>
      </c>
      <c r="D163" s="62" t="s">
        <v>462</v>
      </c>
      <c r="E163" s="62" t="s">
        <v>209</v>
      </c>
      <c r="F163" s="63" t="s">
        <v>254</v>
      </c>
      <c r="G163" s="62" t="s">
        <v>234</v>
      </c>
      <c r="H163" s="62" t="s">
        <v>192</v>
      </c>
      <c r="I163" s="62" t="s">
        <v>16</v>
      </c>
      <c r="J163" s="62" t="s">
        <v>140</v>
      </c>
      <c r="K163" s="64">
        <v>2.2999999999999998</v>
      </c>
      <c r="L163" s="64">
        <f t="shared" si="24"/>
        <v>0.91999999999999993</v>
      </c>
      <c r="M163" s="65">
        <f>prodnorm44</f>
        <v>0</v>
      </c>
      <c r="N163" s="66">
        <f>dagwerk44</f>
        <v>0</v>
      </c>
      <c r="O163" s="62" t="s">
        <v>44</v>
      </c>
      <c r="P163" s="67">
        <f>uurtarief44</f>
        <v>0</v>
      </c>
      <c r="Q163" s="64" t="e">
        <f t="shared" si="25"/>
        <v>#DIV/0!</v>
      </c>
      <c r="R163" s="64" t="e">
        <f t="shared" si="26"/>
        <v>#DIV/0!</v>
      </c>
      <c r="S163" s="67" t="e">
        <f t="shared" si="27"/>
        <v>#DIV/0!</v>
      </c>
      <c r="T163" s="64" t="e">
        <f t="shared" si="28"/>
        <v>#DIV/0!</v>
      </c>
      <c r="U163" s="68" t="e">
        <f t="shared" si="29"/>
        <v>#DIV/0!</v>
      </c>
    </row>
    <row r="164" spans="1:21" x14ac:dyDescent="0.2">
      <c r="A164" s="61" t="s">
        <v>208</v>
      </c>
      <c r="B164" s="62" t="s">
        <v>320</v>
      </c>
      <c r="C164" s="62" t="s">
        <v>307</v>
      </c>
      <c r="D164" s="62" t="s">
        <v>463</v>
      </c>
      <c r="E164" s="62" t="s">
        <v>209</v>
      </c>
      <c r="F164" s="63" t="s">
        <v>257</v>
      </c>
      <c r="G164" s="62" t="s">
        <v>234</v>
      </c>
      <c r="H164" s="62" t="s">
        <v>186</v>
      </c>
      <c r="I164" s="62" t="s">
        <v>16</v>
      </c>
      <c r="J164" s="62" t="s">
        <v>140</v>
      </c>
      <c r="K164" s="64">
        <v>2.2000000000000002</v>
      </c>
      <c r="L164" s="64">
        <f t="shared" si="24"/>
        <v>0.88000000000000012</v>
      </c>
      <c r="M164" s="65">
        <f>prodnorm38</f>
        <v>0</v>
      </c>
      <c r="N164" s="66">
        <f>dagwerk38</f>
        <v>0</v>
      </c>
      <c r="O164" s="62" t="s">
        <v>44</v>
      </c>
      <c r="P164" s="67">
        <f>uurtarief38</f>
        <v>0</v>
      </c>
      <c r="Q164" s="64" t="e">
        <f t="shared" si="25"/>
        <v>#DIV/0!</v>
      </c>
      <c r="R164" s="64" t="e">
        <f t="shared" si="26"/>
        <v>#DIV/0!</v>
      </c>
      <c r="S164" s="67" t="e">
        <f t="shared" si="27"/>
        <v>#DIV/0!</v>
      </c>
      <c r="T164" s="64" t="e">
        <f t="shared" si="28"/>
        <v>#DIV/0!</v>
      </c>
      <c r="U164" s="68" t="e">
        <f t="shared" si="29"/>
        <v>#DIV/0!</v>
      </c>
    </row>
    <row r="165" spans="1:21" x14ac:dyDescent="0.2">
      <c r="A165" s="61" t="s">
        <v>208</v>
      </c>
      <c r="B165" s="62" t="s">
        <v>320</v>
      </c>
      <c r="C165" s="62" t="s">
        <v>307</v>
      </c>
      <c r="D165" s="62" t="s">
        <v>464</v>
      </c>
      <c r="E165" s="62" t="s">
        <v>209</v>
      </c>
      <c r="F165" s="63" t="s">
        <v>254</v>
      </c>
      <c r="G165" s="62" t="s">
        <v>234</v>
      </c>
      <c r="H165" s="62" t="s">
        <v>192</v>
      </c>
      <c r="I165" s="62" t="s">
        <v>16</v>
      </c>
      <c r="J165" s="62" t="s">
        <v>140</v>
      </c>
      <c r="K165" s="64">
        <v>2.1</v>
      </c>
      <c r="L165" s="64">
        <f t="shared" ref="L165:L196" si="30">K165*VLOOKUP(I165,dagsoorttabel1,2,FALSE)</f>
        <v>0.84000000000000008</v>
      </c>
      <c r="M165" s="65">
        <f>prodnorm44</f>
        <v>0</v>
      </c>
      <c r="N165" s="66">
        <f>dagwerk44</f>
        <v>0</v>
      </c>
      <c r="O165" s="62" t="s">
        <v>44</v>
      </c>
      <c r="P165" s="67">
        <f>uurtarief44</f>
        <v>0</v>
      </c>
      <c r="Q165" s="64" t="e">
        <f t="shared" ref="Q165:Q182" si="31">IF(ISBLANK(M165),0,L165/ROUND(M165,4))</f>
        <v>#DIV/0!</v>
      </c>
      <c r="R165" s="64" t="e">
        <f t="shared" ref="R165:R196" si="32">IF(ISBLANK(M165),0,Q165*ROUND(N165,2))</f>
        <v>#DIV/0!</v>
      </c>
      <c r="S165" s="67" t="e">
        <f t="shared" ref="S165:S182" si="33">ROUND(P165,2)*Q165</f>
        <v>#DIV/0!</v>
      </c>
      <c r="T165" s="64" t="e">
        <f t="shared" ref="T165:T182" si="34">Q165*dagenperjaar1</f>
        <v>#DIV/0!</v>
      </c>
      <c r="U165" s="68" t="e">
        <f t="shared" ref="U165:U196" si="35">T165*ROUND(P165,2)</f>
        <v>#DIV/0!</v>
      </c>
    </row>
    <row r="166" spans="1:21" x14ac:dyDescent="0.2">
      <c r="A166" s="61" t="s">
        <v>208</v>
      </c>
      <c r="B166" s="62" t="s">
        <v>320</v>
      </c>
      <c r="C166" s="62" t="s">
        <v>307</v>
      </c>
      <c r="D166" s="62" t="s">
        <v>465</v>
      </c>
      <c r="E166" s="62" t="s">
        <v>209</v>
      </c>
      <c r="F166" s="63" t="s">
        <v>257</v>
      </c>
      <c r="G166" s="62" t="s">
        <v>234</v>
      </c>
      <c r="H166" s="62" t="s">
        <v>186</v>
      </c>
      <c r="I166" s="62" t="s">
        <v>16</v>
      </c>
      <c r="J166" s="62" t="s">
        <v>140</v>
      </c>
      <c r="K166" s="64">
        <v>2.1</v>
      </c>
      <c r="L166" s="64">
        <f t="shared" si="30"/>
        <v>0.84000000000000008</v>
      </c>
      <c r="M166" s="65">
        <f>prodnorm38</f>
        <v>0</v>
      </c>
      <c r="N166" s="66">
        <f>dagwerk38</f>
        <v>0</v>
      </c>
      <c r="O166" s="62" t="s">
        <v>44</v>
      </c>
      <c r="P166" s="67">
        <f>uurtarief38</f>
        <v>0</v>
      </c>
      <c r="Q166" s="64" t="e">
        <f t="shared" si="31"/>
        <v>#DIV/0!</v>
      </c>
      <c r="R166" s="64" t="e">
        <f t="shared" si="32"/>
        <v>#DIV/0!</v>
      </c>
      <c r="S166" s="67" t="e">
        <f t="shared" si="33"/>
        <v>#DIV/0!</v>
      </c>
      <c r="T166" s="64" t="e">
        <f t="shared" si="34"/>
        <v>#DIV/0!</v>
      </c>
      <c r="U166" s="68" t="e">
        <f t="shared" si="35"/>
        <v>#DIV/0!</v>
      </c>
    </row>
    <row r="167" spans="1:21" x14ac:dyDescent="0.2">
      <c r="A167" s="61" t="s">
        <v>208</v>
      </c>
      <c r="B167" s="62" t="s">
        <v>320</v>
      </c>
      <c r="C167" s="62" t="s">
        <v>307</v>
      </c>
      <c r="D167" s="62" t="s">
        <v>466</v>
      </c>
      <c r="E167" s="62" t="s">
        <v>209</v>
      </c>
      <c r="F167" s="63" t="s">
        <v>215</v>
      </c>
      <c r="G167" s="62" t="s">
        <v>213</v>
      </c>
      <c r="H167" s="62" t="s">
        <v>194</v>
      </c>
      <c r="I167" s="62" t="s">
        <v>16</v>
      </c>
      <c r="J167" s="62" t="s">
        <v>140</v>
      </c>
      <c r="K167" s="64">
        <v>72.599999999999994</v>
      </c>
      <c r="L167" s="64">
        <f t="shared" si="30"/>
        <v>29.04</v>
      </c>
      <c r="M167" s="65">
        <f>prodnorm46</f>
        <v>0</v>
      </c>
      <c r="N167" s="66">
        <f>dagwerk46</f>
        <v>0</v>
      </c>
      <c r="O167" s="62" t="s">
        <v>44</v>
      </c>
      <c r="P167" s="67">
        <f>uurtarief46</f>
        <v>0</v>
      </c>
      <c r="Q167" s="64" t="e">
        <f t="shared" si="31"/>
        <v>#DIV/0!</v>
      </c>
      <c r="R167" s="64" t="e">
        <f t="shared" si="32"/>
        <v>#DIV/0!</v>
      </c>
      <c r="S167" s="67" t="e">
        <f t="shared" si="33"/>
        <v>#DIV/0!</v>
      </c>
      <c r="T167" s="64" t="e">
        <f t="shared" si="34"/>
        <v>#DIV/0!</v>
      </c>
      <c r="U167" s="68" t="e">
        <f t="shared" si="35"/>
        <v>#DIV/0!</v>
      </c>
    </row>
    <row r="168" spans="1:21" x14ac:dyDescent="0.2">
      <c r="A168" s="61" t="s">
        <v>208</v>
      </c>
      <c r="B168" s="62" t="s">
        <v>320</v>
      </c>
      <c r="C168" s="62" t="s">
        <v>467</v>
      </c>
      <c r="D168" s="62" t="s">
        <v>468</v>
      </c>
      <c r="E168" s="62" t="s">
        <v>209</v>
      </c>
      <c r="F168" s="63" t="s">
        <v>212</v>
      </c>
      <c r="G168" s="62" t="s">
        <v>213</v>
      </c>
      <c r="H168" s="62" t="s">
        <v>193</v>
      </c>
      <c r="I168" s="62" t="s">
        <v>16</v>
      </c>
      <c r="J168" s="62" t="s">
        <v>140</v>
      </c>
      <c r="K168" s="64">
        <v>48.7</v>
      </c>
      <c r="L168" s="64">
        <f t="shared" si="30"/>
        <v>19.480000000000004</v>
      </c>
      <c r="M168" s="65">
        <f>prodnorm45</f>
        <v>0</v>
      </c>
      <c r="N168" s="66">
        <f>dagwerk45</f>
        <v>0</v>
      </c>
      <c r="O168" s="62" t="s">
        <v>44</v>
      </c>
      <c r="P168" s="67">
        <f>uurtarief45</f>
        <v>0</v>
      </c>
      <c r="Q168" s="64" t="e">
        <f t="shared" si="31"/>
        <v>#DIV/0!</v>
      </c>
      <c r="R168" s="64" t="e">
        <f t="shared" si="32"/>
        <v>#DIV/0!</v>
      </c>
      <c r="S168" s="67" t="e">
        <f t="shared" si="33"/>
        <v>#DIV/0!</v>
      </c>
      <c r="T168" s="64" t="e">
        <f t="shared" si="34"/>
        <v>#DIV/0!</v>
      </c>
      <c r="U168" s="68" t="e">
        <f t="shared" si="35"/>
        <v>#DIV/0!</v>
      </c>
    </row>
    <row r="169" spans="1:21" x14ac:dyDescent="0.2">
      <c r="A169" s="61" t="s">
        <v>208</v>
      </c>
      <c r="B169" s="62" t="s">
        <v>320</v>
      </c>
      <c r="C169" s="62" t="s">
        <v>467</v>
      </c>
      <c r="D169" s="62" t="s">
        <v>470</v>
      </c>
      <c r="E169" s="62" t="s">
        <v>209</v>
      </c>
      <c r="F169" s="63" t="s">
        <v>387</v>
      </c>
      <c r="G169" s="62" t="s">
        <v>234</v>
      </c>
      <c r="H169" s="62" t="s">
        <v>192</v>
      </c>
      <c r="I169" s="62" t="s">
        <v>16</v>
      </c>
      <c r="J169" s="62" t="s">
        <v>140</v>
      </c>
      <c r="K169" s="64">
        <v>6.4</v>
      </c>
      <c r="L169" s="64">
        <f t="shared" si="30"/>
        <v>2.5600000000000005</v>
      </c>
      <c r="M169" s="65">
        <f>prodnorm44</f>
        <v>0</v>
      </c>
      <c r="N169" s="66">
        <f>dagwerk44</f>
        <v>0</v>
      </c>
      <c r="O169" s="62" t="s">
        <v>44</v>
      </c>
      <c r="P169" s="67">
        <f>uurtarief44</f>
        <v>0</v>
      </c>
      <c r="Q169" s="64" t="e">
        <f t="shared" si="31"/>
        <v>#DIV/0!</v>
      </c>
      <c r="R169" s="64" t="e">
        <f t="shared" si="32"/>
        <v>#DIV/0!</v>
      </c>
      <c r="S169" s="67" t="e">
        <f t="shared" si="33"/>
        <v>#DIV/0!</v>
      </c>
      <c r="T169" s="64" t="e">
        <f t="shared" si="34"/>
        <v>#DIV/0!</v>
      </c>
      <c r="U169" s="68" t="e">
        <f t="shared" si="35"/>
        <v>#DIV/0!</v>
      </c>
    </row>
    <row r="170" spans="1:21" x14ac:dyDescent="0.2">
      <c r="A170" s="61" t="s">
        <v>208</v>
      </c>
      <c r="B170" s="62" t="s">
        <v>320</v>
      </c>
      <c r="C170" s="62" t="s">
        <v>467</v>
      </c>
      <c r="D170" s="62" t="s">
        <v>471</v>
      </c>
      <c r="E170" s="62" t="s">
        <v>209</v>
      </c>
      <c r="F170" s="63" t="s">
        <v>257</v>
      </c>
      <c r="G170" s="62" t="s">
        <v>234</v>
      </c>
      <c r="H170" s="62" t="s">
        <v>186</v>
      </c>
      <c r="I170" s="62" t="s">
        <v>16</v>
      </c>
      <c r="J170" s="62" t="s">
        <v>140</v>
      </c>
      <c r="K170" s="64">
        <v>4</v>
      </c>
      <c r="L170" s="64">
        <f t="shared" si="30"/>
        <v>1.6</v>
      </c>
      <c r="M170" s="65">
        <f>prodnorm38</f>
        <v>0</v>
      </c>
      <c r="N170" s="66">
        <f>dagwerk38</f>
        <v>0</v>
      </c>
      <c r="O170" s="62" t="s">
        <v>44</v>
      </c>
      <c r="P170" s="67">
        <f>uurtarief38</f>
        <v>0</v>
      </c>
      <c r="Q170" s="64" t="e">
        <f t="shared" si="31"/>
        <v>#DIV/0!</v>
      </c>
      <c r="R170" s="64" t="e">
        <f t="shared" si="32"/>
        <v>#DIV/0!</v>
      </c>
      <c r="S170" s="67" t="e">
        <f t="shared" si="33"/>
        <v>#DIV/0!</v>
      </c>
      <c r="T170" s="64" t="e">
        <f t="shared" si="34"/>
        <v>#DIV/0!</v>
      </c>
      <c r="U170" s="68" t="e">
        <f t="shared" si="35"/>
        <v>#DIV/0!</v>
      </c>
    </row>
    <row r="171" spans="1:21" x14ac:dyDescent="0.2">
      <c r="A171" s="61" t="s">
        <v>208</v>
      </c>
      <c r="B171" s="62" t="s">
        <v>320</v>
      </c>
      <c r="C171" s="62" t="s">
        <v>467</v>
      </c>
      <c r="D171" s="62" t="s">
        <v>472</v>
      </c>
      <c r="E171" s="62" t="s">
        <v>209</v>
      </c>
      <c r="F171" s="63" t="s">
        <v>215</v>
      </c>
      <c r="G171" s="62" t="s">
        <v>213</v>
      </c>
      <c r="H171" s="62" t="s">
        <v>194</v>
      </c>
      <c r="I171" s="62" t="s">
        <v>16</v>
      </c>
      <c r="J171" s="62" t="s">
        <v>140</v>
      </c>
      <c r="K171" s="64">
        <v>51</v>
      </c>
      <c r="L171" s="64">
        <f t="shared" si="30"/>
        <v>20.400000000000002</v>
      </c>
      <c r="M171" s="65">
        <f>prodnorm46</f>
        <v>0</v>
      </c>
      <c r="N171" s="66">
        <f>dagwerk46</f>
        <v>0</v>
      </c>
      <c r="O171" s="62" t="s">
        <v>44</v>
      </c>
      <c r="P171" s="67">
        <f>uurtarief46</f>
        <v>0</v>
      </c>
      <c r="Q171" s="64" t="e">
        <f t="shared" si="31"/>
        <v>#DIV/0!</v>
      </c>
      <c r="R171" s="64" t="e">
        <f t="shared" si="32"/>
        <v>#DIV/0!</v>
      </c>
      <c r="S171" s="67" t="e">
        <f t="shared" si="33"/>
        <v>#DIV/0!</v>
      </c>
      <c r="T171" s="64" t="e">
        <f t="shared" si="34"/>
        <v>#DIV/0!</v>
      </c>
      <c r="U171" s="68" t="e">
        <f t="shared" si="35"/>
        <v>#DIV/0!</v>
      </c>
    </row>
    <row r="172" spans="1:21" x14ac:dyDescent="0.2">
      <c r="A172" s="61" t="s">
        <v>208</v>
      </c>
      <c r="B172" s="62" t="s">
        <v>320</v>
      </c>
      <c r="C172" s="62" t="s">
        <v>467</v>
      </c>
      <c r="D172" s="62" t="s">
        <v>473</v>
      </c>
      <c r="E172" s="62" t="s">
        <v>209</v>
      </c>
      <c r="F172" s="63" t="s">
        <v>351</v>
      </c>
      <c r="G172" s="62" t="s">
        <v>234</v>
      </c>
      <c r="H172" s="62" t="s">
        <v>192</v>
      </c>
      <c r="I172" s="62" t="s">
        <v>16</v>
      </c>
      <c r="J172" s="62" t="s">
        <v>140</v>
      </c>
      <c r="K172" s="64">
        <v>1.1000000000000001</v>
      </c>
      <c r="L172" s="64">
        <f t="shared" si="30"/>
        <v>0.44000000000000006</v>
      </c>
      <c r="M172" s="65">
        <f>prodnorm44</f>
        <v>0</v>
      </c>
      <c r="N172" s="66">
        <f>dagwerk44</f>
        <v>0</v>
      </c>
      <c r="O172" s="62" t="s">
        <v>44</v>
      </c>
      <c r="P172" s="67">
        <f>uurtarief44</f>
        <v>0</v>
      </c>
      <c r="Q172" s="64" t="e">
        <f t="shared" si="31"/>
        <v>#DIV/0!</v>
      </c>
      <c r="R172" s="64" t="e">
        <f t="shared" si="32"/>
        <v>#DIV/0!</v>
      </c>
      <c r="S172" s="67" t="e">
        <f t="shared" si="33"/>
        <v>#DIV/0!</v>
      </c>
      <c r="T172" s="64" t="e">
        <f t="shared" si="34"/>
        <v>#DIV/0!</v>
      </c>
      <c r="U172" s="68" t="e">
        <f t="shared" si="35"/>
        <v>#DIV/0!</v>
      </c>
    </row>
    <row r="173" spans="1:21" x14ac:dyDescent="0.2">
      <c r="A173" s="61" t="s">
        <v>208</v>
      </c>
      <c r="B173" s="62" t="s">
        <v>320</v>
      </c>
      <c r="C173" s="62" t="s">
        <v>467</v>
      </c>
      <c r="D173" s="62" t="s">
        <v>476</v>
      </c>
      <c r="E173" s="62" t="s">
        <v>209</v>
      </c>
      <c r="F173" s="63" t="s">
        <v>257</v>
      </c>
      <c r="G173" s="62" t="s">
        <v>234</v>
      </c>
      <c r="H173" s="62" t="s">
        <v>186</v>
      </c>
      <c r="I173" s="62" t="s">
        <v>16</v>
      </c>
      <c r="J173" s="62" t="s">
        <v>140</v>
      </c>
      <c r="K173" s="64">
        <v>1.8</v>
      </c>
      <c r="L173" s="64">
        <f t="shared" si="30"/>
        <v>0.72000000000000008</v>
      </c>
      <c r="M173" s="65">
        <f>prodnorm38</f>
        <v>0</v>
      </c>
      <c r="N173" s="66">
        <f>dagwerk38</f>
        <v>0</v>
      </c>
      <c r="O173" s="62" t="s">
        <v>44</v>
      </c>
      <c r="P173" s="67">
        <f>uurtarief38</f>
        <v>0</v>
      </c>
      <c r="Q173" s="64" t="e">
        <f t="shared" si="31"/>
        <v>#DIV/0!</v>
      </c>
      <c r="R173" s="64" t="e">
        <f t="shared" si="32"/>
        <v>#DIV/0!</v>
      </c>
      <c r="S173" s="67" t="e">
        <f t="shared" si="33"/>
        <v>#DIV/0!</v>
      </c>
      <c r="T173" s="64" t="e">
        <f t="shared" si="34"/>
        <v>#DIV/0!</v>
      </c>
      <c r="U173" s="68" t="e">
        <f t="shared" si="35"/>
        <v>#DIV/0!</v>
      </c>
    </row>
    <row r="174" spans="1:21" x14ac:dyDescent="0.2">
      <c r="A174" s="61" t="s">
        <v>208</v>
      </c>
      <c r="B174" s="62" t="s">
        <v>320</v>
      </c>
      <c r="C174" s="62" t="s">
        <v>467</v>
      </c>
      <c r="D174" s="62" t="s">
        <v>478</v>
      </c>
      <c r="E174" s="62" t="s">
        <v>209</v>
      </c>
      <c r="F174" s="63" t="s">
        <v>254</v>
      </c>
      <c r="G174" s="62" t="s">
        <v>234</v>
      </c>
      <c r="H174" s="62" t="s">
        <v>192</v>
      </c>
      <c r="I174" s="62" t="s">
        <v>16</v>
      </c>
      <c r="J174" s="62" t="s">
        <v>140</v>
      </c>
      <c r="K174" s="64">
        <v>1.8</v>
      </c>
      <c r="L174" s="64">
        <f t="shared" si="30"/>
        <v>0.72000000000000008</v>
      </c>
      <c r="M174" s="65">
        <f>prodnorm44</f>
        <v>0</v>
      </c>
      <c r="N174" s="66">
        <f>dagwerk44</f>
        <v>0</v>
      </c>
      <c r="O174" s="62" t="s">
        <v>44</v>
      </c>
      <c r="P174" s="67">
        <f>uurtarief44</f>
        <v>0</v>
      </c>
      <c r="Q174" s="64" t="e">
        <f t="shared" si="31"/>
        <v>#DIV/0!</v>
      </c>
      <c r="R174" s="64" t="e">
        <f t="shared" si="32"/>
        <v>#DIV/0!</v>
      </c>
      <c r="S174" s="67" t="e">
        <f t="shared" si="33"/>
        <v>#DIV/0!</v>
      </c>
      <c r="T174" s="64" t="e">
        <f t="shared" si="34"/>
        <v>#DIV/0!</v>
      </c>
      <c r="U174" s="68" t="e">
        <f t="shared" si="35"/>
        <v>#DIV/0!</v>
      </c>
    </row>
    <row r="175" spans="1:21" x14ac:dyDescent="0.2">
      <c r="A175" s="61" t="s">
        <v>208</v>
      </c>
      <c r="B175" s="62" t="s">
        <v>320</v>
      </c>
      <c r="C175" s="62" t="s">
        <v>467</v>
      </c>
      <c r="D175" s="62" t="s">
        <v>479</v>
      </c>
      <c r="E175" s="62" t="s">
        <v>209</v>
      </c>
      <c r="F175" s="63" t="s">
        <v>261</v>
      </c>
      <c r="G175" s="62" t="s">
        <v>234</v>
      </c>
      <c r="H175" s="62" t="s">
        <v>190</v>
      </c>
      <c r="I175" s="62" t="s">
        <v>16</v>
      </c>
      <c r="J175" s="62" t="s">
        <v>140</v>
      </c>
      <c r="K175" s="64">
        <v>10.8</v>
      </c>
      <c r="L175" s="64">
        <f t="shared" si="30"/>
        <v>4.32</v>
      </c>
      <c r="M175" s="65">
        <f>prodnorm42</f>
        <v>0</v>
      </c>
      <c r="N175" s="66">
        <f>dagwerk42</f>
        <v>0</v>
      </c>
      <c r="O175" s="62" t="s">
        <v>44</v>
      </c>
      <c r="P175" s="67">
        <f>uurtarief42</f>
        <v>0</v>
      </c>
      <c r="Q175" s="64" t="e">
        <f t="shared" si="31"/>
        <v>#DIV/0!</v>
      </c>
      <c r="R175" s="64" t="e">
        <f t="shared" si="32"/>
        <v>#DIV/0!</v>
      </c>
      <c r="S175" s="67" t="e">
        <f t="shared" si="33"/>
        <v>#DIV/0!</v>
      </c>
      <c r="T175" s="64" t="e">
        <f t="shared" si="34"/>
        <v>#DIV/0!</v>
      </c>
      <c r="U175" s="68" t="e">
        <f t="shared" si="35"/>
        <v>#DIV/0!</v>
      </c>
    </row>
    <row r="176" spans="1:21" x14ac:dyDescent="0.2">
      <c r="A176" s="61" t="s">
        <v>208</v>
      </c>
      <c r="B176" s="62" t="s">
        <v>320</v>
      </c>
      <c r="C176" s="62" t="s">
        <v>467</v>
      </c>
      <c r="D176" s="62" t="s">
        <v>481</v>
      </c>
      <c r="E176" s="62" t="s">
        <v>209</v>
      </c>
      <c r="F176" s="63" t="s">
        <v>254</v>
      </c>
      <c r="G176" s="62" t="s">
        <v>234</v>
      </c>
      <c r="H176" s="62" t="s">
        <v>192</v>
      </c>
      <c r="I176" s="62" t="s">
        <v>16</v>
      </c>
      <c r="J176" s="62" t="s">
        <v>140</v>
      </c>
      <c r="K176" s="64">
        <v>6.6</v>
      </c>
      <c r="L176" s="64">
        <f t="shared" si="30"/>
        <v>2.64</v>
      </c>
      <c r="M176" s="65">
        <f>prodnorm44</f>
        <v>0</v>
      </c>
      <c r="N176" s="66">
        <f>dagwerk44</f>
        <v>0</v>
      </c>
      <c r="O176" s="62" t="s">
        <v>44</v>
      </c>
      <c r="P176" s="67">
        <f>uurtarief44</f>
        <v>0</v>
      </c>
      <c r="Q176" s="64" t="e">
        <f t="shared" si="31"/>
        <v>#DIV/0!</v>
      </c>
      <c r="R176" s="64" t="e">
        <f t="shared" si="32"/>
        <v>#DIV/0!</v>
      </c>
      <c r="S176" s="67" t="e">
        <f t="shared" si="33"/>
        <v>#DIV/0!</v>
      </c>
      <c r="T176" s="64" t="e">
        <f t="shared" si="34"/>
        <v>#DIV/0!</v>
      </c>
      <c r="U176" s="68" t="e">
        <f t="shared" si="35"/>
        <v>#DIV/0!</v>
      </c>
    </row>
    <row r="177" spans="1:21" x14ac:dyDescent="0.2">
      <c r="A177" s="61" t="s">
        <v>208</v>
      </c>
      <c r="B177" s="62" t="s">
        <v>320</v>
      </c>
      <c r="C177" s="62" t="s">
        <v>467</v>
      </c>
      <c r="D177" s="62" t="s">
        <v>482</v>
      </c>
      <c r="E177" s="62" t="s">
        <v>209</v>
      </c>
      <c r="F177" s="63" t="s">
        <v>257</v>
      </c>
      <c r="G177" s="62" t="s">
        <v>234</v>
      </c>
      <c r="H177" s="62" t="s">
        <v>186</v>
      </c>
      <c r="I177" s="62" t="s">
        <v>16</v>
      </c>
      <c r="J177" s="62" t="s">
        <v>140</v>
      </c>
      <c r="K177" s="64">
        <v>4</v>
      </c>
      <c r="L177" s="64">
        <f t="shared" si="30"/>
        <v>1.6</v>
      </c>
      <c r="M177" s="65">
        <f>prodnorm38</f>
        <v>0</v>
      </c>
      <c r="N177" s="66">
        <f>dagwerk38</f>
        <v>0</v>
      </c>
      <c r="O177" s="62" t="s">
        <v>44</v>
      </c>
      <c r="P177" s="67">
        <f>uurtarief38</f>
        <v>0</v>
      </c>
      <c r="Q177" s="64" t="e">
        <f t="shared" si="31"/>
        <v>#DIV/0!</v>
      </c>
      <c r="R177" s="64" t="e">
        <f t="shared" si="32"/>
        <v>#DIV/0!</v>
      </c>
      <c r="S177" s="67" t="e">
        <f t="shared" si="33"/>
        <v>#DIV/0!</v>
      </c>
      <c r="T177" s="64" t="e">
        <f t="shared" si="34"/>
        <v>#DIV/0!</v>
      </c>
      <c r="U177" s="68" t="e">
        <f t="shared" si="35"/>
        <v>#DIV/0!</v>
      </c>
    </row>
    <row r="178" spans="1:21" x14ac:dyDescent="0.2">
      <c r="A178" s="61" t="s">
        <v>208</v>
      </c>
      <c r="B178" s="62" t="s">
        <v>320</v>
      </c>
      <c r="C178" s="62" t="s">
        <v>467</v>
      </c>
      <c r="D178" s="62" t="s">
        <v>483</v>
      </c>
      <c r="E178" s="62" t="s">
        <v>209</v>
      </c>
      <c r="F178" s="63" t="s">
        <v>254</v>
      </c>
      <c r="G178" s="62" t="s">
        <v>234</v>
      </c>
      <c r="H178" s="62" t="s">
        <v>192</v>
      </c>
      <c r="I178" s="62" t="s">
        <v>16</v>
      </c>
      <c r="J178" s="62" t="s">
        <v>140</v>
      </c>
      <c r="K178" s="64">
        <v>1.8</v>
      </c>
      <c r="L178" s="64">
        <f t="shared" si="30"/>
        <v>0.72000000000000008</v>
      </c>
      <c r="M178" s="65">
        <f>prodnorm44</f>
        <v>0</v>
      </c>
      <c r="N178" s="66">
        <f>dagwerk44</f>
        <v>0</v>
      </c>
      <c r="O178" s="62" t="s">
        <v>44</v>
      </c>
      <c r="P178" s="67">
        <f>uurtarief44</f>
        <v>0</v>
      </c>
      <c r="Q178" s="64" t="e">
        <f t="shared" si="31"/>
        <v>#DIV/0!</v>
      </c>
      <c r="R178" s="64" t="e">
        <f t="shared" si="32"/>
        <v>#DIV/0!</v>
      </c>
      <c r="S178" s="67" t="e">
        <f t="shared" si="33"/>
        <v>#DIV/0!</v>
      </c>
      <c r="T178" s="64" t="e">
        <f t="shared" si="34"/>
        <v>#DIV/0!</v>
      </c>
      <c r="U178" s="68" t="e">
        <f t="shared" si="35"/>
        <v>#DIV/0!</v>
      </c>
    </row>
    <row r="179" spans="1:21" x14ac:dyDescent="0.2">
      <c r="A179" s="61" t="s">
        <v>208</v>
      </c>
      <c r="B179" s="62" t="s">
        <v>320</v>
      </c>
      <c r="C179" s="62" t="s">
        <v>467</v>
      </c>
      <c r="D179" s="62" t="s">
        <v>484</v>
      </c>
      <c r="E179" s="62" t="s">
        <v>209</v>
      </c>
      <c r="F179" s="63" t="s">
        <v>257</v>
      </c>
      <c r="G179" s="62" t="s">
        <v>234</v>
      </c>
      <c r="H179" s="62" t="s">
        <v>186</v>
      </c>
      <c r="I179" s="62" t="s">
        <v>16</v>
      </c>
      <c r="J179" s="62" t="s">
        <v>140</v>
      </c>
      <c r="K179" s="64">
        <v>1.8</v>
      </c>
      <c r="L179" s="64">
        <f t="shared" si="30"/>
        <v>0.72000000000000008</v>
      </c>
      <c r="M179" s="65">
        <f>prodnorm38</f>
        <v>0</v>
      </c>
      <c r="N179" s="66">
        <f>dagwerk38</f>
        <v>0</v>
      </c>
      <c r="O179" s="62" t="s">
        <v>44</v>
      </c>
      <c r="P179" s="67">
        <f>uurtarief38</f>
        <v>0</v>
      </c>
      <c r="Q179" s="64" t="e">
        <f t="shared" si="31"/>
        <v>#DIV/0!</v>
      </c>
      <c r="R179" s="64" t="e">
        <f t="shared" si="32"/>
        <v>#DIV/0!</v>
      </c>
      <c r="S179" s="67" t="e">
        <f t="shared" si="33"/>
        <v>#DIV/0!</v>
      </c>
      <c r="T179" s="64" t="e">
        <f t="shared" si="34"/>
        <v>#DIV/0!</v>
      </c>
      <c r="U179" s="68" t="e">
        <f t="shared" si="35"/>
        <v>#DIV/0!</v>
      </c>
    </row>
    <row r="180" spans="1:21" x14ac:dyDescent="0.2">
      <c r="A180" s="61" t="s">
        <v>208</v>
      </c>
      <c r="B180" s="62" t="s">
        <v>320</v>
      </c>
      <c r="C180" s="62" t="s">
        <v>467</v>
      </c>
      <c r="D180" s="62" t="s">
        <v>485</v>
      </c>
      <c r="E180" s="62" t="s">
        <v>209</v>
      </c>
      <c r="F180" s="63" t="s">
        <v>254</v>
      </c>
      <c r="G180" s="62" t="s">
        <v>234</v>
      </c>
      <c r="H180" s="62" t="s">
        <v>192</v>
      </c>
      <c r="I180" s="62" t="s">
        <v>16</v>
      </c>
      <c r="J180" s="62" t="s">
        <v>140</v>
      </c>
      <c r="K180" s="64">
        <v>2.1</v>
      </c>
      <c r="L180" s="64">
        <f t="shared" si="30"/>
        <v>0.84000000000000008</v>
      </c>
      <c r="M180" s="65">
        <f>prodnorm44</f>
        <v>0</v>
      </c>
      <c r="N180" s="66">
        <f>dagwerk44</f>
        <v>0</v>
      </c>
      <c r="O180" s="62" t="s">
        <v>44</v>
      </c>
      <c r="P180" s="67">
        <f>uurtarief44</f>
        <v>0</v>
      </c>
      <c r="Q180" s="64" t="e">
        <f t="shared" si="31"/>
        <v>#DIV/0!</v>
      </c>
      <c r="R180" s="64" t="e">
        <f t="shared" si="32"/>
        <v>#DIV/0!</v>
      </c>
      <c r="S180" s="67" t="e">
        <f t="shared" si="33"/>
        <v>#DIV/0!</v>
      </c>
      <c r="T180" s="64" t="e">
        <f t="shared" si="34"/>
        <v>#DIV/0!</v>
      </c>
      <c r="U180" s="68" t="e">
        <f t="shared" si="35"/>
        <v>#DIV/0!</v>
      </c>
    </row>
    <row r="181" spans="1:21" x14ac:dyDescent="0.2">
      <c r="A181" s="61" t="s">
        <v>208</v>
      </c>
      <c r="B181" s="62" t="s">
        <v>320</v>
      </c>
      <c r="C181" s="62" t="s">
        <v>467</v>
      </c>
      <c r="D181" s="62" t="s">
        <v>485</v>
      </c>
      <c r="E181" s="62" t="s">
        <v>209</v>
      </c>
      <c r="F181" s="63" t="s">
        <v>257</v>
      </c>
      <c r="G181" s="62" t="s">
        <v>234</v>
      </c>
      <c r="H181" s="62" t="s">
        <v>186</v>
      </c>
      <c r="I181" s="62" t="s">
        <v>16</v>
      </c>
      <c r="J181" s="62" t="s">
        <v>140</v>
      </c>
      <c r="K181" s="64">
        <v>2.1</v>
      </c>
      <c r="L181" s="64">
        <f t="shared" si="30"/>
        <v>0.84000000000000008</v>
      </c>
      <c r="M181" s="65">
        <f>prodnorm38</f>
        <v>0</v>
      </c>
      <c r="N181" s="66">
        <f>dagwerk38</f>
        <v>0</v>
      </c>
      <c r="O181" s="62" t="s">
        <v>44</v>
      </c>
      <c r="P181" s="67">
        <f>uurtarief38</f>
        <v>0</v>
      </c>
      <c r="Q181" s="64" t="e">
        <f t="shared" si="31"/>
        <v>#DIV/0!</v>
      </c>
      <c r="R181" s="64" t="e">
        <f t="shared" si="32"/>
        <v>#DIV/0!</v>
      </c>
      <c r="S181" s="67" t="e">
        <f t="shared" si="33"/>
        <v>#DIV/0!</v>
      </c>
      <c r="T181" s="64" t="e">
        <f t="shared" si="34"/>
        <v>#DIV/0!</v>
      </c>
      <c r="U181" s="68" t="e">
        <f t="shared" si="35"/>
        <v>#DIV/0!</v>
      </c>
    </row>
    <row r="182" spans="1:21" x14ac:dyDescent="0.2">
      <c r="A182" s="69" t="s">
        <v>208</v>
      </c>
      <c r="B182" s="70" t="s">
        <v>320</v>
      </c>
      <c r="C182" s="70" t="s">
        <v>467</v>
      </c>
      <c r="D182" s="70" t="s">
        <v>486</v>
      </c>
      <c r="E182" s="70" t="s">
        <v>209</v>
      </c>
      <c r="F182" s="71" t="s">
        <v>215</v>
      </c>
      <c r="G182" s="70" t="s">
        <v>213</v>
      </c>
      <c r="H182" s="70" t="s">
        <v>194</v>
      </c>
      <c r="I182" s="70" t="s">
        <v>16</v>
      </c>
      <c r="J182" s="70" t="s">
        <v>140</v>
      </c>
      <c r="K182" s="72">
        <v>70.5</v>
      </c>
      <c r="L182" s="72">
        <f t="shared" si="30"/>
        <v>28.200000000000003</v>
      </c>
      <c r="M182" s="73">
        <f>prodnorm46</f>
        <v>0</v>
      </c>
      <c r="N182" s="74">
        <f>dagwerk46</f>
        <v>0</v>
      </c>
      <c r="O182" s="70" t="s">
        <v>44</v>
      </c>
      <c r="P182" s="75">
        <f>uurtarief46</f>
        <v>0</v>
      </c>
      <c r="Q182" s="72" t="e">
        <f t="shared" si="31"/>
        <v>#DIV/0!</v>
      </c>
      <c r="R182" s="72" t="e">
        <f t="shared" si="32"/>
        <v>#DIV/0!</v>
      </c>
      <c r="S182" s="75" t="e">
        <f t="shared" si="33"/>
        <v>#DIV/0!</v>
      </c>
      <c r="T182" s="72" t="e">
        <f t="shared" si="34"/>
        <v>#DIV/0!</v>
      </c>
      <c r="U182" s="76" t="e">
        <f t="shared" si="35"/>
        <v>#DIV/0!</v>
      </c>
    </row>
    <row r="183" spans="1:21" x14ac:dyDescent="0.2">
      <c r="A183" s="43" t="s">
        <v>491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6" t="e">
        <f>IF(_xlfn.SINGLE(object1_urenjaar4)&gt;0,_xlfn.SINGLE(object1_prijsjaar4)/_xlfn.SINGLE(object1_urenjaar4),0)</f>
        <v>#DIV/0!</v>
      </c>
      <c r="Q183" s="45" t="e">
        <f>SUM(Q5:Q182)</f>
        <v>#DIV/0!</v>
      </c>
      <c r="R183" s="45" t="e">
        <f>SUM(R5:R182)</f>
        <v>#DIV/0!</v>
      </c>
      <c r="S183" s="46" t="e">
        <f>SUM(S5:S182)</f>
        <v>#DIV/0!</v>
      </c>
      <c r="T183" s="45" t="e">
        <f>SUM(T5:T182)</f>
        <v>#DIV/0!</v>
      </c>
      <c r="U183" s="46" t="e">
        <f>SUM(U5:U182)</f>
        <v>#DIV/0!</v>
      </c>
    </row>
  </sheetData>
  <autoFilter ref="A3:U183" xr:uid="{E5ADBA62-6551-414B-9715-367FD8FDA825}"/>
  <pageMargins left="0.7" right="0.7" top="0.75" bottom="0.75" header="0.3" footer="0.3"/>
  <pageSetup paperSize="9" scale="61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57B4-F432-4C46-9DB1-C634ADAB00A5}">
  <dimension ref="A1:J5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0" width="12.625" customWidth="1"/>
  </cols>
  <sheetData>
    <row r="1" spans="1:10" x14ac:dyDescent="0.2">
      <c r="A1" s="1" t="s">
        <v>492</v>
      </c>
    </row>
    <row r="3" spans="1:10" ht="25.5" x14ac:dyDescent="0.2">
      <c r="A3" s="77" t="s">
        <v>131</v>
      </c>
      <c r="B3" s="77" t="s">
        <v>8</v>
      </c>
      <c r="C3" s="78" t="s">
        <v>493</v>
      </c>
      <c r="D3" s="78" t="s">
        <v>494</v>
      </c>
      <c r="E3" s="78" t="s">
        <v>495</v>
      </c>
      <c r="F3" s="78" t="s">
        <v>496</v>
      </c>
      <c r="G3" s="78" t="s">
        <v>497</v>
      </c>
      <c r="H3" s="78" t="s">
        <v>498</v>
      </c>
      <c r="I3" s="77" t="s">
        <v>499</v>
      </c>
      <c r="J3" s="77" t="s">
        <v>500</v>
      </c>
    </row>
    <row r="4" spans="1:10" x14ac:dyDescent="0.2">
      <c r="A4" s="79"/>
      <c r="B4" s="79"/>
      <c r="C4" s="79"/>
      <c r="D4" s="79"/>
      <c r="E4" s="79"/>
      <c r="F4" s="79"/>
      <c r="G4" s="79"/>
      <c r="H4" s="79"/>
      <c r="I4" s="79"/>
      <c r="J4" s="80" t="s">
        <v>133</v>
      </c>
    </row>
    <row r="5" spans="1:10" x14ac:dyDescent="0.2">
      <c r="A5" s="15" t="s">
        <v>139</v>
      </c>
      <c r="B5" s="15" t="s">
        <v>25</v>
      </c>
      <c r="C5" s="15" t="s">
        <v>501</v>
      </c>
      <c r="D5" s="15" t="s">
        <v>140</v>
      </c>
      <c r="E5" s="30">
        <f t="shared" ref="E5:E26" si="0">IF(B5="","",VLOOKUP(B5,dagsoorttabel1,2,FALSE))</f>
        <v>4.7058823529411764E-2</v>
      </c>
      <c r="F5" s="30">
        <v>1</v>
      </c>
      <c r="G5" s="30">
        <f>IF(prodnorm2&gt;0,1/ROUND(prodnorm2,4),0)</f>
        <v>0</v>
      </c>
      <c r="H5" s="32">
        <f>ROUND(dagwerk2,4+2)</f>
        <v>0</v>
      </c>
      <c r="I5" s="33">
        <f>ROUND(uurtarief2,2)</f>
        <v>0</v>
      </c>
      <c r="J5" s="30">
        <v>36</v>
      </c>
    </row>
    <row r="6" spans="1:10" x14ac:dyDescent="0.2">
      <c r="A6" s="20" t="s">
        <v>142</v>
      </c>
      <c r="B6" s="20" t="s">
        <v>19</v>
      </c>
      <c r="C6" s="20" t="s">
        <v>501</v>
      </c>
      <c r="D6" s="20" t="s">
        <v>140</v>
      </c>
      <c r="E6" s="34">
        <f t="shared" si="0"/>
        <v>0.2</v>
      </c>
      <c r="F6" s="34">
        <v>1</v>
      </c>
      <c r="G6" s="34">
        <f>IF(prodnorm4&gt;0,1/ROUND(prodnorm4,4),0)</f>
        <v>0</v>
      </c>
      <c r="H6" s="36">
        <f>ROUND(dagwerk4,4+2)</f>
        <v>0</v>
      </c>
      <c r="I6" s="37">
        <f>ROUND(uurtarief4,2)</f>
        <v>0</v>
      </c>
      <c r="J6" s="34">
        <v>132.1</v>
      </c>
    </row>
    <row r="7" spans="1:10" x14ac:dyDescent="0.2">
      <c r="A7" s="20" t="s">
        <v>142</v>
      </c>
      <c r="B7" s="20" t="s">
        <v>10</v>
      </c>
      <c r="C7" s="20" t="s">
        <v>501</v>
      </c>
      <c r="D7" s="20" t="s">
        <v>140</v>
      </c>
      <c r="E7" s="34">
        <f t="shared" si="0"/>
        <v>1</v>
      </c>
      <c r="F7" s="34">
        <v>1</v>
      </c>
      <c r="G7" s="34">
        <f>IF(prodnorm5&gt;0,1/ROUND(prodnorm5,4),0)</f>
        <v>0</v>
      </c>
      <c r="H7" s="36">
        <f>ROUND(dagwerk5,4+2)</f>
        <v>0</v>
      </c>
      <c r="I7" s="37">
        <f>ROUND(uurtarief5,2)</f>
        <v>0</v>
      </c>
      <c r="J7" s="34">
        <v>82.6</v>
      </c>
    </row>
    <row r="8" spans="1:10" x14ac:dyDescent="0.2">
      <c r="A8" s="20" t="s">
        <v>144</v>
      </c>
      <c r="B8" s="20" t="s">
        <v>19</v>
      </c>
      <c r="C8" s="20" t="s">
        <v>501</v>
      </c>
      <c r="D8" s="20" t="s">
        <v>140</v>
      </c>
      <c r="E8" s="34">
        <f t="shared" si="0"/>
        <v>0.2</v>
      </c>
      <c r="F8" s="34">
        <v>1</v>
      </c>
      <c r="G8" s="34">
        <f>IF(prodnorm6&gt;0,1/ROUND(prodnorm6,4),0)</f>
        <v>0</v>
      </c>
      <c r="H8" s="36">
        <f>ROUND(dagwerk6,4+2)</f>
        <v>0</v>
      </c>
      <c r="I8" s="37">
        <f>ROUND(uurtarief6,2)</f>
        <v>0</v>
      </c>
      <c r="J8" s="34">
        <v>317.39999999999998</v>
      </c>
    </row>
    <row r="9" spans="1:10" x14ac:dyDescent="0.2">
      <c r="A9" s="20" t="s">
        <v>146</v>
      </c>
      <c r="B9" s="20" t="s">
        <v>19</v>
      </c>
      <c r="C9" s="20" t="s">
        <v>501</v>
      </c>
      <c r="D9" s="20" t="s">
        <v>140</v>
      </c>
      <c r="E9" s="34">
        <f t="shared" si="0"/>
        <v>0.2</v>
      </c>
      <c r="F9" s="34">
        <v>1</v>
      </c>
      <c r="G9" s="34">
        <f>IF(prodnorm7&gt;0,1/ROUND(prodnorm7,4),0)</f>
        <v>0</v>
      </c>
      <c r="H9" s="36">
        <f>ROUND(dagwerk7,4+2)</f>
        <v>0</v>
      </c>
      <c r="I9" s="37">
        <f>ROUND(uurtarief7,2)</f>
        <v>0</v>
      </c>
      <c r="J9" s="34">
        <v>104.8</v>
      </c>
    </row>
    <row r="10" spans="1:10" x14ac:dyDescent="0.2">
      <c r="A10" s="20" t="s">
        <v>146</v>
      </c>
      <c r="B10" s="20" t="s">
        <v>10</v>
      </c>
      <c r="C10" s="20" t="s">
        <v>501</v>
      </c>
      <c r="D10" s="20" t="s">
        <v>140</v>
      </c>
      <c r="E10" s="34">
        <f t="shared" si="0"/>
        <v>1</v>
      </c>
      <c r="F10" s="34">
        <v>1</v>
      </c>
      <c r="G10" s="34">
        <f>IF(prodnorm8&gt;0,1/ROUND(prodnorm8,4),0)</f>
        <v>0</v>
      </c>
      <c r="H10" s="36">
        <f>ROUND(dagwerk8,4+2)</f>
        <v>0</v>
      </c>
      <c r="I10" s="37">
        <f>ROUND(uurtarief8,2)</f>
        <v>0</v>
      </c>
      <c r="J10" s="34">
        <v>218.4</v>
      </c>
    </row>
    <row r="11" spans="1:10" x14ac:dyDescent="0.2">
      <c r="A11" s="20" t="s">
        <v>148</v>
      </c>
      <c r="B11" s="20" t="s">
        <v>10</v>
      </c>
      <c r="C11" s="20" t="s">
        <v>501</v>
      </c>
      <c r="D11" s="20" t="s">
        <v>140</v>
      </c>
      <c r="E11" s="34">
        <f t="shared" si="0"/>
        <v>1</v>
      </c>
      <c r="F11" s="34">
        <v>1</v>
      </c>
      <c r="G11" s="34">
        <f>IF(prodnorm9&gt;0,1/ROUND(prodnorm9,4),0)</f>
        <v>0</v>
      </c>
      <c r="H11" s="36">
        <f>ROUND(dagwerk9,4+2)</f>
        <v>0</v>
      </c>
      <c r="I11" s="37">
        <f>ROUND(uurtarief9,2)</f>
        <v>0</v>
      </c>
      <c r="J11" s="34">
        <v>67.099999999999994</v>
      </c>
    </row>
    <row r="12" spans="1:10" x14ac:dyDescent="0.2">
      <c r="A12" s="20" t="s">
        <v>150</v>
      </c>
      <c r="B12" s="20" t="s">
        <v>10</v>
      </c>
      <c r="C12" s="20" t="s">
        <v>501</v>
      </c>
      <c r="D12" s="20" t="s">
        <v>140</v>
      </c>
      <c r="E12" s="34">
        <f t="shared" si="0"/>
        <v>1</v>
      </c>
      <c r="F12" s="34">
        <v>1</v>
      </c>
      <c r="G12" s="34">
        <f>IF(prodnorm10&gt;0,1/ROUND(prodnorm10,4),0)</f>
        <v>0</v>
      </c>
      <c r="H12" s="36">
        <f>ROUND(dagwerk10,4+2)</f>
        <v>0</v>
      </c>
      <c r="I12" s="37">
        <f>ROUND(uurtarief10,2)</f>
        <v>0</v>
      </c>
      <c r="J12" s="34">
        <v>29.2</v>
      </c>
    </row>
    <row r="13" spans="1:10" x14ac:dyDescent="0.2">
      <c r="A13" s="20" t="s">
        <v>152</v>
      </c>
      <c r="B13" s="20" t="s">
        <v>16</v>
      </c>
      <c r="C13" s="20" t="s">
        <v>501</v>
      </c>
      <c r="D13" s="20" t="s">
        <v>140</v>
      </c>
      <c r="E13" s="34">
        <f t="shared" si="0"/>
        <v>0.4</v>
      </c>
      <c r="F13" s="34">
        <v>1</v>
      </c>
      <c r="G13" s="34">
        <f>IF(prodnorm11&gt;0,1/ROUND(prodnorm11,4),0)</f>
        <v>0</v>
      </c>
      <c r="H13" s="36">
        <f>ROUND(dagwerk11,4+2)</f>
        <v>0</v>
      </c>
      <c r="I13" s="37">
        <f>ROUND(uurtarief11,2)</f>
        <v>0</v>
      </c>
      <c r="J13" s="34">
        <v>95</v>
      </c>
    </row>
    <row r="14" spans="1:10" x14ac:dyDescent="0.2">
      <c r="A14" s="20" t="s">
        <v>154</v>
      </c>
      <c r="B14" s="20" t="s">
        <v>19</v>
      </c>
      <c r="C14" s="20" t="s">
        <v>501</v>
      </c>
      <c r="D14" s="20" t="s">
        <v>140</v>
      </c>
      <c r="E14" s="34">
        <f t="shared" si="0"/>
        <v>0.2</v>
      </c>
      <c r="F14" s="34">
        <v>1</v>
      </c>
      <c r="G14" s="34">
        <f>IF(prodnorm12&gt;0,1/ROUND(prodnorm12,4),0)</f>
        <v>0</v>
      </c>
      <c r="H14" s="36">
        <f>ROUND(dagwerk12,4+2)</f>
        <v>0</v>
      </c>
      <c r="I14" s="37">
        <f>ROUND(uurtarief12,2)</f>
        <v>0</v>
      </c>
      <c r="J14" s="34">
        <v>164</v>
      </c>
    </row>
    <row r="15" spans="1:10" x14ac:dyDescent="0.2">
      <c r="A15" s="20" t="s">
        <v>154</v>
      </c>
      <c r="B15" s="20" t="s">
        <v>16</v>
      </c>
      <c r="C15" s="20" t="s">
        <v>501</v>
      </c>
      <c r="D15" s="20" t="s">
        <v>140</v>
      </c>
      <c r="E15" s="34">
        <f t="shared" si="0"/>
        <v>0.4</v>
      </c>
      <c r="F15" s="34">
        <v>1</v>
      </c>
      <c r="G15" s="34">
        <f>IF(prodnorm13&gt;0,1/ROUND(prodnorm13,4),0)</f>
        <v>0</v>
      </c>
      <c r="H15" s="36">
        <f>ROUND(dagwerk13,4+2)</f>
        <v>0</v>
      </c>
      <c r="I15" s="37">
        <f>ROUND(uurtarief13,2)</f>
        <v>0</v>
      </c>
      <c r="J15" s="34">
        <v>156.4</v>
      </c>
    </row>
    <row r="16" spans="1:10" x14ac:dyDescent="0.2">
      <c r="A16" s="20" t="s">
        <v>154</v>
      </c>
      <c r="B16" s="20" t="s">
        <v>10</v>
      </c>
      <c r="C16" s="20" t="s">
        <v>501</v>
      </c>
      <c r="D16" s="20" t="s">
        <v>140</v>
      </c>
      <c r="E16" s="34">
        <f t="shared" si="0"/>
        <v>1</v>
      </c>
      <c r="F16" s="34">
        <v>1</v>
      </c>
      <c r="G16" s="34">
        <f>IF(prodnorm14&gt;0,1/ROUND(prodnorm14,4),0)</f>
        <v>0</v>
      </c>
      <c r="H16" s="36">
        <f>ROUND(dagwerk14,4+2)</f>
        <v>0</v>
      </c>
      <c r="I16" s="37">
        <f>ROUND(uurtarief14,2)</f>
        <v>0</v>
      </c>
      <c r="J16" s="34">
        <v>298</v>
      </c>
    </row>
    <row r="17" spans="1:10" x14ac:dyDescent="0.2">
      <c r="A17" s="20" t="s">
        <v>156</v>
      </c>
      <c r="B17" s="20" t="s">
        <v>25</v>
      </c>
      <c r="C17" s="20" t="s">
        <v>501</v>
      </c>
      <c r="D17" s="20" t="s">
        <v>140</v>
      </c>
      <c r="E17" s="34">
        <f t="shared" si="0"/>
        <v>4.7058823529411764E-2</v>
      </c>
      <c r="F17" s="34">
        <v>1</v>
      </c>
      <c r="G17" s="34">
        <f>IF(prodnorm15&gt;0,1/ROUND(prodnorm15,4),0)</f>
        <v>0</v>
      </c>
      <c r="H17" s="36">
        <f>ROUND(dagwerk15,4+2)</f>
        <v>0</v>
      </c>
      <c r="I17" s="37">
        <f>ROUND(uurtarief15,2)</f>
        <v>0</v>
      </c>
      <c r="J17" s="34">
        <v>15</v>
      </c>
    </row>
    <row r="18" spans="1:10" x14ac:dyDescent="0.2">
      <c r="A18" s="20" t="s">
        <v>158</v>
      </c>
      <c r="B18" s="20" t="s">
        <v>19</v>
      </c>
      <c r="C18" s="20" t="s">
        <v>501</v>
      </c>
      <c r="D18" s="20" t="s">
        <v>140</v>
      </c>
      <c r="E18" s="34">
        <f t="shared" si="0"/>
        <v>0.2</v>
      </c>
      <c r="F18" s="34">
        <v>1</v>
      </c>
      <c r="G18" s="34">
        <f>IF(prodnorm16&gt;0,1/ROUND(prodnorm16,4),0)</f>
        <v>0</v>
      </c>
      <c r="H18" s="36">
        <f>ROUND(dagwerk16,4+2)</f>
        <v>0</v>
      </c>
      <c r="I18" s="37">
        <f>ROUND(uurtarief16,2)</f>
        <v>0</v>
      </c>
      <c r="J18" s="34">
        <v>13.6</v>
      </c>
    </row>
    <row r="19" spans="1:10" x14ac:dyDescent="0.2">
      <c r="A19" s="20" t="s">
        <v>158</v>
      </c>
      <c r="B19" s="20" t="s">
        <v>10</v>
      </c>
      <c r="C19" s="20" t="s">
        <v>501</v>
      </c>
      <c r="D19" s="20" t="s">
        <v>140</v>
      </c>
      <c r="E19" s="34">
        <f t="shared" si="0"/>
        <v>1</v>
      </c>
      <c r="F19" s="34">
        <v>1</v>
      </c>
      <c r="G19" s="34">
        <f>IF(prodnorm17&gt;0,1/ROUND(prodnorm17,4),0)</f>
        <v>0</v>
      </c>
      <c r="H19" s="36">
        <f>ROUND(dagwerk17,4+2)</f>
        <v>0</v>
      </c>
      <c r="I19" s="37">
        <f>ROUND(uurtarief17,2)</f>
        <v>0</v>
      </c>
      <c r="J19" s="34">
        <v>191.7</v>
      </c>
    </row>
    <row r="20" spans="1:10" x14ac:dyDescent="0.2">
      <c r="A20" s="20" t="s">
        <v>160</v>
      </c>
      <c r="B20" s="20" t="s">
        <v>10</v>
      </c>
      <c r="C20" s="20" t="s">
        <v>501</v>
      </c>
      <c r="D20" s="20" t="s">
        <v>140</v>
      </c>
      <c r="E20" s="34">
        <f t="shared" si="0"/>
        <v>1</v>
      </c>
      <c r="F20" s="34">
        <v>1</v>
      </c>
      <c r="G20" s="34">
        <f>IF(prodnorm18&gt;0,1/ROUND(prodnorm18,4),0)</f>
        <v>0</v>
      </c>
      <c r="H20" s="36">
        <f>ROUND(dagwerk18,4+2)</f>
        <v>0</v>
      </c>
      <c r="I20" s="37">
        <f>ROUND(uurtarief18,2)</f>
        <v>0</v>
      </c>
      <c r="J20" s="34">
        <v>119.3</v>
      </c>
    </row>
    <row r="21" spans="1:10" x14ac:dyDescent="0.2">
      <c r="A21" s="20" t="s">
        <v>162</v>
      </c>
      <c r="B21" s="20" t="s">
        <v>19</v>
      </c>
      <c r="C21" s="20" t="s">
        <v>501</v>
      </c>
      <c r="D21" s="20" t="s">
        <v>140</v>
      </c>
      <c r="E21" s="34">
        <f t="shared" si="0"/>
        <v>0.2</v>
      </c>
      <c r="F21" s="34">
        <v>1</v>
      </c>
      <c r="G21" s="34">
        <f>IF(prodnorm19&gt;0,1/ROUND(prodnorm19,4),0)</f>
        <v>0</v>
      </c>
      <c r="H21" s="36">
        <f>ROUND(dagwerk19,4+2)</f>
        <v>0</v>
      </c>
      <c r="I21" s="37">
        <f>ROUND(uurtarief19,2)</f>
        <v>0</v>
      </c>
      <c r="J21" s="34">
        <v>31.9</v>
      </c>
    </row>
    <row r="22" spans="1:10" x14ac:dyDescent="0.2">
      <c r="A22" s="20" t="s">
        <v>164</v>
      </c>
      <c r="B22" s="20" t="s">
        <v>19</v>
      </c>
      <c r="C22" s="20" t="s">
        <v>501</v>
      </c>
      <c r="D22" s="20" t="s">
        <v>140</v>
      </c>
      <c r="E22" s="34">
        <f t="shared" si="0"/>
        <v>0.2</v>
      </c>
      <c r="F22" s="34">
        <v>1</v>
      </c>
      <c r="G22" s="34">
        <f>IF(prodnorm20&gt;0,1/ROUND(prodnorm20,4),0)</f>
        <v>0</v>
      </c>
      <c r="H22" s="36">
        <f>ROUND(dagwerk20,4+2)</f>
        <v>0</v>
      </c>
      <c r="I22" s="37">
        <f>ROUND(uurtarief20,2)</f>
        <v>0</v>
      </c>
      <c r="J22" s="34">
        <v>15.7</v>
      </c>
    </row>
    <row r="23" spans="1:10" x14ac:dyDescent="0.2">
      <c r="A23" s="20" t="s">
        <v>164</v>
      </c>
      <c r="B23" s="20" t="s">
        <v>10</v>
      </c>
      <c r="C23" s="20" t="s">
        <v>501</v>
      </c>
      <c r="D23" s="20" t="s">
        <v>140</v>
      </c>
      <c r="E23" s="34">
        <f t="shared" si="0"/>
        <v>1</v>
      </c>
      <c r="F23" s="34">
        <v>1</v>
      </c>
      <c r="G23" s="34">
        <f>IF(prodnorm21&gt;0,1/ROUND(prodnorm21,4),0)</f>
        <v>0</v>
      </c>
      <c r="H23" s="36">
        <f>ROUND(dagwerk21,4+2)</f>
        <v>0</v>
      </c>
      <c r="I23" s="37">
        <f>ROUND(uurtarief21,2)</f>
        <v>0</v>
      </c>
      <c r="J23" s="34">
        <v>258.60000000000002</v>
      </c>
    </row>
    <row r="24" spans="1:10" x14ac:dyDescent="0.2">
      <c r="A24" s="20" t="s">
        <v>166</v>
      </c>
      <c r="B24" s="20" t="s">
        <v>10</v>
      </c>
      <c r="C24" s="20" t="s">
        <v>501</v>
      </c>
      <c r="D24" s="20" t="s">
        <v>140</v>
      </c>
      <c r="E24" s="34">
        <f t="shared" si="0"/>
        <v>1</v>
      </c>
      <c r="F24" s="34">
        <v>1</v>
      </c>
      <c r="G24" s="34">
        <f>IF(prodnorm22&gt;0,1/ROUND(prodnorm22,4),0)</f>
        <v>0</v>
      </c>
      <c r="H24" s="36">
        <f>ROUND(dagwerk22,4+2)</f>
        <v>0</v>
      </c>
      <c r="I24" s="37">
        <f>ROUND(uurtarief22,2)</f>
        <v>0</v>
      </c>
      <c r="J24" s="34">
        <v>541.79999999999995</v>
      </c>
    </row>
    <row r="25" spans="1:10" x14ac:dyDescent="0.2">
      <c r="A25" s="20" t="s">
        <v>168</v>
      </c>
      <c r="B25" s="20" t="s">
        <v>19</v>
      </c>
      <c r="C25" s="20" t="s">
        <v>501</v>
      </c>
      <c r="D25" s="20" t="s">
        <v>140</v>
      </c>
      <c r="E25" s="34">
        <f t="shared" si="0"/>
        <v>0.2</v>
      </c>
      <c r="F25" s="34">
        <v>1</v>
      </c>
      <c r="G25" s="34">
        <f>IF(prodnorm23&gt;0,1/ROUND(prodnorm23,4),0)</f>
        <v>0</v>
      </c>
      <c r="H25" s="36">
        <f>ROUND(dagwerk23,4+2)</f>
        <v>0</v>
      </c>
      <c r="I25" s="37">
        <f>ROUND(uurtarief23,2)</f>
        <v>0</v>
      </c>
      <c r="J25" s="34">
        <v>308.39999999999998</v>
      </c>
    </row>
    <row r="26" spans="1:10" x14ac:dyDescent="0.2">
      <c r="A26" s="25" t="s">
        <v>168</v>
      </c>
      <c r="B26" s="25" t="s">
        <v>10</v>
      </c>
      <c r="C26" s="25" t="s">
        <v>501</v>
      </c>
      <c r="D26" s="25" t="s">
        <v>140</v>
      </c>
      <c r="E26" s="38">
        <f t="shared" si="0"/>
        <v>1</v>
      </c>
      <c r="F26" s="38">
        <v>1</v>
      </c>
      <c r="G26" s="38">
        <f>IF(prodnorm24&gt;0,1/ROUND(prodnorm24,4),0)</f>
        <v>0</v>
      </c>
      <c r="H26" s="40">
        <f>ROUND(dagwerk24,4+2)</f>
        <v>0</v>
      </c>
      <c r="I26" s="41">
        <f>ROUND(uurtarief24,2)</f>
        <v>0</v>
      </c>
      <c r="J26" s="38">
        <v>1742.7000000000003</v>
      </c>
    </row>
    <row r="27" spans="1:10" x14ac:dyDescent="0.2">
      <c r="A27" s="43" t="s">
        <v>170</v>
      </c>
      <c r="B27" s="44"/>
      <c r="C27" s="44"/>
      <c r="D27" s="44"/>
      <c r="E27" s="44"/>
      <c r="F27" s="44"/>
      <c r="G27" s="44"/>
      <c r="H27" s="44"/>
      <c r="I27" s="44"/>
      <c r="J27" s="81"/>
    </row>
    <row r="29" spans="1:10" x14ac:dyDescent="0.2">
      <c r="A29" s="15" t="s">
        <v>172</v>
      </c>
      <c r="B29" s="15" t="s">
        <v>26</v>
      </c>
      <c r="C29" s="15" t="s">
        <v>502</v>
      </c>
      <c r="D29" s="15" t="s">
        <v>140</v>
      </c>
      <c r="E29" s="30">
        <f t="shared" ref="E29:E38" si="1">IF(B29="","",VLOOKUP(B29,dagsoorttabel1,2,FALSE))</f>
        <v>3.1372549019607843E-2</v>
      </c>
      <c r="F29" s="30">
        <v>1</v>
      </c>
      <c r="G29" s="30">
        <f>IF(prodnorm26&gt;0,1/ROUND(prodnorm26,4),0)</f>
        <v>0</v>
      </c>
      <c r="H29" s="32">
        <f>ROUND(dagwerk26,4+2)</f>
        <v>0</v>
      </c>
      <c r="I29" s="33">
        <f>ROUND(uurtarief26,2)</f>
        <v>0</v>
      </c>
      <c r="J29" s="30">
        <v>82.6</v>
      </c>
    </row>
    <row r="30" spans="1:10" x14ac:dyDescent="0.2">
      <c r="A30" s="20" t="s">
        <v>174</v>
      </c>
      <c r="B30" s="20" t="s">
        <v>26</v>
      </c>
      <c r="C30" s="20" t="s">
        <v>502</v>
      </c>
      <c r="D30" s="20" t="s">
        <v>140</v>
      </c>
      <c r="E30" s="34">
        <f t="shared" si="1"/>
        <v>3.1372549019607843E-2</v>
      </c>
      <c r="F30" s="34">
        <v>1</v>
      </c>
      <c r="G30" s="34">
        <f>IF(prodnorm27&gt;0,1/ROUND(prodnorm27,4),0)</f>
        <v>0</v>
      </c>
      <c r="H30" s="36">
        <f>ROUND(dagwerk27,4+2)</f>
        <v>0</v>
      </c>
      <c r="I30" s="37">
        <f>ROUND(uurtarief27,2)</f>
        <v>0</v>
      </c>
      <c r="J30" s="34">
        <v>218.4</v>
      </c>
    </row>
    <row r="31" spans="1:10" x14ac:dyDescent="0.2">
      <c r="A31" s="20" t="s">
        <v>175</v>
      </c>
      <c r="B31" s="20" t="s">
        <v>26</v>
      </c>
      <c r="C31" s="20" t="s">
        <v>502</v>
      </c>
      <c r="D31" s="20" t="s">
        <v>140</v>
      </c>
      <c r="E31" s="34">
        <f t="shared" si="1"/>
        <v>3.1372549019607843E-2</v>
      </c>
      <c r="F31" s="34">
        <v>1</v>
      </c>
      <c r="G31" s="34">
        <f>IF(prodnorm28&gt;0,1/ROUND(prodnorm28,4),0)</f>
        <v>0</v>
      </c>
      <c r="H31" s="36">
        <f>ROUND(dagwerk28,4+2)</f>
        <v>0</v>
      </c>
      <c r="I31" s="37">
        <f>ROUND(uurtarief28,2)</f>
        <v>0</v>
      </c>
      <c r="J31" s="34">
        <v>67.099999999999994</v>
      </c>
    </row>
    <row r="32" spans="1:10" x14ac:dyDescent="0.2">
      <c r="A32" s="20" t="s">
        <v>176</v>
      </c>
      <c r="B32" s="20" t="s">
        <v>26</v>
      </c>
      <c r="C32" s="20" t="s">
        <v>502</v>
      </c>
      <c r="D32" s="20" t="s">
        <v>140</v>
      </c>
      <c r="E32" s="34">
        <f t="shared" si="1"/>
        <v>3.1372549019607843E-2</v>
      </c>
      <c r="F32" s="34">
        <v>1</v>
      </c>
      <c r="G32" s="34">
        <f>IF(prodnorm29&gt;0,1/ROUND(prodnorm29,4),0)</f>
        <v>0</v>
      </c>
      <c r="H32" s="36">
        <f>ROUND(dagwerk29,4+2)</f>
        <v>0</v>
      </c>
      <c r="I32" s="37">
        <f>ROUND(uurtarief29,2)</f>
        <v>0</v>
      </c>
      <c r="J32" s="34">
        <v>29.2</v>
      </c>
    </row>
    <row r="33" spans="1:10" x14ac:dyDescent="0.2">
      <c r="A33" s="20" t="s">
        <v>177</v>
      </c>
      <c r="B33" s="20" t="s">
        <v>26</v>
      </c>
      <c r="C33" s="20" t="s">
        <v>502</v>
      </c>
      <c r="D33" s="20" t="s">
        <v>140</v>
      </c>
      <c r="E33" s="34">
        <f t="shared" si="1"/>
        <v>3.1372549019607843E-2</v>
      </c>
      <c r="F33" s="34">
        <v>1</v>
      </c>
      <c r="G33" s="34">
        <f>IF(prodnorm30&gt;0,1/ROUND(prodnorm30,4),0)</f>
        <v>0</v>
      </c>
      <c r="H33" s="36">
        <f>ROUND(dagwerk30,4+2)</f>
        <v>0</v>
      </c>
      <c r="I33" s="37">
        <f>ROUND(uurtarief30,2)</f>
        <v>0</v>
      </c>
      <c r="J33" s="34">
        <v>298</v>
      </c>
    </row>
    <row r="34" spans="1:10" x14ac:dyDescent="0.2">
      <c r="A34" s="20" t="s">
        <v>178</v>
      </c>
      <c r="B34" s="20" t="s">
        <v>26</v>
      </c>
      <c r="C34" s="20" t="s">
        <v>502</v>
      </c>
      <c r="D34" s="20" t="s">
        <v>140</v>
      </c>
      <c r="E34" s="34">
        <f t="shared" si="1"/>
        <v>3.1372549019607843E-2</v>
      </c>
      <c r="F34" s="34">
        <v>1</v>
      </c>
      <c r="G34" s="34">
        <f>IF(prodnorm31&gt;0,1/ROUND(prodnorm31,4),0)</f>
        <v>0</v>
      </c>
      <c r="H34" s="36">
        <f>ROUND(dagwerk31,4+2)</f>
        <v>0</v>
      </c>
      <c r="I34" s="37">
        <f>ROUND(uurtarief31,2)</f>
        <v>0</v>
      </c>
      <c r="J34" s="34">
        <v>191.7</v>
      </c>
    </row>
    <row r="35" spans="1:10" x14ac:dyDescent="0.2">
      <c r="A35" s="20" t="s">
        <v>179</v>
      </c>
      <c r="B35" s="20" t="s">
        <v>26</v>
      </c>
      <c r="C35" s="20" t="s">
        <v>502</v>
      </c>
      <c r="D35" s="20" t="s">
        <v>140</v>
      </c>
      <c r="E35" s="34">
        <f t="shared" si="1"/>
        <v>3.1372549019607843E-2</v>
      </c>
      <c r="F35" s="34">
        <v>1</v>
      </c>
      <c r="G35" s="34">
        <f>IF(prodnorm32&gt;0,1/ROUND(prodnorm32,4),0)</f>
        <v>0</v>
      </c>
      <c r="H35" s="36">
        <f>ROUND(dagwerk32,4+2)</f>
        <v>0</v>
      </c>
      <c r="I35" s="37">
        <f>ROUND(uurtarief32,2)</f>
        <v>0</v>
      </c>
      <c r="J35" s="34">
        <v>119.3</v>
      </c>
    </row>
    <row r="36" spans="1:10" x14ac:dyDescent="0.2">
      <c r="A36" s="20" t="s">
        <v>180</v>
      </c>
      <c r="B36" s="20" t="s">
        <v>26</v>
      </c>
      <c r="C36" s="20" t="s">
        <v>502</v>
      </c>
      <c r="D36" s="20" t="s">
        <v>140</v>
      </c>
      <c r="E36" s="34">
        <f t="shared" si="1"/>
        <v>3.1372549019607843E-2</v>
      </c>
      <c r="F36" s="34">
        <v>1</v>
      </c>
      <c r="G36" s="34">
        <f>IF(prodnorm33&gt;0,1/ROUND(prodnorm33,4),0)</f>
        <v>0</v>
      </c>
      <c r="H36" s="36">
        <f>ROUND(dagwerk33,4+2)</f>
        <v>0</v>
      </c>
      <c r="I36" s="37">
        <f>ROUND(uurtarief33,2)</f>
        <v>0</v>
      </c>
      <c r="J36" s="34">
        <v>259.90000000000003</v>
      </c>
    </row>
    <row r="37" spans="1:10" x14ac:dyDescent="0.2">
      <c r="A37" s="20" t="s">
        <v>181</v>
      </c>
      <c r="B37" s="20" t="s">
        <v>26</v>
      </c>
      <c r="C37" s="20" t="s">
        <v>502</v>
      </c>
      <c r="D37" s="20" t="s">
        <v>140</v>
      </c>
      <c r="E37" s="34">
        <f t="shared" si="1"/>
        <v>3.1372549019607843E-2</v>
      </c>
      <c r="F37" s="34">
        <v>1</v>
      </c>
      <c r="G37" s="34">
        <f>IF(prodnorm34&gt;0,1/ROUND(prodnorm34,4),0)</f>
        <v>0</v>
      </c>
      <c r="H37" s="36">
        <f>ROUND(dagwerk34,4+2)</f>
        <v>0</v>
      </c>
      <c r="I37" s="37">
        <f>ROUND(uurtarief34,2)</f>
        <v>0</v>
      </c>
      <c r="J37" s="34">
        <v>541.79999999999995</v>
      </c>
    </row>
    <row r="38" spans="1:10" x14ac:dyDescent="0.2">
      <c r="A38" s="25" t="s">
        <v>182</v>
      </c>
      <c r="B38" s="25" t="s">
        <v>26</v>
      </c>
      <c r="C38" s="25" t="s">
        <v>502</v>
      </c>
      <c r="D38" s="25" t="s">
        <v>140</v>
      </c>
      <c r="E38" s="38">
        <f t="shared" si="1"/>
        <v>3.1372549019607843E-2</v>
      </c>
      <c r="F38" s="38">
        <v>1</v>
      </c>
      <c r="G38" s="38">
        <f>IF(prodnorm35&gt;0,1/ROUND(prodnorm35,4),0)</f>
        <v>0</v>
      </c>
      <c r="H38" s="40">
        <f>ROUND(dagwerk35,4+2)</f>
        <v>0</v>
      </c>
      <c r="I38" s="41">
        <f>ROUND(uurtarief35,2)</f>
        <v>0</v>
      </c>
      <c r="J38" s="38">
        <v>1796.5000000000002</v>
      </c>
    </row>
    <row r="39" spans="1:10" x14ac:dyDescent="0.2">
      <c r="A39" s="43" t="s">
        <v>183</v>
      </c>
      <c r="B39" s="44"/>
      <c r="C39" s="44"/>
      <c r="D39" s="44"/>
      <c r="E39" s="44"/>
      <c r="F39" s="44"/>
      <c r="G39" s="44"/>
      <c r="H39" s="44"/>
      <c r="I39" s="44"/>
      <c r="J39" s="81"/>
    </row>
    <row r="41" spans="1:10" x14ac:dyDescent="0.2">
      <c r="A41" s="15" t="s">
        <v>185</v>
      </c>
      <c r="B41" s="15" t="s">
        <v>16</v>
      </c>
      <c r="C41" s="15" t="s">
        <v>503</v>
      </c>
      <c r="D41" s="15" t="s">
        <v>140</v>
      </c>
      <c r="E41" s="30">
        <f t="shared" ref="E41:E50" si="2">IF(B41="","",VLOOKUP(B41,dagsoorttabel1,2,FALSE))</f>
        <v>0.4</v>
      </c>
      <c r="F41" s="30">
        <v>1</v>
      </c>
      <c r="G41" s="30">
        <f>IF(prodnorm37&gt;0,1/ROUND(prodnorm37,4),0)</f>
        <v>0</v>
      </c>
      <c r="H41" s="32">
        <f>ROUND(dagwerk37,4+2)</f>
        <v>0</v>
      </c>
      <c r="I41" s="33">
        <f>ROUND(uurtarief37,2)</f>
        <v>0</v>
      </c>
      <c r="J41" s="30">
        <v>82.6</v>
      </c>
    </row>
    <row r="42" spans="1:10" x14ac:dyDescent="0.2">
      <c r="A42" s="20" t="s">
        <v>186</v>
      </c>
      <c r="B42" s="20" t="s">
        <v>16</v>
      </c>
      <c r="C42" s="20" t="s">
        <v>503</v>
      </c>
      <c r="D42" s="20" t="s">
        <v>140</v>
      </c>
      <c r="E42" s="34">
        <f t="shared" si="2"/>
        <v>0.4</v>
      </c>
      <c r="F42" s="34">
        <v>1</v>
      </c>
      <c r="G42" s="34">
        <f>IF(prodnorm38&gt;0,1/ROUND(prodnorm38,4),0)</f>
        <v>0</v>
      </c>
      <c r="H42" s="36">
        <f>ROUND(dagwerk38,4+2)</f>
        <v>0</v>
      </c>
      <c r="I42" s="37">
        <f>ROUND(uurtarief38,2)</f>
        <v>0</v>
      </c>
      <c r="J42" s="34">
        <v>218.4</v>
      </c>
    </row>
    <row r="43" spans="1:10" x14ac:dyDescent="0.2">
      <c r="A43" s="20" t="s">
        <v>187</v>
      </c>
      <c r="B43" s="20" t="s">
        <v>16</v>
      </c>
      <c r="C43" s="20" t="s">
        <v>503</v>
      </c>
      <c r="D43" s="20" t="s">
        <v>140</v>
      </c>
      <c r="E43" s="34">
        <f t="shared" si="2"/>
        <v>0.4</v>
      </c>
      <c r="F43" s="34">
        <v>1</v>
      </c>
      <c r="G43" s="34">
        <f>IF(prodnorm39&gt;0,1/ROUND(prodnorm39,4),0)</f>
        <v>0</v>
      </c>
      <c r="H43" s="36">
        <f>ROUND(dagwerk39,4+2)</f>
        <v>0</v>
      </c>
      <c r="I43" s="37">
        <f>ROUND(uurtarief39,2)</f>
        <v>0</v>
      </c>
      <c r="J43" s="34">
        <v>67.099999999999994</v>
      </c>
    </row>
    <row r="44" spans="1:10" x14ac:dyDescent="0.2">
      <c r="A44" s="20" t="s">
        <v>188</v>
      </c>
      <c r="B44" s="20" t="s">
        <v>16</v>
      </c>
      <c r="C44" s="20" t="s">
        <v>503</v>
      </c>
      <c r="D44" s="20" t="s">
        <v>140</v>
      </c>
      <c r="E44" s="34">
        <f t="shared" si="2"/>
        <v>0.4</v>
      </c>
      <c r="F44" s="34">
        <v>1</v>
      </c>
      <c r="G44" s="34">
        <f>IF(prodnorm40&gt;0,1/ROUND(prodnorm40,4),0)</f>
        <v>0</v>
      </c>
      <c r="H44" s="36">
        <f>ROUND(dagwerk40,4+2)</f>
        <v>0</v>
      </c>
      <c r="I44" s="37">
        <f>ROUND(uurtarief40,2)</f>
        <v>0</v>
      </c>
      <c r="J44" s="34">
        <v>29.2</v>
      </c>
    </row>
    <row r="45" spans="1:10" x14ac:dyDescent="0.2">
      <c r="A45" s="20" t="s">
        <v>189</v>
      </c>
      <c r="B45" s="20" t="s">
        <v>16</v>
      </c>
      <c r="C45" s="20" t="s">
        <v>503</v>
      </c>
      <c r="D45" s="20" t="s">
        <v>140</v>
      </c>
      <c r="E45" s="34">
        <f t="shared" si="2"/>
        <v>0.4</v>
      </c>
      <c r="F45" s="34">
        <v>1</v>
      </c>
      <c r="G45" s="34">
        <f>IF(prodnorm41&gt;0,1/ROUND(prodnorm41,4),0)</f>
        <v>0</v>
      </c>
      <c r="H45" s="36">
        <f>ROUND(dagwerk41,4+2)</f>
        <v>0</v>
      </c>
      <c r="I45" s="37">
        <f>ROUND(uurtarief41,2)</f>
        <v>0</v>
      </c>
      <c r="J45" s="34">
        <v>298</v>
      </c>
    </row>
    <row r="46" spans="1:10" x14ac:dyDescent="0.2">
      <c r="A46" s="20" t="s">
        <v>190</v>
      </c>
      <c r="B46" s="20" t="s">
        <v>16</v>
      </c>
      <c r="C46" s="20" t="s">
        <v>503</v>
      </c>
      <c r="D46" s="20" t="s">
        <v>140</v>
      </c>
      <c r="E46" s="34">
        <f t="shared" si="2"/>
        <v>0.4</v>
      </c>
      <c r="F46" s="34">
        <v>1</v>
      </c>
      <c r="G46" s="34">
        <f>IF(prodnorm42&gt;0,1/ROUND(prodnorm42,4),0)</f>
        <v>0</v>
      </c>
      <c r="H46" s="36">
        <f>ROUND(dagwerk42,4+2)</f>
        <v>0</v>
      </c>
      <c r="I46" s="37">
        <f>ROUND(uurtarief42,2)</f>
        <v>0</v>
      </c>
      <c r="J46" s="34">
        <v>191.7</v>
      </c>
    </row>
    <row r="47" spans="1:10" x14ac:dyDescent="0.2">
      <c r="A47" s="20" t="s">
        <v>191</v>
      </c>
      <c r="B47" s="20" t="s">
        <v>16</v>
      </c>
      <c r="C47" s="20" t="s">
        <v>503</v>
      </c>
      <c r="D47" s="20" t="s">
        <v>140</v>
      </c>
      <c r="E47" s="34">
        <f t="shared" si="2"/>
        <v>0.4</v>
      </c>
      <c r="F47" s="34">
        <v>1</v>
      </c>
      <c r="G47" s="34">
        <f>IF(prodnorm43&gt;0,1/ROUND(prodnorm43,4),0)</f>
        <v>0</v>
      </c>
      <c r="H47" s="36">
        <f>ROUND(dagwerk43,4+2)</f>
        <v>0</v>
      </c>
      <c r="I47" s="37">
        <f>ROUND(uurtarief43,2)</f>
        <v>0</v>
      </c>
      <c r="J47" s="34">
        <v>123.39999999999999</v>
      </c>
    </row>
    <row r="48" spans="1:10" x14ac:dyDescent="0.2">
      <c r="A48" s="20" t="s">
        <v>192</v>
      </c>
      <c r="B48" s="20" t="s">
        <v>16</v>
      </c>
      <c r="C48" s="20" t="s">
        <v>503</v>
      </c>
      <c r="D48" s="20" t="s">
        <v>140</v>
      </c>
      <c r="E48" s="34">
        <f t="shared" si="2"/>
        <v>0.4</v>
      </c>
      <c r="F48" s="34">
        <v>1</v>
      </c>
      <c r="G48" s="34">
        <f>IF(prodnorm44&gt;0,1/ROUND(prodnorm44,4),0)</f>
        <v>0</v>
      </c>
      <c r="H48" s="36">
        <f>ROUND(dagwerk44,4+2)</f>
        <v>0</v>
      </c>
      <c r="I48" s="37">
        <f>ROUND(uurtarief44,2)</f>
        <v>0</v>
      </c>
      <c r="J48" s="34">
        <v>257.10000000000002</v>
      </c>
    </row>
    <row r="49" spans="1:10" x14ac:dyDescent="0.2">
      <c r="A49" s="20" t="s">
        <v>193</v>
      </c>
      <c r="B49" s="20" t="s">
        <v>16</v>
      </c>
      <c r="C49" s="20" t="s">
        <v>503</v>
      </c>
      <c r="D49" s="20" t="s">
        <v>140</v>
      </c>
      <c r="E49" s="34">
        <f t="shared" si="2"/>
        <v>0.4</v>
      </c>
      <c r="F49" s="34">
        <v>1</v>
      </c>
      <c r="G49" s="34">
        <f>IF(prodnorm45&gt;0,1/ROUND(prodnorm45,4),0)</f>
        <v>0</v>
      </c>
      <c r="H49" s="36">
        <f>ROUND(dagwerk45,4+2)</f>
        <v>0</v>
      </c>
      <c r="I49" s="37">
        <f>ROUND(uurtarief45,2)</f>
        <v>0</v>
      </c>
      <c r="J49" s="34">
        <v>541.79999999999995</v>
      </c>
    </row>
    <row r="50" spans="1:10" x14ac:dyDescent="0.2">
      <c r="A50" s="25" t="s">
        <v>194</v>
      </c>
      <c r="B50" s="25" t="s">
        <v>16</v>
      </c>
      <c r="C50" s="25" t="s">
        <v>503</v>
      </c>
      <c r="D50" s="25" t="s">
        <v>140</v>
      </c>
      <c r="E50" s="38">
        <f t="shared" si="2"/>
        <v>0.4</v>
      </c>
      <c r="F50" s="38">
        <v>1</v>
      </c>
      <c r="G50" s="38">
        <f>IF(prodnorm46&gt;0,1/ROUND(prodnorm46,4),0)</f>
        <v>0</v>
      </c>
      <c r="H50" s="40">
        <f>ROUND(dagwerk46,4+2)</f>
        <v>0</v>
      </c>
      <c r="I50" s="41">
        <f>ROUND(uurtarief46,2)</f>
        <v>0</v>
      </c>
      <c r="J50" s="38">
        <v>1850.3000000000002</v>
      </c>
    </row>
    <row r="51" spans="1:10" x14ac:dyDescent="0.2">
      <c r="A51" s="43" t="s">
        <v>195</v>
      </c>
      <c r="B51" s="44"/>
      <c r="C51" s="44"/>
      <c r="D51" s="44"/>
      <c r="E51" s="44"/>
      <c r="F51" s="44"/>
      <c r="G51" s="44"/>
      <c r="H51" s="44"/>
      <c r="I51" s="44"/>
      <c r="J51" s="81"/>
    </row>
  </sheetData>
  <pageMargins left="0.7" right="0.7" top="0.75" bottom="0.75" header="0.3" footer="0.3"/>
  <pageSetup paperSize="9" scale="70" orientation="landscape" r:id="rId1"/>
  <headerFooter>
    <oddFooter>&amp;LGemeente Meppel EA 2024                                     &amp;ROpmaakdatum: 25-09-2023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DDA2-F0E9-4B35-AF7B-991DD08524C2}">
  <dimension ref="A1:S20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7" width="11.625" customWidth="1"/>
    <col min="8" max="11" width="12.125" customWidth="1"/>
    <col min="12" max="15" width="11.625" customWidth="1"/>
    <col min="16" max="17" width="12.625" customWidth="1"/>
    <col min="18" max="19" width="13.625" customWidth="1"/>
  </cols>
  <sheetData>
    <row r="1" spans="1:19" x14ac:dyDescent="0.2">
      <c r="A1" s="1" t="str">
        <f>CONCATENATE("Bijlage I.2.6: ",tabeltype," objecten")</f>
        <v>Bijlage I.2.6: Invultabel objecten</v>
      </c>
    </row>
    <row r="3" spans="1:19" ht="51" x14ac:dyDescent="0.2">
      <c r="A3" s="8" t="s">
        <v>198</v>
      </c>
      <c r="B3" s="8" t="s">
        <v>504</v>
      </c>
      <c r="C3" s="8" t="s">
        <v>505</v>
      </c>
      <c r="D3" s="8" t="s">
        <v>506</v>
      </c>
      <c r="E3" s="8" t="s">
        <v>8</v>
      </c>
      <c r="F3" s="8" t="s">
        <v>507</v>
      </c>
      <c r="G3" s="8" t="s">
        <v>135</v>
      </c>
      <c r="H3" s="8" t="s">
        <v>508</v>
      </c>
      <c r="I3" s="8" t="s">
        <v>509</v>
      </c>
      <c r="J3" s="8" t="s">
        <v>510</v>
      </c>
      <c r="K3" s="8" t="s">
        <v>511</v>
      </c>
      <c r="L3" s="8" t="s">
        <v>512</v>
      </c>
      <c r="M3" s="8" t="s">
        <v>136</v>
      </c>
      <c r="N3" s="8" t="s">
        <v>513</v>
      </c>
      <c r="O3" s="8" t="s">
        <v>514</v>
      </c>
      <c r="P3" s="8" t="s">
        <v>515</v>
      </c>
      <c r="Q3" s="8" t="s">
        <v>137</v>
      </c>
      <c r="R3" s="8" t="s">
        <v>138</v>
      </c>
      <c r="S3" s="8" t="s">
        <v>516</v>
      </c>
    </row>
    <row r="4" spans="1:19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</row>
    <row r="5" spans="1:19" x14ac:dyDescent="0.2">
      <c r="A5" s="12" t="s">
        <v>40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 x14ac:dyDescent="0.2">
      <c r="A6" s="82" t="s">
        <v>208</v>
      </c>
      <c r="B6" s="82" t="s">
        <v>517</v>
      </c>
      <c r="C6" s="82"/>
      <c r="D6" s="82" t="s">
        <v>518</v>
      </c>
      <c r="E6" s="83" t="s">
        <v>10</v>
      </c>
      <c r="F6" s="84">
        <f>gemuurtarief1</f>
        <v>0</v>
      </c>
      <c r="G6" s="85">
        <f>SUMPRODUCT(taakfreqtabel1,uurfactortabel1,kengetaltabel1,object1_opptabel1)</f>
        <v>0</v>
      </c>
      <c r="H6" s="85">
        <f>G6*(1/VLOOKUP(E6,dagsoorttabel1,2,FALSE))</f>
        <v>0</v>
      </c>
      <c r="I6" s="85">
        <f>SUMPRODUCT(dagwerktabel1,taakfreqtabel1,uurfactortabel1,kengetaltabel1,object1_opptabel1)*(1/VLOOKUP(E6,dagsoorttabel1,2,FALSE))</f>
        <v>0</v>
      </c>
      <c r="J6" s="86"/>
      <c r="K6" s="85">
        <f>I6+J6</f>
        <v>0</v>
      </c>
      <c r="L6" s="85">
        <f>G6+J6*VLOOKUP(E6,dagsoorttabel1,2,FALSE)</f>
        <v>0</v>
      </c>
      <c r="M6" s="87">
        <f>SUMPRODUCT(taakfreqtabel1,kengetaltabel1,tarieftabel1,object1_opptabel1)</f>
        <v>0</v>
      </c>
      <c r="N6" s="87">
        <f>F6*J6*VLOOKUP(E6,dagsoorttabel1,2,FALSE)</f>
        <v>0</v>
      </c>
      <c r="O6" s="87">
        <f>SUM(M6:N6)</f>
        <v>0</v>
      </c>
      <c r="P6" s="85">
        <f>K6*dagenperjaar1*VLOOKUP(E6,dagsoorttabel1,2,FALSE)</f>
        <v>0</v>
      </c>
      <c r="Q6" s="85">
        <f>L6*dagenperjaar1</f>
        <v>0</v>
      </c>
      <c r="R6" s="87">
        <f>O6*dagenperjaar1</f>
        <v>0</v>
      </c>
      <c r="S6" s="87">
        <f>R6/12</f>
        <v>0</v>
      </c>
    </row>
    <row r="7" spans="1:19" x14ac:dyDescent="0.2">
      <c r="A7" s="43" t="s">
        <v>170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5">
        <f>SUM(P6:P6)</f>
        <v>0</v>
      </c>
      <c r="Q7" s="45">
        <f>SUM(Q6:Q6)</f>
        <v>0</v>
      </c>
      <c r="R7" s="46">
        <f>SUM(R6:R6)</f>
        <v>0</v>
      </c>
      <c r="S7" s="47">
        <f>SUM(S6:S6)</f>
        <v>0</v>
      </c>
    </row>
    <row r="8" spans="1:19" x14ac:dyDescent="0.2">
      <c r="A8" s="48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9"/>
    </row>
    <row r="9" spans="1:19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19" x14ac:dyDescent="0.2">
      <c r="A10" s="12" t="s">
        <v>106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x14ac:dyDescent="0.2">
      <c r="A11" s="82" t="s">
        <v>208</v>
      </c>
      <c r="B11" s="82" t="s">
        <v>517</v>
      </c>
      <c r="C11" s="82"/>
      <c r="D11" s="82" t="s">
        <v>518</v>
      </c>
      <c r="E11" s="83" t="s">
        <v>26</v>
      </c>
      <c r="F11" s="84">
        <f>gemuurtarief2</f>
        <v>0</v>
      </c>
      <c r="G11" s="85">
        <f>SUMPRODUCT(taakfreqtabel2,uurfactortabel2,kengetaltabel2,object1_opptabel2)</f>
        <v>0</v>
      </c>
      <c r="H11" s="85">
        <f>G11*(1/VLOOKUP(E11,dagsoorttabel1,2,FALSE))</f>
        <v>0</v>
      </c>
      <c r="I11" s="85">
        <f>SUMPRODUCT(dagwerktabel2,taakfreqtabel2,uurfactortabel2,kengetaltabel2,object1_opptabel2)*(1/VLOOKUP(E11,dagsoorttabel1,2,FALSE))</f>
        <v>0</v>
      </c>
      <c r="J11" s="86"/>
      <c r="K11" s="85">
        <f>I11+J11</f>
        <v>0</v>
      </c>
      <c r="L11" s="85">
        <f>G11+J11*VLOOKUP(E11,dagsoorttabel1,2,FALSE)</f>
        <v>0</v>
      </c>
      <c r="M11" s="87">
        <f>SUMPRODUCT(taakfreqtabel2,kengetaltabel2,tarieftabel2,object1_opptabel2)</f>
        <v>0</v>
      </c>
      <c r="N11" s="87">
        <f>F11*J11*VLOOKUP(E11,dagsoorttabel1,2,FALSE)</f>
        <v>0</v>
      </c>
      <c r="O11" s="87">
        <f>SUM(M11:N11)</f>
        <v>0</v>
      </c>
      <c r="P11" s="85">
        <f>K11*dagenperjaar1*VLOOKUP(E11,dagsoorttabel1,2,FALSE)</f>
        <v>0</v>
      </c>
      <c r="Q11" s="85">
        <f>L11*dagenperjaar1</f>
        <v>0</v>
      </c>
      <c r="R11" s="87">
        <f>O11*dagenperjaar1</f>
        <v>0</v>
      </c>
      <c r="S11" s="87">
        <f>R11/12</f>
        <v>0</v>
      </c>
    </row>
    <row r="12" spans="1:19" x14ac:dyDescent="0.2">
      <c r="A12" s="43" t="s">
        <v>183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>
        <f>SUM(P11:P11)</f>
        <v>0</v>
      </c>
      <c r="Q12" s="45">
        <f>SUM(Q11:Q11)</f>
        <v>0</v>
      </c>
      <c r="R12" s="46">
        <f>SUM(R11:R11)</f>
        <v>0</v>
      </c>
      <c r="S12" s="47">
        <f>SUM(S11:S11)</f>
        <v>0</v>
      </c>
    </row>
    <row r="13" spans="1:19" x14ac:dyDescent="0.2">
      <c r="A13" s="48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9"/>
    </row>
    <row r="14" spans="1:19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</row>
    <row r="15" spans="1:19" x14ac:dyDescent="0.2">
      <c r="A15" s="12" t="s">
        <v>120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spans="1:19" x14ac:dyDescent="0.2">
      <c r="A16" s="82" t="s">
        <v>208</v>
      </c>
      <c r="B16" s="82" t="s">
        <v>517</v>
      </c>
      <c r="C16" s="82"/>
      <c r="D16" s="82" t="s">
        <v>518</v>
      </c>
      <c r="E16" s="83" t="s">
        <v>16</v>
      </c>
      <c r="F16" s="84">
        <f>gemuurtarief4</f>
        <v>0</v>
      </c>
      <c r="G16" s="85">
        <f>SUMPRODUCT(taakfreqtabel4,uurfactortabel4,kengetaltabel4,object1_opptabel4)</f>
        <v>0</v>
      </c>
      <c r="H16" s="85">
        <f>G16*(1/VLOOKUP(E16,dagsoorttabel1,2,FALSE))</f>
        <v>0</v>
      </c>
      <c r="I16" s="85">
        <f>SUMPRODUCT(dagwerktabel4,taakfreqtabel4,uurfactortabel4,kengetaltabel4,object1_opptabel4)*(1/VLOOKUP(E16,dagsoorttabel1,2,FALSE))</f>
        <v>0</v>
      </c>
      <c r="J16" s="86"/>
      <c r="K16" s="85">
        <f>I16+J16</f>
        <v>0</v>
      </c>
      <c r="L16" s="85">
        <f>G16+J16*VLOOKUP(E16,dagsoorttabel1,2,FALSE)</f>
        <v>0</v>
      </c>
      <c r="M16" s="87">
        <f>SUMPRODUCT(taakfreqtabel4,kengetaltabel4,tarieftabel4,object1_opptabel4)</f>
        <v>0</v>
      </c>
      <c r="N16" s="87">
        <f>F16*J16*VLOOKUP(E16,dagsoorttabel1,2,FALSE)</f>
        <v>0</v>
      </c>
      <c r="O16" s="87">
        <f>SUM(M16:N16)</f>
        <v>0</v>
      </c>
      <c r="P16" s="85">
        <f>K16*dagenperjaar1*VLOOKUP(E16,dagsoorttabel1,2,FALSE)</f>
        <v>0</v>
      </c>
      <c r="Q16" s="85">
        <f>L16*dagenperjaar1</f>
        <v>0</v>
      </c>
      <c r="R16" s="87">
        <f>O16*dagenperjaar1</f>
        <v>0</v>
      </c>
      <c r="S16" s="87">
        <f>R16/12</f>
        <v>0</v>
      </c>
    </row>
    <row r="17" spans="1:19" x14ac:dyDescent="0.2">
      <c r="A17" s="43" t="s">
        <v>195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5">
        <f>SUM(P16:P16)</f>
        <v>0</v>
      </c>
      <c r="Q17" s="45">
        <f>SUM(Q16:Q16)</f>
        <v>0</v>
      </c>
      <c r="R17" s="46">
        <f>SUM(R16:R16)</f>
        <v>0</v>
      </c>
      <c r="S17" s="47">
        <f>SUM(S16:S16)</f>
        <v>0</v>
      </c>
    </row>
    <row r="18" spans="1:19" x14ac:dyDescent="0.2">
      <c r="A18" s="48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9"/>
    </row>
    <row r="20" spans="1:19" x14ac:dyDescent="0.2">
      <c r="A20" s="43" t="s">
        <v>519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>
        <f>urenjaartotaalhf1+urenjaartotaalhf2+urenjaartotaalhf4</f>
        <v>0</v>
      </c>
      <c r="Q20" s="45">
        <f>urenjaartotaal1+urenjaartotaal2+urenjaartotaal4</f>
        <v>0</v>
      </c>
      <c r="R20" s="46">
        <f>prijsjaartotaal1+prijsjaartotaal2+prijsjaartotaal4</f>
        <v>0</v>
      </c>
      <c r="S20" s="46">
        <f>prijsmaandtotaal1+prijsmaandtotaal2+prijsmaandtotaal4</f>
        <v>0</v>
      </c>
    </row>
  </sheetData>
  <pageMargins left="0.7" right="0.7" top="0.75" bottom="0.75" header="0.3" footer="0.3"/>
  <pageSetup paperSize="9" scale="65" orientation="landscape" r:id="rId1"/>
  <headerFooter>
    <oddFooter>&amp;LGemeente Meppel EA 2024                                     &amp;ROpmaakdatum: 25-09-2023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16</vt:i4>
      </vt:variant>
      <vt:variant>
        <vt:lpstr>Benoemde bereiken</vt:lpstr>
      </vt:variant>
      <vt:variant>
        <vt:i4>457</vt:i4>
      </vt:variant>
    </vt:vector>
  </HeadingPairs>
  <TitlesOfParts>
    <vt:vector size="473" baseType="lpstr">
      <vt:lpstr>Voorblad</vt:lpstr>
      <vt:lpstr>Omreken</vt:lpstr>
      <vt:lpstr>Categorienormen</vt:lpstr>
      <vt:lpstr>Regulier werk</vt:lpstr>
      <vt:lpstr>Ruimten werkdag</vt:lpstr>
      <vt:lpstr>Ruimten werkdag Feest</vt:lpstr>
      <vt:lpstr>Ruimten weekenddag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Totaal</vt:lpstr>
      <vt:lpstr>Afroep!Afdruktitels</vt:lpstr>
      <vt:lpstr>'Afroep incidenteel'!Afdruktitels</vt:lpstr>
      <vt:lpstr>Categorienormen!Afdruktitels</vt:lpstr>
      <vt:lpstr>Glas!Afdruktitels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weekenddag'!Afdruktitels</vt:lpstr>
      <vt:lpstr>'Ruimten werkdag'!Afdruktitels</vt:lpstr>
      <vt:lpstr>'Ruimten werkdag Feest'!Afdruktitels</vt:lpstr>
      <vt:lpstr>Totaal!Afdruktitels</vt:lpstr>
      <vt:lpstr>'Totaalblad Objecten'!Afdruktitels</vt:lpstr>
      <vt:lpstr>catdw_1_AHB_1</vt:lpstr>
      <vt:lpstr>catdw_1_AHV_12</vt:lpstr>
      <vt:lpstr>catdw_1_AHV_51</vt:lpstr>
      <vt:lpstr>catdw_1_BHB_1</vt:lpstr>
      <vt:lpstr>catdw_1_BHV_51</vt:lpstr>
      <vt:lpstr>catdw_1_BZB_1</vt:lpstr>
      <vt:lpstr>catdw_1_BZV_51</vt:lpstr>
      <vt:lpstr>catdw_1_DHB_1</vt:lpstr>
      <vt:lpstr>catdw_1_DHV_51</vt:lpstr>
      <vt:lpstr>catdw_1_EHB_1</vt:lpstr>
      <vt:lpstr>catdw_1_EHV_51</vt:lpstr>
      <vt:lpstr>catdw_1_IHB_1</vt:lpstr>
      <vt:lpstr>catdw_1_IHV_51</vt:lpstr>
      <vt:lpstr>catdw_1_LHB_1</vt:lpstr>
      <vt:lpstr>catdw_1_LHV_51</vt:lpstr>
      <vt:lpstr>catdw_1_MHB_1</vt:lpstr>
      <vt:lpstr>catdw_1_MHV_51</vt:lpstr>
      <vt:lpstr>catdw_1_OHB_1</vt:lpstr>
      <vt:lpstr>catdw_1_OHV_12</vt:lpstr>
      <vt:lpstr>catdw_1_PHB_1</vt:lpstr>
      <vt:lpstr>catdw_1_PHV_51</vt:lpstr>
      <vt:lpstr>catdw_1_RHB_1</vt:lpstr>
      <vt:lpstr>catdw_1_RHV_51</vt:lpstr>
      <vt:lpstr>catdw_1_RZB_1</vt:lpstr>
      <vt:lpstr>catdw_1_RZV_51</vt:lpstr>
      <vt:lpstr>catdw_1_SHB_1</vt:lpstr>
      <vt:lpstr>catdw_1_SHV_51</vt:lpstr>
      <vt:lpstr>catdw_1_THB_1</vt:lpstr>
      <vt:lpstr>catdw_1_THV_51</vt:lpstr>
      <vt:lpstr>catdw_1_VHB_1</vt:lpstr>
      <vt:lpstr>catdw_1_VHV_51</vt:lpstr>
      <vt:lpstr>catdw_2_FBHB_1</vt:lpstr>
      <vt:lpstr>catdw_2_FDHB_1</vt:lpstr>
      <vt:lpstr>catdw_2_FEHB_1</vt:lpstr>
      <vt:lpstr>catdw_2_FIHB_1</vt:lpstr>
      <vt:lpstr>catdw_2_FMHB_1</vt:lpstr>
      <vt:lpstr>catdw_2_FPHB_1</vt:lpstr>
      <vt:lpstr>catdw_2_FRHB_1</vt:lpstr>
      <vt:lpstr>catdw_2_FSHB_1</vt:lpstr>
      <vt:lpstr>catdw_2_FTHB_1</vt:lpstr>
      <vt:lpstr>catdw_2_FVHB_1</vt:lpstr>
      <vt:lpstr>catdw_4_WBHB_1</vt:lpstr>
      <vt:lpstr>catdw_4_WDHB_1</vt:lpstr>
      <vt:lpstr>catdw_4_WEHB_1</vt:lpstr>
      <vt:lpstr>catdw_4_WIHB_1</vt:lpstr>
      <vt:lpstr>catdw_4_WMHB_1</vt:lpstr>
      <vt:lpstr>catdw_4_WPHB_1</vt:lpstr>
      <vt:lpstr>catdw_4_WRHB_1</vt:lpstr>
      <vt:lpstr>catdw_4_WSHB_1</vt:lpstr>
      <vt:lpstr>catdw_4_WTHB_1</vt:lpstr>
      <vt:lpstr>catdw_4_WVHB_1</vt:lpstr>
      <vt:lpstr>catfd_1_AHB_1</vt:lpstr>
      <vt:lpstr>catfd_1_AHV_12</vt:lpstr>
      <vt:lpstr>catfd_1_AHV_51</vt:lpstr>
      <vt:lpstr>catfd_1_BHB_1</vt:lpstr>
      <vt:lpstr>catfd_1_BHV_51</vt:lpstr>
      <vt:lpstr>catfd_1_BZB_1</vt:lpstr>
      <vt:lpstr>catfd_1_BZV_51</vt:lpstr>
      <vt:lpstr>catfd_1_DHB_1</vt:lpstr>
      <vt:lpstr>catfd_1_DHV_51</vt:lpstr>
      <vt:lpstr>catfd_1_EHB_1</vt:lpstr>
      <vt:lpstr>catfd_1_EHV_51</vt:lpstr>
      <vt:lpstr>catfd_1_IHB_1</vt:lpstr>
      <vt:lpstr>catfd_1_IHV_51</vt:lpstr>
      <vt:lpstr>catfd_1_LHB_1</vt:lpstr>
      <vt:lpstr>catfd_1_LHV_51</vt:lpstr>
      <vt:lpstr>catfd_1_MHB_1</vt:lpstr>
      <vt:lpstr>catfd_1_MHV_51</vt:lpstr>
      <vt:lpstr>catfd_1_OHB_1</vt:lpstr>
      <vt:lpstr>catfd_1_OHV_12</vt:lpstr>
      <vt:lpstr>catfd_1_PHB_1</vt:lpstr>
      <vt:lpstr>catfd_1_PHV_51</vt:lpstr>
      <vt:lpstr>catfd_1_RHB_1</vt:lpstr>
      <vt:lpstr>catfd_1_RHV_51</vt:lpstr>
      <vt:lpstr>catfd_1_RZB_1</vt:lpstr>
      <vt:lpstr>catfd_1_RZV_51</vt:lpstr>
      <vt:lpstr>catfd_1_SHB_1</vt:lpstr>
      <vt:lpstr>catfd_1_SHV_51</vt:lpstr>
      <vt:lpstr>catfd_1_THB_1</vt:lpstr>
      <vt:lpstr>catfd_1_THV_51</vt:lpstr>
      <vt:lpstr>catfd_1_VHB_1</vt:lpstr>
      <vt:lpstr>catfd_1_VHV_51</vt:lpstr>
      <vt:lpstr>catfd_2_FBHB_1</vt:lpstr>
      <vt:lpstr>catfd_2_FDHB_1</vt:lpstr>
      <vt:lpstr>catfd_2_FEHB_1</vt:lpstr>
      <vt:lpstr>catfd_2_FIHB_1</vt:lpstr>
      <vt:lpstr>catfd_2_FMHB_1</vt:lpstr>
      <vt:lpstr>catfd_2_FPHB_1</vt:lpstr>
      <vt:lpstr>catfd_2_FRHB_1</vt:lpstr>
      <vt:lpstr>catfd_2_FSHB_1</vt:lpstr>
      <vt:lpstr>catfd_2_FTHB_1</vt:lpstr>
      <vt:lpstr>catfd_2_FVHB_1</vt:lpstr>
      <vt:lpstr>catfd_4_WBHB_1</vt:lpstr>
      <vt:lpstr>catfd_4_WDHB_1</vt:lpstr>
      <vt:lpstr>catfd_4_WEHB_1</vt:lpstr>
      <vt:lpstr>catfd_4_WIHB_1</vt:lpstr>
      <vt:lpstr>catfd_4_WMHB_1</vt:lpstr>
      <vt:lpstr>catfd_4_WPHB_1</vt:lpstr>
      <vt:lpstr>catfd_4_WRHB_1</vt:lpstr>
      <vt:lpstr>catfd_4_WSHB_1</vt:lpstr>
      <vt:lpstr>catfd_4_WTHB_1</vt:lpstr>
      <vt:lpstr>catfd_4_WVHB_1</vt:lpstr>
      <vt:lpstr>catpn_1_AHB_1</vt:lpstr>
      <vt:lpstr>catpn_1_AHV_12</vt:lpstr>
      <vt:lpstr>catpn_1_AHV_51</vt:lpstr>
      <vt:lpstr>catpn_1_BHB_1</vt:lpstr>
      <vt:lpstr>catpn_1_BHV_51</vt:lpstr>
      <vt:lpstr>catpn_1_BZB_1</vt:lpstr>
      <vt:lpstr>catpn_1_BZV_51</vt:lpstr>
      <vt:lpstr>catpn_1_DHB_1</vt:lpstr>
      <vt:lpstr>catpn_1_DHV_51</vt:lpstr>
      <vt:lpstr>catpn_1_EHB_1</vt:lpstr>
      <vt:lpstr>catpn_1_EHV_51</vt:lpstr>
      <vt:lpstr>catpn_1_IHB_1</vt:lpstr>
      <vt:lpstr>catpn_1_IHV_51</vt:lpstr>
      <vt:lpstr>catpn_1_LHB_1</vt:lpstr>
      <vt:lpstr>catpn_1_LHV_51</vt:lpstr>
      <vt:lpstr>catpn_1_MHB_1</vt:lpstr>
      <vt:lpstr>catpn_1_MHV_51</vt:lpstr>
      <vt:lpstr>catpn_1_OHB_1</vt:lpstr>
      <vt:lpstr>catpn_1_OHV_12</vt:lpstr>
      <vt:lpstr>catpn_1_PHB_1</vt:lpstr>
      <vt:lpstr>catpn_1_PHV_51</vt:lpstr>
      <vt:lpstr>catpn_1_RHB_1</vt:lpstr>
      <vt:lpstr>catpn_1_RHV_51</vt:lpstr>
      <vt:lpstr>catpn_1_RZB_1</vt:lpstr>
      <vt:lpstr>catpn_1_RZV_51</vt:lpstr>
      <vt:lpstr>catpn_1_SHB_1</vt:lpstr>
      <vt:lpstr>catpn_1_SHV_51</vt:lpstr>
      <vt:lpstr>catpn_1_THB_1</vt:lpstr>
      <vt:lpstr>catpn_1_THV_51</vt:lpstr>
      <vt:lpstr>catpn_1_VHB_1</vt:lpstr>
      <vt:lpstr>catpn_1_VHV_51</vt:lpstr>
      <vt:lpstr>catpn_2_FBHB_1</vt:lpstr>
      <vt:lpstr>catpn_2_FDHB_1</vt:lpstr>
      <vt:lpstr>catpn_2_FEHB_1</vt:lpstr>
      <vt:lpstr>catpn_2_FIHB_1</vt:lpstr>
      <vt:lpstr>catpn_2_FMHB_1</vt:lpstr>
      <vt:lpstr>catpn_2_FPHB_1</vt:lpstr>
      <vt:lpstr>catpn_2_FRHB_1</vt:lpstr>
      <vt:lpstr>catpn_2_FSHB_1</vt:lpstr>
      <vt:lpstr>catpn_2_FTHB_1</vt:lpstr>
      <vt:lpstr>catpn_2_FVHB_1</vt:lpstr>
      <vt:lpstr>catpn_4_WBHB_1</vt:lpstr>
      <vt:lpstr>catpn_4_WDHB_1</vt:lpstr>
      <vt:lpstr>catpn_4_WEHB_1</vt:lpstr>
      <vt:lpstr>catpn_4_WIHB_1</vt:lpstr>
      <vt:lpstr>catpn_4_WMHB_1</vt:lpstr>
      <vt:lpstr>catpn_4_WPHB_1</vt:lpstr>
      <vt:lpstr>catpn_4_WRHB_1</vt:lpstr>
      <vt:lpstr>catpn_4_WSHB_1</vt:lpstr>
      <vt:lpstr>catpn_4_WTHB_1</vt:lpstr>
      <vt:lpstr>catpn_4_WVHB_1</vt:lpstr>
      <vt:lpstr>cattf_1_AHB_1</vt:lpstr>
      <vt:lpstr>cattf_1_AHV_12</vt:lpstr>
      <vt:lpstr>cattf_1_AHV_51</vt:lpstr>
      <vt:lpstr>cattf_1_BHB_1</vt:lpstr>
      <vt:lpstr>cattf_1_BHV_51</vt:lpstr>
      <vt:lpstr>cattf_1_BZB_1</vt:lpstr>
      <vt:lpstr>cattf_1_BZV_51</vt:lpstr>
      <vt:lpstr>cattf_1_DHB_1</vt:lpstr>
      <vt:lpstr>cattf_1_DHV_51</vt:lpstr>
      <vt:lpstr>cattf_1_EHB_1</vt:lpstr>
      <vt:lpstr>cattf_1_EHV_51</vt:lpstr>
      <vt:lpstr>cattf_1_IHB_1</vt:lpstr>
      <vt:lpstr>cattf_1_IHV_51</vt:lpstr>
      <vt:lpstr>cattf_1_LHB_1</vt:lpstr>
      <vt:lpstr>cattf_1_LHV_51</vt:lpstr>
      <vt:lpstr>cattf_1_MHB_1</vt:lpstr>
      <vt:lpstr>cattf_1_MHV_51</vt:lpstr>
      <vt:lpstr>cattf_1_OHB_1</vt:lpstr>
      <vt:lpstr>cattf_1_OHV_12</vt:lpstr>
      <vt:lpstr>cattf_1_PHB_1</vt:lpstr>
      <vt:lpstr>cattf_1_PHV_51</vt:lpstr>
      <vt:lpstr>cattf_1_RHB_1</vt:lpstr>
      <vt:lpstr>cattf_1_RHV_51</vt:lpstr>
      <vt:lpstr>cattf_1_RZB_1</vt:lpstr>
      <vt:lpstr>cattf_1_RZV_51</vt:lpstr>
      <vt:lpstr>cattf_1_SHB_1</vt:lpstr>
      <vt:lpstr>cattf_1_SHV_51</vt:lpstr>
      <vt:lpstr>cattf_1_THB_1</vt:lpstr>
      <vt:lpstr>cattf_1_THV_51</vt:lpstr>
      <vt:lpstr>cattf_1_VHB_1</vt:lpstr>
      <vt:lpstr>cattf_1_VHV_51</vt:lpstr>
      <vt:lpstr>cattf_2_FBHB_1</vt:lpstr>
      <vt:lpstr>cattf_2_FDHB_1</vt:lpstr>
      <vt:lpstr>cattf_2_FEHB_1</vt:lpstr>
      <vt:lpstr>cattf_2_FIHB_1</vt:lpstr>
      <vt:lpstr>cattf_2_FMHB_1</vt:lpstr>
      <vt:lpstr>cattf_2_FPHB_1</vt:lpstr>
      <vt:lpstr>cattf_2_FRHB_1</vt:lpstr>
      <vt:lpstr>cattf_2_FSHB_1</vt:lpstr>
      <vt:lpstr>cattf_2_FTHB_1</vt:lpstr>
      <vt:lpstr>cattf_2_FVHB_1</vt:lpstr>
      <vt:lpstr>cattf_4_WBHB_1</vt:lpstr>
      <vt:lpstr>cattf_4_WDHB_1</vt:lpstr>
      <vt:lpstr>cattf_4_WEHB_1</vt:lpstr>
      <vt:lpstr>cattf_4_WIHB_1</vt:lpstr>
      <vt:lpstr>cattf_4_WMHB_1</vt:lpstr>
      <vt:lpstr>cattf_4_WPHB_1</vt:lpstr>
      <vt:lpstr>cattf_4_WRHB_1</vt:lpstr>
      <vt:lpstr>cattf_4_WSHB_1</vt:lpstr>
      <vt:lpstr>cattf_4_WTHB_1</vt:lpstr>
      <vt:lpstr>cattf_4_WVHB_1</vt:lpstr>
      <vt:lpstr>dagenperjaar1</vt:lpstr>
      <vt:lpstr>dagenperweek1</vt:lpstr>
      <vt:lpstr>dagsoorttabel1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dagwerk5</vt:lpstr>
      <vt:lpstr>dagwerk6</vt:lpstr>
      <vt:lpstr>dagwerk7</vt:lpstr>
      <vt:lpstr>dagwerk8</vt:lpstr>
      <vt:lpstr>dagwerk9</vt:lpstr>
      <vt:lpstr>dagwerktabel1</vt:lpstr>
      <vt:lpstr>dagwerktabel2</vt:lpstr>
      <vt:lpstr>dagwerktabel4</vt:lpstr>
      <vt:lpstr>gemuurtarief1</vt:lpstr>
      <vt:lpstr>gemuurtarief2</vt:lpstr>
      <vt:lpstr>gemuurtarief4</vt:lpstr>
      <vt:lpstr>kengetaltabel1</vt:lpstr>
      <vt:lpstr>kengetaltabel2</vt:lpstr>
      <vt:lpstr>kengetaltabel4</vt:lpstr>
      <vt:lpstr>object1_gemuurtarief1</vt:lpstr>
      <vt:lpstr>object1_gemuurtarief2</vt:lpstr>
      <vt:lpstr>object1_gemuurtarief4</vt:lpstr>
      <vt:lpstr>object1_opptabel1</vt:lpstr>
      <vt:lpstr>object1_opptabel2</vt:lpstr>
      <vt:lpstr>object1_opptabel4</vt:lpstr>
      <vt:lpstr>object1_prijsdag1</vt:lpstr>
      <vt:lpstr>object1_prijsdag2</vt:lpstr>
      <vt:lpstr>object1_prijsdag4</vt:lpstr>
      <vt:lpstr>object1_prijsjaar1</vt:lpstr>
      <vt:lpstr>object1_prijsjaar2</vt:lpstr>
      <vt:lpstr>object1_prijsjaar4</vt:lpstr>
      <vt:lpstr>object1_urendag1</vt:lpstr>
      <vt:lpstr>object1_urendag2</vt:lpstr>
      <vt:lpstr>object1_urendag4</vt:lpstr>
      <vt:lpstr>object1_urendaghf1</vt:lpstr>
      <vt:lpstr>object1_urendaghf2</vt:lpstr>
      <vt:lpstr>object1_urendaghf4</vt:lpstr>
      <vt:lpstr>object1_urenjaar1</vt:lpstr>
      <vt:lpstr>object1_urenjaar2</vt:lpstr>
      <vt:lpstr>object1_urenjaar4</vt:lpstr>
      <vt:lpstr>objectprijs1_1</vt:lpstr>
      <vt:lpstr>objectprijs1_2</vt:lpstr>
      <vt:lpstr>objectprijs1_4</vt:lpstr>
      <vt:lpstr>objecturen1_1</vt:lpstr>
      <vt:lpstr>objecturen1_2</vt:lpstr>
      <vt:lpstr>objecturen1_4</vt:lpstr>
      <vt:lpstr>objecturenhf1_1</vt:lpstr>
      <vt:lpstr>objecturenhf1_2</vt:lpstr>
      <vt:lpstr>objecturenhf1_4</vt:lpstr>
      <vt:lpstr>prijsdag1</vt:lpstr>
      <vt:lpstr>prijsdag2</vt:lpstr>
      <vt:lpstr>prijsdag4</vt:lpstr>
      <vt:lpstr>prijsjaar</vt:lpstr>
      <vt:lpstr>prijsjaar1</vt:lpstr>
      <vt:lpstr>prijsjaar2</vt:lpstr>
      <vt:lpstr>prijsjaar4</vt:lpstr>
      <vt:lpstr>prijsjaarafroep</vt:lpstr>
      <vt:lpstr>prijsjaarafroep1</vt:lpstr>
      <vt:lpstr>prijsjaarafroep4</vt:lpstr>
      <vt:lpstr>prijsjaarglas</vt:lpstr>
      <vt:lpstr>prijsjaarglas1</vt:lpstr>
      <vt:lpstr>prijsjaarnietmeewerkend</vt:lpstr>
      <vt:lpstr>prijsjaarregie</vt:lpstr>
      <vt:lpstr>prijsjaarregie1</vt:lpstr>
      <vt:lpstr>prijsjaarregie4</vt:lpstr>
      <vt:lpstr>prijsjaartotaal</vt:lpstr>
      <vt:lpstr>prijsjaartotaal1</vt:lpstr>
      <vt:lpstr>prijsjaartotaal2</vt:lpstr>
      <vt:lpstr>prijsjaartotaal4</vt:lpstr>
      <vt:lpstr>prijsjaartotaaloverzicht</vt:lpstr>
      <vt:lpstr>prijsmaandtotaal1</vt:lpstr>
      <vt:lpstr>prijsmaandtotaal2</vt:lpstr>
      <vt:lpstr>prijsmaandtotaal4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prodnorm5</vt:lpstr>
      <vt:lpstr>prodnorm6</vt:lpstr>
      <vt:lpstr>prodnorm7</vt:lpstr>
      <vt:lpstr>prodnorm8</vt:lpstr>
      <vt:lpstr>prodnorm9</vt:lpstr>
      <vt:lpstr>taakfreqtabel1</vt:lpstr>
      <vt:lpstr>taakfreqtabel2</vt:lpstr>
      <vt:lpstr>taakfreqtabel4</vt:lpstr>
      <vt:lpstr>tabeltype</vt:lpstr>
      <vt:lpstr>tarieftabel1</vt:lpstr>
      <vt:lpstr>tarieftabel2</vt:lpstr>
      <vt:lpstr>tarieftabel4</vt:lpstr>
      <vt:lpstr>tzpjt1</vt:lpstr>
      <vt:lpstr>tzpjt1_1</vt:lpstr>
      <vt:lpstr>tzpjt1_2</vt:lpstr>
      <vt:lpstr>tzpjt1_4</vt:lpstr>
      <vt:lpstr>tzpjt2</vt:lpstr>
      <vt:lpstr>tzpjt4</vt:lpstr>
      <vt:lpstr>tzpmt1</vt:lpstr>
      <vt:lpstr>tzpmt1_1</vt:lpstr>
      <vt:lpstr>tzpmt1_2</vt:lpstr>
      <vt:lpstr>tzpmt1_4</vt:lpstr>
      <vt:lpstr>tzpmt2</vt:lpstr>
      <vt:lpstr>tzpmt4</vt:lpstr>
      <vt:lpstr>tzujt1</vt:lpstr>
      <vt:lpstr>tzujt1_1</vt:lpstr>
      <vt:lpstr>tzujt1_2</vt:lpstr>
      <vt:lpstr>tzujt1_4</vt:lpstr>
      <vt:lpstr>tzujt2</vt:lpstr>
      <vt:lpstr>tzujt4</vt:lpstr>
      <vt:lpstr>urendag1</vt:lpstr>
      <vt:lpstr>urendag2</vt:lpstr>
      <vt:lpstr>urendag4</vt:lpstr>
      <vt:lpstr>urenjaar</vt:lpstr>
      <vt:lpstr>urenjaar1</vt:lpstr>
      <vt:lpstr>urenjaar2</vt:lpstr>
      <vt:lpstr>urenjaar4</vt:lpstr>
      <vt:lpstr>urenjaarnietmeewerkend</vt:lpstr>
      <vt:lpstr>urenjaartotaal</vt:lpstr>
      <vt:lpstr>urenjaartotaal1</vt:lpstr>
      <vt:lpstr>urenjaartotaal2</vt:lpstr>
      <vt:lpstr>urenjaartotaal4</vt:lpstr>
      <vt:lpstr>urenjaartotaalhf</vt:lpstr>
      <vt:lpstr>urenjaartotaalhf1</vt:lpstr>
      <vt:lpstr>urenjaartotaalhf2</vt:lpstr>
      <vt:lpstr>urenjaartotaalhf4</vt:lpstr>
      <vt:lpstr>urenjaartotaaloverzicht</vt:lpstr>
      <vt:lpstr>urenjaartotaaloverzichthf</vt:lpstr>
      <vt:lpstr>uurfactortabel1</vt:lpstr>
      <vt:lpstr>uurfactortabel2</vt:lpstr>
      <vt:lpstr>uurfactortabel4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2023-09-25T08:28:10Z</dcterms:created>
  <dcterms:modified xsi:type="dcterms:W3CDTF">2023-09-25T08:42:45Z</dcterms:modified>
</cp:coreProperties>
</file>