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Meppel\Aanbesteding 2023\Uitlever\"/>
    </mc:Choice>
  </mc:AlternateContent>
  <xr:revisionPtr revIDLastSave="0" documentId="13_ncr:1_{00EA580C-14E3-44FA-9936-3DB604138A5E}" xr6:coauthVersionLast="47" xr6:coauthVersionMax="47" xr10:uidLastSave="{00000000-0000-0000-0000-000000000000}"/>
  <bookViews>
    <workbookView xWindow="28680" yWindow="-120" windowWidth="29040" windowHeight="15720" firstSheet="12" activeTab="16" xr2:uid="{5E0E9A2A-02FB-4BAF-A011-3E69F984A9EC}"/>
  </bookViews>
  <sheets>
    <sheet name="Voorblad" sheetId="1" r:id="rId1"/>
    <sheet name="Omreken" sheetId="2" r:id="rId2"/>
    <sheet name="Categorienormen" sheetId="3" r:id="rId3"/>
    <sheet name="Regulier werk" sheetId="4" r:id="rId4"/>
    <sheet name="Ruimten werkdag" sheetId="5" r:id="rId5"/>
    <sheet name="Ruimten werkdag vakantie" sheetId="6" r:id="rId6"/>
    <sheet name="Ruimten weekenddag" sheetId="7" r:id="rId7"/>
    <sheet name="Objectinformatie" sheetId="8" r:id="rId8"/>
    <sheet name="Objecten" sheetId="9" r:id="rId9"/>
    <sheet name="Niet-meewerkende objectleiding" sheetId="10" r:id="rId10"/>
    <sheet name="Totaalblad Objecten" sheetId="11" r:id="rId11"/>
    <sheet name="Afroep" sheetId="12" r:id="rId12"/>
    <sheet name="Afroep incidenteel" sheetId="13" r:id="rId13"/>
    <sheet name="Regiewerk" sheetId="14" r:id="rId14"/>
    <sheet name="Glas" sheetId="15" r:id="rId15"/>
    <sheet name="Glas per locatie" sheetId="16" r:id="rId16"/>
    <sheet name="Totaal" sheetId="17" r:id="rId17"/>
  </sheets>
  <definedNames>
    <definedName name="_xlnm._FilterDatabase" localSheetId="6" hidden="1">'Ruimten weekenddag'!$A$3:$U$42</definedName>
    <definedName name="_xlnm._FilterDatabase" localSheetId="4" hidden="1">'Ruimten werkdag'!$A$3:$U$632</definedName>
    <definedName name="_xlnm._FilterDatabase" localSheetId="5" hidden="1">'Ruimten werkdag vakantie'!$A$3:$U$40</definedName>
    <definedName name="_xlnm.Print_Titles" localSheetId="11">Afroep!$1:$3</definedName>
    <definedName name="_xlnm.Print_Titles" localSheetId="12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15">'Glas per locatie'!$1:$3</definedName>
    <definedName name="_xlnm.Print_Titles" localSheetId="9">'Niet-meewerkende objectleiding'!$1:$3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13">Regiewerk!$1:$3</definedName>
    <definedName name="_xlnm.Print_Titles" localSheetId="3">'Regulier werk'!$1:$3</definedName>
    <definedName name="_xlnm.Print_Titles" localSheetId="6">'Ruimten weekenddag'!$1:$3</definedName>
    <definedName name="_xlnm.Print_Titles" localSheetId="4">'Ruimten werkdag'!$1:$3</definedName>
    <definedName name="_xlnm.Print_Titles" localSheetId="5">'Ruimten werkdag vakantie'!$1:$3</definedName>
    <definedName name="_xlnm.Print_Titles" localSheetId="16">Totaal!$1:$3</definedName>
    <definedName name="_xlnm.Print_Titles" localSheetId="10">'Totaalblad Objecten'!$1:$3</definedName>
    <definedName name="catdw_1_AHB_1">Categorienormen!$F$54</definedName>
    <definedName name="catdw_1_AHV_12">Categorienormen!$F$55</definedName>
    <definedName name="catdw_1_AHV_14">Categorienormen!$F$56</definedName>
    <definedName name="catdw_1_AHV_19">Categorienormen!$F$57</definedName>
    <definedName name="catdw_1_AHV_51">Categorienormen!$F$58</definedName>
    <definedName name="catdw_1_AZB_1">Categorienormen!$F$59</definedName>
    <definedName name="catdw_1_AZV_12">Categorienormen!$F$60</definedName>
    <definedName name="catdw_1_BHB_1">Categorienormen!$F$6</definedName>
    <definedName name="catdw_1_BHV_12">Categorienormen!$F$7</definedName>
    <definedName name="catdw_1_BHV_14">Categorienormen!$F$8</definedName>
    <definedName name="catdw_1_BHV_19">Categorienormen!$F$9</definedName>
    <definedName name="catdw_1_BHV_40">Categorienormen!$F$10</definedName>
    <definedName name="catdw_1_BHV_51">Categorienormen!$F$11</definedName>
    <definedName name="catdw_1_BZB_1">Categorienormen!$F$12</definedName>
    <definedName name="catdw_1_BZV_40">Categorienormen!$F$13</definedName>
    <definedName name="catdw_1_BZV_51">Categorienormen!$F$14</definedName>
    <definedName name="catdw_1_DHB_1">Categorienormen!$F$28</definedName>
    <definedName name="catdw_1_DHV_14">Categorienormen!$F$29</definedName>
    <definedName name="catdw_1_DHV_18">Categorienormen!$F$30</definedName>
    <definedName name="catdw_1_DHV_19">Categorienormen!$F$31</definedName>
    <definedName name="catdw_1_DHV_35">Categorienormen!$F$32</definedName>
    <definedName name="catdw_1_DHV_40">Categorienormen!$F$33</definedName>
    <definedName name="catdw_1_DHV_45">Categorienormen!$F$34</definedName>
    <definedName name="catdw_1_DHV_51">Categorienormen!$F$35</definedName>
    <definedName name="catdw_1_DHV_65">Categorienormen!$F$36</definedName>
    <definedName name="catdw_1_EHB_1">Categorienormen!$F$61</definedName>
    <definedName name="catdw_1_EHV_40">Categorienormen!$F$62</definedName>
    <definedName name="catdw_1_EHV_45">Categorienormen!$F$63</definedName>
    <definedName name="catdw_1_EHV_51">Categorienormen!$F$64</definedName>
    <definedName name="catdw_1_EZB_1">Categorienormen!$F$65</definedName>
    <definedName name="catdw_1_EZV_51">Categorienormen!$F$66</definedName>
    <definedName name="catdw_1_FHB_1">Categorienormen!$F$67</definedName>
    <definedName name="catdw_1_FHV_12">Categorienormen!$F$68</definedName>
    <definedName name="catdw_1_GHB_1">Categorienormen!$F$51</definedName>
    <definedName name="catdw_1_GHV_45">Categorienormen!$F$52</definedName>
    <definedName name="catdw_1_GHV_51">Categorienormen!$F$53</definedName>
    <definedName name="catdw_1_IHB_1">Categorienormen!$F$69</definedName>
    <definedName name="catdw_1_IHV_45">Categorienormen!$F$70</definedName>
    <definedName name="catdw_1_IHV_51">Categorienormen!$F$71</definedName>
    <definedName name="catdw_1_KHB_1">Categorienormen!$F$37</definedName>
    <definedName name="catdw_1_KHV_51">Categorienormen!$F$38</definedName>
    <definedName name="catdw_1_LHB_1">Categorienormen!$F$26</definedName>
    <definedName name="catdw_1_LHV_51">Categorienormen!$F$27</definedName>
    <definedName name="catdw_1_OHB_1">Categorienormen!$F$15</definedName>
    <definedName name="catdw_1_OHV_51">Categorienormen!$F$16</definedName>
    <definedName name="catdw_1_OZB_1">Categorienormen!$F$17</definedName>
    <definedName name="catdw_1_OZV_40">Categorienormen!$F$18</definedName>
    <definedName name="catdw_1_OZV_51">Categorienormen!$F$19</definedName>
    <definedName name="catdw_1_PHB_1">Categorienormen!$F$72</definedName>
    <definedName name="catdw_1_PHV_51">Categorienormen!$F$73</definedName>
    <definedName name="catdw_1_RHB_1">Categorienormen!$F$74</definedName>
    <definedName name="catdw_1_RHV_51">Categorienormen!$F$75</definedName>
    <definedName name="catdw_1_SHB_1">Categorienormen!$F$39</definedName>
    <definedName name="catdw_1_SHV_14">Categorienormen!$F$40</definedName>
    <definedName name="catdw_1_SHV_17">Categorienormen!$F$41</definedName>
    <definedName name="catdw_1_SHV_18">Categorienormen!$F$42</definedName>
    <definedName name="catdw_1_SHV_19">Categorienormen!$F$43</definedName>
    <definedName name="catdw_1_SHV_35">Categorienormen!$F$44</definedName>
    <definedName name="catdw_1_SHV_38">Categorienormen!$F$45</definedName>
    <definedName name="catdw_1_SHV_40">Categorienormen!$F$46</definedName>
    <definedName name="catdw_1_SHV_45">Categorienormen!$F$47</definedName>
    <definedName name="catdw_1_SHV_51">Categorienormen!$F$48</definedName>
    <definedName name="catdw_1_SHV_65">Categorienormen!$F$49</definedName>
    <definedName name="catdw_1_SHV_85">Categorienormen!$F$50</definedName>
    <definedName name="catdw_1_THB_1">Categorienormen!$F$76</definedName>
    <definedName name="catdw_1_THV_40">Categorienormen!$F$77</definedName>
    <definedName name="catdw_1_THV_51">Categorienormen!$F$78</definedName>
    <definedName name="catdw_1_TZB_1">Categorienormen!$F$79</definedName>
    <definedName name="catdw_1_TZV_51">Categorienormen!$F$80</definedName>
    <definedName name="catdw_1_VHB_1">Categorienormen!$F$81</definedName>
    <definedName name="catdw_1_VHV_17">Categorienormen!$F$82</definedName>
    <definedName name="catdw_1_VHV_40">Categorienormen!$F$83</definedName>
    <definedName name="catdw_1_VHV_45">Categorienormen!$F$84</definedName>
    <definedName name="catdw_1_VHV_51">Categorienormen!$F$85</definedName>
    <definedName name="catdw_1_VHV_85">Categorienormen!$F$86</definedName>
    <definedName name="catdw_1_VZB_1">Categorienormen!$F$87</definedName>
    <definedName name="catdw_1_VZV_40">Categorienormen!$F$88</definedName>
    <definedName name="catdw_1_VZV_45">Categorienormen!$F$89</definedName>
    <definedName name="catdw_1_VZV_51">Categorienormen!$F$90</definedName>
    <definedName name="catdw_1_WHB_1">Categorienormen!$F$20</definedName>
    <definedName name="catdw_1_WHV_14">Categorienormen!$F$21</definedName>
    <definedName name="catdw_1_WHV_19">Categorienormen!$F$22</definedName>
    <definedName name="catdw_1_WHV_51">Categorienormen!$F$23</definedName>
    <definedName name="catdw_1_WZB_1">Categorienormen!$F$24</definedName>
    <definedName name="catdw_1_WZV_51">Categorienormen!$F$25</definedName>
    <definedName name="catdw_1_XMBB_1">Categorienormen!$F$91</definedName>
    <definedName name="catdw_1_XSPB_1">Categorienormen!$F$92</definedName>
    <definedName name="catdw_3_VBZB_1">Categorienormen!$F$95</definedName>
    <definedName name="catdw_3_VBZV_12">Categorienormen!$F$96</definedName>
    <definedName name="catdw_3_VDHB_1">Categorienormen!$F$99</definedName>
    <definedName name="catdw_3_VDHV_12">Categorienormen!$F$100</definedName>
    <definedName name="catdw_3_VEHB_1">Categorienormen!$F$103</definedName>
    <definedName name="catdw_3_VEHV_12">Categorienormen!$F$104</definedName>
    <definedName name="catdw_3_VOZB_1">Categorienormen!$F$97</definedName>
    <definedName name="catdw_3_VOZV_12">Categorienormen!$F$98</definedName>
    <definedName name="catdw_3_VSHB_1">Categorienormen!$F$101</definedName>
    <definedName name="catdw_3_VSHV_12">Categorienormen!$F$102</definedName>
    <definedName name="catdw_3_VTHB_1">Categorienormen!$F$105</definedName>
    <definedName name="catdw_3_VTHV_12">Categorienormen!$F$106</definedName>
    <definedName name="catdw_3_VVHB_1">Categorienormen!$F$107</definedName>
    <definedName name="catdw_3_VVHV_12">Categorienormen!$F$108</definedName>
    <definedName name="catdw_3_VVZB_1">Categorienormen!$F$109</definedName>
    <definedName name="catdw_3_VVZV_12">Categorienormen!$F$110</definedName>
    <definedName name="catdw_4_WDHB_1">Categorienormen!$F$114</definedName>
    <definedName name="catdw_4_WEHB_1">Categorienormen!$F$116</definedName>
    <definedName name="catdw_4_WOZB_1">Categorienormen!$F$113</definedName>
    <definedName name="catdw_4_WSHB_1">Categorienormen!$F$115</definedName>
    <definedName name="catdw_4_WVHB_1">Categorienormen!$F$117</definedName>
    <definedName name="catdw_4_WVZB_1">Categorienormen!$F$118</definedName>
    <definedName name="catfd_1_AHB_1">Categorienormen!$C$54</definedName>
    <definedName name="catfd_1_AHV_12">Categorienormen!$C$55</definedName>
    <definedName name="catfd_1_AHV_14">Categorienormen!$C$56</definedName>
    <definedName name="catfd_1_AHV_19">Categorienormen!$C$57</definedName>
    <definedName name="catfd_1_AHV_51">Categorienormen!$C$58</definedName>
    <definedName name="catfd_1_AZB_1">Categorienormen!$C$59</definedName>
    <definedName name="catfd_1_AZV_12">Categorienormen!$C$60</definedName>
    <definedName name="catfd_1_BHB_1">Categorienormen!$C$6</definedName>
    <definedName name="catfd_1_BHV_12">Categorienormen!$C$7</definedName>
    <definedName name="catfd_1_BHV_14">Categorienormen!$C$8</definedName>
    <definedName name="catfd_1_BHV_19">Categorienormen!$C$9</definedName>
    <definedName name="catfd_1_BHV_40">Categorienormen!$C$10</definedName>
    <definedName name="catfd_1_BHV_51">Categorienormen!$C$11</definedName>
    <definedName name="catfd_1_BZB_1">Categorienormen!$C$12</definedName>
    <definedName name="catfd_1_BZV_40">Categorienormen!$C$13</definedName>
    <definedName name="catfd_1_BZV_51">Categorienormen!$C$14</definedName>
    <definedName name="catfd_1_DHB_1">Categorienormen!$C$28</definedName>
    <definedName name="catfd_1_DHV_14">Categorienormen!$C$29</definedName>
    <definedName name="catfd_1_DHV_18">Categorienormen!$C$30</definedName>
    <definedName name="catfd_1_DHV_19">Categorienormen!$C$31</definedName>
    <definedName name="catfd_1_DHV_35">Categorienormen!$C$32</definedName>
    <definedName name="catfd_1_DHV_40">Categorienormen!$C$33</definedName>
    <definedName name="catfd_1_DHV_45">Categorienormen!$C$34</definedName>
    <definedName name="catfd_1_DHV_51">Categorienormen!$C$35</definedName>
    <definedName name="catfd_1_DHV_65">Categorienormen!$C$36</definedName>
    <definedName name="catfd_1_EHB_1">Categorienormen!$C$61</definedName>
    <definedName name="catfd_1_EHV_40">Categorienormen!$C$62</definedName>
    <definedName name="catfd_1_EHV_45">Categorienormen!$C$63</definedName>
    <definedName name="catfd_1_EHV_51">Categorienormen!$C$64</definedName>
    <definedName name="catfd_1_EZB_1">Categorienormen!$C$65</definedName>
    <definedName name="catfd_1_EZV_51">Categorienormen!$C$66</definedName>
    <definedName name="catfd_1_FHB_1">Categorienormen!$C$67</definedName>
    <definedName name="catfd_1_FHV_12">Categorienormen!$C$68</definedName>
    <definedName name="catfd_1_GHB_1">Categorienormen!$C$51</definedName>
    <definedName name="catfd_1_GHV_45">Categorienormen!$C$52</definedName>
    <definedName name="catfd_1_GHV_51">Categorienormen!$C$53</definedName>
    <definedName name="catfd_1_IHB_1">Categorienormen!$C$69</definedName>
    <definedName name="catfd_1_IHV_45">Categorienormen!$C$70</definedName>
    <definedName name="catfd_1_IHV_51">Categorienormen!$C$71</definedName>
    <definedName name="catfd_1_KHB_1">Categorienormen!$C$37</definedName>
    <definedName name="catfd_1_KHV_51">Categorienormen!$C$38</definedName>
    <definedName name="catfd_1_LHB_1">Categorienormen!$C$26</definedName>
    <definedName name="catfd_1_LHV_51">Categorienormen!$C$27</definedName>
    <definedName name="catfd_1_OHB_1">Categorienormen!$C$15</definedName>
    <definedName name="catfd_1_OHV_51">Categorienormen!$C$16</definedName>
    <definedName name="catfd_1_OZB_1">Categorienormen!$C$17</definedName>
    <definedName name="catfd_1_OZV_40">Categorienormen!$C$18</definedName>
    <definedName name="catfd_1_OZV_51">Categorienormen!$C$19</definedName>
    <definedName name="catfd_1_PHB_1">Categorienormen!$C$72</definedName>
    <definedName name="catfd_1_PHV_51">Categorienormen!$C$73</definedName>
    <definedName name="catfd_1_RHB_1">Categorienormen!$C$74</definedName>
    <definedName name="catfd_1_RHV_51">Categorienormen!$C$75</definedName>
    <definedName name="catfd_1_SHB_1">Categorienormen!$C$39</definedName>
    <definedName name="catfd_1_SHV_14">Categorienormen!$C$40</definedName>
    <definedName name="catfd_1_SHV_17">Categorienormen!$C$41</definedName>
    <definedName name="catfd_1_SHV_18">Categorienormen!$C$42</definedName>
    <definedName name="catfd_1_SHV_19">Categorienormen!$C$43</definedName>
    <definedName name="catfd_1_SHV_35">Categorienormen!$C$44</definedName>
    <definedName name="catfd_1_SHV_38">Categorienormen!$C$45</definedName>
    <definedName name="catfd_1_SHV_40">Categorienormen!$C$46</definedName>
    <definedName name="catfd_1_SHV_45">Categorienormen!$C$47</definedName>
    <definedName name="catfd_1_SHV_51">Categorienormen!$C$48</definedName>
    <definedName name="catfd_1_SHV_65">Categorienormen!$C$49</definedName>
    <definedName name="catfd_1_SHV_85">Categorienormen!$C$50</definedName>
    <definedName name="catfd_1_THB_1">Categorienormen!$C$76</definedName>
    <definedName name="catfd_1_THV_40">Categorienormen!$C$77</definedName>
    <definedName name="catfd_1_THV_51">Categorienormen!$C$78</definedName>
    <definedName name="catfd_1_TZB_1">Categorienormen!$C$79</definedName>
    <definedName name="catfd_1_TZV_51">Categorienormen!$C$80</definedName>
    <definedName name="catfd_1_VHB_1">Categorienormen!$C$81</definedName>
    <definedName name="catfd_1_VHV_17">Categorienormen!$C$82</definedName>
    <definedName name="catfd_1_VHV_40">Categorienormen!$C$83</definedName>
    <definedName name="catfd_1_VHV_45">Categorienormen!$C$84</definedName>
    <definedName name="catfd_1_VHV_51">Categorienormen!$C$85</definedName>
    <definedName name="catfd_1_VHV_85">Categorienormen!$C$86</definedName>
    <definedName name="catfd_1_VZB_1">Categorienormen!$C$87</definedName>
    <definedName name="catfd_1_VZV_40">Categorienormen!$C$88</definedName>
    <definedName name="catfd_1_VZV_45">Categorienormen!$C$89</definedName>
    <definedName name="catfd_1_VZV_51">Categorienormen!$C$90</definedName>
    <definedName name="catfd_1_WHB_1">Categorienormen!$C$20</definedName>
    <definedName name="catfd_1_WHV_14">Categorienormen!$C$21</definedName>
    <definedName name="catfd_1_WHV_19">Categorienormen!$C$22</definedName>
    <definedName name="catfd_1_WHV_51">Categorienormen!$C$23</definedName>
    <definedName name="catfd_1_WZB_1">Categorienormen!$C$24</definedName>
    <definedName name="catfd_1_WZV_51">Categorienormen!$C$25</definedName>
    <definedName name="catfd_1_XMBB_1">Categorienormen!$C$91</definedName>
    <definedName name="catfd_1_XSPB_1">Categorienormen!$C$92</definedName>
    <definedName name="catfd_3_VBZB_1">Categorienormen!$C$95</definedName>
    <definedName name="catfd_3_VBZV_12">Categorienormen!$C$96</definedName>
    <definedName name="catfd_3_VDHB_1">Categorienormen!$C$99</definedName>
    <definedName name="catfd_3_VDHV_12">Categorienormen!$C$100</definedName>
    <definedName name="catfd_3_VEHB_1">Categorienormen!$C$103</definedName>
    <definedName name="catfd_3_VEHV_12">Categorienormen!$C$104</definedName>
    <definedName name="catfd_3_VOZB_1">Categorienormen!$C$97</definedName>
    <definedName name="catfd_3_VOZV_12">Categorienormen!$C$98</definedName>
    <definedName name="catfd_3_VSHB_1">Categorienormen!$C$101</definedName>
    <definedName name="catfd_3_VSHV_12">Categorienormen!$C$102</definedName>
    <definedName name="catfd_3_VTHB_1">Categorienormen!$C$105</definedName>
    <definedName name="catfd_3_VTHV_12">Categorienormen!$C$106</definedName>
    <definedName name="catfd_3_VVHB_1">Categorienormen!$C$107</definedName>
    <definedName name="catfd_3_VVHV_12">Categorienormen!$C$108</definedName>
    <definedName name="catfd_3_VVZB_1">Categorienormen!$C$109</definedName>
    <definedName name="catfd_3_VVZV_12">Categorienormen!$C$110</definedName>
    <definedName name="catfd_4_WDHB_1">Categorienormen!$C$114</definedName>
    <definedName name="catfd_4_WEHB_1">Categorienormen!$C$116</definedName>
    <definedName name="catfd_4_WOZB_1">Categorienormen!$C$113</definedName>
    <definedName name="catfd_4_WSHB_1">Categorienormen!$C$115</definedName>
    <definedName name="catfd_4_WVHB_1">Categorienormen!$C$117</definedName>
    <definedName name="catfd_4_WVZB_1">Categorienormen!$C$118</definedName>
    <definedName name="catpn_1_AHB_1">Categorienormen!$E$54</definedName>
    <definedName name="catpn_1_AHV_12">Categorienormen!$E$55</definedName>
    <definedName name="catpn_1_AHV_14">Categorienormen!$E$56</definedName>
    <definedName name="catpn_1_AHV_19">Categorienormen!$E$57</definedName>
    <definedName name="catpn_1_AHV_51">Categorienormen!$E$58</definedName>
    <definedName name="catpn_1_AZB_1">Categorienormen!$E$59</definedName>
    <definedName name="catpn_1_AZV_12">Categorienormen!$E$60</definedName>
    <definedName name="catpn_1_BHB_1">Categorienormen!$E$6</definedName>
    <definedName name="catpn_1_BHV_12">Categorienormen!$E$7</definedName>
    <definedName name="catpn_1_BHV_14">Categorienormen!$E$8</definedName>
    <definedName name="catpn_1_BHV_19">Categorienormen!$E$9</definedName>
    <definedName name="catpn_1_BHV_40">Categorienormen!$E$10</definedName>
    <definedName name="catpn_1_BHV_51">Categorienormen!$E$11</definedName>
    <definedName name="catpn_1_BZB_1">Categorienormen!$E$12</definedName>
    <definedName name="catpn_1_BZV_40">Categorienormen!$E$13</definedName>
    <definedName name="catpn_1_BZV_51">Categorienormen!$E$14</definedName>
    <definedName name="catpn_1_DHB_1">Categorienormen!$E$28</definedName>
    <definedName name="catpn_1_DHV_14">Categorienormen!$E$29</definedName>
    <definedName name="catpn_1_DHV_18">Categorienormen!$E$30</definedName>
    <definedName name="catpn_1_DHV_19">Categorienormen!$E$31</definedName>
    <definedName name="catpn_1_DHV_35">Categorienormen!$E$32</definedName>
    <definedName name="catpn_1_DHV_40">Categorienormen!$E$33</definedName>
    <definedName name="catpn_1_DHV_45">Categorienormen!$E$34</definedName>
    <definedName name="catpn_1_DHV_51">Categorienormen!$E$35</definedName>
    <definedName name="catpn_1_DHV_65">Categorienormen!$E$36</definedName>
    <definedName name="catpn_1_EHB_1">Categorienormen!$E$61</definedName>
    <definedName name="catpn_1_EHV_40">Categorienormen!$E$62</definedName>
    <definedName name="catpn_1_EHV_45">Categorienormen!$E$63</definedName>
    <definedName name="catpn_1_EHV_51">Categorienormen!$E$64</definedName>
    <definedName name="catpn_1_EZB_1">Categorienormen!$E$65</definedName>
    <definedName name="catpn_1_EZV_51">Categorienormen!$E$66</definedName>
    <definedName name="catpn_1_FHB_1">Categorienormen!$E$67</definedName>
    <definedName name="catpn_1_FHV_12">Categorienormen!$E$68</definedName>
    <definedName name="catpn_1_GHB_1">Categorienormen!$E$51</definedName>
    <definedName name="catpn_1_GHV_45">Categorienormen!$E$52</definedName>
    <definedName name="catpn_1_GHV_51">Categorienormen!$E$53</definedName>
    <definedName name="catpn_1_IHB_1">Categorienormen!$E$69</definedName>
    <definedName name="catpn_1_IHV_45">Categorienormen!$E$70</definedName>
    <definedName name="catpn_1_IHV_51">Categorienormen!$E$71</definedName>
    <definedName name="catpn_1_KHB_1">Categorienormen!$E$37</definedName>
    <definedName name="catpn_1_KHV_51">Categorienormen!$E$38</definedName>
    <definedName name="catpn_1_LHB_1">Categorienormen!$E$26</definedName>
    <definedName name="catpn_1_LHV_51">Categorienormen!$E$27</definedName>
    <definedName name="catpn_1_OHB_1">Categorienormen!$E$15</definedName>
    <definedName name="catpn_1_OHV_51">Categorienormen!$E$16</definedName>
    <definedName name="catpn_1_OZB_1">Categorienormen!$E$17</definedName>
    <definedName name="catpn_1_OZV_40">Categorienormen!$E$18</definedName>
    <definedName name="catpn_1_OZV_51">Categorienormen!$E$19</definedName>
    <definedName name="catpn_1_PHB_1">Categorienormen!$E$72</definedName>
    <definedName name="catpn_1_PHV_51">Categorienormen!$E$73</definedName>
    <definedName name="catpn_1_RHB_1">Categorienormen!$E$74</definedName>
    <definedName name="catpn_1_RHV_51">Categorienormen!$E$75</definedName>
    <definedName name="catpn_1_SHB_1">Categorienormen!$E$39</definedName>
    <definedName name="catpn_1_SHV_14">Categorienormen!$E$40</definedName>
    <definedName name="catpn_1_SHV_17">Categorienormen!$E$41</definedName>
    <definedName name="catpn_1_SHV_18">Categorienormen!$E$42</definedName>
    <definedName name="catpn_1_SHV_19">Categorienormen!$E$43</definedName>
    <definedName name="catpn_1_SHV_35">Categorienormen!$E$44</definedName>
    <definedName name="catpn_1_SHV_38">Categorienormen!$E$45</definedName>
    <definedName name="catpn_1_SHV_40">Categorienormen!$E$46</definedName>
    <definedName name="catpn_1_SHV_45">Categorienormen!$E$47</definedName>
    <definedName name="catpn_1_SHV_51">Categorienormen!$E$48</definedName>
    <definedName name="catpn_1_SHV_65">Categorienormen!$E$49</definedName>
    <definedName name="catpn_1_SHV_85">Categorienormen!$E$50</definedName>
    <definedName name="catpn_1_THB_1">Categorienormen!$E$76</definedName>
    <definedName name="catpn_1_THV_40">Categorienormen!$E$77</definedName>
    <definedName name="catpn_1_THV_51">Categorienormen!$E$78</definedName>
    <definedName name="catpn_1_TZB_1">Categorienormen!$E$79</definedName>
    <definedName name="catpn_1_TZV_51">Categorienormen!$E$80</definedName>
    <definedName name="catpn_1_VHB_1">Categorienormen!$E$81</definedName>
    <definedName name="catpn_1_VHV_17">Categorienormen!$E$82</definedName>
    <definedName name="catpn_1_VHV_40">Categorienormen!$E$83</definedName>
    <definedName name="catpn_1_VHV_45">Categorienormen!$E$84</definedName>
    <definedName name="catpn_1_VHV_51">Categorienormen!$E$85</definedName>
    <definedName name="catpn_1_VHV_85">Categorienormen!$E$86</definedName>
    <definedName name="catpn_1_VZB_1">Categorienormen!$E$87</definedName>
    <definedName name="catpn_1_VZV_40">Categorienormen!$E$88</definedName>
    <definedName name="catpn_1_VZV_45">Categorienormen!$E$89</definedName>
    <definedName name="catpn_1_VZV_51">Categorienormen!$E$90</definedName>
    <definedName name="catpn_1_WHB_1">Categorienormen!$E$20</definedName>
    <definedName name="catpn_1_WHV_14">Categorienormen!$E$21</definedName>
    <definedName name="catpn_1_WHV_19">Categorienormen!$E$22</definedName>
    <definedName name="catpn_1_WHV_51">Categorienormen!$E$23</definedName>
    <definedName name="catpn_1_WZB_1">Categorienormen!$E$24</definedName>
    <definedName name="catpn_1_WZV_51">Categorienormen!$E$25</definedName>
    <definedName name="catpn_1_XMBB_1">Categorienormen!$E$91</definedName>
    <definedName name="catpn_1_XSPB_1">Categorienormen!$E$92</definedName>
    <definedName name="catpn_3_VBZB_1">Categorienormen!$E$95</definedName>
    <definedName name="catpn_3_VBZV_12">Categorienormen!$E$96</definedName>
    <definedName name="catpn_3_VDHB_1">Categorienormen!$E$99</definedName>
    <definedName name="catpn_3_VDHV_12">Categorienormen!$E$100</definedName>
    <definedName name="catpn_3_VEHB_1">Categorienormen!$E$103</definedName>
    <definedName name="catpn_3_VEHV_12">Categorienormen!$E$104</definedName>
    <definedName name="catpn_3_VOZB_1">Categorienormen!$E$97</definedName>
    <definedName name="catpn_3_VOZV_12">Categorienormen!$E$98</definedName>
    <definedName name="catpn_3_VSHB_1">Categorienormen!$E$101</definedName>
    <definedName name="catpn_3_VSHV_12">Categorienormen!$E$102</definedName>
    <definedName name="catpn_3_VTHB_1">Categorienormen!$E$105</definedName>
    <definedName name="catpn_3_VTHV_12">Categorienormen!$E$106</definedName>
    <definedName name="catpn_3_VVHB_1">Categorienormen!$E$107</definedName>
    <definedName name="catpn_3_VVHV_12">Categorienormen!$E$108</definedName>
    <definedName name="catpn_3_VVZB_1">Categorienormen!$E$109</definedName>
    <definedName name="catpn_3_VVZV_12">Categorienormen!$E$110</definedName>
    <definedName name="catpn_4_WDHB_1">Categorienormen!$E$114</definedName>
    <definedName name="catpn_4_WEHB_1">Categorienormen!$E$116</definedName>
    <definedName name="catpn_4_WOZB_1">Categorienormen!$E$113</definedName>
    <definedName name="catpn_4_WSHB_1">Categorienormen!$E$115</definedName>
    <definedName name="catpn_4_WVHB_1">Categorienormen!$E$117</definedName>
    <definedName name="catpn_4_WVZB_1">Categorienormen!$E$118</definedName>
    <definedName name="cattf_1_AHB_1">Categorienormen!$H$54</definedName>
    <definedName name="cattf_1_AHV_12">Categorienormen!$H$55</definedName>
    <definedName name="cattf_1_AHV_14">Categorienormen!$H$56</definedName>
    <definedName name="cattf_1_AHV_19">Categorienormen!$H$57</definedName>
    <definedName name="cattf_1_AHV_51">Categorienormen!$H$58</definedName>
    <definedName name="cattf_1_AZB_1">Categorienormen!$H$59</definedName>
    <definedName name="cattf_1_AZV_12">Categorienormen!$H$60</definedName>
    <definedName name="cattf_1_BHB_1">Categorienormen!$H$6</definedName>
    <definedName name="cattf_1_BHV_12">Categorienormen!$H$7</definedName>
    <definedName name="cattf_1_BHV_14">Categorienormen!$H$8</definedName>
    <definedName name="cattf_1_BHV_19">Categorienormen!$H$9</definedName>
    <definedName name="cattf_1_BHV_40">Categorienormen!$H$10</definedName>
    <definedName name="cattf_1_BHV_51">Categorienormen!$H$11</definedName>
    <definedName name="cattf_1_BZB_1">Categorienormen!$H$12</definedName>
    <definedName name="cattf_1_BZV_40">Categorienormen!$H$13</definedName>
    <definedName name="cattf_1_BZV_51">Categorienormen!$H$14</definedName>
    <definedName name="cattf_1_DHB_1">Categorienormen!$H$28</definedName>
    <definedName name="cattf_1_DHV_14">Categorienormen!$H$29</definedName>
    <definedName name="cattf_1_DHV_18">Categorienormen!$H$30</definedName>
    <definedName name="cattf_1_DHV_19">Categorienormen!$H$31</definedName>
    <definedName name="cattf_1_DHV_35">Categorienormen!$H$32</definedName>
    <definedName name="cattf_1_DHV_40">Categorienormen!$H$33</definedName>
    <definedName name="cattf_1_DHV_45">Categorienormen!$H$34</definedName>
    <definedName name="cattf_1_DHV_51">Categorienormen!$H$35</definedName>
    <definedName name="cattf_1_DHV_65">Categorienormen!$H$36</definedName>
    <definedName name="cattf_1_EHB_1">Categorienormen!$H$61</definedName>
    <definedName name="cattf_1_EHV_40">Categorienormen!$H$62</definedName>
    <definedName name="cattf_1_EHV_45">Categorienormen!$H$63</definedName>
    <definedName name="cattf_1_EHV_51">Categorienormen!$H$64</definedName>
    <definedName name="cattf_1_EZB_1">Categorienormen!$H$65</definedName>
    <definedName name="cattf_1_EZV_51">Categorienormen!$H$66</definedName>
    <definedName name="cattf_1_FHB_1">Categorienormen!$H$67</definedName>
    <definedName name="cattf_1_FHV_12">Categorienormen!$H$68</definedName>
    <definedName name="cattf_1_GHB_1">Categorienormen!$H$51</definedName>
    <definedName name="cattf_1_GHV_45">Categorienormen!$H$52</definedName>
    <definedName name="cattf_1_GHV_51">Categorienormen!$H$53</definedName>
    <definedName name="cattf_1_IHB_1">Categorienormen!$H$69</definedName>
    <definedName name="cattf_1_IHV_45">Categorienormen!$H$70</definedName>
    <definedName name="cattf_1_IHV_51">Categorienormen!$H$71</definedName>
    <definedName name="cattf_1_KHB_1">Categorienormen!$H$37</definedName>
    <definedName name="cattf_1_KHV_51">Categorienormen!$H$38</definedName>
    <definedName name="cattf_1_LHB_1">Categorienormen!$H$26</definedName>
    <definedName name="cattf_1_LHV_51">Categorienormen!$H$27</definedName>
    <definedName name="cattf_1_OHB_1">Categorienormen!$H$15</definedName>
    <definedName name="cattf_1_OHV_51">Categorienormen!$H$16</definedName>
    <definedName name="cattf_1_OZB_1">Categorienormen!$H$17</definedName>
    <definedName name="cattf_1_OZV_40">Categorienormen!$H$18</definedName>
    <definedName name="cattf_1_OZV_51">Categorienormen!$H$19</definedName>
    <definedName name="cattf_1_PHB_1">Categorienormen!$H$72</definedName>
    <definedName name="cattf_1_PHV_51">Categorienormen!$H$73</definedName>
    <definedName name="cattf_1_RHB_1">Categorienormen!$H$74</definedName>
    <definedName name="cattf_1_RHV_51">Categorienormen!$H$75</definedName>
    <definedName name="cattf_1_SHB_1">Categorienormen!$H$39</definedName>
    <definedName name="cattf_1_SHV_14">Categorienormen!$H$40</definedName>
    <definedName name="cattf_1_SHV_17">Categorienormen!$H$41</definedName>
    <definedName name="cattf_1_SHV_18">Categorienormen!$H$42</definedName>
    <definedName name="cattf_1_SHV_19">Categorienormen!$H$43</definedName>
    <definedName name="cattf_1_SHV_35">Categorienormen!$H$44</definedName>
    <definedName name="cattf_1_SHV_38">Categorienormen!$H$45</definedName>
    <definedName name="cattf_1_SHV_40">Categorienormen!$H$46</definedName>
    <definedName name="cattf_1_SHV_45">Categorienormen!$H$47</definedName>
    <definedName name="cattf_1_SHV_51">Categorienormen!$H$48</definedName>
    <definedName name="cattf_1_SHV_65">Categorienormen!$H$49</definedName>
    <definedName name="cattf_1_SHV_85">Categorienormen!$H$50</definedName>
    <definedName name="cattf_1_THB_1">Categorienormen!$H$76</definedName>
    <definedName name="cattf_1_THV_40">Categorienormen!$H$77</definedName>
    <definedName name="cattf_1_THV_51">Categorienormen!$H$78</definedName>
    <definedName name="cattf_1_TZB_1">Categorienormen!$H$79</definedName>
    <definedName name="cattf_1_TZV_51">Categorienormen!$H$80</definedName>
    <definedName name="cattf_1_VHB_1">Categorienormen!$H$81</definedName>
    <definedName name="cattf_1_VHV_17">Categorienormen!$H$82</definedName>
    <definedName name="cattf_1_VHV_40">Categorienormen!$H$83</definedName>
    <definedName name="cattf_1_VHV_45">Categorienormen!$H$84</definedName>
    <definedName name="cattf_1_VHV_51">Categorienormen!$H$85</definedName>
    <definedName name="cattf_1_VHV_85">Categorienormen!$H$86</definedName>
    <definedName name="cattf_1_VZB_1">Categorienormen!$H$87</definedName>
    <definedName name="cattf_1_VZV_40">Categorienormen!$H$88</definedName>
    <definedName name="cattf_1_VZV_45">Categorienormen!$H$89</definedName>
    <definedName name="cattf_1_VZV_51">Categorienormen!$H$90</definedName>
    <definedName name="cattf_1_WHB_1">Categorienormen!$H$20</definedName>
    <definedName name="cattf_1_WHV_14">Categorienormen!$H$21</definedName>
    <definedName name="cattf_1_WHV_19">Categorienormen!$H$22</definedName>
    <definedName name="cattf_1_WHV_51">Categorienormen!$H$23</definedName>
    <definedName name="cattf_1_WZB_1">Categorienormen!$H$24</definedName>
    <definedName name="cattf_1_WZV_51">Categorienormen!$H$25</definedName>
    <definedName name="cattf_1_XMBB_1">Categorienormen!$H$91</definedName>
    <definedName name="cattf_1_XSPB_1">Categorienormen!$H$92</definedName>
    <definedName name="cattf_3_VBZB_1">Categorienormen!$H$95</definedName>
    <definedName name="cattf_3_VBZV_12">Categorienormen!$H$96</definedName>
    <definedName name="cattf_3_VDHB_1">Categorienormen!$H$99</definedName>
    <definedName name="cattf_3_VDHV_12">Categorienormen!$H$100</definedName>
    <definedName name="cattf_3_VEHB_1">Categorienormen!$H$103</definedName>
    <definedName name="cattf_3_VEHV_12">Categorienormen!$H$104</definedName>
    <definedName name="cattf_3_VOZB_1">Categorienormen!$H$97</definedName>
    <definedName name="cattf_3_VOZV_12">Categorienormen!$H$98</definedName>
    <definedName name="cattf_3_VSHB_1">Categorienormen!$H$101</definedName>
    <definedName name="cattf_3_VSHV_12">Categorienormen!$H$102</definedName>
    <definedName name="cattf_3_VTHB_1">Categorienormen!$H$105</definedName>
    <definedName name="cattf_3_VTHV_12">Categorienormen!$H$106</definedName>
    <definedName name="cattf_3_VVHB_1">Categorienormen!$H$107</definedName>
    <definedName name="cattf_3_VVHV_12">Categorienormen!$H$108</definedName>
    <definedName name="cattf_3_VVZB_1">Categorienormen!$H$109</definedName>
    <definedName name="cattf_3_VVZV_12">Categorienormen!$H$110</definedName>
    <definedName name="cattf_4_WDHB_1">Categorienormen!$H$114</definedName>
    <definedName name="cattf_4_WEHB_1">Categorienormen!$H$116</definedName>
    <definedName name="cattf_4_WOZB_1">Categorienormen!$H$113</definedName>
    <definedName name="cattf_4_WSHB_1">Categorienormen!$H$115</definedName>
    <definedName name="cattf_4_WVHB_1">Categorienormen!$H$117</definedName>
    <definedName name="cattf_4_WVZB_1">Categorienormen!$H$118</definedName>
    <definedName name="dagenperjaar1">Omreken!$B$9</definedName>
    <definedName name="dagenperweek1">Omreken!$B$10</definedName>
    <definedName name="dagsoorttabel1">Omreken!$A$13:$B$44</definedName>
    <definedName name="dagwerk100">'Regulier werk'!$H$83</definedName>
    <definedName name="dagwerk101">'Regulier werk'!$H$84</definedName>
    <definedName name="dagwerk102">'Regulier werk'!$H$85</definedName>
    <definedName name="dagwerk103">'Regulier werk'!$H$86</definedName>
    <definedName name="dagwerk104">'Regulier werk'!$H$87</definedName>
    <definedName name="dagwerk105">'Regulier werk'!$H$88</definedName>
    <definedName name="dagwerk106">'Regulier werk'!$H$89</definedName>
    <definedName name="dagwerk107">'Regulier werk'!$H$90</definedName>
    <definedName name="dagwerk108">'Regulier werk'!$H$91</definedName>
    <definedName name="dagwerk109">'Regulier werk'!$H$92</definedName>
    <definedName name="dagwerk110">'Regulier werk'!$H$93</definedName>
    <definedName name="dagwerk111">'Regulier werk'!$H$94</definedName>
    <definedName name="dagwerk112">'Regulier werk'!$H$95</definedName>
    <definedName name="dagwerk113">'Regulier werk'!$H$96</definedName>
    <definedName name="dagwerk114">'Regulier werk'!$H$97</definedName>
    <definedName name="dagwerk115">'Regulier werk'!$H$98</definedName>
    <definedName name="dagwerk116">'Regulier werk'!$H$99</definedName>
    <definedName name="dagwerk117">'Regulier werk'!$H$100</definedName>
    <definedName name="dagwerk118">'Regulier werk'!$H$101</definedName>
    <definedName name="dagwerk119">'Regulier werk'!$H$102</definedName>
    <definedName name="dagwerk120">'Regulier werk'!$H$103</definedName>
    <definedName name="dagwerk121">'Regulier werk'!$H$104</definedName>
    <definedName name="dagwerk122">'Regulier werk'!$H$105</definedName>
    <definedName name="dagwerk123">'Regulier werk'!$H$106</definedName>
    <definedName name="dagwerk125">'Regulier werk'!$H$119</definedName>
    <definedName name="dagwerk126">'Regulier werk'!$H$120</definedName>
    <definedName name="dagwerk127">'Regulier werk'!$H$121</definedName>
    <definedName name="dagwerk128">'Regulier werk'!$H$122</definedName>
    <definedName name="dagwerk129">'Regulier werk'!$H$123</definedName>
    <definedName name="dagwerk130">'Regulier werk'!$H$124</definedName>
    <definedName name="dagwerk131">'Regulier werk'!$H$125</definedName>
    <definedName name="dagwerk132">'Regulier werk'!$H$126</definedName>
    <definedName name="dagwerk135">'Regulier werk'!$H$133</definedName>
    <definedName name="dagwerk136">'Regulier werk'!$H$134</definedName>
    <definedName name="dagwerk137">'Regulier werk'!$H$135</definedName>
    <definedName name="dagwerk138">'Regulier werk'!$H$136</definedName>
    <definedName name="dagwerk139">'Regulier werk'!$H$137</definedName>
    <definedName name="dagwerk140">'Regulier werk'!$H$138</definedName>
    <definedName name="dagwerk141">'Regulier werk'!$H$139</definedName>
    <definedName name="dagwerk142">'Regulier werk'!$H$140</definedName>
    <definedName name="dagwerk143">'Regulier werk'!$H$141</definedName>
    <definedName name="dagwerk144">'Regulier werk'!$H$142</definedName>
    <definedName name="dagwerk17">'Regulier werk'!$H$107</definedName>
    <definedName name="dagwerk18">'Regulier werk'!$H$108</definedName>
    <definedName name="dagwerk19">'Regulier werk'!$H$109</definedName>
    <definedName name="dagwerk20">'Regulier werk'!$H$110</definedName>
    <definedName name="dagwerk21">'Regulier werk'!$H$111</definedName>
    <definedName name="dagwerk22">'Regulier werk'!$H$112</definedName>
    <definedName name="dagwerk23">'Regulier werk'!$H$6</definedName>
    <definedName name="dagwerk24">'Regulier werk'!$H$7</definedName>
    <definedName name="dagwerk25">'Regulier werk'!$H$8</definedName>
    <definedName name="dagwerk26">'Regulier werk'!$H$9</definedName>
    <definedName name="dagwerk27">'Regulier werk'!$H$10</definedName>
    <definedName name="dagwerk28">'Regulier werk'!$H$11</definedName>
    <definedName name="dagwerk29">'Regulier werk'!$H$12</definedName>
    <definedName name="dagwerk30">'Regulier werk'!$H$13</definedName>
    <definedName name="dagwerk31">'Regulier werk'!$H$14</definedName>
    <definedName name="dagwerk32">'Regulier werk'!$H$15</definedName>
    <definedName name="dagwerk33">'Regulier werk'!$H$16</definedName>
    <definedName name="dagwerk34">'Regulier werk'!$H$17</definedName>
    <definedName name="dagwerk35">'Regulier werk'!$H$18</definedName>
    <definedName name="dagwerk36">'Regulier werk'!$H$19</definedName>
    <definedName name="dagwerk37">'Regulier werk'!$H$20</definedName>
    <definedName name="dagwerk38">'Regulier werk'!$H$21</definedName>
    <definedName name="dagwerk39">'Regulier werk'!$H$22</definedName>
    <definedName name="dagwerk40">'Regulier werk'!$H$23</definedName>
    <definedName name="dagwerk41">'Regulier werk'!$H$24</definedName>
    <definedName name="dagwerk42">'Regulier werk'!$H$25</definedName>
    <definedName name="dagwerk43">'Regulier werk'!$H$26</definedName>
    <definedName name="dagwerk44">'Regulier werk'!$H$27</definedName>
    <definedName name="dagwerk45">'Regulier werk'!$H$28</definedName>
    <definedName name="dagwerk46">'Regulier werk'!$H$29</definedName>
    <definedName name="dagwerk47">'Regulier werk'!$H$30</definedName>
    <definedName name="dagwerk48">'Regulier werk'!$H$31</definedName>
    <definedName name="dagwerk49">'Regulier werk'!$H$32</definedName>
    <definedName name="dagwerk50">'Regulier werk'!$H$33</definedName>
    <definedName name="dagwerk51">'Regulier werk'!$H$34</definedName>
    <definedName name="dagwerk52">'Regulier werk'!$H$35</definedName>
    <definedName name="dagwerk53">'Regulier werk'!$H$36</definedName>
    <definedName name="dagwerk54">'Regulier werk'!$H$37</definedName>
    <definedName name="dagwerk55">'Regulier werk'!$H$38</definedName>
    <definedName name="dagwerk56">'Regulier werk'!$H$39</definedName>
    <definedName name="dagwerk57">'Regulier werk'!$H$40</definedName>
    <definedName name="dagwerk58">'Regulier werk'!$H$41</definedName>
    <definedName name="dagwerk59">'Regulier werk'!$H$42</definedName>
    <definedName name="dagwerk60">'Regulier werk'!$H$43</definedName>
    <definedName name="dagwerk61">'Regulier werk'!$H$44</definedName>
    <definedName name="dagwerk62">'Regulier werk'!$H$45</definedName>
    <definedName name="dagwerk63">'Regulier werk'!$H$46</definedName>
    <definedName name="dagwerk64">'Regulier werk'!$H$47</definedName>
    <definedName name="dagwerk65">'Regulier werk'!$H$48</definedName>
    <definedName name="dagwerk66">'Regulier werk'!$H$49</definedName>
    <definedName name="dagwerk67">'Regulier werk'!$H$50</definedName>
    <definedName name="dagwerk68">'Regulier werk'!$H$51</definedName>
    <definedName name="dagwerk69">'Regulier werk'!$H$52</definedName>
    <definedName name="dagwerk70">'Regulier werk'!$H$53</definedName>
    <definedName name="dagwerk71">'Regulier werk'!$H$54</definedName>
    <definedName name="dagwerk72">'Regulier werk'!$H$55</definedName>
    <definedName name="dagwerk73">'Regulier werk'!$H$56</definedName>
    <definedName name="dagwerk74">'Regulier werk'!$H$57</definedName>
    <definedName name="dagwerk75">'Regulier werk'!$H$58</definedName>
    <definedName name="dagwerk76">'Regulier werk'!$H$59</definedName>
    <definedName name="dagwerk77">'Regulier werk'!$H$60</definedName>
    <definedName name="dagwerk78">'Regulier werk'!$H$61</definedName>
    <definedName name="dagwerk79">'Regulier werk'!$H$62</definedName>
    <definedName name="dagwerk80">'Regulier werk'!$H$63</definedName>
    <definedName name="dagwerk81">'Regulier werk'!$H$64</definedName>
    <definedName name="dagwerk82">'Regulier werk'!$H$65</definedName>
    <definedName name="dagwerk83">'Regulier werk'!$H$66</definedName>
    <definedName name="dagwerk84">'Regulier werk'!$H$67</definedName>
    <definedName name="dagwerk85">'Regulier werk'!$H$68</definedName>
    <definedName name="dagwerk86">'Regulier werk'!$H$69</definedName>
    <definedName name="dagwerk87">'Regulier werk'!$H$70</definedName>
    <definedName name="dagwerk88">'Regulier werk'!$H$71</definedName>
    <definedName name="dagwerk89">'Regulier werk'!$H$72</definedName>
    <definedName name="dagwerk90">'Regulier werk'!$H$73</definedName>
    <definedName name="dagwerk91">'Regulier werk'!$H$74</definedName>
    <definedName name="dagwerk92">'Regulier werk'!$H$75</definedName>
    <definedName name="dagwerk93">'Regulier werk'!$H$76</definedName>
    <definedName name="dagwerk94">'Regulier werk'!$H$77</definedName>
    <definedName name="dagwerk95">'Regulier werk'!$H$78</definedName>
    <definedName name="dagwerk96">'Regulier werk'!$H$79</definedName>
    <definedName name="dagwerk97">'Regulier werk'!$H$80</definedName>
    <definedName name="dagwerk98">'Regulier werk'!$H$81</definedName>
    <definedName name="dagwerk99">'Regulier werk'!$H$82</definedName>
    <definedName name="dagwerktabel1">Objectinformatie!$H$5:$H$111</definedName>
    <definedName name="dagwerktabel3">Objectinformatie!$H$114:$H$121</definedName>
    <definedName name="dagwerktabel4">Objectinformatie!$H$124:$H$133</definedName>
    <definedName name="gemuurtarief1">'Regulier werk'!$J$115</definedName>
    <definedName name="gemuurtarief3">'Regulier werk'!$J$129</definedName>
    <definedName name="gemuurtarief4">'Regulier werk'!$J$145</definedName>
    <definedName name="kengetaltabel1">Objectinformatie!$G$5:$G$111</definedName>
    <definedName name="kengetaltabel3">Objectinformatie!$G$114:$G$121</definedName>
    <definedName name="kengetaltabel4">Objectinformatie!$G$124:$G$133</definedName>
    <definedName name="object1_gemuurtarief1">'Ruimten werkdag'!$P$233</definedName>
    <definedName name="object1_opptabel1">Objectinformatie!$J$5:$J$111</definedName>
    <definedName name="object1_opptabel3">Objectinformatie!$J$114:$J$121</definedName>
    <definedName name="object1_opptabel4">Objectinformatie!$J$124:$J$133</definedName>
    <definedName name="object1_prijsdag1">'Ruimten werkdag'!$S$233</definedName>
    <definedName name="object1_prijsjaar1">'Ruimten werkdag'!$U$233</definedName>
    <definedName name="object1_urendag1">'Ruimten werkdag'!$Q$233</definedName>
    <definedName name="object1_urendaghf1">'Ruimten werkdag'!$R$233</definedName>
    <definedName name="object1_urenjaar1">'Ruimten werkdag'!$T$233</definedName>
    <definedName name="object10_gemuurtarief1">'Ruimten werkdag'!$P$531</definedName>
    <definedName name="object10_opptabel1">Objectinformatie!$S$5:$S$111</definedName>
    <definedName name="object10_opptabel3">Objectinformatie!$S$114:$S$121</definedName>
    <definedName name="object10_opptabel4">Objectinformatie!$S$124:$S$133</definedName>
    <definedName name="object10_prijsdag1">'Ruimten werkdag'!$S$531</definedName>
    <definedName name="object10_prijsjaar1">'Ruimten werkdag'!$U$531</definedName>
    <definedName name="object10_urendag1">'Ruimten werkdag'!$Q$531</definedName>
    <definedName name="object10_urendaghf1">'Ruimten werkdag'!$R$531</definedName>
    <definedName name="object10_urenjaar1">'Ruimten werkdag'!$T$531</definedName>
    <definedName name="object11_opptabel1">Objectinformatie!$T$5:$T$111</definedName>
    <definedName name="object11_opptabel3">Objectinformatie!$T$114:$T$121</definedName>
    <definedName name="object11_opptabel4">Objectinformatie!$T$124:$T$133</definedName>
    <definedName name="object12_opptabel1">Objectinformatie!$U$5:$U$111</definedName>
    <definedName name="object12_opptabel3">Objectinformatie!$U$114:$U$121</definedName>
    <definedName name="object12_opptabel4">Objectinformatie!$U$124:$U$133</definedName>
    <definedName name="object13_gemuurtarief1">'Ruimten werkdag'!$P$543</definedName>
    <definedName name="object13_opptabel1">Objectinformatie!$V$5:$V$111</definedName>
    <definedName name="object13_opptabel3">Objectinformatie!$V$114:$V$121</definedName>
    <definedName name="object13_opptabel4">Objectinformatie!$V$124:$V$133</definedName>
    <definedName name="object13_prijsdag1">'Ruimten werkdag'!$S$543</definedName>
    <definedName name="object13_prijsjaar1">'Ruimten werkdag'!$U$543</definedName>
    <definedName name="object13_urendag1">'Ruimten werkdag'!$Q$543</definedName>
    <definedName name="object13_urendaghf1">'Ruimten werkdag'!$R$543</definedName>
    <definedName name="object13_urenjaar1">'Ruimten werkdag'!$T$543</definedName>
    <definedName name="object14_gemuurtarief1">'Ruimten werkdag'!$P$556</definedName>
    <definedName name="object14_opptabel1">Objectinformatie!$W$5:$W$111</definedName>
    <definedName name="object14_opptabel3">Objectinformatie!$W$114:$W$121</definedName>
    <definedName name="object14_opptabel4">Objectinformatie!$W$124:$W$133</definedName>
    <definedName name="object14_prijsdag1">'Ruimten werkdag'!$S$556</definedName>
    <definedName name="object14_prijsjaar1">'Ruimten werkdag'!$U$556</definedName>
    <definedName name="object14_urendag1">'Ruimten werkdag'!$Q$556</definedName>
    <definedName name="object14_urendaghf1">'Ruimten werkdag'!$R$556</definedName>
    <definedName name="object14_urenjaar1">'Ruimten werkdag'!$T$556</definedName>
    <definedName name="object15_gemuurtarief1">'Ruimten werkdag'!$P$566</definedName>
    <definedName name="object15_opptabel1">Objectinformatie!$X$5:$X$111</definedName>
    <definedName name="object15_opptabel3">Objectinformatie!$X$114:$X$121</definedName>
    <definedName name="object15_opptabel4">Objectinformatie!$X$124:$X$133</definedName>
    <definedName name="object15_prijsdag1">'Ruimten werkdag'!$S$566</definedName>
    <definedName name="object15_prijsjaar1">'Ruimten werkdag'!$U$566</definedName>
    <definedName name="object15_urendag1">'Ruimten werkdag'!$Q$566</definedName>
    <definedName name="object15_urendaghf1">'Ruimten werkdag'!$R$566</definedName>
    <definedName name="object15_urenjaar1">'Ruimten werkdag'!$T$566</definedName>
    <definedName name="object16_gemuurtarief1">'Ruimten werkdag'!$P$590</definedName>
    <definedName name="object16_opptabel1">Objectinformatie!$Y$5:$Y$111</definedName>
    <definedName name="object16_opptabel3">Objectinformatie!$Y$114:$Y$121</definedName>
    <definedName name="object16_opptabel4">Objectinformatie!$Y$124:$Y$133</definedName>
    <definedName name="object16_prijsdag1">'Ruimten werkdag'!$S$590</definedName>
    <definedName name="object16_prijsjaar1">'Ruimten werkdag'!$U$590</definedName>
    <definedName name="object16_urendag1">'Ruimten werkdag'!$Q$590</definedName>
    <definedName name="object16_urendaghf1">'Ruimten werkdag'!$R$590</definedName>
    <definedName name="object16_urenjaar1">'Ruimten werkdag'!$T$590</definedName>
    <definedName name="object17_gemuurtarief1">'Ruimten werkdag'!$P$632</definedName>
    <definedName name="object17_opptabel1">Objectinformatie!$Z$5:$Z$111</definedName>
    <definedName name="object17_opptabel3">Objectinformatie!$Z$114:$Z$121</definedName>
    <definedName name="object17_opptabel4">Objectinformatie!$Z$124:$Z$133</definedName>
    <definedName name="object17_prijsdag1">'Ruimten werkdag'!$S$632</definedName>
    <definedName name="object17_prijsjaar1">'Ruimten werkdag'!$U$632</definedName>
    <definedName name="object17_urendag1">'Ruimten werkdag'!$Q$632</definedName>
    <definedName name="object17_urendaghf1">'Ruimten werkdag'!$R$632</definedName>
    <definedName name="object17_urenjaar1">'Ruimten werkdag'!$T$632</definedName>
    <definedName name="object2_gemuurtarief1">'Ruimten werkdag'!$P$281</definedName>
    <definedName name="object2_gemuurtarief4">'Ruimten weekenddag'!$P$21</definedName>
    <definedName name="object2_opptabel1">Objectinformatie!$K$5:$K$111</definedName>
    <definedName name="object2_opptabel3">Objectinformatie!$K$114:$K$121</definedName>
    <definedName name="object2_opptabel4">Objectinformatie!$K$124:$K$133</definedName>
    <definedName name="object2_prijsdag1">'Ruimten werkdag'!$S$281</definedName>
    <definedName name="object2_prijsdag4">'Ruimten weekenddag'!$S$21</definedName>
    <definedName name="object2_prijsjaar1">'Ruimten werkdag'!$U$281</definedName>
    <definedName name="object2_prijsjaar4">'Ruimten weekenddag'!$U$21</definedName>
    <definedName name="object2_urendag1">'Ruimten werkdag'!$Q$281</definedName>
    <definedName name="object2_urendag4">'Ruimten weekenddag'!$Q$21</definedName>
    <definedName name="object2_urendaghf1">'Ruimten werkdag'!$R$281</definedName>
    <definedName name="object2_urendaghf4">'Ruimten weekenddag'!$R$21</definedName>
    <definedName name="object2_urenjaar1">'Ruimten werkdag'!$T$281</definedName>
    <definedName name="object2_urenjaar4">'Ruimten weekenddag'!$T$21</definedName>
    <definedName name="object3_gemuurtarief1">'Ruimten werkdag'!$P$309</definedName>
    <definedName name="object3_opptabel1">Objectinformatie!$L$5:$L$111</definedName>
    <definedName name="object3_opptabel3">Objectinformatie!$L$114:$L$121</definedName>
    <definedName name="object3_opptabel4">Objectinformatie!$L$124:$L$133</definedName>
    <definedName name="object3_prijsdag1">'Ruimten werkdag'!$S$309</definedName>
    <definedName name="object3_prijsjaar1">'Ruimten werkdag'!$U$309</definedName>
    <definedName name="object3_urendag1">'Ruimten werkdag'!$Q$309</definedName>
    <definedName name="object3_urendaghf1">'Ruimten werkdag'!$R$309</definedName>
    <definedName name="object3_urenjaar1">'Ruimten werkdag'!$T$309</definedName>
    <definedName name="object4_gemuurtarief1">'Ruimten werkdag'!$P$317</definedName>
    <definedName name="object4_opptabel1">Objectinformatie!$M$5:$M$111</definedName>
    <definedName name="object4_opptabel3">Objectinformatie!$M$114:$M$121</definedName>
    <definedName name="object4_opptabel4">Objectinformatie!$M$124:$M$133</definedName>
    <definedName name="object4_prijsdag1">'Ruimten werkdag'!$S$317</definedName>
    <definedName name="object4_prijsjaar1">'Ruimten werkdag'!$U$317</definedName>
    <definedName name="object4_urendag1">'Ruimten werkdag'!$Q$317</definedName>
    <definedName name="object4_urendaghf1">'Ruimten werkdag'!$R$317</definedName>
    <definedName name="object4_urenjaar1">'Ruimten werkdag'!$T$317</definedName>
    <definedName name="object5_gemuurtarief1">'Ruimten werkdag'!$P$326</definedName>
    <definedName name="object5_opptabel1">Objectinformatie!$N$5:$N$111</definedName>
    <definedName name="object5_opptabel3">Objectinformatie!$N$114:$N$121</definedName>
    <definedName name="object5_opptabel4">Objectinformatie!$N$124:$N$133</definedName>
    <definedName name="object5_prijsdag1">'Ruimten werkdag'!$S$326</definedName>
    <definedName name="object5_prijsjaar1">'Ruimten werkdag'!$U$326</definedName>
    <definedName name="object5_urendag1">'Ruimten werkdag'!$Q$326</definedName>
    <definedName name="object5_urendaghf1">'Ruimten werkdag'!$R$326</definedName>
    <definedName name="object5_urenjaar1">'Ruimten werkdag'!$T$326</definedName>
    <definedName name="object6_gemuurtarief1">'Ruimten werkdag'!$P$390</definedName>
    <definedName name="object6_gemuurtarief3">'Ruimten werkdag vakantie'!$P$40</definedName>
    <definedName name="object6_gemuurtarief4">'Ruimten weekenddag'!$P$42</definedName>
    <definedName name="object6_opptabel1">Objectinformatie!$O$5:$O$111</definedName>
    <definedName name="object6_opptabel3">Objectinformatie!$O$114:$O$121</definedName>
    <definedName name="object6_opptabel4">Objectinformatie!$O$124:$O$133</definedName>
    <definedName name="object6_prijsdag1">'Ruimten werkdag'!$S$390</definedName>
    <definedName name="object6_prijsdag3">'Ruimten werkdag vakantie'!$S$40</definedName>
    <definedName name="object6_prijsdag4">'Ruimten weekenddag'!$S$42</definedName>
    <definedName name="object6_prijsjaar1">'Ruimten werkdag'!$U$390</definedName>
    <definedName name="object6_prijsjaar3">'Ruimten werkdag vakantie'!$U$40</definedName>
    <definedName name="object6_prijsjaar4">'Ruimten weekenddag'!$U$42</definedName>
    <definedName name="object6_urendag1">'Ruimten werkdag'!$Q$390</definedName>
    <definedName name="object6_urendag3">'Ruimten werkdag vakantie'!$Q$40</definedName>
    <definedName name="object6_urendag4">'Ruimten weekenddag'!$Q$42</definedName>
    <definedName name="object6_urendaghf1">'Ruimten werkdag'!$R$390</definedName>
    <definedName name="object6_urendaghf3">'Ruimten werkdag vakantie'!$R$40</definedName>
    <definedName name="object6_urendaghf4">'Ruimten weekenddag'!$R$42</definedName>
    <definedName name="object6_urenjaar1">'Ruimten werkdag'!$T$390</definedName>
    <definedName name="object6_urenjaar3">'Ruimten werkdag vakantie'!$T$40</definedName>
    <definedName name="object6_urenjaar4">'Ruimten weekenddag'!$T$42</definedName>
    <definedName name="object7_gemuurtarief1">'Ruimten werkdag'!$P$409</definedName>
    <definedName name="object7_opptabel1">Objectinformatie!$P$5:$P$111</definedName>
    <definedName name="object7_opptabel3">Objectinformatie!$P$114:$P$121</definedName>
    <definedName name="object7_opptabel4">Objectinformatie!$P$124:$P$133</definedName>
    <definedName name="object7_prijsdag1">'Ruimten werkdag'!$S$409</definedName>
    <definedName name="object7_prijsjaar1">'Ruimten werkdag'!$U$409</definedName>
    <definedName name="object7_urendag1">'Ruimten werkdag'!$Q$409</definedName>
    <definedName name="object7_urendaghf1">'Ruimten werkdag'!$R$409</definedName>
    <definedName name="object7_urenjaar1">'Ruimten werkdag'!$T$409</definedName>
    <definedName name="object8_gemuurtarief1">'Ruimten werkdag'!$P$452</definedName>
    <definedName name="object8_opptabel1">Objectinformatie!$Q$5:$Q$111</definedName>
    <definedName name="object8_opptabel3">Objectinformatie!$Q$114:$Q$121</definedName>
    <definedName name="object8_opptabel4">Objectinformatie!$Q$124:$Q$133</definedName>
    <definedName name="object8_prijsdag1">'Ruimten werkdag'!$S$452</definedName>
    <definedName name="object8_prijsjaar1">'Ruimten werkdag'!$U$452</definedName>
    <definedName name="object8_urendag1">'Ruimten werkdag'!$Q$452</definedName>
    <definedName name="object8_urendaghf1">'Ruimten werkdag'!$R$452</definedName>
    <definedName name="object8_urenjaar1">'Ruimten werkdag'!$T$452</definedName>
    <definedName name="object9_gemuurtarief1">'Ruimten werkdag'!$P$494</definedName>
    <definedName name="object9_opptabel1">Objectinformatie!$R$5:$R$111</definedName>
    <definedName name="object9_opptabel3">Objectinformatie!$R$114:$R$121</definedName>
    <definedName name="object9_opptabel4">Objectinformatie!$R$124:$R$133</definedName>
    <definedName name="object9_prijsdag1">'Ruimten werkdag'!$S$494</definedName>
    <definedName name="object9_prijsjaar1">'Ruimten werkdag'!$U$494</definedName>
    <definedName name="object9_urendag1">'Ruimten werkdag'!$Q$494</definedName>
    <definedName name="object9_urendaghf1">'Ruimten werkdag'!$R$494</definedName>
    <definedName name="object9_urenjaar1">'Ruimten werkdag'!$T$494</definedName>
    <definedName name="objectprijs1_1">Objecten!$R$6</definedName>
    <definedName name="objectprijs10_1">Objecten!$R$15</definedName>
    <definedName name="objectprijs11_1">Objecten!$R$16</definedName>
    <definedName name="objectprijs13_1">Objecten!$R$17</definedName>
    <definedName name="objectprijs14_1">Objecten!$R$18</definedName>
    <definedName name="objectprijs15_1">Objecten!$R$19</definedName>
    <definedName name="objectprijs16_1">Objecten!$R$20</definedName>
    <definedName name="objectprijs17_1">Objecten!$R$21</definedName>
    <definedName name="objectprijs2_1">Objecten!$R$7</definedName>
    <definedName name="objectprijs2_4">Objecten!$R$31</definedName>
    <definedName name="objectprijs3_1">Objecten!$R$8</definedName>
    <definedName name="objectprijs4_1">Objecten!$R$9</definedName>
    <definedName name="objectprijs5_1">Objecten!$R$10</definedName>
    <definedName name="objectprijs6_1">Objecten!$R$11</definedName>
    <definedName name="objectprijs6_3">Objecten!$R$26</definedName>
    <definedName name="objectprijs6_4">Objecten!$R$32</definedName>
    <definedName name="objectprijs7_1">Objecten!$R$12</definedName>
    <definedName name="objectprijs8_1">Objecten!$R$13</definedName>
    <definedName name="objectprijs9_1">Objecten!$R$14</definedName>
    <definedName name="objecturen1_1">Objecten!$Q$6</definedName>
    <definedName name="objecturen10_1">Objecten!$Q$15</definedName>
    <definedName name="objecturen11_1">Objecten!$Q$16</definedName>
    <definedName name="objecturen13_1">Objecten!$Q$17</definedName>
    <definedName name="objecturen14_1">Objecten!$Q$18</definedName>
    <definedName name="objecturen15_1">Objecten!$Q$19</definedName>
    <definedName name="objecturen16_1">Objecten!$Q$20</definedName>
    <definedName name="objecturen17_1">Objecten!$Q$21</definedName>
    <definedName name="objecturen2_1">Objecten!$Q$7</definedName>
    <definedName name="objecturen2_4">Objecten!$Q$31</definedName>
    <definedName name="objecturen3_1">Objecten!$Q$8</definedName>
    <definedName name="objecturen4_1">Objecten!$Q$9</definedName>
    <definedName name="objecturen5_1">Objecten!$Q$10</definedName>
    <definedName name="objecturen6_1">Objecten!$Q$11</definedName>
    <definedName name="objecturen6_3">Objecten!$Q$26</definedName>
    <definedName name="objecturen6_4">Objecten!$Q$32</definedName>
    <definedName name="objecturen7_1">Objecten!$Q$12</definedName>
    <definedName name="objecturen8_1">Objecten!$Q$13</definedName>
    <definedName name="objecturen9_1">Objecten!$Q$14</definedName>
    <definedName name="objecturenhf1_1">Objecten!$P$6</definedName>
    <definedName name="objecturenhf10_1">Objecten!$P$15</definedName>
    <definedName name="objecturenhf11_1">Objecten!$P$16</definedName>
    <definedName name="objecturenhf13_1">Objecten!$P$17</definedName>
    <definedName name="objecturenhf14_1">Objecten!$P$18</definedName>
    <definedName name="objecturenhf15_1">Objecten!$P$19</definedName>
    <definedName name="objecturenhf16_1">Objecten!$P$20</definedName>
    <definedName name="objecturenhf17_1">Objecten!$P$21</definedName>
    <definedName name="objecturenhf2_1">Objecten!$P$7</definedName>
    <definedName name="objecturenhf2_4">Objecten!$P$31</definedName>
    <definedName name="objecturenhf3_1">Objecten!$P$8</definedName>
    <definedName name="objecturenhf4_1">Objecten!$P$9</definedName>
    <definedName name="objecturenhf5_1">Objecten!$P$10</definedName>
    <definedName name="objecturenhf6_1">Objecten!$P$11</definedName>
    <definedName name="objecturenhf6_3">Objecten!$P$26</definedName>
    <definedName name="objecturenhf6_4">Objecten!$P$32</definedName>
    <definedName name="objecturenhf7_1">Objecten!$P$12</definedName>
    <definedName name="objecturenhf8_1">Objecten!$P$13</definedName>
    <definedName name="objecturenhf9_1">Objecten!$P$14</definedName>
    <definedName name="prijsdag1">'Regulier werk'!$L$113</definedName>
    <definedName name="prijsdag3">'Regulier werk'!$L$127</definedName>
    <definedName name="prijsdag4">'Regulier werk'!$L$143</definedName>
    <definedName name="prijsjaar">'Regulier werk'!$N$148</definedName>
    <definedName name="prijsjaar1">'Regulier werk'!$N$113</definedName>
    <definedName name="prijsjaar3">'Regulier werk'!$N$127</definedName>
    <definedName name="prijsjaar4">'Regulier werk'!$N$143</definedName>
    <definedName name="prijsjaarafroep">Afroep!$K$17</definedName>
    <definedName name="prijsjaarafroep1">Afroep!$K$9</definedName>
    <definedName name="prijsjaarafroep4">Afroep!$K$15</definedName>
    <definedName name="prijsjaarglas">Glas!$K$15</definedName>
    <definedName name="prijsjaarglas1">Glas!$K$13</definedName>
    <definedName name="prijsjaarnietmeewerkend">'Niet-meewerkende objectleiding'!$J$188</definedName>
    <definedName name="prijsjaarregie">Regiewerk!$K$15</definedName>
    <definedName name="prijsjaarregie1">Regiewerk!$K$9</definedName>
    <definedName name="prijsjaarregie4">Regiewerk!$K$13</definedName>
    <definedName name="prijsjaartotaal">Objecten!$R$36</definedName>
    <definedName name="prijsjaartotaal1">Objecten!$R$22</definedName>
    <definedName name="prijsjaartotaal3">Objecten!$R$27</definedName>
    <definedName name="prijsjaartotaal4">Objecten!$R$33</definedName>
    <definedName name="prijsjaartotaaloverzicht">'Totaalblad Objecten'!$G$22</definedName>
    <definedName name="prijsmaandtotaal1">Objecten!$S$22</definedName>
    <definedName name="prijsmaandtotaal3">Objecten!$S$27</definedName>
    <definedName name="prijsmaandtotaal4">Objecten!$S$33</definedName>
    <definedName name="prodnorm100">'Regulier werk'!$G$83</definedName>
    <definedName name="prodnorm101">'Regulier werk'!$G$84</definedName>
    <definedName name="prodnorm102">'Regulier werk'!$G$85</definedName>
    <definedName name="prodnorm103">'Regulier werk'!$G$86</definedName>
    <definedName name="prodnorm104">'Regulier werk'!$G$87</definedName>
    <definedName name="prodnorm105">'Regulier werk'!$G$88</definedName>
    <definedName name="prodnorm106">'Regulier werk'!$G$89</definedName>
    <definedName name="prodnorm107">'Regulier werk'!$G$90</definedName>
    <definedName name="prodnorm108">'Regulier werk'!$G$91</definedName>
    <definedName name="prodnorm109">'Regulier werk'!$G$92</definedName>
    <definedName name="prodnorm110">'Regulier werk'!$G$93</definedName>
    <definedName name="prodnorm111">'Regulier werk'!$G$94</definedName>
    <definedName name="prodnorm112">'Regulier werk'!$G$95</definedName>
    <definedName name="prodnorm113">'Regulier werk'!$G$96</definedName>
    <definedName name="prodnorm114">'Regulier werk'!$G$97</definedName>
    <definedName name="prodnorm115">'Regulier werk'!$G$98</definedName>
    <definedName name="prodnorm116">'Regulier werk'!$G$99</definedName>
    <definedName name="prodnorm117">'Regulier werk'!$G$100</definedName>
    <definedName name="prodnorm118">'Regulier werk'!$G$101</definedName>
    <definedName name="prodnorm119">'Regulier werk'!$G$102</definedName>
    <definedName name="prodnorm120">'Regulier werk'!$G$103</definedName>
    <definedName name="prodnorm121">'Regulier werk'!$G$104</definedName>
    <definedName name="prodnorm122">'Regulier werk'!$G$105</definedName>
    <definedName name="prodnorm123">'Regulier werk'!$G$106</definedName>
    <definedName name="prodnorm125">'Regulier werk'!$G$119</definedName>
    <definedName name="prodnorm126">'Regulier werk'!$G$120</definedName>
    <definedName name="prodnorm127">'Regulier werk'!$G$121</definedName>
    <definedName name="prodnorm128">'Regulier werk'!$G$122</definedName>
    <definedName name="prodnorm129">'Regulier werk'!$G$123</definedName>
    <definedName name="prodnorm130">'Regulier werk'!$G$124</definedName>
    <definedName name="prodnorm131">'Regulier werk'!$G$125</definedName>
    <definedName name="prodnorm132">'Regulier werk'!$G$126</definedName>
    <definedName name="prodnorm135">'Regulier werk'!$G$133</definedName>
    <definedName name="prodnorm136">'Regulier werk'!$G$134</definedName>
    <definedName name="prodnorm137">'Regulier werk'!$G$135</definedName>
    <definedName name="prodnorm138">'Regulier werk'!$G$136</definedName>
    <definedName name="prodnorm139">'Regulier werk'!$G$137</definedName>
    <definedName name="prodnorm140">'Regulier werk'!$G$138</definedName>
    <definedName name="prodnorm141">'Regulier werk'!$G$139</definedName>
    <definedName name="prodnorm142">'Regulier werk'!$G$140</definedName>
    <definedName name="prodnorm143">'Regulier werk'!$G$141</definedName>
    <definedName name="prodnorm144">'Regulier werk'!$G$142</definedName>
    <definedName name="prodnorm17">'Regulier werk'!$G$107</definedName>
    <definedName name="prodnorm18">'Regulier werk'!$G$108</definedName>
    <definedName name="prodnorm19">'Regulier werk'!$G$109</definedName>
    <definedName name="prodnorm20">'Regulier werk'!$G$110</definedName>
    <definedName name="prodnorm21">'Regulier werk'!$G$111</definedName>
    <definedName name="prodnorm22">'Regulier werk'!$G$112</definedName>
    <definedName name="prodnorm23">'Regulier werk'!$G$6</definedName>
    <definedName name="prodnorm24">'Regulier werk'!$G$7</definedName>
    <definedName name="prodnorm25">'Regulier werk'!$G$8</definedName>
    <definedName name="prodnorm26">'Regulier werk'!$G$9</definedName>
    <definedName name="prodnorm27">'Regulier werk'!$G$10</definedName>
    <definedName name="prodnorm28">'Regulier werk'!$G$11</definedName>
    <definedName name="prodnorm29">'Regulier werk'!$G$12</definedName>
    <definedName name="prodnorm30">'Regulier werk'!$G$13</definedName>
    <definedName name="prodnorm31">'Regulier werk'!$G$14</definedName>
    <definedName name="prodnorm32">'Regulier werk'!$G$15</definedName>
    <definedName name="prodnorm33">'Regulier werk'!$G$16</definedName>
    <definedName name="prodnorm34">'Regulier werk'!$G$17</definedName>
    <definedName name="prodnorm35">'Regulier werk'!$G$18</definedName>
    <definedName name="prodnorm36">'Regulier werk'!$G$19</definedName>
    <definedName name="prodnorm37">'Regulier werk'!$G$20</definedName>
    <definedName name="prodnorm38">'Regulier werk'!$G$21</definedName>
    <definedName name="prodnorm39">'Regulier werk'!$G$22</definedName>
    <definedName name="prodnorm40">'Regulier werk'!$G$23</definedName>
    <definedName name="prodnorm41">'Regulier werk'!$G$24</definedName>
    <definedName name="prodnorm42">'Regulier werk'!$G$25</definedName>
    <definedName name="prodnorm43">'Regulier werk'!$G$26</definedName>
    <definedName name="prodnorm44">'Regulier werk'!$G$27</definedName>
    <definedName name="prodnorm45">'Regulier werk'!$G$28</definedName>
    <definedName name="prodnorm46">'Regulier werk'!$G$29</definedName>
    <definedName name="prodnorm47">'Regulier werk'!$G$30</definedName>
    <definedName name="prodnorm48">'Regulier werk'!$G$31</definedName>
    <definedName name="prodnorm49">'Regulier werk'!$G$32</definedName>
    <definedName name="prodnorm50">'Regulier werk'!$G$33</definedName>
    <definedName name="prodnorm51">'Regulier werk'!$G$34</definedName>
    <definedName name="prodnorm52">'Regulier werk'!$G$35</definedName>
    <definedName name="prodnorm53">'Regulier werk'!$G$36</definedName>
    <definedName name="prodnorm54">'Regulier werk'!$G$37</definedName>
    <definedName name="prodnorm55">'Regulier werk'!$G$38</definedName>
    <definedName name="prodnorm56">'Regulier werk'!$G$39</definedName>
    <definedName name="prodnorm57">'Regulier werk'!$G$40</definedName>
    <definedName name="prodnorm58">'Regulier werk'!$G$41</definedName>
    <definedName name="prodnorm59">'Regulier werk'!$G$42</definedName>
    <definedName name="prodnorm60">'Regulier werk'!$G$43</definedName>
    <definedName name="prodnorm61">'Regulier werk'!$G$44</definedName>
    <definedName name="prodnorm62">'Regulier werk'!$G$45</definedName>
    <definedName name="prodnorm63">'Regulier werk'!$G$46</definedName>
    <definedName name="prodnorm64">'Regulier werk'!$G$47</definedName>
    <definedName name="prodnorm65">'Regulier werk'!$G$48</definedName>
    <definedName name="prodnorm66">'Regulier werk'!$G$49</definedName>
    <definedName name="prodnorm67">'Regulier werk'!$G$50</definedName>
    <definedName name="prodnorm68">'Regulier werk'!$G$51</definedName>
    <definedName name="prodnorm69">'Regulier werk'!$G$52</definedName>
    <definedName name="prodnorm70">'Regulier werk'!$G$53</definedName>
    <definedName name="prodnorm71">'Regulier werk'!$G$54</definedName>
    <definedName name="prodnorm72">'Regulier werk'!$G$55</definedName>
    <definedName name="prodnorm73">'Regulier werk'!$G$56</definedName>
    <definedName name="prodnorm74">'Regulier werk'!$G$57</definedName>
    <definedName name="prodnorm75">'Regulier werk'!$G$58</definedName>
    <definedName name="prodnorm76">'Regulier werk'!$G$59</definedName>
    <definedName name="prodnorm77">'Regulier werk'!$G$60</definedName>
    <definedName name="prodnorm78">'Regulier werk'!$G$61</definedName>
    <definedName name="prodnorm79">'Regulier werk'!$G$62</definedName>
    <definedName name="prodnorm80">'Regulier werk'!$G$63</definedName>
    <definedName name="prodnorm81">'Regulier werk'!$G$64</definedName>
    <definedName name="prodnorm82">'Regulier werk'!$G$65</definedName>
    <definedName name="prodnorm83">'Regulier werk'!$G$66</definedName>
    <definedName name="prodnorm84">'Regulier werk'!$G$67</definedName>
    <definedName name="prodnorm85">'Regulier werk'!$G$68</definedName>
    <definedName name="prodnorm86">'Regulier werk'!$G$69</definedName>
    <definedName name="prodnorm87">'Regulier werk'!$G$70</definedName>
    <definedName name="prodnorm88">'Regulier werk'!$G$71</definedName>
    <definedName name="prodnorm89">'Regulier werk'!$G$72</definedName>
    <definedName name="prodnorm90">'Regulier werk'!$G$73</definedName>
    <definedName name="prodnorm91">'Regulier werk'!$G$74</definedName>
    <definedName name="prodnorm92">'Regulier werk'!$G$75</definedName>
    <definedName name="prodnorm93">'Regulier werk'!$G$76</definedName>
    <definedName name="prodnorm94">'Regulier werk'!$G$77</definedName>
    <definedName name="prodnorm95">'Regulier werk'!$G$78</definedName>
    <definedName name="prodnorm96">'Regulier werk'!$G$79</definedName>
    <definedName name="prodnorm97">'Regulier werk'!$G$80</definedName>
    <definedName name="prodnorm98">'Regulier werk'!$G$81</definedName>
    <definedName name="prodnorm99">'Regulier werk'!$G$82</definedName>
    <definedName name="taakfreqtabel1">Objectinformatie!$E$5:$E$111</definedName>
    <definedName name="taakfreqtabel3">Objectinformatie!$E$114:$E$121</definedName>
    <definedName name="taakfreqtabel4">Objectinformatie!$E$124:$E$133</definedName>
    <definedName name="tabeltype">Omreken!$B$5:$B$5</definedName>
    <definedName name="tarieftabel1">Objectinformatie!$I$5:$I$111</definedName>
    <definedName name="tarieftabel3">Objectinformatie!$I$114:$I$121</definedName>
    <definedName name="tarieftabel4">Objectinformatie!$I$124:$I$133</definedName>
    <definedName name="tzpjt1">'Niet-meewerkende objectleiding'!$J$150</definedName>
    <definedName name="tzpjt1_1">'Niet-meewerkende objectleiding'!$J$13</definedName>
    <definedName name="tzpjt10_1">'Niet-meewerkende objectleiding'!$J$94</definedName>
    <definedName name="tzpjt11_1">'Niet-meewerkende objectleiding'!$J$103</definedName>
    <definedName name="tzpjt13_1">'Niet-meewerkende objectleiding'!$J$112</definedName>
    <definedName name="tzpjt14_1">'Niet-meewerkende objectleiding'!$J$121</definedName>
    <definedName name="tzpjt15_1">'Niet-meewerkende objectleiding'!$J$130</definedName>
    <definedName name="tzpjt16_1">'Niet-meewerkende objectleiding'!$J$139</definedName>
    <definedName name="tzpjt17_1">'Niet-meewerkende objectleiding'!$J$148</definedName>
    <definedName name="tzpjt2_1">'Niet-meewerkende objectleiding'!$J$22</definedName>
    <definedName name="tzpjt2_4">'Niet-meewerkende objectleiding'!$J$174</definedName>
    <definedName name="tzpjt3">'Niet-meewerkende objectleiding'!$J$163</definedName>
    <definedName name="tzpjt3_1">'Niet-meewerkende objectleiding'!$J$31</definedName>
    <definedName name="tzpjt4">'Niet-meewerkende objectleiding'!$J$185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6_3">'Niet-meewerkende objectleiding'!$J$161</definedName>
    <definedName name="tzpjt6_4">'Niet-meewerkende objectleiding'!$J$183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pmt1">'Niet-meewerkende objectleiding'!$K$150</definedName>
    <definedName name="tzpmt1_1">'Niet-meewerkende objectleiding'!$K$13</definedName>
    <definedName name="tzpmt10_1">'Niet-meewerkende objectleiding'!$K$94</definedName>
    <definedName name="tzpmt11_1">'Niet-meewerkende objectleiding'!$K$103</definedName>
    <definedName name="tzpmt13_1">'Niet-meewerkende objectleiding'!$K$112</definedName>
    <definedName name="tzpmt14_1">'Niet-meewerkende objectleiding'!$K$121</definedName>
    <definedName name="tzpmt15_1">'Niet-meewerkende objectleiding'!$K$130</definedName>
    <definedName name="tzpmt16_1">'Niet-meewerkende objectleiding'!$K$139</definedName>
    <definedName name="tzpmt17_1">'Niet-meewerkende objectleiding'!$K$148</definedName>
    <definedName name="tzpmt2_1">'Niet-meewerkende objectleiding'!$K$22</definedName>
    <definedName name="tzpmt2_4">'Niet-meewerkende objectleiding'!$K$174</definedName>
    <definedName name="tzpmt3">'Niet-meewerkende objectleiding'!$K$163</definedName>
    <definedName name="tzpmt3_1">'Niet-meewerkende objectleiding'!$K$31</definedName>
    <definedName name="tzpmt4">'Niet-meewerkende objectleiding'!$K$185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6_3">'Niet-meewerkende objectleiding'!$K$161</definedName>
    <definedName name="tzpmt6_4">'Niet-meewerkende objectleiding'!$K$183</definedName>
    <definedName name="tzpmt7_1">'Niet-meewerkende objectleiding'!$K$67</definedName>
    <definedName name="tzpmt8_1">'Niet-meewerkende objectleiding'!$K$76</definedName>
    <definedName name="tzpmt9_1">'Niet-meewerkende objectleiding'!$K$85</definedName>
    <definedName name="tzujt1">'Niet-meewerkende objectleiding'!$H$150</definedName>
    <definedName name="tzujt1_1">'Niet-meewerkende objectleiding'!$H$13</definedName>
    <definedName name="tzujt10_1">'Niet-meewerkende objectleiding'!$H$94</definedName>
    <definedName name="tzujt11_1">'Niet-meewerkende objectleiding'!$H$103</definedName>
    <definedName name="tzujt13_1">'Niet-meewerkende objectleiding'!$H$112</definedName>
    <definedName name="tzujt14_1">'Niet-meewerkende objectleiding'!$H$121</definedName>
    <definedName name="tzujt15_1">'Niet-meewerkende objectleiding'!$H$130</definedName>
    <definedName name="tzujt16_1">'Niet-meewerkende objectleiding'!$H$139</definedName>
    <definedName name="tzujt17_1">'Niet-meewerkende objectleiding'!$H$148</definedName>
    <definedName name="tzujt2_1">'Niet-meewerkende objectleiding'!$H$22</definedName>
    <definedName name="tzujt2_4">'Niet-meewerkende objectleiding'!$H$174</definedName>
    <definedName name="tzujt3">'Niet-meewerkende objectleiding'!$H$163</definedName>
    <definedName name="tzujt3_1">'Niet-meewerkende objectleiding'!$H$31</definedName>
    <definedName name="tzujt4">'Niet-meewerkende objectleiding'!$H$185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6_3">'Niet-meewerkende objectleiding'!$H$161</definedName>
    <definedName name="tzujt6_4">'Niet-meewerkende objectleiding'!$H$183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werk'!$K$113</definedName>
    <definedName name="urendag3">'Regulier werk'!$K$127</definedName>
    <definedName name="urendag4">'Regulier werk'!$K$143</definedName>
    <definedName name="urenjaar">'Regulier werk'!$M$148</definedName>
    <definedName name="urenjaar1">'Regulier werk'!$M$113</definedName>
    <definedName name="urenjaar3">'Regulier werk'!$M$127</definedName>
    <definedName name="urenjaar4">'Regulier werk'!$M$143</definedName>
    <definedName name="urenjaarnietmeewerkend">'Niet-meewerkende objectleiding'!$H$188</definedName>
    <definedName name="urenjaartotaal">Objecten!$Q$36</definedName>
    <definedName name="urenjaartotaal1">Objecten!$Q$22</definedName>
    <definedName name="urenjaartotaal3">Objecten!$Q$27</definedName>
    <definedName name="urenjaartotaal4">Objecten!$Q$33</definedName>
    <definedName name="urenjaartotaalhf">Objecten!$P$36</definedName>
    <definedName name="urenjaartotaalhf1">Objecten!$P$22</definedName>
    <definedName name="urenjaartotaalhf3">Objecten!$P$27</definedName>
    <definedName name="urenjaartotaalhf4">Objecten!$P$33</definedName>
    <definedName name="urenjaartotaaloverzicht">'Totaalblad Objecten'!$F$22</definedName>
    <definedName name="urenjaartotaaloverzichthf">'Totaalblad Objecten'!$E$22</definedName>
    <definedName name="uurfactortabel1">Objectinformatie!$F$5:$F$111</definedName>
    <definedName name="uurfactortabel3">Objectinformatie!$F$114:$F$121</definedName>
    <definedName name="uurfactortabel4">Objectinformatie!$F$124:$F$133</definedName>
    <definedName name="uurtarief100">'Regulier werk'!$J$83</definedName>
    <definedName name="uurtarief101">'Regulier werk'!$J$84</definedName>
    <definedName name="uurtarief102">'Regulier werk'!$J$85</definedName>
    <definedName name="uurtarief103">'Regulier werk'!$J$86</definedName>
    <definedName name="uurtarief104">'Regulier werk'!$J$87</definedName>
    <definedName name="uurtarief105">'Regulier werk'!$J$88</definedName>
    <definedName name="uurtarief106">'Regulier werk'!$J$89</definedName>
    <definedName name="uurtarief107">'Regulier werk'!$J$90</definedName>
    <definedName name="uurtarief108">'Regulier werk'!$J$91</definedName>
    <definedName name="uurtarief109">'Regulier werk'!$J$92</definedName>
    <definedName name="uurtarief110">'Regulier werk'!$J$93</definedName>
    <definedName name="uurtarief111">'Regulier werk'!$J$94</definedName>
    <definedName name="uurtarief112">'Regulier werk'!$J$95</definedName>
    <definedName name="uurtarief113">'Regulier werk'!$J$96</definedName>
    <definedName name="uurtarief114">'Regulier werk'!$J$97</definedName>
    <definedName name="uurtarief115">'Regulier werk'!$J$98</definedName>
    <definedName name="uurtarief116">'Regulier werk'!$J$99</definedName>
    <definedName name="uurtarief117">'Regulier werk'!$J$100</definedName>
    <definedName name="uurtarief118">'Regulier werk'!$J$101</definedName>
    <definedName name="uurtarief119">'Regulier werk'!$J$102</definedName>
    <definedName name="uurtarief120">'Regulier werk'!$J$103</definedName>
    <definedName name="uurtarief121">'Regulier werk'!$J$104</definedName>
    <definedName name="uurtarief122">'Regulier werk'!$J$105</definedName>
    <definedName name="uurtarief123">'Regulier werk'!$J$106</definedName>
    <definedName name="uurtarief125">'Regulier werk'!$J$119</definedName>
    <definedName name="uurtarief126">'Regulier werk'!$J$120</definedName>
    <definedName name="uurtarief127">'Regulier werk'!$J$121</definedName>
    <definedName name="uurtarief128">'Regulier werk'!$J$122</definedName>
    <definedName name="uurtarief129">'Regulier werk'!$J$123</definedName>
    <definedName name="uurtarief130">'Regulier werk'!$J$124</definedName>
    <definedName name="uurtarief131">'Regulier werk'!$J$125</definedName>
    <definedName name="uurtarief132">'Regulier werk'!$J$126</definedName>
    <definedName name="uurtarief135">'Regulier werk'!$J$133</definedName>
    <definedName name="uurtarief136">'Regulier werk'!$J$134</definedName>
    <definedName name="uurtarief137">'Regulier werk'!$J$135</definedName>
    <definedName name="uurtarief138">'Regulier werk'!$J$136</definedName>
    <definedName name="uurtarief139">'Regulier werk'!$J$137</definedName>
    <definedName name="uurtarief140">'Regulier werk'!$J$138</definedName>
    <definedName name="uurtarief141">'Regulier werk'!$J$139</definedName>
    <definedName name="uurtarief142">'Regulier werk'!$J$140</definedName>
    <definedName name="uurtarief143">'Regulier werk'!$J$141</definedName>
    <definedName name="uurtarief144">'Regulier werk'!$J$142</definedName>
    <definedName name="uurtarief17">'Regulier werk'!$J$107</definedName>
    <definedName name="uurtarief18">'Regulier werk'!$J$108</definedName>
    <definedName name="uurtarief19">'Regulier werk'!$J$109</definedName>
    <definedName name="uurtarief20">'Regulier werk'!$J$110</definedName>
    <definedName name="uurtarief21">'Regulier werk'!$J$111</definedName>
    <definedName name="uurtarief22">'Regulier werk'!$J$112</definedName>
    <definedName name="uurtarief23">'Regulier werk'!$J$6</definedName>
    <definedName name="uurtarief24">'Regulier werk'!$J$7</definedName>
    <definedName name="uurtarief25">'Regulier werk'!$J$8</definedName>
    <definedName name="uurtarief26">'Regulier werk'!$J$9</definedName>
    <definedName name="uurtarief27">'Regulier werk'!$J$10</definedName>
    <definedName name="uurtarief28">'Regulier werk'!$J$11</definedName>
    <definedName name="uurtarief29">'Regulier werk'!$J$12</definedName>
    <definedName name="uurtarief30">'Regulier werk'!$J$13</definedName>
    <definedName name="uurtarief31">'Regulier werk'!$J$14</definedName>
    <definedName name="uurtarief32">'Regulier werk'!$J$15</definedName>
    <definedName name="uurtarief33">'Regulier werk'!$J$16</definedName>
    <definedName name="uurtarief34">'Regulier werk'!$J$17</definedName>
    <definedName name="uurtarief35">'Regulier werk'!$J$18</definedName>
    <definedName name="uurtarief36">'Regulier werk'!$J$19</definedName>
    <definedName name="uurtarief37">'Regulier werk'!$J$20</definedName>
    <definedName name="uurtarief38">'Regulier werk'!$J$21</definedName>
    <definedName name="uurtarief39">'Regulier werk'!$J$22</definedName>
    <definedName name="uurtarief40">'Regulier werk'!$J$23</definedName>
    <definedName name="uurtarief41">'Regulier werk'!$J$24</definedName>
    <definedName name="uurtarief42">'Regulier werk'!$J$25</definedName>
    <definedName name="uurtarief43">'Regulier werk'!$J$26</definedName>
    <definedName name="uurtarief44">'Regulier werk'!$J$27</definedName>
    <definedName name="uurtarief45">'Regulier werk'!$J$28</definedName>
    <definedName name="uurtarief46">'Regulier werk'!$J$29</definedName>
    <definedName name="uurtarief47">'Regulier werk'!$J$30</definedName>
    <definedName name="uurtarief48">'Regulier werk'!$J$31</definedName>
    <definedName name="uurtarief49">'Regulier werk'!$J$32</definedName>
    <definedName name="uurtarief50">'Regulier werk'!$J$33</definedName>
    <definedName name="uurtarief51">'Regulier werk'!$J$34</definedName>
    <definedName name="uurtarief52">'Regulier werk'!$J$35</definedName>
    <definedName name="uurtarief53">'Regulier werk'!$J$36</definedName>
    <definedName name="uurtarief54">'Regulier werk'!$J$37</definedName>
    <definedName name="uurtarief55">'Regulier werk'!$J$38</definedName>
    <definedName name="uurtarief56">'Regulier werk'!$J$39</definedName>
    <definedName name="uurtarief57">'Regulier werk'!$J$40</definedName>
    <definedName name="uurtarief58">'Regulier werk'!$J$41</definedName>
    <definedName name="uurtarief59">'Regulier werk'!$J$42</definedName>
    <definedName name="uurtarief60">'Regulier werk'!$J$43</definedName>
    <definedName name="uurtarief61">'Regulier werk'!$J$44</definedName>
    <definedName name="uurtarief62">'Regulier werk'!$J$45</definedName>
    <definedName name="uurtarief63">'Regulier werk'!$J$46</definedName>
    <definedName name="uurtarief64">'Regulier werk'!$J$47</definedName>
    <definedName name="uurtarief65">'Regulier werk'!$J$48</definedName>
    <definedName name="uurtarief66">'Regulier werk'!$J$49</definedName>
    <definedName name="uurtarief67">'Regulier werk'!$J$50</definedName>
    <definedName name="uurtarief68">'Regulier werk'!$J$51</definedName>
    <definedName name="uurtarief69">'Regulier werk'!$J$52</definedName>
    <definedName name="uurtarief70">'Regulier werk'!$J$53</definedName>
    <definedName name="uurtarief71">'Regulier werk'!$J$54</definedName>
    <definedName name="uurtarief72">'Regulier werk'!$J$55</definedName>
    <definedName name="uurtarief73">'Regulier werk'!$J$56</definedName>
    <definedName name="uurtarief74">'Regulier werk'!$J$57</definedName>
    <definedName name="uurtarief75">'Regulier werk'!$J$58</definedName>
    <definedName name="uurtarief76">'Regulier werk'!$J$59</definedName>
    <definedName name="uurtarief77">'Regulier werk'!$J$60</definedName>
    <definedName name="uurtarief78">'Regulier werk'!$J$61</definedName>
    <definedName name="uurtarief79">'Regulier werk'!$J$62</definedName>
    <definedName name="uurtarief80">'Regulier werk'!$J$63</definedName>
    <definedName name="uurtarief81">'Regulier werk'!$J$64</definedName>
    <definedName name="uurtarief82">'Regulier werk'!$J$65</definedName>
    <definedName name="uurtarief83">'Regulier werk'!$J$66</definedName>
    <definedName name="uurtarief84">'Regulier werk'!$J$67</definedName>
    <definedName name="uurtarief85">'Regulier werk'!$J$68</definedName>
    <definedName name="uurtarief86">'Regulier werk'!$J$69</definedName>
    <definedName name="uurtarief87">'Regulier werk'!$J$70</definedName>
    <definedName name="uurtarief88">'Regulier werk'!$J$71</definedName>
    <definedName name="uurtarief89">'Regulier werk'!$J$72</definedName>
    <definedName name="uurtarief90">'Regulier werk'!$J$73</definedName>
    <definedName name="uurtarief91">'Regulier werk'!$J$74</definedName>
    <definedName name="uurtarief92">'Regulier werk'!$J$75</definedName>
    <definedName name="uurtarief93">'Regulier werk'!$J$76</definedName>
    <definedName name="uurtarief94">'Regulier werk'!$J$77</definedName>
    <definedName name="uurtarief95">'Regulier werk'!$J$78</definedName>
    <definedName name="uurtarief96">'Regulier werk'!$J$79</definedName>
    <definedName name="uurtarief97">'Regulier werk'!$J$80</definedName>
    <definedName name="uurtarief98">'Regulier werk'!$J$81</definedName>
    <definedName name="uurtarief99">'Regulier werk'!$J$82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7" l="1"/>
  <c r="E19" i="17"/>
  <c r="A1" i="17" l="1"/>
  <c r="J79" i="16"/>
  <c r="K79" i="16" s="1"/>
  <c r="K80" i="16" s="1"/>
  <c r="H79" i="16"/>
  <c r="J75" i="16"/>
  <c r="K75" i="16" s="1"/>
  <c r="H75" i="16"/>
  <c r="J74" i="16"/>
  <c r="K74" i="16" s="1"/>
  <c r="H74" i="16"/>
  <c r="J73" i="16"/>
  <c r="K73" i="16" s="1"/>
  <c r="K76" i="16" s="1"/>
  <c r="H73" i="16"/>
  <c r="J69" i="16"/>
  <c r="K69" i="16" s="1"/>
  <c r="H69" i="16"/>
  <c r="J68" i="16"/>
  <c r="K68" i="16" s="1"/>
  <c r="H68" i="16"/>
  <c r="J67" i="16"/>
  <c r="K67" i="16" s="1"/>
  <c r="H67" i="16"/>
  <c r="J66" i="16"/>
  <c r="K66" i="16" s="1"/>
  <c r="K70" i="16" s="1"/>
  <c r="H66" i="16"/>
  <c r="J62" i="16"/>
  <c r="K62" i="16" s="1"/>
  <c r="H62" i="16"/>
  <c r="J61" i="16"/>
  <c r="K61" i="16" s="1"/>
  <c r="H61" i="16"/>
  <c r="J60" i="16"/>
  <c r="K60" i="16" s="1"/>
  <c r="H60" i="16"/>
  <c r="J59" i="16"/>
  <c r="K59" i="16" s="1"/>
  <c r="K63" i="16" s="1"/>
  <c r="H59" i="16"/>
  <c r="J55" i="16"/>
  <c r="K55" i="16" s="1"/>
  <c r="H55" i="16"/>
  <c r="J54" i="16"/>
  <c r="K54" i="16" s="1"/>
  <c r="H54" i="16"/>
  <c r="J53" i="16"/>
  <c r="K53" i="16" s="1"/>
  <c r="K56" i="16" s="1"/>
  <c r="H53" i="16"/>
  <c r="J49" i="16"/>
  <c r="K49" i="16" s="1"/>
  <c r="H49" i="16"/>
  <c r="J48" i="16"/>
  <c r="K48" i="16" s="1"/>
  <c r="H48" i="16"/>
  <c r="J47" i="16"/>
  <c r="K47" i="16" s="1"/>
  <c r="K50" i="16" s="1"/>
  <c r="H47" i="16"/>
  <c r="J43" i="16"/>
  <c r="K43" i="16" s="1"/>
  <c r="H43" i="16"/>
  <c r="J42" i="16"/>
  <c r="K42" i="16" s="1"/>
  <c r="H42" i="16"/>
  <c r="J41" i="16"/>
  <c r="K41" i="16" s="1"/>
  <c r="H41" i="16"/>
  <c r="J40" i="16"/>
  <c r="K40" i="16" s="1"/>
  <c r="K44" i="16" s="1"/>
  <c r="H40" i="16"/>
  <c r="J36" i="16"/>
  <c r="K36" i="16" s="1"/>
  <c r="H36" i="16"/>
  <c r="J35" i="16"/>
  <c r="K35" i="16" s="1"/>
  <c r="H35" i="16"/>
  <c r="J34" i="16"/>
  <c r="K34" i="16" s="1"/>
  <c r="H34" i="16"/>
  <c r="J33" i="16"/>
  <c r="K33" i="16" s="1"/>
  <c r="K37" i="16" s="1"/>
  <c r="H33" i="16"/>
  <c r="J29" i="16"/>
  <c r="K29" i="16" s="1"/>
  <c r="H29" i="16"/>
  <c r="J28" i="16"/>
  <c r="K28" i="16" s="1"/>
  <c r="K30" i="16" s="1"/>
  <c r="H28" i="16"/>
  <c r="J24" i="16"/>
  <c r="K24" i="16" s="1"/>
  <c r="H24" i="16"/>
  <c r="J23" i="16"/>
  <c r="K23" i="16" s="1"/>
  <c r="H23" i="16"/>
  <c r="J22" i="16"/>
  <c r="K22" i="16" s="1"/>
  <c r="H22" i="16"/>
  <c r="J21" i="16"/>
  <c r="K21" i="16" s="1"/>
  <c r="K25" i="16" s="1"/>
  <c r="H21" i="16"/>
  <c r="J17" i="16"/>
  <c r="K17" i="16" s="1"/>
  <c r="H17" i="16"/>
  <c r="J16" i="16"/>
  <c r="K16" i="16" s="1"/>
  <c r="H16" i="16"/>
  <c r="J15" i="16"/>
  <c r="K15" i="16" s="1"/>
  <c r="K18" i="16" s="1"/>
  <c r="H15" i="16"/>
  <c r="J11" i="16"/>
  <c r="K11" i="16" s="1"/>
  <c r="H11" i="16"/>
  <c r="J10" i="16"/>
  <c r="K10" i="16" s="1"/>
  <c r="H10" i="16"/>
  <c r="J9" i="16"/>
  <c r="K9" i="16" s="1"/>
  <c r="H9" i="16"/>
  <c r="J8" i="16"/>
  <c r="K8" i="16" s="1"/>
  <c r="H8" i="16"/>
  <c r="J7" i="16"/>
  <c r="K7" i="16" s="1"/>
  <c r="H7" i="16"/>
  <c r="J6" i="16"/>
  <c r="K6" i="16" s="1"/>
  <c r="K12" i="16" s="1"/>
  <c r="H6" i="16"/>
  <c r="A1" i="16"/>
  <c r="J12" i="15"/>
  <c r="J11" i="15"/>
  <c r="J10" i="15"/>
  <c r="J9" i="15"/>
  <c r="J8" i="15"/>
  <c r="J7" i="15"/>
  <c r="J6" i="15"/>
  <c r="A1" i="15"/>
  <c r="J12" i="14"/>
  <c r="J8" i="14"/>
  <c r="J7" i="14"/>
  <c r="J6" i="14"/>
  <c r="A1" i="14"/>
  <c r="A1" i="13"/>
  <c r="J14" i="12"/>
  <c r="J13" i="12"/>
  <c r="J12" i="12"/>
  <c r="J8" i="12"/>
  <c r="J7" i="12"/>
  <c r="J6" i="12"/>
  <c r="A1" i="12"/>
  <c r="J15" i="11"/>
  <c r="K15" i="11" s="1"/>
  <c r="A1" i="11"/>
  <c r="J182" i="10"/>
  <c r="K182" i="10" s="1"/>
  <c r="H182" i="10"/>
  <c r="C182" i="10"/>
  <c r="I182" i="10" s="1"/>
  <c r="J181" i="10"/>
  <c r="K181" i="10" s="1"/>
  <c r="H181" i="10"/>
  <c r="C181" i="10"/>
  <c r="I181" i="10" s="1"/>
  <c r="J180" i="10"/>
  <c r="K180" i="10" s="1"/>
  <c r="H180" i="10"/>
  <c r="C180" i="10"/>
  <c r="I180" i="10" s="1"/>
  <c r="J179" i="10"/>
  <c r="K179" i="10" s="1"/>
  <c r="H179" i="10"/>
  <c r="C179" i="10"/>
  <c r="I179" i="10" s="1"/>
  <c r="J178" i="10"/>
  <c r="H178" i="10"/>
  <c r="H183" i="10" s="1"/>
  <c r="J173" i="10"/>
  <c r="K173" i="10" s="1"/>
  <c r="H173" i="10"/>
  <c r="C173" i="10"/>
  <c r="I173" i="10" s="1"/>
  <c r="J172" i="10"/>
  <c r="K172" i="10" s="1"/>
  <c r="H172" i="10"/>
  <c r="C172" i="10"/>
  <c r="I172" i="10" s="1"/>
  <c r="J171" i="10"/>
  <c r="K171" i="10" s="1"/>
  <c r="H171" i="10"/>
  <c r="C171" i="10"/>
  <c r="I171" i="10" s="1"/>
  <c r="J170" i="10"/>
  <c r="K170" i="10" s="1"/>
  <c r="H170" i="10"/>
  <c r="C170" i="10"/>
  <c r="I170" i="10" s="1"/>
  <c r="J169" i="10"/>
  <c r="H169" i="10"/>
  <c r="H174" i="10" s="1"/>
  <c r="H185" i="10" s="1"/>
  <c r="J160" i="10"/>
  <c r="K160" i="10" s="1"/>
  <c r="H160" i="10"/>
  <c r="C160" i="10"/>
  <c r="I160" i="10" s="1"/>
  <c r="J159" i="10"/>
  <c r="K159" i="10" s="1"/>
  <c r="H159" i="10"/>
  <c r="C159" i="10"/>
  <c r="I159" i="10" s="1"/>
  <c r="J158" i="10"/>
  <c r="K158" i="10" s="1"/>
  <c r="H158" i="10"/>
  <c r="C158" i="10"/>
  <c r="I158" i="10" s="1"/>
  <c r="J157" i="10"/>
  <c r="K157" i="10" s="1"/>
  <c r="H157" i="10"/>
  <c r="C157" i="10"/>
  <c r="I157" i="10" s="1"/>
  <c r="J156" i="10"/>
  <c r="H156" i="10"/>
  <c r="H161" i="10" s="1"/>
  <c r="H163" i="10" s="1"/>
  <c r="J147" i="10"/>
  <c r="K147" i="10" s="1"/>
  <c r="H147" i="10"/>
  <c r="C147" i="10"/>
  <c r="I147" i="10" s="1"/>
  <c r="J146" i="10"/>
  <c r="K146" i="10" s="1"/>
  <c r="H146" i="10"/>
  <c r="C146" i="10"/>
  <c r="I146" i="10" s="1"/>
  <c r="J145" i="10"/>
  <c r="K145" i="10" s="1"/>
  <c r="H145" i="10"/>
  <c r="C145" i="10"/>
  <c r="I145" i="10" s="1"/>
  <c r="J144" i="10"/>
  <c r="K144" i="10" s="1"/>
  <c r="H144" i="10"/>
  <c r="C144" i="10"/>
  <c r="I144" i="10" s="1"/>
  <c r="J143" i="10"/>
  <c r="H143" i="10"/>
  <c r="H148" i="10" s="1"/>
  <c r="H20" i="11" s="1"/>
  <c r="J138" i="10"/>
  <c r="K138" i="10" s="1"/>
  <c r="H138" i="10"/>
  <c r="C138" i="10"/>
  <c r="I138" i="10" s="1"/>
  <c r="J137" i="10"/>
  <c r="K137" i="10" s="1"/>
  <c r="H137" i="10"/>
  <c r="C137" i="10"/>
  <c r="I137" i="10" s="1"/>
  <c r="J136" i="10"/>
  <c r="K136" i="10" s="1"/>
  <c r="H136" i="10"/>
  <c r="C136" i="10"/>
  <c r="I136" i="10" s="1"/>
  <c r="J135" i="10"/>
  <c r="K135" i="10" s="1"/>
  <c r="H135" i="10"/>
  <c r="C135" i="10"/>
  <c r="I135" i="10" s="1"/>
  <c r="J134" i="10"/>
  <c r="H134" i="10"/>
  <c r="H139" i="10" s="1"/>
  <c r="H19" i="11" s="1"/>
  <c r="J129" i="10"/>
  <c r="K129" i="10" s="1"/>
  <c r="H129" i="10"/>
  <c r="C129" i="10"/>
  <c r="I129" i="10" s="1"/>
  <c r="J128" i="10"/>
  <c r="K128" i="10" s="1"/>
  <c r="H128" i="10"/>
  <c r="C128" i="10"/>
  <c r="I128" i="10" s="1"/>
  <c r="J127" i="10"/>
  <c r="K127" i="10" s="1"/>
  <c r="H127" i="10"/>
  <c r="C127" i="10"/>
  <c r="I127" i="10" s="1"/>
  <c r="J126" i="10"/>
  <c r="K126" i="10" s="1"/>
  <c r="H126" i="10"/>
  <c r="C126" i="10"/>
  <c r="I126" i="10" s="1"/>
  <c r="J125" i="10"/>
  <c r="H125" i="10"/>
  <c r="H130" i="10" s="1"/>
  <c r="H18" i="11" s="1"/>
  <c r="J120" i="10"/>
  <c r="K120" i="10" s="1"/>
  <c r="H120" i="10"/>
  <c r="C120" i="10"/>
  <c r="I120" i="10" s="1"/>
  <c r="J119" i="10"/>
  <c r="K119" i="10" s="1"/>
  <c r="H119" i="10"/>
  <c r="C119" i="10"/>
  <c r="I119" i="10" s="1"/>
  <c r="J118" i="10"/>
  <c r="K118" i="10" s="1"/>
  <c r="H118" i="10"/>
  <c r="C118" i="10"/>
  <c r="I118" i="10" s="1"/>
  <c r="J117" i="10"/>
  <c r="K117" i="10" s="1"/>
  <c r="H117" i="10"/>
  <c r="C117" i="10"/>
  <c r="I117" i="10" s="1"/>
  <c r="J116" i="10"/>
  <c r="H116" i="10"/>
  <c r="H121" i="10" s="1"/>
  <c r="H17" i="11" s="1"/>
  <c r="J111" i="10"/>
  <c r="K111" i="10" s="1"/>
  <c r="H111" i="10"/>
  <c r="C111" i="10"/>
  <c r="I111" i="10" s="1"/>
  <c r="J110" i="10"/>
  <c r="K110" i="10" s="1"/>
  <c r="H110" i="10"/>
  <c r="C110" i="10"/>
  <c r="I110" i="10" s="1"/>
  <c r="J109" i="10"/>
  <c r="K109" i="10" s="1"/>
  <c r="H109" i="10"/>
  <c r="C109" i="10"/>
  <c r="I109" i="10" s="1"/>
  <c r="J108" i="10"/>
  <c r="K108" i="10" s="1"/>
  <c r="H108" i="10"/>
  <c r="C108" i="10"/>
  <c r="I108" i="10" s="1"/>
  <c r="J107" i="10"/>
  <c r="H107" i="10"/>
  <c r="H112" i="10" s="1"/>
  <c r="H16" i="11" s="1"/>
  <c r="J102" i="10"/>
  <c r="K102" i="10" s="1"/>
  <c r="H102" i="10"/>
  <c r="C102" i="10"/>
  <c r="I102" i="10" s="1"/>
  <c r="J101" i="10"/>
  <c r="K101" i="10" s="1"/>
  <c r="H101" i="10"/>
  <c r="C101" i="10"/>
  <c r="I101" i="10" s="1"/>
  <c r="J100" i="10"/>
  <c r="K100" i="10" s="1"/>
  <c r="H100" i="10"/>
  <c r="C100" i="10"/>
  <c r="I100" i="10" s="1"/>
  <c r="J99" i="10"/>
  <c r="K99" i="10" s="1"/>
  <c r="H99" i="10"/>
  <c r="C99" i="10"/>
  <c r="I99" i="10" s="1"/>
  <c r="J98" i="10"/>
  <c r="H98" i="10"/>
  <c r="H103" i="10" s="1"/>
  <c r="H14" i="11" s="1"/>
  <c r="J93" i="10"/>
  <c r="K93" i="10" s="1"/>
  <c r="H93" i="10"/>
  <c r="C93" i="10"/>
  <c r="I93" i="10" s="1"/>
  <c r="J92" i="10"/>
  <c r="K92" i="10" s="1"/>
  <c r="H92" i="10"/>
  <c r="C92" i="10"/>
  <c r="I92" i="10" s="1"/>
  <c r="J91" i="10"/>
  <c r="K91" i="10" s="1"/>
  <c r="H91" i="10"/>
  <c r="C91" i="10"/>
  <c r="I91" i="10" s="1"/>
  <c r="J90" i="10"/>
  <c r="K90" i="10" s="1"/>
  <c r="H90" i="10"/>
  <c r="C90" i="10"/>
  <c r="I90" i="10" s="1"/>
  <c r="J89" i="10"/>
  <c r="H89" i="10"/>
  <c r="H94" i="10" s="1"/>
  <c r="H13" i="11" s="1"/>
  <c r="J84" i="10"/>
  <c r="K84" i="10" s="1"/>
  <c r="H84" i="10"/>
  <c r="C84" i="10"/>
  <c r="I84" i="10" s="1"/>
  <c r="J83" i="10"/>
  <c r="K83" i="10" s="1"/>
  <c r="H83" i="10"/>
  <c r="C83" i="10"/>
  <c r="I83" i="10" s="1"/>
  <c r="J82" i="10"/>
  <c r="K82" i="10" s="1"/>
  <c r="H82" i="10"/>
  <c r="C82" i="10"/>
  <c r="I82" i="10" s="1"/>
  <c r="J81" i="10"/>
  <c r="K81" i="10" s="1"/>
  <c r="H81" i="10"/>
  <c r="C81" i="10"/>
  <c r="I81" i="10" s="1"/>
  <c r="J80" i="10"/>
  <c r="H80" i="10"/>
  <c r="H85" i="10" s="1"/>
  <c r="H12" i="11" s="1"/>
  <c r="J75" i="10"/>
  <c r="K75" i="10" s="1"/>
  <c r="H75" i="10"/>
  <c r="C75" i="10"/>
  <c r="I75" i="10" s="1"/>
  <c r="J74" i="10"/>
  <c r="K74" i="10" s="1"/>
  <c r="H74" i="10"/>
  <c r="C74" i="10"/>
  <c r="I74" i="10" s="1"/>
  <c r="J73" i="10"/>
  <c r="K73" i="10" s="1"/>
  <c r="H73" i="10"/>
  <c r="C73" i="10"/>
  <c r="I73" i="10" s="1"/>
  <c r="J72" i="10"/>
  <c r="K72" i="10" s="1"/>
  <c r="H72" i="10"/>
  <c r="C72" i="10"/>
  <c r="I72" i="10" s="1"/>
  <c r="J71" i="10"/>
  <c r="H71" i="10"/>
  <c r="H76" i="10" s="1"/>
  <c r="H11" i="11" s="1"/>
  <c r="J66" i="10"/>
  <c r="K66" i="10" s="1"/>
  <c r="H66" i="10"/>
  <c r="C66" i="10"/>
  <c r="I66" i="10" s="1"/>
  <c r="J65" i="10"/>
  <c r="K65" i="10" s="1"/>
  <c r="H65" i="10"/>
  <c r="C65" i="10"/>
  <c r="I65" i="10" s="1"/>
  <c r="J64" i="10"/>
  <c r="K64" i="10" s="1"/>
  <c r="H64" i="10"/>
  <c r="C64" i="10"/>
  <c r="I64" i="10" s="1"/>
  <c r="J63" i="10"/>
  <c r="K63" i="10" s="1"/>
  <c r="H63" i="10"/>
  <c r="C63" i="10"/>
  <c r="I63" i="10" s="1"/>
  <c r="J62" i="10"/>
  <c r="H62" i="10"/>
  <c r="H67" i="10" s="1"/>
  <c r="H10" i="11" s="1"/>
  <c r="J57" i="10"/>
  <c r="K57" i="10" s="1"/>
  <c r="H57" i="10"/>
  <c r="C57" i="10"/>
  <c r="I57" i="10" s="1"/>
  <c r="J56" i="10"/>
  <c r="K56" i="10" s="1"/>
  <c r="H56" i="10"/>
  <c r="C56" i="10"/>
  <c r="I56" i="10" s="1"/>
  <c r="J55" i="10"/>
  <c r="K55" i="10" s="1"/>
  <c r="H55" i="10"/>
  <c r="C55" i="10"/>
  <c r="I55" i="10" s="1"/>
  <c r="J54" i="10"/>
  <c r="K54" i="10" s="1"/>
  <c r="H54" i="10"/>
  <c r="C54" i="10"/>
  <c r="I54" i="10" s="1"/>
  <c r="J53" i="10"/>
  <c r="H53" i="10"/>
  <c r="H58" i="10" s="1"/>
  <c r="H9" i="11" s="1"/>
  <c r="J48" i="10"/>
  <c r="K48" i="10" s="1"/>
  <c r="H48" i="10"/>
  <c r="C48" i="10"/>
  <c r="I48" i="10" s="1"/>
  <c r="J47" i="10"/>
  <c r="K47" i="10" s="1"/>
  <c r="H47" i="10"/>
  <c r="C47" i="10"/>
  <c r="I47" i="10" s="1"/>
  <c r="J46" i="10"/>
  <c r="K46" i="10" s="1"/>
  <c r="H46" i="10"/>
  <c r="C46" i="10"/>
  <c r="I46" i="10" s="1"/>
  <c r="J45" i="10"/>
  <c r="K45" i="10" s="1"/>
  <c r="H45" i="10"/>
  <c r="C45" i="10"/>
  <c r="I45" i="10" s="1"/>
  <c r="J44" i="10"/>
  <c r="H44" i="10"/>
  <c r="H49" i="10" s="1"/>
  <c r="H8" i="11" s="1"/>
  <c r="J39" i="10"/>
  <c r="K39" i="10" s="1"/>
  <c r="H39" i="10"/>
  <c r="C39" i="10"/>
  <c r="I39" i="10" s="1"/>
  <c r="J38" i="10"/>
  <c r="K38" i="10" s="1"/>
  <c r="H38" i="10"/>
  <c r="C38" i="10"/>
  <c r="I38" i="10" s="1"/>
  <c r="J37" i="10"/>
  <c r="K37" i="10" s="1"/>
  <c r="H37" i="10"/>
  <c r="C37" i="10"/>
  <c r="I37" i="10" s="1"/>
  <c r="J36" i="10"/>
  <c r="K36" i="10" s="1"/>
  <c r="H36" i="10"/>
  <c r="C36" i="10"/>
  <c r="I36" i="10" s="1"/>
  <c r="J35" i="10"/>
  <c r="H35" i="10"/>
  <c r="H40" i="10" s="1"/>
  <c r="H7" i="11" s="1"/>
  <c r="J30" i="10"/>
  <c r="K30" i="10" s="1"/>
  <c r="H30" i="10"/>
  <c r="C30" i="10"/>
  <c r="I30" i="10" s="1"/>
  <c r="J29" i="10"/>
  <c r="K29" i="10" s="1"/>
  <c r="H29" i="10"/>
  <c r="C29" i="10"/>
  <c r="I29" i="10" s="1"/>
  <c r="J28" i="10"/>
  <c r="K28" i="10" s="1"/>
  <c r="H28" i="10"/>
  <c r="C28" i="10"/>
  <c r="I28" i="10" s="1"/>
  <c r="J27" i="10"/>
  <c r="K27" i="10" s="1"/>
  <c r="H27" i="10"/>
  <c r="C27" i="10"/>
  <c r="I27" i="10" s="1"/>
  <c r="J26" i="10"/>
  <c r="H26" i="10"/>
  <c r="H31" i="10" s="1"/>
  <c r="H6" i="11" s="1"/>
  <c r="J21" i="10"/>
  <c r="K21" i="10" s="1"/>
  <c r="H21" i="10"/>
  <c r="C21" i="10"/>
  <c r="I21" i="10" s="1"/>
  <c r="J20" i="10"/>
  <c r="K20" i="10" s="1"/>
  <c r="H20" i="10"/>
  <c r="C20" i="10"/>
  <c r="I20" i="10" s="1"/>
  <c r="J19" i="10"/>
  <c r="K19" i="10" s="1"/>
  <c r="H19" i="10"/>
  <c r="C19" i="10"/>
  <c r="I19" i="10" s="1"/>
  <c r="J18" i="10"/>
  <c r="K18" i="10" s="1"/>
  <c r="H18" i="10"/>
  <c r="C18" i="10"/>
  <c r="I18" i="10" s="1"/>
  <c r="J17" i="10"/>
  <c r="H17" i="10"/>
  <c r="H22" i="10" s="1"/>
  <c r="H5" i="11" s="1"/>
  <c r="J12" i="10"/>
  <c r="K12" i="10" s="1"/>
  <c r="H12" i="10"/>
  <c r="C12" i="10"/>
  <c r="I12" i="10" s="1"/>
  <c r="J11" i="10"/>
  <c r="K11" i="10" s="1"/>
  <c r="H11" i="10"/>
  <c r="C11" i="10"/>
  <c r="I11" i="10" s="1"/>
  <c r="J10" i="10"/>
  <c r="K10" i="10" s="1"/>
  <c r="H10" i="10"/>
  <c r="C10" i="10"/>
  <c r="I10" i="10" s="1"/>
  <c r="J9" i="10"/>
  <c r="K9" i="10" s="1"/>
  <c r="H9" i="10"/>
  <c r="C9" i="10"/>
  <c r="I9" i="10" s="1"/>
  <c r="J8" i="10"/>
  <c r="H8" i="10"/>
  <c r="H13" i="10" s="1"/>
  <c r="A1" i="10"/>
  <c r="A1" i="9"/>
  <c r="I111" i="8"/>
  <c r="H111" i="8"/>
  <c r="G111" i="8"/>
  <c r="I110" i="8"/>
  <c r="H110" i="8"/>
  <c r="G110" i="8"/>
  <c r="I109" i="8"/>
  <c r="H109" i="8"/>
  <c r="G109" i="8"/>
  <c r="I108" i="8"/>
  <c r="H108" i="8"/>
  <c r="G108" i="8"/>
  <c r="I107" i="8"/>
  <c r="H107" i="8"/>
  <c r="G107" i="8"/>
  <c r="I106" i="8"/>
  <c r="H106" i="8"/>
  <c r="G106" i="8"/>
  <c r="I105" i="8"/>
  <c r="H105" i="8"/>
  <c r="G105" i="8"/>
  <c r="I104" i="8"/>
  <c r="H104" i="8"/>
  <c r="G104" i="8"/>
  <c r="I103" i="8"/>
  <c r="H103" i="8"/>
  <c r="G103" i="8"/>
  <c r="I102" i="8"/>
  <c r="H102" i="8"/>
  <c r="G102" i="8"/>
  <c r="I101" i="8"/>
  <c r="H101" i="8"/>
  <c r="G101" i="8"/>
  <c r="I98" i="8"/>
  <c r="H98" i="8"/>
  <c r="G98" i="8"/>
  <c r="I97" i="8"/>
  <c r="H97" i="8"/>
  <c r="G97" i="8"/>
  <c r="I96" i="8"/>
  <c r="H96" i="8"/>
  <c r="G96" i="8"/>
  <c r="A1" i="7"/>
  <c r="A1" i="6"/>
  <c r="P555" i="5"/>
  <c r="N555" i="5"/>
  <c r="M555" i="5"/>
  <c r="P533" i="5"/>
  <c r="N533" i="5"/>
  <c r="M533" i="5"/>
  <c r="P530" i="5"/>
  <c r="N530" i="5"/>
  <c r="M530" i="5"/>
  <c r="P493" i="5"/>
  <c r="N493" i="5"/>
  <c r="M493" i="5"/>
  <c r="P451" i="5"/>
  <c r="N451" i="5"/>
  <c r="M451" i="5"/>
  <c r="P408" i="5"/>
  <c r="N408" i="5"/>
  <c r="M408" i="5"/>
  <c r="P328" i="5"/>
  <c r="N328" i="5"/>
  <c r="M328" i="5"/>
  <c r="P294" i="5"/>
  <c r="N294" i="5"/>
  <c r="M294" i="5"/>
  <c r="P224" i="5"/>
  <c r="N224" i="5"/>
  <c r="M224" i="5"/>
  <c r="P209" i="5"/>
  <c r="N209" i="5"/>
  <c r="M209" i="5"/>
  <c r="P188" i="5"/>
  <c r="N188" i="5"/>
  <c r="M188" i="5"/>
  <c r="P174" i="5"/>
  <c r="N174" i="5"/>
  <c r="M174" i="5"/>
  <c r="P158" i="5"/>
  <c r="N158" i="5"/>
  <c r="M158" i="5"/>
  <c r="P123" i="5"/>
  <c r="N123" i="5"/>
  <c r="M123" i="5"/>
  <c r="P106" i="5"/>
  <c r="N106" i="5"/>
  <c r="M106" i="5"/>
  <c r="P96" i="5"/>
  <c r="N96" i="5"/>
  <c r="M96" i="5"/>
  <c r="P94" i="5"/>
  <c r="N94" i="5"/>
  <c r="M94" i="5"/>
  <c r="P92" i="5"/>
  <c r="N92" i="5"/>
  <c r="M92" i="5"/>
  <c r="P74" i="5"/>
  <c r="N74" i="5"/>
  <c r="M74" i="5"/>
  <c r="P54" i="5"/>
  <c r="N54" i="5"/>
  <c r="M54" i="5"/>
  <c r="P43" i="5"/>
  <c r="N43" i="5"/>
  <c r="M43" i="5"/>
  <c r="P40" i="5"/>
  <c r="N40" i="5"/>
  <c r="M40" i="5"/>
  <c r="P37" i="5"/>
  <c r="N37" i="5"/>
  <c r="M37" i="5"/>
  <c r="P29" i="5"/>
  <c r="N29" i="5"/>
  <c r="M29" i="5"/>
  <c r="P26" i="5"/>
  <c r="N26" i="5"/>
  <c r="M26" i="5"/>
  <c r="P25" i="5"/>
  <c r="N25" i="5"/>
  <c r="M25" i="5"/>
  <c r="P23" i="5"/>
  <c r="N23" i="5"/>
  <c r="M23" i="5"/>
  <c r="P21" i="5"/>
  <c r="N21" i="5"/>
  <c r="M21" i="5"/>
  <c r="A1" i="5"/>
  <c r="J142" i="4"/>
  <c r="H142" i="4"/>
  <c r="G142" i="4"/>
  <c r="J141" i="4"/>
  <c r="H141" i="4"/>
  <c r="G141" i="4"/>
  <c r="J140" i="4"/>
  <c r="H140" i="4"/>
  <c r="G140" i="4"/>
  <c r="J139" i="4"/>
  <c r="H139" i="4"/>
  <c r="G139" i="4"/>
  <c r="J138" i="4"/>
  <c r="H138" i="4"/>
  <c r="G138" i="4"/>
  <c r="J137" i="4"/>
  <c r="H137" i="4"/>
  <c r="G137" i="4"/>
  <c r="J136" i="4"/>
  <c r="H136" i="4"/>
  <c r="G136" i="4"/>
  <c r="J135" i="4"/>
  <c r="H135" i="4"/>
  <c r="G135" i="4"/>
  <c r="J134" i="4"/>
  <c r="H134" i="4"/>
  <c r="G134" i="4"/>
  <c r="J133" i="4"/>
  <c r="H133" i="4"/>
  <c r="G133" i="4"/>
  <c r="J126" i="4"/>
  <c r="H126" i="4"/>
  <c r="G126" i="4"/>
  <c r="J125" i="4"/>
  <c r="H125" i="4"/>
  <c r="G125" i="4"/>
  <c r="J124" i="4"/>
  <c r="H124" i="4"/>
  <c r="G124" i="4"/>
  <c r="J123" i="4"/>
  <c r="H123" i="4"/>
  <c r="G123" i="4"/>
  <c r="J122" i="4"/>
  <c r="H122" i="4"/>
  <c r="G122" i="4"/>
  <c r="J121" i="4"/>
  <c r="H121" i="4"/>
  <c r="G121" i="4"/>
  <c r="J120" i="4"/>
  <c r="H120" i="4"/>
  <c r="G120" i="4"/>
  <c r="J119" i="4"/>
  <c r="H119" i="4"/>
  <c r="G119" i="4"/>
  <c r="K106" i="4"/>
  <c r="K105" i="4"/>
  <c r="K104" i="4"/>
  <c r="K103" i="4"/>
  <c r="K102" i="4"/>
  <c r="J101" i="4"/>
  <c r="H101" i="4"/>
  <c r="G101" i="4"/>
  <c r="J100" i="4"/>
  <c r="H100" i="4"/>
  <c r="G100" i="4"/>
  <c r="K99" i="4"/>
  <c r="K98" i="4"/>
  <c r="K97" i="4"/>
  <c r="J96" i="4"/>
  <c r="H96" i="4"/>
  <c r="G96" i="4"/>
  <c r="J95" i="4"/>
  <c r="H95" i="4"/>
  <c r="G95" i="4"/>
  <c r="J94" i="4"/>
  <c r="H94" i="4"/>
  <c r="G94" i="4"/>
  <c r="J93" i="4"/>
  <c r="H93" i="4"/>
  <c r="G93" i="4"/>
  <c r="J92" i="4"/>
  <c r="H92" i="4"/>
  <c r="G92" i="4"/>
  <c r="J91" i="4"/>
  <c r="H91" i="4"/>
  <c r="G91" i="4"/>
  <c r="J90" i="4"/>
  <c r="H90" i="4"/>
  <c r="G90" i="4"/>
  <c r="J89" i="4"/>
  <c r="H89" i="4"/>
  <c r="G89" i="4"/>
  <c r="J88" i="4"/>
  <c r="H88" i="4"/>
  <c r="G88" i="4"/>
  <c r="J87" i="4"/>
  <c r="H87" i="4"/>
  <c r="G87" i="4"/>
  <c r="J86" i="4"/>
  <c r="H86" i="4"/>
  <c r="G86" i="4"/>
  <c r="J85" i="4"/>
  <c r="H85" i="4"/>
  <c r="G85" i="4"/>
  <c r="J84" i="4"/>
  <c r="H84" i="4"/>
  <c r="G84" i="4"/>
  <c r="J83" i="4"/>
  <c r="H83" i="4"/>
  <c r="G83" i="4"/>
  <c r="J82" i="4"/>
  <c r="H82" i="4"/>
  <c r="G82" i="4"/>
  <c r="J81" i="4"/>
  <c r="H81" i="4"/>
  <c r="G81" i="4"/>
  <c r="J80" i="4"/>
  <c r="H80" i="4"/>
  <c r="G80" i="4"/>
  <c r="J79" i="4"/>
  <c r="H79" i="4"/>
  <c r="G79" i="4"/>
  <c r="J78" i="4"/>
  <c r="H78" i="4"/>
  <c r="G78" i="4"/>
  <c r="J77" i="4"/>
  <c r="H77" i="4"/>
  <c r="G77" i="4"/>
  <c r="J76" i="4"/>
  <c r="H76" i="4"/>
  <c r="G76" i="4"/>
  <c r="J75" i="4"/>
  <c r="H75" i="4"/>
  <c r="G75" i="4"/>
  <c r="J74" i="4"/>
  <c r="H74" i="4"/>
  <c r="G74" i="4"/>
  <c r="J73" i="4"/>
  <c r="H73" i="4"/>
  <c r="G73" i="4"/>
  <c r="J72" i="4"/>
  <c r="H72" i="4"/>
  <c r="G72" i="4"/>
  <c r="J71" i="4"/>
  <c r="H71" i="4"/>
  <c r="G71" i="4"/>
  <c r="J70" i="4"/>
  <c r="H70" i="4"/>
  <c r="G70" i="4"/>
  <c r="J69" i="4"/>
  <c r="H69" i="4"/>
  <c r="G69" i="4"/>
  <c r="J68" i="4"/>
  <c r="H68" i="4"/>
  <c r="G68" i="4"/>
  <c r="J67" i="4"/>
  <c r="H67" i="4"/>
  <c r="G67" i="4"/>
  <c r="J66" i="4"/>
  <c r="H66" i="4"/>
  <c r="G66" i="4"/>
  <c r="J65" i="4"/>
  <c r="H65" i="4"/>
  <c r="G65" i="4"/>
  <c r="J64" i="4"/>
  <c r="H64" i="4"/>
  <c r="G64" i="4"/>
  <c r="J63" i="4"/>
  <c r="H63" i="4"/>
  <c r="G63" i="4"/>
  <c r="J62" i="4"/>
  <c r="H62" i="4"/>
  <c r="G62" i="4"/>
  <c r="J61" i="4"/>
  <c r="H61" i="4"/>
  <c r="G61" i="4"/>
  <c r="J60" i="4"/>
  <c r="H60" i="4"/>
  <c r="G60" i="4"/>
  <c r="J59" i="4"/>
  <c r="H59" i="4"/>
  <c r="G59" i="4"/>
  <c r="J58" i="4"/>
  <c r="H58" i="4"/>
  <c r="G58" i="4"/>
  <c r="J57" i="4"/>
  <c r="H57" i="4"/>
  <c r="G57" i="4"/>
  <c r="J56" i="4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J50" i="4"/>
  <c r="H50" i="4"/>
  <c r="G50" i="4"/>
  <c r="J49" i="4"/>
  <c r="H49" i="4"/>
  <c r="G49" i="4"/>
  <c r="J48" i="4"/>
  <c r="H48" i="4"/>
  <c r="G48" i="4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42" i="4"/>
  <c r="H42" i="4"/>
  <c r="G42" i="4"/>
  <c r="J41" i="4"/>
  <c r="H41" i="4"/>
  <c r="G41" i="4"/>
  <c r="J40" i="4"/>
  <c r="H40" i="4"/>
  <c r="G40" i="4"/>
  <c r="J39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B44" i="2"/>
  <c r="B43" i="2"/>
  <c r="B42" i="2"/>
  <c r="B41" i="2"/>
  <c r="B40" i="2"/>
  <c r="B39" i="2"/>
  <c r="B38" i="2"/>
  <c r="B37" i="2"/>
  <c r="B36" i="2"/>
  <c r="C6" i="12" s="1"/>
  <c r="K6" i="12" s="1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C98" i="10" l="1"/>
  <c r="I98" i="10" s="1"/>
  <c r="C26" i="10"/>
  <c r="I26" i="10" s="1"/>
  <c r="C8" i="10"/>
  <c r="I8" i="10" s="1"/>
  <c r="E107" i="8"/>
  <c r="E106" i="8"/>
  <c r="E104" i="8"/>
  <c r="E95" i="8"/>
  <c r="E94" i="8"/>
  <c r="E85" i="8"/>
  <c r="E77" i="8"/>
  <c r="E75" i="8"/>
  <c r="E70" i="8"/>
  <c r="E67" i="8"/>
  <c r="E54" i="8"/>
  <c r="E50" i="8"/>
  <c r="E42" i="8"/>
  <c r="E40" i="8"/>
  <c r="E34" i="8"/>
  <c r="E28" i="8"/>
  <c r="L605" i="5"/>
  <c r="L604" i="5"/>
  <c r="L599" i="5"/>
  <c r="L533" i="5"/>
  <c r="Q533" i="5" s="1"/>
  <c r="T533" i="5" s="1"/>
  <c r="U533" i="5" s="1"/>
  <c r="L328" i="5"/>
  <c r="Q328" i="5" s="1"/>
  <c r="L302" i="5"/>
  <c r="L301" i="5"/>
  <c r="L300" i="5"/>
  <c r="L299" i="5"/>
  <c r="L291" i="5"/>
  <c r="L283" i="5"/>
  <c r="L232" i="5"/>
  <c r="L231" i="5"/>
  <c r="L230" i="5"/>
  <c r="L229" i="5"/>
  <c r="L226" i="5"/>
  <c r="L205" i="5"/>
  <c r="L204" i="5"/>
  <c r="L203" i="5"/>
  <c r="L202" i="5"/>
  <c r="L187" i="5"/>
  <c r="L183" i="5"/>
  <c r="L182" i="5"/>
  <c r="L181" i="5"/>
  <c r="L180" i="5"/>
  <c r="L154" i="5"/>
  <c r="L153" i="5"/>
  <c r="L151" i="5"/>
  <c r="L150" i="5"/>
  <c r="L132" i="5"/>
  <c r="L131" i="5"/>
  <c r="L130" i="5"/>
  <c r="L129" i="5"/>
  <c r="L102" i="5"/>
  <c r="L101" i="5"/>
  <c r="L100" i="5"/>
  <c r="L99" i="5"/>
  <c r="L90" i="5"/>
  <c r="L84" i="5"/>
  <c r="L83" i="5"/>
  <c r="L82" i="5"/>
  <c r="L81" i="5"/>
  <c r="L80" i="5"/>
  <c r="L79" i="5"/>
  <c r="L78" i="5"/>
  <c r="L72" i="5"/>
  <c r="L71" i="5"/>
  <c r="L61" i="5"/>
  <c r="L60" i="5"/>
  <c r="L59" i="5"/>
  <c r="L58" i="5"/>
  <c r="L57" i="5"/>
  <c r="L56" i="5"/>
  <c r="L55" i="5"/>
  <c r="L50" i="5"/>
  <c r="L34" i="5"/>
  <c r="L33" i="5"/>
  <c r="L32" i="5"/>
  <c r="L31" i="5"/>
  <c r="L30" i="5"/>
  <c r="L28" i="5"/>
  <c r="L27" i="5"/>
  <c r="L26" i="5"/>
  <c r="L24" i="5"/>
  <c r="L22" i="5"/>
  <c r="L20" i="5"/>
  <c r="L19" i="5"/>
  <c r="L18" i="5"/>
  <c r="L15" i="5"/>
  <c r="L14" i="5"/>
  <c r="L13" i="5"/>
  <c r="L12" i="5"/>
  <c r="L11" i="5"/>
  <c r="L10" i="5"/>
  <c r="F108" i="4"/>
  <c r="K108" i="4" s="1"/>
  <c r="F107" i="4"/>
  <c r="K107" i="4" s="1"/>
  <c r="F105" i="4"/>
  <c r="F96" i="4"/>
  <c r="F95" i="4"/>
  <c r="F86" i="4"/>
  <c r="F78" i="4"/>
  <c r="F76" i="4"/>
  <c r="F71" i="4"/>
  <c r="F68" i="4"/>
  <c r="F55" i="4"/>
  <c r="F51" i="4"/>
  <c r="F43" i="4"/>
  <c r="F41" i="4"/>
  <c r="F35" i="4"/>
  <c r="F29" i="4"/>
  <c r="C89" i="10"/>
  <c r="I89" i="10" s="1"/>
  <c r="E83" i="8"/>
  <c r="E63" i="8"/>
  <c r="E37" i="8"/>
  <c r="E32" i="8"/>
  <c r="E26" i="8"/>
  <c r="L529" i="5"/>
  <c r="L528" i="5"/>
  <c r="L527" i="5"/>
  <c r="L526" i="5"/>
  <c r="L525" i="5"/>
  <c r="L524" i="5"/>
  <c r="L522" i="5"/>
  <c r="L521" i="5"/>
  <c r="L517" i="5"/>
  <c r="L516" i="5"/>
  <c r="L515" i="5"/>
  <c r="L514" i="5"/>
  <c r="L513" i="5"/>
  <c r="L511" i="5"/>
  <c r="L510" i="5"/>
  <c r="L509" i="5"/>
  <c r="L508" i="5"/>
  <c r="L506" i="5"/>
  <c r="L504" i="5"/>
  <c r="L502" i="5"/>
  <c r="L501" i="5"/>
  <c r="L500" i="5"/>
  <c r="L499" i="5"/>
  <c r="L498" i="5"/>
  <c r="L497" i="5"/>
  <c r="L496" i="5"/>
  <c r="F84" i="4"/>
  <c r="F64" i="4"/>
  <c r="F38" i="4"/>
  <c r="F33" i="4"/>
  <c r="F27" i="4"/>
  <c r="C116" i="10"/>
  <c r="I116" i="10" s="1"/>
  <c r="C80" i="10"/>
  <c r="I80" i="10" s="1"/>
  <c r="C71" i="10"/>
  <c r="I71" i="10" s="1"/>
  <c r="C62" i="10"/>
  <c r="I62" i="10" s="1"/>
  <c r="E90" i="8"/>
  <c r="E82" i="8"/>
  <c r="E62" i="8"/>
  <c r="E39" i="8"/>
  <c r="E36" i="8"/>
  <c r="E33" i="8"/>
  <c r="E31" i="8"/>
  <c r="E25" i="8"/>
  <c r="E16" i="8"/>
  <c r="L551" i="5"/>
  <c r="L550" i="5"/>
  <c r="L549" i="5"/>
  <c r="L548" i="5"/>
  <c r="L547" i="5"/>
  <c r="L546" i="5"/>
  <c r="L545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8" i="5"/>
  <c r="L477" i="5"/>
  <c r="L476" i="5"/>
  <c r="L475" i="5"/>
  <c r="L474" i="5"/>
  <c r="L473" i="5"/>
  <c r="L472" i="5"/>
  <c r="L471" i="5"/>
  <c r="L470" i="5"/>
  <c r="L469" i="5"/>
  <c r="L468" i="5"/>
  <c r="L467" i="5"/>
  <c r="L465" i="5"/>
  <c r="L459" i="5"/>
  <c r="L457" i="5"/>
  <c r="L456" i="5"/>
  <c r="L454" i="5"/>
  <c r="L447" i="5"/>
  <c r="L445" i="5"/>
  <c r="L443" i="5"/>
  <c r="L441" i="5"/>
  <c r="L440" i="5"/>
  <c r="L438" i="5"/>
  <c r="L436" i="5"/>
  <c r="L435" i="5"/>
  <c r="L434" i="5"/>
  <c r="L433" i="5"/>
  <c r="L432" i="5"/>
  <c r="L431" i="5"/>
  <c r="L430" i="5"/>
  <c r="L429" i="5"/>
  <c r="L428" i="5"/>
  <c r="L427" i="5"/>
  <c r="L426" i="5"/>
  <c r="L425" i="5"/>
  <c r="L424" i="5"/>
  <c r="L423" i="5"/>
  <c r="L422" i="5"/>
  <c r="L421" i="5"/>
  <c r="L420" i="5"/>
  <c r="L419" i="5"/>
  <c r="L418" i="5"/>
  <c r="L417" i="5"/>
  <c r="L416" i="5"/>
  <c r="L415" i="5"/>
  <c r="L414" i="5"/>
  <c r="L411" i="5"/>
  <c r="L404" i="5"/>
  <c r="L403" i="5"/>
  <c r="L402" i="5"/>
  <c r="L401" i="5"/>
  <c r="L400" i="5"/>
  <c r="L399" i="5"/>
  <c r="L398" i="5"/>
  <c r="L397" i="5"/>
  <c r="L396" i="5"/>
  <c r="L394" i="5"/>
  <c r="L393" i="5"/>
  <c r="L392" i="5"/>
  <c r="F91" i="4"/>
  <c r="F83" i="4"/>
  <c r="F63" i="4"/>
  <c r="F40" i="4"/>
  <c r="F37" i="4"/>
  <c r="F34" i="4"/>
  <c r="F32" i="4"/>
  <c r="F26" i="4"/>
  <c r="F17" i="4"/>
  <c r="E103" i="8"/>
  <c r="L25" i="5"/>
  <c r="L23" i="5"/>
  <c r="F104" i="4"/>
  <c r="C143" i="10"/>
  <c r="I143" i="10" s="1"/>
  <c r="C53" i="10"/>
  <c r="I53" i="10" s="1"/>
  <c r="E89" i="8"/>
  <c r="E81" i="8"/>
  <c r="E73" i="8"/>
  <c r="E61" i="8"/>
  <c r="E48" i="8"/>
  <c r="E30" i="8"/>
  <c r="E24" i="8"/>
  <c r="E19" i="8"/>
  <c r="E15" i="8"/>
  <c r="L631" i="5"/>
  <c r="L630" i="5"/>
  <c r="L629" i="5"/>
  <c r="L624" i="5"/>
  <c r="L388" i="5"/>
  <c r="L387" i="5"/>
  <c r="L386" i="5"/>
  <c r="L385" i="5"/>
  <c r="L384" i="5"/>
  <c r="L383" i="5"/>
  <c r="L382" i="5"/>
  <c r="L380" i="5"/>
  <c r="L377" i="5"/>
  <c r="L376" i="5"/>
  <c r="L374" i="5"/>
  <c r="L373" i="5"/>
  <c r="L372" i="5"/>
  <c r="L370" i="5"/>
  <c r="L369" i="5"/>
  <c r="L368" i="5"/>
  <c r="L367" i="5"/>
  <c r="L365" i="5"/>
  <c r="L363" i="5"/>
  <c r="L361" i="5"/>
  <c r="L359" i="5"/>
  <c r="L358" i="5"/>
  <c r="L356" i="5"/>
  <c r="L345" i="5"/>
  <c r="L344" i="5"/>
  <c r="L343" i="5"/>
  <c r="L342" i="5"/>
  <c r="L341" i="5"/>
  <c r="L340" i="5"/>
  <c r="L338" i="5"/>
  <c r="L336" i="5"/>
  <c r="L335" i="5"/>
  <c r="L334" i="5"/>
  <c r="L333" i="5"/>
  <c r="L332" i="5"/>
  <c r="L331" i="5"/>
  <c r="L330" i="5"/>
  <c r="L329" i="5"/>
  <c r="F90" i="4"/>
  <c r="F82" i="4"/>
  <c r="F74" i="4"/>
  <c r="F62" i="4"/>
  <c r="F49" i="4"/>
  <c r="F31" i="4"/>
  <c r="F25" i="4"/>
  <c r="F20" i="4"/>
  <c r="F16" i="4"/>
  <c r="E57" i="8"/>
  <c r="E21" i="8"/>
  <c r="L279" i="5"/>
  <c r="L276" i="5"/>
  <c r="L273" i="5"/>
  <c r="L268" i="5"/>
  <c r="L266" i="5"/>
  <c r="L263" i="5"/>
  <c r="L259" i="5"/>
  <c r="L257" i="5"/>
  <c r="F58" i="4"/>
  <c r="F22" i="4"/>
  <c r="E98" i="8"/>
  <c r="E66" i="8"/>
  <c r="E41" i="8"/>
  <c r="L43" i="5"/>
  <c r="L40" i="5"/>
  <c r="L17" i="5"/>
  <c r="L9" i="5"/>
  <c r="F99" i="4"/>
  <c r="F67" i="4"/>
  <c r="F42" i="4"/>
  <c r="E105" i="8"/>
  <c r="E96" i="8"/>
  <c r="E88" i="8"/>
  <c r="E80" i="8"/>
  <c r="E52" i="8"/>
  <c r="E47" i="8"/>
  <c r="E45" i="8"/>
  <c r="E18" i="8"/>
  <c r="E14" i="8"/>
  <c r="L305" i="5"/>
  <c r="L303" i="5"/>
  <c r="L297" i="5"/>
  <c r="L296" i="5"/>
  <c r="L295" i="5"/>
  <c r="L294" i="5"/>
  <c r="L293" i="5"/>
  <c r="L289" i="5"/>
  <c r="L288" i="5"/>
  <c r="L286" i="5"/>
  <c r="L285" i="5"/>
  <c r="L284" i="5"/>
  <c r="L227" i="5"/>
  <c r="L224" i="5"/>
  <c r="L223" i="5"/>
  <c r="L221" i="5"/>
  <c r="L220" i="5"/>
  <c r="L219" i="5"/>
  <c r="L218" i="5"/>
  <c r="L217" i="5"/>
  <c r="L216" i="5"/>
  <c r="L214" i="5"/>
  <c r="L213" i="5"/>
  <c r="L212" i="5"/>
  <c r="L211" i="5"/>
  <c r="L209" i="5"/>
  <c r="L208" i="5"/>
  <c r="L206" i="5"/>
  <c r="L201" i="5"/>
  <c r="L199" i="5"/>
  <c r="L198" i="5"/>
  <c r="L197" i="5"/>
  <c r="L196" i="5"/>
  <c r="L195" i="5"/>
  <c r="L194" i="5"/>
  <c r="L193" i="5"/>
  <c r="L192" i="5"/>
  <c r="L191" i="5"/>
  <c r="L190" i="5"/>
  <c r="L189" i="5"/>
  <c r="L186" i="5"/>
  <c r="L185" i="5"/>
  <c r="L184" i="5"/>
  <c r="L178" i="5"/>
  <c r="L176" i="5"/>
  <c r="L174" i="5"/>
  <c r="L173" i="5"/>
  <c r="L172" i="5"/>
  <c r="L171" i="5"/>
  <c r="L169" i="5"/>
  <c r="L168" i="5"/>
  <c r="L166" i="5"/>
  <c r="L165" i="5"/>
  <c r="L164" i="5"/>
  <c r="L163" i="5"/>
  <c r="L162" i="5"/>
  <c r="L161" i="5"/>
  <c r="L160" i="5"/>
  <c r="L158" i="5"/>
  <c r="L157" i="5"/>
  <c r="L155" i="5"/>
  <c r="L152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27" i="5"/>
  <c r="L126" i="5"/>
  <c r="L125" i="5"/>
  <c r="L123" i="5"/>
  <c r="L122" i="5"/>
  <c r="L120" i="5"/>
  <c r="L119" i="5"/>
  <c r="L118" i="5"/>
  <c r="L117" i="5"/>
  <c r="L116" i="5"/>
  <c r="L115" i="5"/>
  <c r="L113" i="5"/>
  <c r="L112" i="5"/>
  <c r="L111" i="5"/>
  <c r="L110" i="5"/>
  <c r="L109" i="5"/>
  <c r="L108" i="5"/>
  <c r="L106" i="5"/>
  <c r="L105" i="5"/>
  <c r="L103" i="5"/>
  <c r="L97" i="5"/>
  <c r="L96" i="5"/>
  <c r="L95" i="5"/>
  <c r="L94" i="5"/>
  <c r="L93" i="5"/>
  <c r="L92" i="5"/>
  <c r="L91" i="5"/>
  <c r="L89" i="5"/>
  <c r="L88" i="5"/>
  <c r="L87" i="5"/>
  <c r="L86" i="5"/>
  <c r="L85" i="5"/>
  <c r="L76" i="5"/>
  <c r="L74" i="5"/>
  <c r="L73" i="5"/>
  <c r="L70" i="5"/>
  <c r="L69" i="5"/>
  <c r="L68" i="5"/>
  <c r="L67" i="5"/>
  <c r="L66" i="5"/>
  <c r="L65" i="5"/>
  <c r="L64" i="5"/>
  <c r="L63" i="5"/>
  <c r="L62" i="5"/>
  <c r="L54" i="5"/>
  <c r="L53" i="5"/>
  <c r="L52" i="5"/>
  <c r="L49" i="5"/>
  <c r="L47" i="5"/>
  <c r="L35" i="5"/>
  <c r="L6" i="5"/>
  <c r="F106" i="4"/>
  <c r="F97" i="4"/>
  <c r="F89" i="4"/>
  <c r="F81" i="4"/>
  <c r="F53" i="4"/>
  <c r="F48" i="4"/>
  <c r="F46" i="4"/>
  <c r="F19" i="4"/>
  <c r="F15" i="4"/>
  <c r="E55" i="8"/>
  <c r="L321" i="5"/>
  <c r="F56" i="4"/>
  <c r="C125" i="10"/>
  <c r="I125" i="10" s="1"/>
  <c r="E97" i="8"/>
  <c r="E91" i="8"/>
  <c r="E84" i="8"/>
  <c r="E74" i="8"/>
  <c r="E64" i="8"/>
  <c r="E49" i="8"/>
  <c r="E46" i="8"/>
  <c r="E17" i="8"/>
  <c r="L565" i="5"/>
  <c r="L564" i="5"/>
  <c r="L563" i="5"/>
  <c r="L562" i="5"/>
  <c r="L561" i="5"/>
  <c r="L560" i="5"/>
  <c r="L559" i="5"/>
  <c r="L558" i="5"/>
  <c r="L319" i="5"/>
  <c r="L45" i="5"/>
  <c r="L39" i="5"/>
  <c r="L37" i="5"/>
  <c r="L36" i="5"/>
  <c r="F98" i="4"/>
  <c r="F92" i="4"/>
  <c r="F85" i="4"/>
  <c r="F75" i="4"/>
  <c r="F65" i="4"/>
  <c r="F50" i="4"/>
  <c r="F47" i="4"/>
  <c r="F18" i="4"/>
  <c r="C8" i="12"/>
  <c r="K8" i="12" s="1"/>
  <c r="L8" i="12" s="1"/>
  <c r="C7" i="12"/>
  <c r="K7" i="12" s="1"/>
  <c r="L7" i="12" s="1"/>
  <c r="C107" i="10"/>
  <c r="I107" i="10" s="1"/>
  <c r="E86" i="8"/>
  <c r="E69" i="8"/>
  <c r="L542" i="5"/>
  <c r="L541" i="5"/>
  <c r="L540" i="5"/>
  <c r="L539" i="5"/>
  <c r="L538" i="5"/>
  <c r="F87" i="4"/>
  <c r="F70" i="4"/>
  <c r="E130" i="8"/>
  <c r="E125" i="8"/>
  <c r="L19" i="7"/>
  <c r="L17" i="7"/>
  <c r="L15" i="7"/>
  <c r="L13" i="7"/>
  <c r="L11" i="7"/>
  <c r="L9" i="7"/>
  <c r="L7" i="7"/>
  <c r="L5" i="7"/>
  <c r="F139" i="4"/>
  <c r="F134" i="4"/>
  <c r="E71" i="8"/>
  <c r="E68" i="8"/>
  <c r="E29" i="8"/>
  <c r="L320" i="5"/>
  <c r="L280" i="5"/>
  <c r="L277" i="5"/>
  <c r="L274" i="5"/>
  <c r="L271" i="5"/>
  <c r="L270" i="5"/>
  <c r="L267" i="5"/>
  <c r="L264" i="5"/>
  <c r="L261" i="5"/>
  <c r="L258" i="5"/>
  <c r="F72" i="4"/>
  <c r="F69" i="4"/>
  <c r="F30" i="4"/>
  <c r="C134" i="10"/>
  <c r="I134" i="10" s="1"/>
  <c r="C44" i="10"/>
  <c r="I44" i="10" s="1"/>
  <c r="C35" i="10"/>
  <c r="I35" i="10" s="1"/>
  <c r="E109" i="8"/>
  <c r="E101" i="8"/>
  <c r="E87" i="8"/>
  <c r="E79" i="8"/>
  <c r="E76" i="8"/>
  <c r="E72" i="8"/>
  <c r="E60" i="8"/>
  <c r="E53" i="8"/>
  <c r="E51" i="8"/>
  <c r="E44" i="8"/>
  <c r="E43" i="8"/>
  <c r="E23" i="8"/>
  <c r="E13" i="8"/>
  <c r="E8" i="8"/>
  <c r="L627" i="5"/>
  <c r="L625" i="5"/>
  <c r="L622" i="5"/>
  <c r="L620" i="5"/>
  <c r="L618" i="5"/>
  <c r="L616" i="5"/>
  <c r="L614" i="5"/>
  <c r="L612" i="5"/>
  <c r="L610" i="5"/>
  <c r="L608" i="5"/>
  <c r="L606" i="5"/>
  <c r="L602" i="5"/>
  <c r="L600" i="5"/>
  <c r="L598" i="5"/>
  <c r="L596" i="5"/>
  <c r="L594" i="5"/>
  <c r="L592" i="5"/>
  <c r="L589" i="5"/>
  <c r="L588" i="5"/>
  <c r="L587" i="5"/>
  <c r="L586" i="5"/>
  <c r="L585" i="5"/>
  <c r="L584" i="5"/>
  <c r="L583" i="5"/>
  <c r="L582" i="5"/>
  <c r="L581" i="5"/>
  <c r="L580" i="5"/>
  <c r="L579" i="5"/>
  <c r="L578" i="5"/>
  <c r="L577" i="5"/>
  <c r="L576" i="5"/>
  <c r="L575" i="5"/>
  <c r="L574" i="5"/>
  <c r="L573" i="5"/>
  <c r="L572" i="5"/>
  <c r="L571" i="5"/>
  <c r="L570" i="5"/>
  <c r="L569" i="5"/>
  <c r="L568" i="5"/>
  <c r="L530" i="5"/>
  <c r="Q530" i="5" s="1"/>
  <c r="T530" i="5" s="1"/>
  <c r="U530" i="5" s="1"/>
  <c r="L325" i="5"/>
  <c r="L324" i="5"/>
  <c r="L323" i="5"/>
  <c r="L322" i="5"/>
  <c r="L315" i="5"/>
  <c r="L314" i="5"/>
  <c r="L313" i="5"/>
  <c r="L312" i="5"/>
  <c r="L311" i="5"/>
  <c r="L307" i="5"/>
  <c r="L298" i="5"/>
  <c r="L228" i="5"/>
  <c r="L215" i="5"/>
  <c r="L200" i="5"/>
  <c r="L188" i="5"/>
  <c r="L179" i="5"/>
  <c r="L167" i="5"/>
  <c r="L149" i="5"/>
  <c r="L128" i="5"/>
  <c r="L114" i="5"/>
  <c r="L98" i="5"/>
  <c r="L51" i="5"/>
  <c r="L48" i="5"/>
  <c r="L42" i="5"/>
  <c r="L16" i="5"/>
  <c r="L7" i="5"/>
  <c r="L5" i="5"/>
  <c r="F110" i="4"/>
  <c r="K110" i="4" s="1"/>
  <c r="F102" i="4"/>
  <c r="F88" i="4"/>
  <c r="F80" i="4"/>
  <c r="F77" i="4"/>
  <c r="F73" i="4"/>
  <c r="F61" i="4"/>
  <c r="F54" i="4"/>
  <c r="F52" i="4"/>
  <c r="F45" i="4"/>
  <c r="F44" i="4"/>
  <c r="F24" i="4"/>
  <c r="F14" i="4"/>
  <c r="F9" i="4"/>
  <c r="E38" i="8"/>
  <c r="L553" i="5"/>
  <c r="L519" i="5"/>
  <c r="L463" i="5"/>
  <c r="L461" i="5"/>
  <c r="L448" i="5"/>
  <c r="L406" i="5"/>
  <c r="F39" i="4"/>
  <c r="E65" i="8"/>
  <c r="E27" i="8"/>
  <c r="L278" i="5"/>
  <c r="L275" i="5"/>
  <c r="L272" i="5"/>
  <c r="L269" i="5"/>
  <c r="L265" i="5"/>
  <c r="L262" i="5"/>
  <c r="L260" i="5"/>
  <c r="L256" i="5"/>
  <c r="F66" i="4"/>
  <c r="F28" i="4"/>
  <c r="C169" i="10"/>
  <c r="I169" i="10" s="1"/>
  <c r="E131" i="8"/>
  <c r="E126" i="8"/>
  <c r="L20" i="7"/>
  <c r="L18" i="7"/>
  <c r="L16" i="7"/>
  <c r="L14" i="7"/>
  <c r="L12" i="7"/>
  <c r="L10" i="7"/>
  <c r="L8" i="7"/>
  <c r="L6" i="7"/>
  <c r="F140" i="4"/>
  <c r="F135" i="4"/>
  <c r="E110" i="8"/>
  <c r="L555" i="5"/>
  <c r="Q555" i="5" s="1"/>
  <c r="T555" i="5" s="1"/>
  <c r="U555" i="5" s="1"/>
  <c r="L493" i="5"/>
  <c r="Q493" i="5" s="1"/>
  <c r="T493" i="5" s="1"/>
  <c r="U493" i="5" s="1"/>
  <c r="L408" i="5"/>
  <c r="Q408" i="5" s="1"/>
  <c r="T408" i="5" s="1"/>
  <c r="U408" i="5" s="1"/>
  <c r="F111" i="4"/>
  <c r="K111" i="4" s="1"/>
  <c r="C178" i="10"/>
  <c r="I178" i="10" s="1"/>
  <c r="E133" i="8"/>
  <c r="E132" i="8"/>
  <c r="E129" i="8"/>
  <c r="E128" i="8"/>
  <c r="E127" i="8"/>
  <c r="E124" i="8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F142" i="4"/>
  <c r="F141" i="4"/>
  <c r="F138" i="4"/>
  <c r="F137" i="4"/>
  <c r="F136" i="4"/>
  <c r="F133" i="4"/>
  <c r="E111" i="8"/>
  <c r="L451" i="5"/>
  <c r="Q451" i="5" s="1"/>
  <c r="T451" i="5" s="1"/>
  <c r="U451" i="5" s="1"/>
  <c r="F112" i="4"/>
  <c r="K112" i="4" s="1"/>
  <c r="C17" i="10"/>
  <c r="I17" i="10" s="1"/>
  <c r="E93" i="8"/>
  <c r="E59" i="8"/>
  <c r="E22" i="8"/>
  <c r="E12" i="8"/>
  <c r="E7" i="8"/>
  <c r="L255" i="5"/>
  <c r="L253" i="5"/>
  <c r="L251" i="5"/>
  <c r="L248" i="5"/>
  <c r="L245" i="5"/>
  <c r="L242" i="5"/>
  <c r="L240" i="5"/>
  <c r="L238" i="5"/>
  <c r="L236" i="5"/>
  <c r="F94" i="4"/>
  <c r="F60" i="4"/>
  <c r="F23" i="4"/>
  <c r="F13" i="4"/>
  <c r="F8" i="4"/>
  <c r="E78" i="8"/>
  <c r="E58" i="8"/>
  <c r="L537" i="5"/>
  <c r="L536" i="5"/>
  <c r="L535" i="5"/>
  <c r="F79" i="4"/>
  <c r="F59" i="4"/>
  <c r="K9" i="12"/>
  <c r="L6" i="12"/>
  <c r="E92" i="8"/>
  <c r="E56" i="8"/>
  <c r="E20" i="8"/>
  <c r="E11" i="8"/>
  <c r="E6" i="8"/>
  <c r="L254" i="5"/>
  <c r="L252" i="5"/>
  <c r="L250" i="5"/>
  <c r="L247" i="5"/>
  <c r="L246" i="5"/>
  <c r="L243" i="5"/>
  <c r="L239" i="5"/>
  <c r="L237" i="5"/>
  <c r="L235" i="5"/>
  <c r="F93" i="4"/>
  <c r="F57" i="4"/>
  <c r="F21" i="4"/>
  <c r="F12" i="4"/>
  <c r="F7" i="4"/>
  <c r="C8" i="14"/>
  <c r="K8" i="14" s="1"/>
  <c r="L8" i="14" s="1"/>
  <c r="C7" i="14"/>
  <c r="K7" i="14" s="1"/>
  <c r="L7" i="14" s="1"/>
  <c r="C6" i="14"/>
  <c r="K6" i="14" s="1"/>
  <c r="C156" i="10"/>
  <c r="I156" i="10" s="1"/>
  <c r="E121" i="8"/>
  <c r="E120" i="8"/>
  <c r="E119" i="8"/>
  <c r="E118" i="8"/>
  <c r="E117" i="8"/>
  <c r="E116" i="8"/>
  <c r="E115" i="8"/>
  <c r="E114" i="8"/>
  <c r="E108" i="8"/>
  <c r="E35" i="8"/>
  <c r="E10" i="8"/>
  <c r="E9" i="8"/>
  <c r="E5" i="8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389" i="5"/>
  <c r="L379" i="5"/>
  <c r="L378" i="5"/>
  <c r="L375" i="5"/>
  <c r="L371" i="5"/>
  <c r="L355" i="5"/>
  <c r="L354" i="5"/>
  <c r="L353" i="5"/>
  <c r="L352" i="5"/>
  <c r="L351" i="5"/>
  <c r="L339" i="5"/>
  <c r="L337" i="5"/>
  <c r="L21" i="5"/>
  <c r="Q21" i="5" s="1"/>
  <c r="T21" i="5" s="1"/>
  <c r="U21" i="5" s="1"/>
  <c r="L8" i="5"/>
  <c r="F126" i="4"/>
  <c r="F125" i="4"/>
  <c r="F124" i="4"/>
  <c r="F123" i="4"/>
  <c r="F122" i="4"/>
  <c r="F121" i="4"/>
  <c r="F120" i="4"/>
  <c r="F119" i="4"/>
  <c r="F109" i="4"/>
  <c r="K109" i="4" s="1"/>
  <c r="F36" i="4"/>
  <c r="F11" i="4"/>
  <c r="F10" i="4"/>
  <c r="F6" i="4"/>
  <c r="E102" i="8"/>
  <c r="L29" i="5"/>
  <c r="F103" i="4"/>
  <c r="C7" i="16"/>
  <c r="L7" i="16" s="1"/>
  <c r="M7" i="16" s="1"/>
  <c r="C7" i="15"/>
  <c r="K7" i="15" s="1"/>
  <c r="L7" i="15" s="1"/>
  <c r="C12" i="14"/>
  <c r="K12" i="14" s="1"/>
  <c r="C14" i="12"/>
  <c r="K14" i="12" s="1"/>
  <c r="L14" i="12" s="1"/>
  <c r="C13" i="12"/>
  <c r="K13" i="12" s="1"/>
  <c r="L13" i="12" s="1"/>
  <c r="C12" i="12"/>
  <c r="K12" i="12" s="1"/>
  <c r="C79" i="16"/>
  <c r="L79" i="16" s="1"/>
  <c r="C75" i="16"/>
  <c r="L75" i="16" s="1"/>
  <c r="M75" i="16" s="1"/>
  <c r="C74" i="16"/>
  <c r="L74" i="16" s="1"/>
  <c r="M74" i="16" s="1"/>
  <c r="C73" i="16"/>
  <c r="L73" i="16" s="1"/>
  <c r="C69" i="16"/>
  <c r="L69" i="16" s="1"/>
  <c r="M69" i="16" s="1"/>
  <c r="C68" i="16"/>
  <c r="L68" i="16" s="1"/>
  <c r="M68" i="16" s="1"/>
  <c r="C67" i="16"/>
  <c r="L67" i="16" s="1"/>
  <c r="M67" i="16" s="1"/>
  <c r="C66" i="16"/>
  <c r="L66" i="16" s="1"/>
  <c r="C62" i="16"/>
  <c r="L62" i="16" s="1"/>
  <c r="M62" i="16" s="1"/>
  <c r="C61" i="16"/>
  <c r="L61" i="16" s="1"/>
  <c r="M61" i="16" s="1"/>
  <c r="C60" i="16"/>
  <c r="L60" i="16" s="1"/>
  <c r="M60" i="16" s="1"/>
  <c r="C59" i="16"/>
  <c r="L59" i="16" s="1"/>
  <c r="C55" i="16"/>
  <c r="L55" i="16" s="1"/>
  <c r="M55" i="16" s="1"/>
  <c r="C54" i="16"/>
  <c r="L54" i="16" s="1"/>
  <c r="M54" i="16" s="1"/>
  <c r="C53" i="16"/>
  <c r="L53" i="16" s="1"/>
  <c r="C49" i="16"/>
  <c r="L49" i="16" s="1"/>
  <c r="M49" i="16" s="1"/>
  <c r="C48" i="16"/>
  <c r="L48" i="16" s="1"/>
  <c r="M48" i="16" s="1"/>
  <c r="C47" i="16"/>
  <c r="L47" i="16" s="1"/>
  <c r="C43" i="16"/>
  <c r="L43" i="16" s="1"/>
  <c r="M43" i="16" s="1"/>
  <c r="C42" i="16"/>
  <c r="L42" i="16" s="1"/>
  <c r="M42" i="16" s="1"/>
  <c r="C41" i="16"/>
  <c r="L41" i="16" s="1"/>
  <c r="M41" i="16" s="1"/>
  <c r="C40" i="16"/>
  <c r="L40" i="16" s="1"/>
  <c r="C36" i="16"/>
  <c r="L36" i="16" s="1"/>
  <c r="M36" i="16" s="1"/>
  <c r="C35" i="16"/>
  <c r="L35" i="16" s="1"/>
  <c r="M35" i="16" s="1"/>
  <c r="C34" i="16"/>
  <c r="L34" i="16" s="1"/>
  <c r="M34" i="16" s="1"/>
  <c r="C33" i="16"/>
  <c r="L33" i="16" s="1"/>
  <c r="C29" i="16"/>
  <c r="L29" i="16" s="1"/>
  <c r="M29" i="16" s="1"/>
  <c r="C28" i="16"/>
  <c r="L28" i="16" s="1"/>
  <c r="C24" i="16"/>
  <c r="L24" i="16" s="1"/>
  <c r="M24" i="16" s="1"/>
  <c r="C23" i="16"/>
  <c r="L23" i="16" s="1"/>
  <c r="M23" i="16" s="1"/>
  <c r="C22" i="16"/>
  <c r="L22" i="16" s="1"/>
  <c r="M22" i="16" s="1"/>
  <c r="C21" i="16"/>
  <c r="L21" i="16" s="1"/>
  <c r="C17" i="16"/>
  <c r="L17" i="16" s="1"/>
  <c r="M17" i="16" s="1"/>
  <c r="C16" i="16"/>
  <c r="L16" i="16" s="1"/>
  <c r="M16" i="16" s="1"/>
  <c r="C15" i="16"/>
  <c r="L15" i="16" s="1"/>
  <c r="C9" i="16"/>
  <c r="L9" i="16" s="1"/>
  <c r="M9" i="16" s="1"/>
  <c r="C8" i="16"/>
  <c r="L8" i="16" s="1"/>
  <c r="M8" i="16" s="1"/>
  <c r="C6" i="16"/>
  <c r="L6" i="16" s="1"/>
  <c r="C10" i="15"/>
  <c r="K10" i="15" s="1"/>
  <c r="L10" i="15" s="1"/>
  <c r="C9" i="15"/>
  <c r="K9" i="15" s="1"/>
  <c r="L9" i="15" s="1"/>
  <c r="C8" i="15"/>
  <c r="K8" i="15" s="1"/>
  <c r="L8" i="15" s="1"/>
  <c r="C6" i="15"/>
  <c r="K6" i="15" s="1"/>
  <c r="E100" i="8"/>
  <c r="L554" i="5"/>
  <c r="L552" i="5"/>
  <c r="L520" i="5"/>
  <c r="L518" i="5"/>
  <c r="L512" i="5"/>
  <c r="L464" i="5"/>
  <c r="L462" i="5"/>
  <c r="L460" i="5"/>
  <c r="L458" i="5"/>
  <c r="L449" i="5"/>
  <c r="L446" i="5"/>
  <c r="L444" i="5"/>
  <c r="L407" i="5"/>
  <c r="L405" i="5"/>
  <c r="F101" i="4"/>
  <c r="C11" i="16"/>
  <c r="L11" i="16" s="1"/>
  <c r="M11" i="16" s="1"/>
  <c r="C10" i="16"/>
  <c r="L10" i="16" s="1"/>
  <c r="M10" i="16" s="1"/>
  <c r="C12" i="15"/>
  <c r="K12" i="15" s="1"/>
  <c r="L12" i="15" s="1"/>
  <c r="C11" i="15"/>
  <c r="K11" i="15" s="1"/>
  <c r="L11" i="15" s="1"/>
  <c r="E99" i="8"/>
  <c r="L628" i="5"/>
  <c r="L626" i="5"/>
  <c r="L623" i="5"/>
  <c r="L621" i="5"/>
  <c r="L619" i="5"/>
  <c r="L617" i="5"/>
  <c r="L615" i="5"/>
  <c r="L613" i="5"/>
  <c r="L611" i="5"/>
  <c r="L609" i="5"/>
  <c r="L607" i="5"/>
  <c r="L603" i="5"/>
  <c r="L601" i="5"/>
  <c r="L597" i="5"/>
  <c r="L595" i="5"/>
  <c r="L593" i="5"/>
  <c r="L523" i="5"/>
  <c r="L507" i="5"/>
  <c r="L505" i="5"/>
  <c r="L503" i="5"/>
  <c r="L466" i="5"/>
  <c r="L455" i="5"/>
  <c r="L450" i="5"/>
  <c r="L442" i="5"/>
  <c r="L439" i="5"/>
  <c r="L437" i="5"/>
  <c r="L413" i="5"/>
  <c r="L412" i="5"/>
  <c r="L395" i="5"/>
  <c r="L381" i="5"/>
  <c r="L366" i="5"/>
  <c r="L364" i="5"/>
  <c r="L362" i="5"/>
  <c r="L360" i="5"/>
  <c r="L357" i="5"/>
  <c r="L350" i="5"/>
  <c r="L349" i="5"/>
  <c r="L348" i="5"/>
  <c r="L347" i="5"/>
  <c r="L346" i="5"/>
  <c r="L316" i="5"/>
  <c r="L308" i="5"/>
  <c r="L306" i="5"/>
  <c r="L304" i="5"/>
  <c r="L292" i="5"/>
  <c r="L290" i="5"/>
  <c r="L287" i="5"/>
  <c r="L249" i="5"/>
  <c r="L244" i="5"/>
  <c r="L241" i="5"/>
  <c r="L225" i="5"/>
  <c r="L222" i="5"/>
  <c r="L210" i="5"/>
  <c r="L207" i="5"/>
  <c r="L177" i="5"/>
  <c r="L175" i="5"/>
  <c r="L170" i="5"/>
  <c r="L159" i="5"/>
  <c r="L156" i="5"/>
  <c r="L124" i="5"/>
  <c r="L121" i="5"/>
  <c r="L107" i="5"/>
  <c r="L104" i="5"/>
  <c r="L77" i="5"/>
  <c r="L75" i="5"/>
  <c r="L46" i="5"/>
  <c r="L44" i="5"/>
  <c r="L41" i="5"/>
  <c r="L38" i="5"/>
  <c r="F100" i="4"/>
  <c r="G5" i="8"/>
  <c r="M371" i="5"/>
  <c r="M355" i="5"/>
  <c r="M354" i="5"/>
  <c r="M353" i="5"/>
  <c r="M352" i="5"/>
  <c r="M351" i="5"/>
  <c r="M339" i="5"/>
  <c r="M337" i="5"/>
  <c r="K6" i="4"/>
  <c r="H5" i="8"/>
  <c r="N371" i="5"/>
  <c r="N355" i="5"/>
  <c r="N354" i="5"/>
  <c r="N353" i="5"/>
  <c r="N352" i="5"/>
  <c r="N351" i="5"/>
  <c r="N339" i="5"/>
  <c r="N337" i="5"/>
  <c r="I5" i="8"/>
  <c r="P371" i="5"/>
  <c r="P355" i="5"/>
  <c r="P354" i="5"/>
  <c r="P353" i="5"/>
  <c r="P352" i="5"/>
  <c r="P351" i="5"/>
  <c r="P339" i="5"/>
  <c r="P337" i="5"/>
  <c r="L6" i="4"/>
  <c r="G6" i="8"/>
  <c r="M237" i="5"/>
  <c r="K7" i="4"/>
  <c r="M7" i="4" s="1"/>
  <c r="N7" i="4" s="1"/>
  <c r="H6" i="8"/>
  <c r="N237" i="5"/>
  <c r="I6" i="8"/>
  <c r="P237" i="5"/>
  <c r="L7" i="4"/>
  <c r="G7" i="8"/>
  <c r="M238" i="5"/>
  <c r="K8" i="4"/>
  <c r="M8" i="4" s="1"/>
  <c r="N8" i="4" s="1"/>
  <c r="H7" i="8"/>
  <c r="N238" i="5"/>
  <c r="I7" i="8"/>
  <c r="P238" i="5"/>
  <c r="L8" i="4"/>
  <c r="G8" i="8"/>
  <c r="M314" i="5"/>
  <c r="M5" i="5"/>
  <c r="K9" i="4"/>
  <c r="M9" i="4" s="1"/>
  <c r="N9" i="4" s="1"/>
  <c r="H8" i="8"/>
  <c r="N314" i="5"/>
  <c r="N5" i="5"/>
  <c r="I8" i="8"/>
  <c r="P314" i="5"/>
  <c r="P5" i="5"/>
  <c r="L9" i="4"/>
  <c r="G9" i="8"/>
  <c r="M389" i="5"/>
  <c r="M379" i="5"/>
  <c r="M375" i="5"/>
  <c r="K10" i="4"/>
  <c r="M10" i="4" s="1"/>
  <c r="N10" i="4" s="1"/>
  <c r="H9" i="8"/>
  <c r="N389" i="5"/>
  <c r="N379" i="5"/>
  <c r="N375" i="5"/>
  <c r="I9" i="8"/>
  <c r="P389" i="5"/>
  <c r="P379" i="5"/>
  <c r="P375" i="5"/>
  <c r="L10" i="4"/>
  <c r="G10" i="8"/>
  <c r="M378" i="5"/>
  <c r="K11" i="4"/>
  <c r="M11" i="4" s="1"/>
  <c r="N11" i="4" s="1"/>
  <c r="H10" i="8"/>
  <c r="N378" i="5"/>
  <c r="I10" i="8"/>
  <c r="P378" i="5"/>
  <c r="L11" i="4"/>
  <c r="G11" i="8"/>
  <c r="M247" i="5"/>
  <c r="K12" i="4"/>
  <c r="M12" i="4" s="1"/>
  <c r="N12" i="4" s="1"/>
  <c r="H11" i="8"/>
  <c r="N247" i="5"/>
  <c r="I11" i="8"/>
  <c r="P247" i="5"/>
  <c r="L12" i="4"/>
  <c r="G12" i="8"/>
  <c r="M248" i="5"/>
  <c r="K13" i="4"/>
  <c r="M13" i="4" s="1"/>
  <c r="N13" i="4" s="1"/>
  <c r="H12" i="8"/>
  <c r="N248" i="5"/>
  <c r="I12" i="8"/>
  <c r="P248" i="5"/>
  <c r="L13" i="4"/>
  <c r="G13" i="8"/>
  <c r="M622" i="5"/>
  <c r="M614" i="5"/>
  <c r="M600" i="5"/>
  <c r="M325" i="5"/>
  <c r="M313" i="5"/>
  <c r="K14" i="4"/>
  <c r="M14" i="4" s="1"/>
  <c r="N14" i="4" s="1"/>
  <c r="H13" i="8"/>
  <c r="N622" i="5"/>
  <c r="N614" i="5"/>
  <c r="N600" i="5"/>
  <c r="N325" i="5"/>
  <c r="N313" i="5"/>
  <c r="I13" i="8"/>
  <c r="P622" i="5"/>
  <c r="P614" i="5"/>
  <c r="P600" i="5"/>
  <c r="P325" i="5"/>
  <c r="P313" i="5"/>
  <c r="L14" i="4"/>
  <c r="G14" i="8"/>
  <c r="M305" i="5"/>
  <c r="M303" i="5"/>
  <c r="M70" i="5"/>
  <c r="K15" i="4"/>
  <c r="M15" i="4" s="1"/>
  <c r="N15" i="4" s="1"/>
  <c r="H14" i="8"/>
  <c r="N305" i="5"/>
  <c r="N303" i="5"/>
  <c r="N70" i="5"/>
  <c r="I14" i="8"/>
  <c r="P305" i="5"/>
  <c r="P303" i="5"/>
  <c r="P70" i="5"/>
  <c r="L15" i="4"/>
  <c r="G15" i="8"/>
  <c r="M377" i="5"/>
  <c r="K16" i="4"/>
  <c r="M16" i="4" s="1"/>
  <c r="N16" i="4" s="1"/>
  <c r="H15" i="8"/>
  <c r="N377" i="5"/>
  <c r="I15" i="8"/>
  <c r="P377" i="5"/>
  <c r="L16" i="4"/>
  <c r="G16" i="8"/>
  <c r="M436" i="5"/>
  <c r="M394" i="5"/>
  <c r="K17" i="4"/>
  <c r="M17" i="4" s="1"/>
  <c r="N17" i="4" s="1"/>
  <c r="H16" i="8"/>
  <c r="N436" i="5"/>
  <c r="N394" i="5"/>
  <c r="I16" i="8"/>
  <c r="P436" i="5"/>
  <c r="P394" i="5"/>
  <c r="L17" i="4"/>
  <c r="G17" i="8"/>
  <c r="M39" i="5"/>
  <c r="K18" i="4"/>
  <c r="M18" i="4" s="1"/>
  <c r="N18" i="4" s="1"/>
  <c r="H17" i="8"/>
  <c r="N39" i="5"/>
  <c r="I17" i="8"/>
  <c r="P39" i="5"/>
  <c r="L18" i="4"/>
  <c r="G18" i="8"/>
  <c r="M285" i="5"/>
  <c r="M219" i="5"/>
  <c r="M213" i="5"/>
  <c r="M211" i="5"/>
  <c r="M198" i="5"/>
  <c r="M196" i="5"/>
  <c r="M195" i="5"/>
  <c r="M194" i="5"/>
  <c r="M186" i="5"/>
  <c r="M185" i="5"/>
  <c r="M184" i="5"/>
  <c r="M171" i="5"/>
  <c r="M168" i="5"/>
  <c r="M165" i="5"/>
  <c r="M162" i="5"/>
  <c r="M144" i="5"/>
  <c r="M143" i="5"/>
  <c r="M142" i="5"/>
  <c r="M141" i="5"/>
  <c r="M139" i="5"/>
  <c r="M137" i="5"/>
  <c r="M136" i="5"/>
  <c r="M135" i="5"/>
  <c r="M134" i="5"/>
  <c r="M133" i="5"/>
  <c r="M125" i="5"/>
  <c r="M115" i="5"/>
  <c r="M112" i="5"/>
  <c r="M111" i="5"/>
  <c r="M91" i="5"/>
  <c r="M89" i="5"/>
  <c r="M88" i="5"/>
  <c r="M87" i="5"/>
  <c r="M86" i="5"/>
  <c r="M85" i="5"/>
  <c r="M47" i="5"/>
  <c r="M35" i="5"/>
  <c r="K19" i="4"/>
  <c r="M19" i="4" s="1"/>
  <c r="N19" i="4" s="1"/>
  <c r="H18" i="8"/>
  <c r="N285" i="5"/>
  <c r="N219" i="5"/>
  <c r="N213" i="5"/>
  <c r="N211" i="5"/>
  <c r="N198" i="5"/>
  <c r="N196" i="5"/>
  <c r="N195" i="5"/>
  <c r="N194" i="5"/>
  <c r="N186" i="5"/>
  <c r="N185" i="5"/>
  <c r="N184" i="5"/>
  <c r="N171" i="5"/>
  <c r="N168" i="5"/>
  <c r="N165" i="5"/>
  <c r="N162" i="5"/>
  <c r="N144" i="5"/>
  <c r="N143" i="5"/>
  <c r="N142" i="5"/>
  <c r="N141" i="5"/>
  <c r="N139" i="5"/>
  <c r="N137" i="5"/>
  <c r="N136" i="5"/>
  <c r="N135" i="5"/>
  <c r="N134" i="5"/>
  <c r="N133" i="5"/>
  <c r="N125" i="5"/>
  <c r="N115" i="5"/>
  <c r="N112" i="5"/>
  <c r="N111" i="5"/>
  <c r="N91" i="5"/>
  <c r="N89" i="5"/>
  <c r="N88" i="5"/>
  <c r="N87" i="5"/>
  <c r="N86" i="5"/>
  <c r="N85" i="5"/>
  <c r="N47" i="5"/>
  <c r="N35" i="5"/>
  <c r="I18" i="8"/>
  <c r="P285" i="5"/>
  <c r="P219" i="5"/>
  <c r="P213" i="5"/>
  <c r="P211" i="5"/>
  <c r="P198" i="5"/>
  <c r="P196" i="5"/>
  <c r="P195" i="5"/>
  <c r="P194" i="5"/>
  <c r="P186" i="5"/>
  <c r="P185" i="5"/>
  <c r="P184" i="5"/>
  <c r="P171" i="5"/>
  <c r="P168" i="5"/>
  <c r="P165" i="5"/>
  <c r="P162" i="5"/>
  <c r="P144" i="5"/>
  <c r="P143" i="5"/>
  <c r="P142" i="5"/>
  <c r="P141" i="5"/>
  <c r="P139" i="5"/>
  <c r="P137" i="5"/>
  <c r="P136" i="5"/>
  <c r="P135" i="5"/>
  <c r="P134" i="5"/>
  <c r="P133" i="5"/>
  <c r="P125" i="5"/>
  <c r="P115" i="5"/>
  <c r="P112" i="5"/>
  <c r="P111" i="5"/>
  <c r="P91" i="5"/>
  <c r="P89" i="5"/>
  <c r="P88" i="5"/>
  <c r="P87" i="5"/>
  <c r="P86" i="5"/>
  <c r="P85" i="5"/>
  <c r="P47" i="5"/>
  <c r="P35" i="5"/>
  <c r="L19" i="4"/>
  <c r="G19" i="8"/>
  <c r="M344" i="5"/>
  <c r="M343" i="5"/>
  <c r="M335" i="5"/>
  <c r="K20" i="4"/>
  <c r="M20" i="4" s="1"/>
  <c r="N20" i="4" s="1"/>
  <c r="H19" i="8"/>
  <c r="N344" i="5"/>
  <c r="N343" i="5"/>
  <c r="N335" i="5"/>
  <c r="I19" i="8"/>
  <c r="P344" i="5"/>
  <c r="P343" i="5"/>
  <c r="P335" i="5"/>
  <c r="L20" i="4"/>
  <c r="G20" i="8"/>
  <c r="M254" i="5"/>
  <c r="M252" i="5"/>
  <c r="M235" i="5"/>
  <c r="K21" i="4"/>
  <c r="M21" i="4" s="1"/>
  <c r="N21" i="4" s="1"/>
  <c r="H20" i="8"/>
  <c r="N254" i="5"/>
  <c r="N252" i="5"/>
  <c r="N235" i="5"/>
  <c r="I20" i="8"/>
  <c r="P254" i="5"/>
  <c r="P252" i="5"/>
  <c r="P235" i="5"/>
  <c r="L21" i="4"/>
  <c r="G21" i="8"/>
  <c r="M268" i="5"/>
  <c r="M257" i="5"/>
  <c r="K22" i="4"/>
  <c r="M22" i="4" s="1"/>
  <c r="N22" i="4" s="1"/>
  <c r="H21" i="8"/>
  <c r="N268" i="5"/>
  <c r="N257" i="5"/>
  <c r="I21" i="8"/>
  <c r="P268" i="5"/>
  <c r="P257" i="5"/>
  <c r="L22" i="4"/>
  <c r="G22" i="8"/>
  <c r="M255" i="5"/>
  <c r="M253" i="5"/>
  <c r="M236" i="5"/>
  <c r="K23" i="4"/>
  <c r="M23" i="4" s="1"/>
  <c r="N23" i="4" s="1"/>
  <c r="H22" i="8"/>
  <c r="N255" i="5"/>
  <c r="N253" i="5"/>
  <c r="N236" i="5"/>
  <c r="I22" i="8"/>
  <c r="P255" i="5"/>
  <c r="P253" i="5"/>
  <c r="P236" i="5"/>
  <c r="L23" i="4"/>
  <c r="G23" i="8"/>
  <c r="M307" i="5"/>
  <c r="K24" i="4"/>
  <c r="M24" i="4" s="1"/>
  <c r="N24" i="4" s="1"/>
  <c r="H23" i="8"/>
  <c r="N307" i="5"/>
  <c r="I23" i="8"/>
  <c r="P307" i="5"/>
  <c r="L24" i="4"/>
  <c r="G24" i="8"/>
  <c r="M370" i="5"/>
  <c r="M367" i="5"/>
  <c r="K25" i="4"/>
  <c r="M25" i="4" s="1"/>
  <c r="N25" i="4" s="1"/>
  <c r="H24" i="8"/>
  <c r="N370" i="5"/>
  <c r="N367" i="5"/>
  <c r="I24" i="8"/>
  <c r="P370" i="5"/>
  <c r="P367" i="5"/>
  <c r="L25" i="4"/>
  <c r="G25" i="8"/>
  <c r="M548" i="5"/>
  <c r="M490" i="5"/>
  <c r="M485" i="5"/>
  <c r="M482" i="5"/>
  <c r="M477" i="5"/>
  <c r="M433" i="5"/>
  <c r="M429" i="5"/>
  <c r="M420" i="5"/>
  <c r="M417" i="5"/>
  <c r="M403" i="5"/>
  <c r="M402" i="5"/>
  <c r="M399" i="5"/>
  <c r="M397" i="5"/>
  <c r="K26" i="4"/>
  <c r="M26" i="4" s="1"/>
  <c r="N26" i="4" s="1"/>
  <c r="H25" i="8"/>
  <c r="N548" i="5"/>
  <c r="N490" i="5"/>
  <c r="N485" i="5"/>
  <c r="N482" i="5"/>
  <c r="N477" i="5"/>
  <c r="N433" i="5"/>
  <c r="N429" i="5"/>
  <c r="N420" i="5"/>
  <c r="N417" i="5"/>
  <c r="N403" i="5"/>
  <c r="N402" i="5"/>
  <c r="N399" i="5"/>
  <c r="N397" i="5"/>
  <c r="I25" i="8"/>
  <c r="P548" i="5"/>
  <c r="P490" i="5"/>
  <c r="P485" i="5"/>
  <c r="P482" i="5"/>
  <c r="P477" i="5"/>
  <c r="P433" i="5"/>
  <c r="P429" i="5"/>
  <c r="P420" i="5"/>
  <c r="P417" i="5"/>
  <c r="P403" i="5"/>
  <c r="P402" i="5"/>
  <c r="P399" i="5"/>
  <c r="P397" i="5"/>
  <c r="L26" i="4"/>
  <c r="G26" i="8"/>
  <c r="M528" i="5"/>
  <c r="M525" i="5"/>
  <c r="M510" i="5"/>
  <c r="M499" i="5"/>
  <c r="K27" i="4"/>
  <c r="M27" i="4" s="1"/>
  <c r="N27" i="4" s="1"/>
  <c r="H26" i="8"/>
  <c r="N528" i="5"/>
  <c r="N525" i="5"/>
  <c r="N510" i="5"/>
  <c r="N499" i="5"/>
  <c r="I26" i="8"/>
  <c r="P528" i="5"/>
  <c r="P525" i="5"/>
  <c r="P510" i="5"/>
  <c r="P499" i="5"/>
  <c r="L27" i="4"/>
  <c r="G27" i="8"/>
  <c r="M269" i="5"/>
  <c r="M256" i="5"/>
  <c r="K28" i="4"/>
  <c r="M28" i="4" s="1"/>
  <c r="N28" i="4" s="1"/>
  <c r="H27" i="8"/>
  <c r="N269" i="5"/>
  <c r="N256" i="5"/>
  <c r="I27" i="8"/>
  <c r="P269" i="5"/>
  <c r="P256" i="5"/>
  <c r="L28" i="4"/>
  <c r="G28" i="8"/>
  <c r="M300" i="5"/>
  <c r="M299" i="5"/>
  <c r="M11" i="5"/>
  <c r="M10" i="5"/>
  <c r="K29" i="4"/>
  <c r="M29" i="4" s="1"/>
  <c r="N29" i="4" s="1"/>
  <c r="H28" i="8"/>
  <c r="N300" i="5"/>
  <c r="N299" i="5"/>
  <c r="N11" i="5"/>
  <c r="N10" i="5"/>
  <c r="I28" i="8"/>
  <c r="P300" i="5"/>
  <c r="P299" i="5"/>
  <c r="P11" i="5"/>
  <c r="P10" i="5"/>
  <c r="L29" i="4"/>
  <c r="G29" i="8"/>
  <c r="M271" i="5"/>
  <c r="M270" i="5"/>
  <c r="M258" i="5"/>
  <c r="K30" i="4"/>
  <c r="M30" i="4" s="1"/>
  <c r="N30" i="4" s="1"/>
  <c r="H29" i="8"/>
  <c r="N271" i="5"/>
  <c r="N270" i="5"/>
  <c r="N258" i="5"/>
  <c r="I29" i="8"/>
  <c r="P271" i="5"/>
  <c r="P270" i="5"/>
  <c r="P258" i="5"/>
  <c r="L30" i="4"/>
  <c r="G30" i="8"/>
  <c r="M329" i="5"/>
  <c r="K31" i="4"/>
  <c r="M31" i="4" s="1"/>
  <c r="N31" i="4" s="1"/>
  <c r="H30" i="8"/>
  <c r="N329" i="5"/>
  <c r="I30" i="8"/>
  <c r="P329" i="5"/>
  <c r="L31" i="4"/>
  <c r="G31" i="8"/>
  <c r="M465" i="5"/>
  <c r="M454" i="5"/>
  <c r="M411" i="5"/>
  <c r="K32" i="4"/>
  <c r="M32" i="4" s="1"/>
  <c r="N32" i="4" s="1"/>
  <c r="H31" i="8"/>
  <c r="N465" i="5"/>
  <c r="N454" i="5"/>
  <c r="N411" i="5"/>
  <c r="I31" i="8"/>
  <c r="P465" i="5"/>
  <c r="P454" i="5"/>
  <c r="P411" i="5"/>
  <c r="L32" i="4"/>
  <c r="G32" i="8"/>
  <c r="M496" i="5"/>
  <c r="K33" i="4"/>
  <c r="M33" i="4" s="1"/>
  <c r="N33" i="4" s="1"/>
  <c r="H32" i="8"/>
  <c r="N496" i="5"/>
  <c r="I32" i="8"/>
  <c r="P496" i="5"/>
  <c r="L33" i="4"/>
  <c r="G33" i="8"/>
  <c r="M545" i="5"/>
  <c r="K34" i="4"/>
  <c r="M34" i="4" s="1"/>
  <c r="N34" i="4" s="1"/>
  <c r="H33" i="8"/>
  <c r="N545" i="5"/>
  <c r="I33" i="8"/>
  <c r="P545" i="5"/>
  <c r="L34" i="4"/>
  <c r="G34" i="8"/>
  <c r="M599" i="5"/>
  <c r="M283" i="5"/>
  <c r="M50" i="5"/>
  <c r="M24" i="5"/>
  <c r="K35" i="4"/>
  <c r="M35" i="4" s="1"/>
  <c r="N35" i="4" s="1"/>
  <c r="H34" i="8"/>
  <c r="N599" i="5"/>
  <c r="N283" i="5"/>
  <c r="N50" i="5"/>
  <c r="N24" i="5"/>
  <c r="I34" i="8"/>
  <c r="P599" i="5"/>
  <c r="P283" i="5"/>
  <c r="P50" i="5"/>
  <c r="P24" i="5"/>
  <c r="L35" i="4"/>
  <c r="G35" i="8"/>
  <c r="M8" i="5"/>
  <c r="K36" i="4"/>
  <c r="M36" i="4" s="1"/>
  <c r="N36" i="4" s="1"/>
  <c r="H35" i="8"/>
  <c r="N8" i="5"/>
  <c r="I35" i="8"/>
  <c r="P8" i="5"/>
  <c r="L36" i="4"/>
  <c r="G36" i="8"/>
  <c r="M551" i="5"/>
  <c r="M459" i="5"/>
  <c r="M457" i="5"/>
  <c r="M445" i="5"/>
  <c r="M443" i="5"/>
  <c r="M404" i="5"/>
  <c r="K37" i="4"/>
  <c r="M37" i="4" s="1"/>
  <c r="N37" i="4" s="1"/>
  <c r="H36" i="8"/>
  <c r="N551" i="5"/>
  <c r="N459" i="5"/>
  <c r="N457" i="5"/>
  <c r="N445" i="5"/>
  <c r="N443" i="5"/>
  <c r="N404" i="5"/>
  <c r="I36" i="8"/>
  <c r="P551" i="5"/>
  <c r="P459" i="5"/>
  <c r="P457" i="5"/>
  <c r="P445" i="5"/>
  <c r="P443" i="5"/>
  <c r="P404" i="5"/>
  <c r="L37" i="4"/>
  <c r="G37" i="8"/>
  <c r="M517" i="5"/>
  <c r="M511" i="5"/>
  <c r="K38" i="4"/>
  <c r="M38" i="4" s="1"/>
  <c r="N38" i="4" s="1"/>
  <c r="H37" i="8"/>
  <c r="N517" i="5"/>
  <c r="N511" i="5"/>
  <c r="I37" i="8"/>
  <c r="P517" i="5"/>
  <c r="P511" i="5"/>
  <c r="L38" i="4"/>
  <c r="G38" i="8"/>
  <c r="M553" i="5"/>
  <c r="M519" i="5"/>
  <c r="M463" i="5"/>
  <c r="M461" i="5"/>
  <c r="M448" i="5"/>
  <c r="M406" i="5"/>
  <c r="K39" i="4"/>
  <c r="M39" i="4" s="1"/>
  <c r="N39" i="4" s="1"/>
  <c r="H38" i="8"/>
  <c r="N553" i="5"/>
  <c r="N519" i="5"/>
  <c r="N463" i="5"/>
  <c r="N461" i="5"/>
  <c r="N448" i="5"/>
  <c r="N406" i="5"/>
  <c r="I38" i="8"/>
  <c r="P553" i="5"/>
  <c r="P519" i="5"/>
  <c r="P463" i="5"/>
  <c r="P461" i="5"/>
  <c r="P448" i="5"/>
  <c r="P406" i="5"/>
  <c r="L39" i="4"/>
  <c r="G39" i="8"/>
  <c r="M467" i="5"/>
  <c r="K40" i="4"/>
  <c r="M40" i="4" s="1"/>
  <c r="N40" i="4" s="1"/>
  <c r="H39" i="8"/>
  <c r="N467" i="5"/>
  <c r="I39" i="8"/>
  <c r="P467" i="5"/>
  <c r="L40" i="4"/>
  <c r="G40" i="8"/>
  <c r="M78" i="5"/>
  <c r="M60" i="5"/>
  <c r="M59" i="5"/>
  <c r="K41" i="4"/>
  <c r="M41" i="4" s="1"/>
  <c r="N41" i="4" s="1"/>
  <c r="H40" i="8"/>
  <c r="N78" i="5"/>
  <c r="N60" i="5"/>
  <c r="N59" i="5"/>
  <c r="I40" i="8"/>
  <c r="P78" i="5"/>
  <c r="P60" i="5"/>
  <c r="P59" i="5"/>
  <c r="L41" i="4"/>
  <c r="G41" i="8"/>
  <c r="M17" i="5"/>
  <c r="K42" i="4"/>
  <c r="M42" i="4" s="1"/>
  <c r="N42" i="4" s="1"/>
  <c r="H41" i="8"/>
  <c r="N17" i="5"/>
  <c r="I41" i="8"/>
  <c r="P17" i="5"/>
  <c r="L42" i="4"/>
  <c r="G42" i="8"/>
  <c r="M19" i="5"/>
  <c r="M18" i="5"/>
  <c r="K43" i="4"/>
  <c r="M43" i="4" s="1"/>
  <c r="N43" i="4" s="1"/>
  <c r="H42" i="8"/>
  <c r="N19" i="5"/>
  <c r="N18" i="5"/>
  <c r="I42" i="8"/>
  <c r="P19" i="5"/>
  <c r="P18" i="5"/>
  <c r="L43" i="4"/>
  <c r="G43" i="8"/>
  <c r="M627" i="5"/>
  <c r="M625" i="5"/>
  <c r="M620" i="5"/>
  <c r="M616" i="5"/>
  <c r="M608" i="5"/>
  <c r="M592" i="5"/>
  <c r="K44" i="4"/>
  <c r="M44" i="4" s="1"/>
  <c r="N44" i="4" s="1"/>
  <c r="H43" i="8"/>
  <c r="N627" i="5"/>
  <c r="N625" i="5"/>
  <c r="N620" i="5"/>
  <c r="N616" i="5"/>
  <c r="N608" i="5"/>
  <c r="N592" i="5"/>
  <c r="I43" i="8"/>
  <c r="P627" i="5"/>
  <c r="P625" i="5"/>
  <c r="P620" i="5"/>
  <c r="P616" i="5"/>
  <c r="P608" i="5"/>
  <c r="P592" i="5"/>
  <c r="L44" i="4"/>
  <c r="G44" i="8"/>
  <c r="M602" i="5"/>
  <c r="M594" i="5"/>
  <c r="K45" i="4"/>
  <c r="M45" i="4" s="1"/>
  <c r="N45" i="4" s="1"/>
  <c r="H44" i="8"/>
  <c r="N602" i="5"/>
  <c r="N594" i="5"/>
  <c r="I44" i="8"/>
  <c r="P602" i="5"/>
  <c r="P594" i="5"/>
  <c r="L45" i="4"/>
  <c r="G45" i="8"/>
  <c r="M289" i="5"/>
  <c r="K46" i="4"/>
  <c r="M46" i="4" s="1"/>
  <c r="N46" i="4" s="1"/>
  <c r="H45" i="8"/>
  <c r="N289" i="5"/>
  <c r="I45" i="8"/>
  <c r="P289" i="5"/>
  <c r="L46" i="4"/>
  <c r="G46" i="8"/>
  <c r="M36" i="5"/>
  <c r="K47" i="4"/>
  <c r="M47" i="4" s="1"/>
  <c r="N47" i="4" s="1"/>
  <c r="H46" i="8"/>
  <c r="N36" i="5"/>
  <c r="I46" i="8"/>
  <c r="P36" i="5"/>
  <c r="L47" i="4"/>
  <c r="G47" i="8"/>
  <c r="M296" i="5"/>
  <c r="M288" i="5"/>
  <c r="M218" i="5"/>
  <c r="M217" i="5"/>
  <c r="M216" i="5"/>
  <c r="M212" i="5"/>
  <c r="M197" i="5"/>
  <c r="M193" i="5"/>
  <c r="M192" i="5"/>
  <c r="M191" i="5"/>
  <c r="M190" i="5"/>
  <c r="M178" i="5"/>
  <c r="M164" i="5"/>
  <c r="M163" i="5"/>
  <c r="M161" i="5"/>
  <c r="M146" i="5"/>
  <c r="M145" i="5"/>
  <c r="M138" i="5"/>
  <c r="M117" i="5"/>
  <c r="M116" i="5"/>
  <c r="M110" i="5"/>
  <c r="M95" i="5"/>
  <c r="M93" i="5"/>
  <c r="M69" i="5"/>
  <c r="M68" i="5"/>
  <c r="M67" i="5"/>
  <c r="M66" i="5"/>
  <c r="M65" i="5"/>
  <c r="M64" i="5"/>
  <c r="M63" i="5"/>
  <c r="M62" i="5"/>
  <c r="K48" i="4"/>
  <c r="M48" i="4" s="1"/>
  <c r="N48" i="4" s="1"/>
  <c r="H47" i="8"/>
  <c r="N296" i="5"/>
  <c r="N288" i="5"/>
  <c r="N218" i="5"/>
  <c r="N217" i="5"/>
  <c r="N216" i="5"/>
  <c r="N212" i="5"/>
  <c r="N197" i="5"/>
  <c r="N193" i="5"/>
  <c r="N192" i="5"/>
  <c r="N191" i="5"/>
  <c r="N190" i="5"/>
  <c r="N178" i="5"/>
  <c r="N164" i="5"/>
  <c r="N163" i="5"/>
  <c r="N161" i="5"/>
  <c r="N146" i="5"/>
  <c r="N145" i="5"/>
  <c r="N138" i="5"/>
  <c r="N117" i="5"/>
  <c r="N116" i="5"/>
  <c r="N110" i="5"/>
  <c r="N95" i="5"/>
  <c r="N93" i="5"/>
  <c r="N69" i="5"/>
  <c r="N68" i="5"/>
  <c r="N67" i="5"/>
  <c r="N66" i="5"/>
  <c r="N65" i="5"/>
  <c r="N64" i="5"/>
  <c r="N63" i="5"/>
  <c r="N62" i="5"/>
  <c r="I47" i="8"/>
  <c r="P296" i="5"/>
  <c r="P288" i="5"/>
  <c r="P218" i="5"/>
  <c r="P217" i="5"/>
  <c r="P216" i="5"/>
  <c r="P212" i="5"/>
  <c r="P197" i="5"/>
  <c r="P193" i="5"/>
  <c r="P192" i="5"/>
  <c r="P191" i="5"/>
  <c r="P190" i="5"/>
  <c r="P178" i="5"/>
  <c r="P164" i="5"/>
  <c r="P163" i="5"/>
  <c r="P161" i="5"/>
  <c r="P146" i="5"/>
  <c r="P145" i="5"/>
  <c r="P138" i="5"/>
  <c r="P117" i="5"/>
  <c r="P116" i="5"/>
  <c r="P110" i="5"/>
  <c r="P95" i="5"/>
  <c r="P93" i="5"/>
  <c r="P69" i="5"/>
  <c r="P68" i="5"/>
  <c r="P67" i="5"/>
  <c r="P66" i="5"/>
  <c r="P65" i="5"/>
  <c r="P64" i="5"/>
  <c r="P63" i="5"/>
  <c r="P62" i="5"/>
  <c r="L48" i="4"/>
  <c r="G48" i="8"/>
  <c r="M388" i="5"/>
  <c r="M374" i="5"/>
  <c r="M333" i="5"/>
  <c r="K49" i="4"/>
  <c r="M49" i="4" s="1"/>
  <c r="N49" i="4" s="1"/>
  <c r="H48" i="8"/>
  <c r="N388" i="5"/>
  <c r="N374" i="5"/>
  <c r="N333" i="5"/>
  <c r="I48" i="8"/>
  <c r="P388" i="5"/>
  <c r="P374" i="5"/>
  <c r="P333" i="5"/>
  <c r="L49" i="4"/>
  <c r="G49" i="8"/>
  <c r="M565" i="5"/>
  <c r="M561" i="5"/>
  <c r="K50" i="4"/>
  <c r="M50" i="4" s="1"/>
  <c r="N50" i="4" s="1"/>
  <c r="H49" i="8"/>
  <c r="N565" i="5"/>
  <c r="N561" i="5"/>
  <c r="I49" i="8"/>
  <c r="P565" i="5"/>
  <c r="P561" i="5"/>
  <c r="L50" i="4"/>
  <c r="G50" i="8"/>
  <c r="M22" i="5"/>
  <c r="K51" i="4"/>
  <c r="M51" i="4" s="1"/>
  <c r="N51" i="4" s="1"/>
  <c r="H50" i="8"/>
  <c r="N22" i="5"/>
  <c r="I50" i="8"/>
  <c r="P22" i="5"/>
  <c r="L51" i="4"/>
  <c r="G51" i="8"/>
  <c r="M612" i="5"/>
  <c r="M610" i="5"/>
  <c r="M324" i="5"/>
  <c r="M315" i="5"/>
  <c r="K52" i="4"/>
  <c r="M52" i="4" s="1"/>
  <c r="N52" i="4" s="1"/>
  <c r="H51" i="8"/>
  <c r="N612" i="5"/>
  <c r="N610" i="5"/>
  <c r="N324" i="5"/>
  <c r="N315" i="5"/>
  <c r="I51" i="8"/>
  <c r="P612" i="5"/>
  <c r="P610" i="5"/>
  <c r="P324" i="5"/>
  <c r="P315" i="5"/>
  <c r="L52" i="4"/>
  <c r="G52" i="8"/>
  <c r="M293" i="5"/>
  <c r="M223" i="5"/>
  <c r="M208" i="5"/>
  <c r="M173" i="5"/>
  <c r="M157" i="5"/>
  <c r="M122" i="5"/>
  <c r="M105" i="5"/>
  <c r="M73" i="5"/>
  <c r="M53" i="5"/>
  <c r="K53" i="4"/>
  <c r="M53" i="4" s="1"/>
  <c r="N53" i="4" s="1"/>
  <c r="H52" i="8"/>
  <c r="N293" i="5"/>
  <c r="N223" i="5"/>
  <c r="N208" i="5"/>
  <c r="N173" i="5"/>
  <c r="N157" i="5"/>
  <c r="N122" i="5"/>
  <c r="N105" i="5"/>
  <c r="N73" i="5"/>
  <c r="N53" i="5"/>
  <c r="I52" i="8"/>
  <c r="P293" i="5"/>
  <c r="P223" i="5"/>
  <c r="P208" i="5"/>
  <c r="P173" i="5"/>
  <c r="P157" i="5"/>
  <c r="P122" i="5"/>
  <c r="P105" i="5"/>
  <c r="P73" i="5"/>
  <c r="P53" i="5"/>
  <c r="L53" i="4"/>
  <c r="G53" i="8"/>
  <c r="M323" i="5"/>
  <c r="K54" i="4"/>
  <c r="M54" i="4" s="1"/>
  <c r="N54" i="4" s="1"/>
  <c r="H53" i="8"/>
  <c r="N323" i="5"/>
  <c r="I53" i="8"/>
  <c r="P323" i="5"/>
  <c r="L54" i="4"/>
  <c r="G54" i="8"/>
  <c r="M291" i="5"/>
  <c r="M187" i="5"/>
  <c r="M90" i="5"/>
  <c r="K55" i="4"/>
  <c r="M55" i="4" s="1"/>
  <c r="N55" i="4" s="1"/>
  <c r="H54" i="8"/>
  <c r="N291" i="5"/>
  <c r="N187" i="5"/>
  <c r="N90" i="5"/>
  <c r="I54" i="8"/>
  <c r="P291" i="5"/>
  <c r="P187" i="5"/>
  <c r="P90" i="5"/>
  <c r="L55" i="4"/>
  <c r="G55" i="8"/>
  <c r="M321" i="5"/>
  <c r="K56" i="4"/>
  <c r="M56" i="4" s="1"/>
  <c r="N56" i="4" s="1"/>
  <c r="H55" i="8"/>
  <c r="N321" i="5"/>
  <c r="I55" i="8"/>
  <c r="P321" i="5"/>
  <c r="L56" i="4"/>
  <c r="G56" i="8"/>
  <c r="M250" i="5"/>
  <c r="M246" i="5"/>
  <c r="M243" i="5"/>
  <c r="K57" i="4"/>
  <c r="M57" i="4" s="1"/>
  <c r="N57" i="4" s="1"/>
  <c r="H56" i="8"/>
  <c r="N250" i="5"/>
  <c r="N246" i="5"/>
  <c r="N243" i="5"/>
  <c r="I56" i="8"/>
  <c r="P250" i="5"/>
  <c r="P246" i="5"/>
  <c r="P243" i="5"/>
  <c r="L57" i="4"/>
  <c r="G57" i="8"/>
  <c r="M279" i="5"/>
  <c r="M276" i="5"/>
  <c r="M273" i="5"/>
  <c r="M266" i="5"/>
  <c r="M263" i="5"/>
  <c r="M259" i="5"/>
  <c r="K58" i="4"/>
  <c r="M58" i="4" s="1"/>
  <c r="N58" i="4" s="1"/>
  <c r="H57" i="8"/>
  <c r="N279" i="5"/>
  <c r="N276" i="5"/>
  <c r="N273" i="5"/>
  <c r="N266" i="5"/>
  <c r="N263" i="5"/>
  <c r="N259" i="5"/>
  <c r="I57" i="8"/>
  <c r="P279" i="5"/>
  <c r="P276" i="5"/>
  <c r="P273" i="5"/>
  <c r="P266" i="5"/>
  <c r="P263" i="5"/>
  <c r="P259" i="5"/>
  <c r="L58" i="4"/>
  <c r="G58" i="8"/>
  <c r="M537" i="5"/>
  <c r="M536" i="5"/>
  <c r="K59" i="4"/>
  <c r="M59" i="4" s="1"/>
  <c r="N59" i="4" s="1"/>
  <c r="H58" i="8"/>
  <c r="N537" i="5"/>
  <c r="N536" i="5"/>
  <c r="I58" i="8"/>
  <c r="P537" i="5"/>
  <c r="P536" i="5"/>
  <c r="L59" i="4"/>
  <c r="G59" i="8"/>
  <c r="M251" i="5"/>
  <c r="M245" i="5"/>
  <c r="M242" i="5"/>
  <c r="K60" i="4"/>
  <c r="M60" i="4" s="1"/>
  <c r="N60" i="4" s="1"/>
  <c r="H59" i="8"/>
  <c r="N251" i="5"/>
  <c r="N245" i="5"/>
  <c r="N242" i="5"/>
  <c r="I59" i="8"/>
  <c r="P251" i="5"/>
  <c r="P245" i="5"/>
  <c r="P242" i="5"/>
  <c r="L60" i="4"/>
  <c r="G60" i="8"/>
  <c r="M570" i="5"/>
  <c r="M322" i="5"/>
  <c r="M312" i="5"/>
  <c r="M298" i="5"/>
  <c r="K61" i="4"/>
  <c r="M61" i="4" s="1"/>
  <c r="N61" i="4" s="1"/>
  <c r="H60" i="8"/>
  <c r="N570" i="5"/>
  <c r="N322" i="5"/>
  <c r="N312" i="5"/>
  <c r="N298" i="5"/>
  <c r="I60" i="8"/>
  <c r="P570" i="5"/>
  <c r="P322" i="5"/>
  <c r="P312" i="5"/>
  <c r="P298" i="5"/>
  <c r="L61" i="4"/>
  <c r="G61" i="8"/>
  <c r="M631" i="5"/>
  <c r="M630" i="5"/>
  <c r="M629" i="5"/>
  <c r="M624" i="5"/>
  <c r="M384" i="5"/>
  <c r="M383" i="5"/>
  <c r="M373" i="5"/>
  <c r="M372" i="5"/>
  <c r="M369" i="5"/>
  <c r="M368" i="5"/>
  <c r="M365" i="5"/>
  <c r="M363" i="5"/>
  <c r="M361" i="5"/>
  <c r="M342" i="5"/>
  <c r="M341" i="5"/>
  <c r="M340" i="5"/>
  <c r="K62" i="4"/>
  <c r="M62" i="4" s="1"/>
  <c r="N62" i="4" s="1"/>
  <c r="H61" i="8"/>
  <c r="N631" i="5"/>
  <c r="N630" i="5"/>
  <c r="N629" i="5"/>
  <c r="N624" i="5"/>
  <c r="N384" i="5"/>
  <c r="N383" i="5"/>
  <c r="N373" i="5"/>
  <c r="N372" i="5"/>
  <c r="N369" i="5"/>
  <c r="N368" i="5"/>
  <c r="N365" i="5"/>
  <c r="N363" i="5"/>
  <c r="N361" i="5"/>
  <c r="N342" i="5"/>
  <c r="N341" i="5"/>
  <c r="N340" i="5"/>
  <c r="I61" i="8"/>
  <c r="P631" i="5"/>
  <c r="P630" i="5"/>
  <c r="P629" i="5"/>
  <c r="P624" i="5"/>
  <c r="P384" i="5"/>
  <c r="P383" i="5"/>
  <c r="P373" i="5"/>
  <c r="P372" i="5"/>
  <c r="P369" i="5"/>
  <c r="P368" i="5"/>
  <c r="P365" i="5"/>
  <c r="P363" i="5"/>
  <c r="P361" i="5"/>
  <c r="P342" i="5"/>
  <c r="P341" i="5"/>
  <c r="P340" i="5"/>
  <c r="L62" i="4"/>
  <c r="G62" i="8"/>
  <c r="M550" i="5"/>
  <c r="M549" i="5"/>
  <c r="M547" i="5"/>
  <c r="M491" i="5"/>
  <c r="M489" i="5"/>
  <c r="M488" i="5"/>
  <c r="M486" i="5"/>
  <c r="M484" i="5"/>
  <c r="M483" i="5"/>
  <c r="M481" i="5"/>
  <c r="M480" i="5"/>
  <c r="M478" i="5"/>
  <c r="M476" i="5"/>
  <c r="M475" i="5"/>
  <c r="M474" i="5"/>
  <c r="M473" i="5"/>
  <c r="M472" i="5"/>
  <c r="M468" i="5"/>
  <c r="M456" i="5"/>
  <c r="M434" i="5"/>
  <c r="M432" i="5"/>
  <c r="M431" i="5"/>
  <c r="M430" i="5"/>
  <c r="M428" i="5"/>
  <c r="M426" i="5"/>
  <c r="M425" i="5"/>
  <c r="M424" i="5"/>
  <c r="M423" i="5"/>
  <c r="M422" i="5"/>
  <c r="M421" i="5"/>
  <c r="M419" i="5"/>
  <c r="M418" i="5"/>
  <c r="M416" i="5"/>
  <c r="M415" i="5"/>
  <c r="M401" i="5"/>
  <c r="M400" i="5"/>
  <c r="M398" i="5"/>
  <c r="M396" i="5"/>
  <c r="M393" i="5"/>
  <c r="K63" i="4"/>
  <c r="M63" i="4" s="1"/>
  <c r="N63" i="4" s="1"/>
  <c r="H62" i="8"/>
  <c r="N550" i="5"/>
  <c r="N549" i="5"/>
  <c r="N547" i="5"/>
  <c r="N491" i="5"/>
  <c r="N489" i="5"/>
  <c r="N488" i="5"/>
  <c r="N486" i="5"/>
  <c r="N484" i="5"/>
  <c r="N483" i="5"/>
  <c r="N481" i="5"/>
  <c r="N480" i="5"/>
  <c r="N478" i="5"/>
  <c r="N476" i="5"/>
  <c r="N475" i="5"/>
  <c r="N474" i="5"/>
  <c r="N473" i="5"/>
  <c r="N472" i="5"/>
  <c r="N468" i="5"/>
  <c r="N456" i="5"/>
  <c r="N434" i="5"/>
  <c r="N432" i="5"/>
  <c r="N431" i="5"/>
  <c r="N430" i="5"/>
  <c r="N428" i="5"/>
  <c r="N426" i="5"/>
  <c r="N425" i="5"/>
  <c r="N424" i="5"/>
  <c r="N423" i="5"/>
  <c r="N422" i="5"/>
  <c r="N421" i="5"/>
  <c r="N419" i="5"/>
  <c r="N418" i="5"/>
  <c r="N416" i="5"/>
  <c r="N415" i="5"/>
  <c r="N401" i="5"/>
  <c r="N400" i="5"/>
  <c r="N398" i="5"/>
  <c r="N396" i="5"/>
  <c r="N393" i="5"/>
  <c r="I62" i="8"/>
  <c r="P550" i="5"/>
  <c r="P549" i="5"/>
  <c r="P547" i="5"/>
  <c r="P491" i="5"/>
  <c r="P489" i="5"/>
  <c r="P488" i="5"/>
  <c r="P486" i="5"/>
  <c r="P484" i="5"/>
  <c r="P483" i="5"/>
  <c r="P481" i="5"/>
  <c r="P480" i="5"/>
  <c r="P478" i="5"/>
  <c r="P476" i="5"/>
  <c r="P475" i="5"/>
  <c r="P474" i="5"/>
  <c r="P473" i="5"/>
  <c r="P472" i="5"/>
  <c r="P468" i="5"/>
  <c r="P456" i="5"/>
  <c r="P434" i="5"/>
  <c r="P432" i="5"/>
  <c r="P431" i="5"/>
  <c r="P430" i="5"/>
  <c r="P428" i="5"/>
  <c r="P426" i="5"/>
  <c r="P425" i="5"/>
  <c r="P424" i="5"/>
  <c r="P423" i="5"/>
  <c r="P422" i="5"/>
  <c r="P421" i="5"/>
  <c r="P419" i="5"/>
  <c r="P418" i="5"/>
  <c r="P416" i="5"/>
  <c r="P415" i="5"/>
  <c r="P401" i="5"/>
  <c r="P400" i="5"/>
  <c r="P398" i="5"/>
  <c r="P396" i="5"/>
  <c r="P393" i="5"/>
  <c r="L63" i="4"/>
  <c r="G63" i="8"/>
  <c r="M529" i="5"/>
  <c r="M527" i="5"/>
  <c r="M526" i="5"/>
  <c r="M524" i="5"/>
  <c r="M516" i="5"/>
  <c r="M515" i="5"/>
  <c r="M514" i="5"/>
  <c r="M513" i="5"/>
  <c r="M509" i="5"/>
  <c r="M508" i="5"/>
  <c r="M501" i="5"/>
  <c r="M500" i="5"/>
  <c r="M498" i="5"/>
  <c r="K64" i="4"/>
  <c r="M64" i="4" s="1"/>
  <c r="N64" i="4" s="1"/>
  <c r="H63" i="8"/>
  <c r="N529" i="5"/>
  <c r="N527" i="5"/>
  <c r="N526" i="5"/>
  <c r="N524" i="5"/>
  <c r="N516" i="5"/>
  <c r="N515" i="5"/>
  <c r="N514" i="5"/>
  <c r="N513" i="5"/>
  <c r="N509" i="5"/>
  <c r="N508" i="5"/>
  <c r="N501" i="5"/>
  <c r="N500" i="5"/>
  <c r="N498" i="5"/>
  <c r="I63" i="8"/>
  <c r="P529" i="5"/>
  <c r="P527" i="5"/>
  <c r="P526" i="5"/>
  <c r="P524" i="5"/>
  <c r="P516" i="5"/>
  <c r="P515" i="5"/>
  <c r="P514" i="5"/>
  <c r="P513" i="5"/>
  <c r="P509" i="5"/>
  <c r="P508" i="5"/>
  <c r="P501" i="5"/>
  <c r="P500" i="5"/>
  <c r="P498" i="5"/>
  <c r="L64" i="4"/>
  <c r="G64" i="8"/>
  <c r="M562" i="5"/>
  <c r="M45" i="5"/>
  <c r="K65" i="4"/>
  <c r="M65" i="4" s="1"/>
  <c r="N65" i="4" s="1"/>
  <c r="H64" i="8"/>
  <c r="N562" i="5"/>
  <c r="N45" i="5"/>
  <c r="I64" i="8"/>
  <c r="P562" i="5"/>
  <c r="P45" i="5"/>
  <c r="L65" i="4"/>
  <c r="G65" i="8"/>
  <c r="M278" i="5"/>
  <c r="M275" i="5"/>
  <c r="M272" i="5"/>
  <c r="M265" i="5"/>
  <c r="M262" i="5"/>
  <c r="M260" i="5"/>
  <c r="K66" i="4"/>
  <c r="M66" i="4" s="1"/>
  <c r="N66" i="4" s="1"/>
  <c r="H65" i="8"/>
  <c r="N278" i="5"/>
  <c r="N275" i="5"/>
  <c r="N272" i="5"/>
  <c r="N265" i="5"/>
  <c r="N262" i="5"/>
  <c r="N260" i="5"/>
  <c r="I65" i="8"/>
  <c r="P278" i="5"/>
  <c r="P275" i="5"/>
  <c r="P272" i="5"/>
  <c r="P265" i="5"/>
  <c r="P262" i="5"/>
  <c r="P260" i="5"/>
  <c r="L66" i="4"/>
  <c r="G66" i="8"/>
  <c r="M9" i="5"/>
  <c r="K67" i="4"/>
  <c r="M67" i="4" s="1"/>
  <c r="N67" i="4" s="1"/>
  <c r="H66" i="8"/>
  <c r="N9" i="5"/>
  <c r="I66" i="8"/>
  <c r="P9" i="5"/>
  <c r="L67" i="4"/>
  <c r="G67" i="8"/>
  <c r="M605" i="5"/>
  <c r="M604" i="5"/>
  <c r="M302" i="5"/>
  <c r="M301" i="5"/>
  <c r="M231" i="5"/>
  <c r="M229" i="5"/>
  <c r="M226" i="5"/>
  <c r="M204" i="5"/>
  <c r="M202" i="5"/>
  <c r="M182" i="5"/>
  <c r="M180" i="5"/>
  <c r="M153" i="5"/>
  <c r="M150" i="5"/>
  <c r="M131" i="5"/>
  <c r="M129" i="5"/>
  <c r="M101" i="5"/>
  <c r="M99" i="5"/>
  <c r="M82" i="5"/>
  <c r="M80" i="5"/>
  <c r="M71" i="5"/>
  <c r="M57" i="5"/>
  <c r="M55" i="5"/>
  <c r="M14" i="5"/>
  <c r="M12" i="5"/>
  <c r="K68" i="4"/>
  <c r="M68" i="4" s="1"/>
  <c r="N68" i="4" s="1"/>
  <c r="H67" i="8"/>
  <c r="N605" i="5"/>
  <c r="N604" i="5"/>
  <c r="N302" i="5"/>
  <c r="N301" i="5"/>
  <c r="N231" i="5"/>
  <c r="N229" i="5"/>
  <c r="N226" i="5"/>
  <c r="N204" i="5"/>
  <c r="N202" i="5"/>
  <c r="N182" i="5"/>
  <c r="N180" i="5"/>
  <c r="N153" i="5"/>
  <c r="N150" i="5"/>
  <c r="N131" i="5"/>
  <c r="N129" i="5"/>
  <c r="N101" i="5"/>
  <c r="N99" i="5"/>
  <c r="N82" i="5"/>
  <c r="N80" i="5"/>
  <c r="N71" i="5"/>
  <c r="N57" i="5"/>
  <c r="N55" i="5"/>
  <c r="N14" i="5"/>
  <c r="N12" i="5"/>
  <c r="I67" i="8"/>
  <c r="P605" i="5"/>
  <c r="P604" i="5"/>
  <c r="P302" i="5"/>
  <c r="P301" i="5"/>
  <c r="P231" i="5"/>
  <c r="P229" i="5"/>
  <c r="P226" i="5"/>
  <c r="P204" i="5"/>
  <c r="P202" i="5"/>
  <c r="P182" i="5"/>
  <c r="P180" i="5"/>
  <c r="P153" i="5"/>
  <c r="P150" i="5"/>
  <c r="P131" i="5"/>
  <c r="P129" i="5"/>
  <c r="P101" i="5"/>
  <c r="P99" i="5"/>
  <c r="P82" i="5"/>
  <c r="P80" i="5"/>
  <c r="P71" i="5"/>
  <c r="P57" i="5"/>
  <c r="P55" i="5"/>
  <c r="P14" i="5"/>
  <c r="P12" i="5"/>
  <c r="L68" i="4"/>
  <c r="G68" i="8"/>
  <c r="M320" i="5"/>
  <c r="K69" i="4"/>
  <c r="M69" i="4" s="1"/>
  <c r="N69" i="4" s="1"/>
  <c r="H68" i="8"/>
  <c r="N320" i="5"/>
  <c r="I68" i="8"/>
  <c r="P320" i="5"/>
  <c r="L69" i="4"/>
  <c r="G69" i="8"/>
  <c r="M542" i="5"/>
  <c r="M541" i="5"/>
  <c r="M540" i="5"/>
  <c r="M539" i="5"/>
  <c r="K70" i="4"/>
  <c r="M70" i="4" s="1"/>
  <c r="N70" i="4" s="1"/>
  <c r="H69" i="8"/>
  <c r="N542" i="5"/>
  <c r="N541" i="5"/>
  <c r="N540" i="5"/>
  <c r="N539" i="5"/>
  <c r="I69" i="8"/>
  <c r="P542" i="5"/>
  <c r="P541" i="5"/>
  <c r="P540" i="5"/>
  <c r="P539" i="5"/>
  <c r="L70" i="4"/>
  <c r="G70" i="8"/>
  <c r="M232" i="5"/>
  <c r="M230" i="5"/>
  <c r="M205" i="5"/>
  <c r="M203" i="5"/>
  <c r="M183" i="5"/>
  <c r="M181" i="5"/>
  <c r="M154" i="5"/>
  <c r="M151" i="5"/>
  <c r="M132" i="5"/>
  <c r="M130" i="5"/>
  <c r="M102" i="5"/>
  <c r="M100" i="5"/>
  <c r="M83" i="5"/>
  <c r="M81" i="5"/>
  <c r="M72" i="5"/>
  <c r="M58" i="5"/>
  <c r="M56" i="5"/>
  <c r="M15" i="5"/>
  <c r="M13" i="5"/>
  <c r="K71" i="4"/>
  <c r="M71" i="4" s="1"/>
  <c r="N71" i="4" s="1"/>
  <c r="H70" i="8"/>
  <c r="N232" i="5"/>
  <c r="N230" i="5"/>
  <c r="N205" i="5"/>
  <c r="N203" i="5"/>
  <c r="N183" i="5"/>
  <c r="N181" i="5"/>
  <c r="N154" i="5"/>
  <c r="N151" i="5"/>
  <c r="N132" i="5"/>
  <c r="N130" i="5"/>
  <c r="N102" i="5"/>
  <c r="N100" i="5"/>
  <c r="N83" i="5"/>
  <c r="N81" i="5"/>
  <c r="N72" i="5"/>
  <c r="N58" i="5"/>
  <c r="N56" i="5"/>
  <c r="N15" i="5"/>
  <c r="N13" i="5"/>
  <c r="I70" i="8"/>
  <c r="P232" i="5"/>
  <c r="P230" i="5"/>
  <c r="P205" i="5"/>
  <c r="P203" i="5"/>
  <c r="P183" i="5"/>
  <c r="P181" i="5"/>
  <c r="P154" i="5"/>
  <c r="P151" i="5"/>
  <c r="P132" i="5"/>
  <c r="P130" i="5"/>
  <c r="P102" i="5"/>
  <c r="P100" i="5"/>
  <c r="P83" i="5"/>
  <c r="P81" i="5"/>
  <c r="P72" i="5"/>
  <c r="P58" i="5"/>
  <c r="P56" i="5"/>
  <c r="P15" i="5"/>
  <c r="P13" i="5"/>
  <c r="L71" i="4"/>
  <c r="G71" i="8"/>
  <c r="M280" i="5"/>
  <c r="M277" i="5"/>
  <c r="M274" i="5"/>
  <c r="M267" i="5"/>
  <c r="M264" i="5"/>
  <c r="M261" i="5"/>
  <c r="K72" i="4"/>
  <c r="M72" i="4" s="1"/>
  <c r="N72" i="4" s="1"/>
  <c r="H71" i="8"/>
  <c r="N280" i="5"/>
  <c r="N277" i="5"/>
  <c r="N274" i="5"/>
  <c r="N267" i="5"/>
  <c r="N264" i="5"/>
  <c r="N261" i="5"/>
  <c r="I71" i="8"/>
  <c r="P280" i="5"/>
  <c r="P277" i="5"/>
  <c r="P274" i="5"/>
  <c r="P267" i="5"/>
  <c r="P264" i="5"/>
  <c r="P261" i="5"/>
  <c r="L72" i="4"/>
  <c r="G72" i="8"/>
  <c r="M589" i="5"/>
  <c r="M588" i="5"/>
  <c r="M587" i="5"/>
  <c r="M586" i="5"/>
  <c r="M585" i="5"/>
  <c r="M584" i="5"/>
  <c r="M583" i="5"/>
  <c r="M582" i="5"/>
  <c r="M581" i="5"/>
  <c r="M580" i="5"/>
  <c r="M579" i="5"/>
  <c r="M578" i="5"/>
  <c r="M577" i="5"/>
  <c r="M576" i="5"/>
  <c r="M575" i="5"/>
  <c r="M574" i="5"/>
  <c r="M573" i="5"/>
  <c r="M572" i="5"/>
  <c r="M571" i="5"/>
  <c r="M569" i="5"/>
  <c r="M7" i="5"/>
  <c r="K73" i="4"/>
  <c r="M73" i="4" s="1"/>
  <c r="N73" i="4" s="1"/>
  <c r="H72" i="8"/>
  <c r="N589" i="5"/>
  <c r="N588" i="5"/>
  <c r="N587" i="5"/>
  <c r="N586" i="5"/>
  <c r="N585" i="5"/>
  <c r="N584" i="5"/>
  <c r="N583" i="5"/>
  <c r="N582" i="5"/>
  <c r="N581" i="5"/>
  <c r="N580" i="5"/>
  <c r="N579" i="5"/>
  <c r="N578" i="5"/>
  <c r="N577" i="5"/>
  <c r="N576" i="5"/>
  <c r="N575" i="5"/>
  <c r="N574" i="5"/>
  <c r="N573" i="5"/>
  <c r="N572" i="5"/>
  <c r="N571" i="5"/>
  <c r="N569" i="5"/>
  <c r="N7" i="5"/>
  <c r="I72" i="8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69" i="5"/>
  <c r="P7" i="5"/>
  <c r="L73" i="4"/>
  <c r="G73" i="8"/>
  <c r="M387" i="5"/>
  <c r="M385" i="5"/>
  <c r="M376" i="5"/>
  <c r="M359" i="5"/>
  <c r="M332" i="5"/>
  <c r="M331" i="5"/>
  <c r="K74" i="4"/>
  <c r="M74" i="4" s="1"/>
  <c r="N74" i="4" s="1"/>
  <c r="H73" i="8"/>
  <c r="N387" i="5"/>
  <c r="N385" i="5"/>
  <c r="N376" i="5"/>
  <c r="N359" i="5"/>
  <c r="N332" i="5"/>
  <c r="N331" i="5"/>
  <c r="I73" i="8"/>
  <c r="P387" i="5"/>
  <c r="P385" i="5"/>
  <c r="P376" i="5"/>
  <c r="P359" i="5"/>
  <c r="P332" i="5"/>
  <c r="P331" i="5"/>
  <c r="L74" i="4"/>
  <c r="G74" i="8"/>
  <c r="M563" i="5"/>
  <c r="M559" i="5"/>
  <c r="K75" i="4"/>
  <c r="M75" i="4" s="1"/>
  <c r="N75" i="4" s="1"/>
  <c r="H74" i="8"/>
  <c r="N563" i="5"/>
  <c r="N559" i="5"/>
  <c r="I74" i="8"/>
  <c r="P563" i="5"/>
  <c r="P559" i="5"/>
  <c r="L75" i="4"/>
  <c r="G75" i="8"/>
  <c r="M84" i="5"/>
  <c r="K76" i="4"/>
  <c r="M76" i="4" s="1"/>
  <c r="N76" i="4" s="1"/>
  <c r="H75" i="8"/>
  <c r="N84" i="5"/>
  <c r="I75" i="8"/>
  <c r="P84" i="5"/>
  <c r="L76" i="4"/>
  <c r="G76" i="8"/>
  <c r="M228" i="5"/>
  <c r="M215" i="5"/>
  <c r="M200" i="5"/>
  <c r="M179" i="5"/>
  <c r="M167" i="5"/>
  <c r="M149" i="5"/>
  <c r="M128" i="5"/>
  <c r="M114" i="5"/>
  <c r="M98" i="5"/>
  <c r="M16" i="5"/>
  <c r="K77" i="4"/>
  <c r="M77" i="4" s="1"/>
  <c r="N77" i="4" s="1"/>
  <c r="H76" i="8"/>
  <c r="N228" i="5"/>
  <c r="N215" i="5"/>
  <c r="N200" i="5"/>
  <c r="N179" i="5"/>
  <c r="N167" i="5"/>
  <c r="N149" i="5"/>
  <c r="N128" i="5"/>
  <c r="N114" i="5"/>
  <c r="N98" i="5"/>
  <c r="N16" i="5"/>
  <c r="I76" i="8"/>
  <c r="P228" i="5"/>
  <c r="P215" i="5"/>
  <c r="P200" i="5"/>
  <c r="P179" i="5"/>
  <c r="P167" i="5"/>
  <c r="P149" i="5"/>
  <c r="P128" i="5"/>
  <c r="P114" i="5"/>
  <c r="P98" i="5"/>
  <c r="P16" i="5"/>
  <c r="L77" i="4"/>
  <c r="G77" i="8"/>
  <c r="M79" i="5"/>
  <c r="M61" i="5"/>
  <c r="K78" i="4"/>
  <c r="M78" i="4" s="1"/>
  <c r="N78" i="4" s="1"/>
  <c r="H77" i="8"/>
  <c r="N79" i="5"/>
  <c r="N61" i="5"/>
  <c r="I77" i="8"/>
  <c r="P79" i="5"/>
  <c r="P61" i="5"/>
  <c r="L78" i="4"/>
  <c r="G78" i="8"/>
  <c r="M535" i="5"/>
  <c r="K79" i="4"/>
  <c r="M79" i="4" s="1"/>
  <c r="N79" i="4" s="1"/>
  <c r="H78" i="8"/>
  <c r="N535" i="5"/>
  <c r="I78" i="8"/>
  <c r="P535" i="5"/>
  <c r="L79" i="4"/>
  <c r="G79" i="8"/>
  <c r="M618" i="5"/>
  <c r="M606" i="5"/>
  <c r="M596" i="5"/>
  <c r="M568" i="5"/>
  <c r="M311" i="5"/>
  <c r="M51" i="5"/>
  <c r="M48" i="5"/>
  <c r="M42" i="5"/>
  <c r="K80" i="4"/>
  <c r="M80" i="4" s="1"/>
  <c r="N80" i="4" s="1"/>
  <c r="H79" i="8"/>
  <c r="N618" i="5"/>
  <c r="N606" i="5"/>
  <c r="N596" i="5"/>
  <c r="N568" i="5"/>
  <c r="N311" i="5"/>
  <c r="N51" i="5"/>
  <c r="N48" i="5"/>
  <c r="N42" i="5"/>
  <c r="I79" i="8"/>
  <c r="P618" i="5"/>
  <c r="P606" i="5"/>
  <c r="P596" i="5"/>
  <c r="P568" i="5"/>
  <c r="P311" i="5"/>
  <c r="P51" i="5"/>
  <c r="P48" i="5"/>
  <c r="P42" i="5"/>
  <c r="L80" i="4"/>
  <c r="G80" i="8"/>
  <c r="M297" i="5"/>
  <c r="M295" i="5"/>
  <c r="M286" i="5"/>
  <c r="M284" i="5"/>
  <c r="M221" i="5"/>
  <c r="M206" i="5"/>
  <c r="M176" i="5"/>
  <c r="M169" i="5"/>
  <c r="M155" i="5"/>
  <c r="M120" i="5"/>
  <c r="M103" i="5"/>
  <c r="M76" i="5"/>
  <c r="M52" i="5"/>
  <c r="M6" i="5"/>
  <c r="K81" i="4"/>
  <c r="M81" i="4" s="1"/>
  <c r="N81" i="4" s="1"/>
  <c r="H80" i="8"/>
  <c r="N297" i="5"/>
  <c r="N295" i="5"/>
  <c r="N286" i="5"/>
  <c r="N284" i="5"/>
  <c r="N221" i="5"/>
  <c r="N206" i="5"/>
  <c r="N176" i="5"/>
  <c r="N169" i="5"/>
  <c r="N155" i="5"/>
  <c r="N120" i="5"/>
  <c r="N103" i="5"/>
  <c r="N76" i="5"/>
  <c r="N52" i="5"/>
  <c r="N6" i="5"/>
  <c r="I80" i="8"/>
  <c r="P297" i="5"/>
  <c r="P295" i="5"/>
  <c r="P286" i="5"/>
  <c r="P284" i="5"/>
  <c r="P221" i="5"/>
  <c r="P206" i="5"/>
  <c r="P176" i="5"/>
  <c r="P169" i="5"/>
  <c r="P155" i="5"/>
  <c r="P120" i="5"/>
  <c r="P103" i="5"/>
  <c r="P76" i="5"/>
  <c r="P52" i="5"/>
  <c r="P6" i="5"/>
  <c r="L81" i="4"/>
  <c r="G81" i="8"/>
  <c r="M382" i="5"/>
  <c r="M380" i="5"/>
  <c r="M345" i="5"/>
  <c r="M338" i="5"/>
  <c r="M334" i="5"/>
  <c r="M330" i="5"/>
  <c r="K82" i="4"/>
  <c r="M82" i="4" s="1"/>
  <c r="N82" i="4" s="1"/>
  <c r="H81" i="8"/>
  <c r="N382" i="5"/>
  <c r="N380" i="5"/>
  <c r="N345" i="5"/>
  <c r="N338" i="5"/>
  <c r="N334" i="5"/>
  <c r="N330" i="5"/>
  <c r="I81" i="8"/>
  <c r="P382" i="5"/>
  <c r="P380" i="5"/>
  <c r="P345" i="5"/>
  <c r="P338" i="5"/>
  <c r="P334" i="5"/>
  <c r="P330" i="5"/>
  <c r="L82" i="4"/>
  <c r="G82" i="8"/>
  <c r="M546" i="5"/>
  <c r="M492" i="5"/>
  <c r="M487" i="5"/>
  <c r="M479" i="5"/>
  <c r="M471" i="5"/>
  <c r="M470" i="5"/>
  <c r="M469" i="5"/>
  <c r="M441" i="5"/>
  <c r="M440" i="5"/>
  <c r="M438" i="5"/>
  <c r="M435" i="5"/>
  <c r="M427" i="5"/>
  <c r="M414" i="5"/>
  <c r="K83" i="4"/>
  <c r="M83" i="4" s="1"/>
  <c r="N83" i="4" s="1"/>
  <c r="H82" i="8"/>
  <c r="N546" i="5"/>
  <c r="N492" i="5"/>
  <c r="N487" i="5"/>
  <c r="N479" i="5"/>
  <c r="N471" i="5"/>
  <c r="N470" i="5"/>
  <c r="N469" i="5"/>
  <c r="N441" i="5"/>
  <c r="N440" i="5"/>
  <c r="N438" i="5"/>
  <c r="N435" i="5"/>
  <c r="N427" i="5"/>
  <c r="N414" i="5"/>
  <c r="I82" i="8"/>
  <c r="P546" i="5"/>
  <c r="P492" i="5"/>
  <c r="P487" i="5"/>
  <c r="P479" i="5"/>
  <c r="P471" i="5"/>
  <c r="P470" i="5"/>
  <c r="P469" i="5"/>
  <c r="P441" i="5"/>
  <c r="P440" i="5"/>
  <c r="P438" i="5"/>
  <c r="P435" i="5"/>
  <c r="P427" i="5"/>
  <c r="P414" i="5"/>
  <c r="L83" i="4"/>
  <c r="G83" i="8"/>
  <c r="M522" i="5"/>
  <c r="M521" i="5"/>
  <c r="M506" i="5"/>
  <c r="M504" i="5"/>
  <c r="M502" i="5"/>
  <c r="M497" i="5"/>
  <c r="K84" i="4"/>
  <c r="M84" i="4" s="1"/>
  <c r="N84" i="4" s="1"/>
  <c r="H83" i="8"/>
  <c r="N522" i="5"/>
  <c r="N521" i="5"/>
  <c r="N506" i="5"/>
  <c r="N504" i="5"/>
  <c r="N502" i="5"/>
  <c r="N497" i="5"/>
  <c r="I83" i="8"/>
  <c r="P522" i="5"/>
  <c r="P521" i="5"/>
  <c r="P506" i="5"/>
  <c r="P504" i="5"/>
  <c r="P502" i="5"/>
  <c r="P497" i="5"/>
  <c r="L84" i="4"/>
  <c r="G84" i="8"/>
  <c r="M319" i="5"/>
  <c r="K85" i="4"/>
  <c r="M85" i="4" s="1"/>
  <c r="N85" i="4" s="1"/>
  <c r="H84" i="8"/>
  <c r="N319" i="5"/>
  <c r="I84" i="8"/>
  <c r="P319" i="5"/>
  <c r="L85" i="4"/>
  <c r="G85" i="8"/>
  <c r="M34" i="5"/>
  <c r="M30" i="5"/>
  <c r="M28" i="5"/>
  <c r="M20" i="5"/>
  <c r="K86" i="4"/>
  <c r="M86" i="4" s="1"/>
  <c r="N86" i="4" s="1"/>
  <c r="H85" i="8"/>
  <c r="N34" i="5"/>
  <c r="N30" i="5"/>
  <c r="N28" i="5"/>
  <c r="N20" i="5"/>
  <c r="I85" i="8"/>
  <c r="P34" i="5"/>
  <c r="P30" i="5"/>
  <c r="P28" i="5"/>
  <c r="P20" i="5"/>
  <c r="L86" i="4"/>
  <c r="G86" i="8"/>
  <c r="M538" i="5"/>
  <c r="K87" i="4"/>
  <c r="M87" i="4" s="1"/>
  <c r="N87" i="4" s="1"/>
  <c r="H86" i="8"/>
  <c r="N538" i="5"/>
  <c r="I86" i="8"/>
  <c r="P538" i="5"/>
  <c r="L87" i="4"/>
  <c r="G87" i="8"/>
  <c r="M598" i="5"/>
  <c r="K88" i="4"/>
  <c r="M88" i="4" s="1"/>
  <c r="N88" i="4" s="1"/>
  <c r="H87" i="8"/>
  <c r="N598" i="5"/>
  <c r="I87" i="8"/>
  <c r="P598" i="5"/>
  <c r="L88" i="4"/>
  <c r="G88" i="8"/>
  <c r="M227" i="5"/>
  <c r="M220" i="5"/>
  <c r="M214" i="5"/>
  <c r="M201" i="5"/>
  <c r="M199" i="5"/>
  <c r="M189" i="5"/>
  <c r="M172" i="5"/>
  <c r="M166" i="5"/>
  <c r="M160" i="5"/>
  <c r="M152" i="5"/>
  <c r="M148" i="5"/>
  <c r="M147" i="5"/>
  <c r="M140" i="5"/>
  <c r="M127" i="5"/>
  <c r="M126" i="5"/>
  <c r="M119" i="5"/>
  <c r="M118" i="5"/>
  <c r="M113" i="5"/>
  <c r="M109" i="5"/>
  <c r="M108" i="5"/>
  <c r="M97" i="5"/>
  <c r="M49" i="5"/>
  <c r="K89" i="4"/>
  <c r="M89" i="4" s="1"/>
  <c r="N89" i="4" s="1"/>
  <c r="H88" i="8"/>
  <c r="N227" i="5"/>
  <c r="N220" i="5"/>
  <c r="N214" i="5"/>
  <c r="N201" i="5"/>
  <c r="N199" i="5"/>
  <c r="N189" i="5"/>
  <c r="N172" i="5"/>
  <c r="N166" i="5"/>
  <c r="N160" i="5"/>
  <c r="N152" i="5"/>
  <c r="N148" i="5"/>
  <c r="N147" i="5"/>
  <c r="N140" i="5"/>
  <c r="N127" i="5"/>
  <c r="N126" i="5"/>
  <c r="N119" i="5"/>
  <c r="N118" i="5"/>
  <c r="N113" i="5"/>
  <c r="N109" i="5"/>
  <c r="N108" i="5"/>
  <c r="N97" i="5"/>
  <c r="N49" i="5"/>
  <c r="I88" i="8"/>
  <c r="P227" i="5"/>
  <c r="P220" i="5"/>
  <c r="P214" i="5"/>
  <c r="P201" i="5"/>
  <c r="P199" i="5"/>
  <c r="P189" i="5"/>
  <c r="P172" i="5"/>
  <c r="P166" i="5"/>
  <c r="P160" i="5"/>
  <c r="P152" i="5"/>
  <c r="P148" i="5"/>
  <c r="P147" i="5"/>
  <c r="P140" i="5"/>
  <c r="P127" i="5"/>
  <c r="P126" i="5"/>
  <c r="P119" i="5"/>
  <c r="P118" i="5"/>
  <c r="P113" i="5"/>
  <c r="P109" i="5"/>
  <c r="P108" i="5"/>
  <c r="P97" i="5"/>
  <c r="P49" i="5"/>
  <c r="L89" i="4"/>
  <c r="G89" i="8"/>
  <c r="M386" i="5"/>
  <c r="M358" i="5"/>
  <c r="M356" i="5"/>
  <c r="M336" i="5"/>
  <c r="K90" i="4"/>
  <c r="M90" i="4" s="1"/>
  <c r="N90" i="4" s="1"/>
  <c r="H89" i="8"/>
  <c r="N386" i="5"/>
  <c r="N358" i="5"/>
  <c r="N356" i="5"/>
  <c r="N336" i="5"/>
  <c r="I89" i="8"/>
  <c r="P386" i="5"/>
  <c r="P358" i="5"/>
  <c r="P356" i="5"/>
  <c r="P336" i="5"/>
  <c r="L90" i="4"/>
  <c r="G90" i="8"/>
  <c r="M447" i="5"/>
  <c r="M392" i="5"/>
  <c r="K91" i="4"/>
  <c r="M91" i="4" s="1"/>
  <c r="N91" i="4" s="1"/>
  <c r="H90" i="8"/>
  <c r="N447" i="5"/>
  <c r="N392" i="5"/>
  <c r="I90" i="8"/>
  <c r="P447" i="5"/>
  <c r="P392" i="5"/>
  <c r="L91" i="4"/>
  <c r="G91" i="8"/>
  <c r="M564" i="5"/>
  <c r="M560" i="5"/>
  <c r="M558" i="5"/>
  <c r="K92" i="4"/>
  <c r="M92" i="4" s="1"/>
  <c r="N92" i="4" s="1"/>
  <c r="H91" i="8"/>
  <c r="N564" i="5"/>
  <c r="N560" i="5"/>
  <c r="N558" i="5"/>
  <c r="I91" i="8"/>
  <c r="P564" i="5"/>
  <c r="P560" i="5"/>
  <c r="P558" i="5"/>
  <c r="L92" i="4"/>
  <c r="G92" i="8"/>
  <c r="M239" i="5"/>
  <c r="K93" i="4"/>
  <c r="M93" i="4" s="1"/>
  <c r="N93" i="4" s="1"/>
  <c r="H92" i="8"/>
  <c r="N239" i="5"/>
  <c r="I92" i="8"/>
  <c r="P239" i="5"/>
  <c r="L93" i="4"/>
  <c r="G93" i="8"/>
  <c r="M240" i="5"/>
  <c r="K94" i="4"/>
  <c r="M94" i="4" s="1"/>
  <c r="N94" i="4" s="1"/>
  <c r="H93" i="8"/>
  <c r="N240" i="5"/>
  <c r="I93" i="8"/>
  <c r="P240" i="5"/>
  <c r="L94" i="4"/>
  <c r="G94" i="8"/>
  <c r="M32" i="5"/>
  <c r="M31" i="5"/>
  <c r="M27" i="5"/>
  <c r="K95" i="4"/>
  <c r="M95" i="4" s="1"/>
  <c r="N95" i="4" s="1"/>
  <c r="H94" i="8"/>
  <c r="N32" i="5"/>
  <c r="N31" i="5"/>
  <c r="N27" i="5"/>
  <c r="I94" i="8"/>
  <c r="P32" i="5"/>
  <c r="P31" i="5"/>
  <c r="P27" i="5"/>
  <c r="L95" i="4"/>
  <c r="G95" i="8"/>
  <c r="M33" i="5"/>
  <c r="K96" i="4"/>
  <c r="M96" i="4" s="1"/>
  <c r="N96" i="4" s="1"/>
  <c r="H95" i="8"/>
  <c r="N33" i="5"/>
  <c r="I95" i="8"/>
  <c r="P33" i="5"/>
  <c r="L96" i="4"/>
  <c r="M97" i="4"/>
  <c r="N97" i="4" s="1"/>
  <c r="L97" i="4"/>
  <c r="M98" i="4"/>
  <c r="N98" i="4" s="1"/>
  <c r="L98" i="4"/>
  <c r="M99" i="4"/>
  <c r="N99" i="4" s="1"/>
  <c r="L99" i="4"/>
  <c r="G99" i="8"/>
  <c r="M628" i="5"/>
  <c r="M626" i="5"/>
  <c r="M623" i="5"/>
  <c r="M621" i="5"/>
  <c r="M619" i="5"/>
  <c r="M617" i="5"/>
  <c r="M615" i="5"/>
  <c r="M613" i="5"/>
  <c r="M611" i="5"/>
  <c r="M609" i="5"/>
  <c r="M607" i="5"/>
  <c r="M603" i="5"/>
  <c r="M601" i="5"/>
  <c r="M597" i="5"/>
  <c r="M595" i="5"/>
  <c r="M593" i="5"/>
  <c r="M523" i="5"/>
  <c r="M507" i="5"/>
  <c r="M505" i="5"/>
  <c r="M503" i="5"/>
  <c r="M466" i="5"/>
  <c r="M455" i="5"/>
  <c r="M450" i="5"/>
  <c r="M442" i="5"/>
  <c r="M439" i="5"/>
  <c r="M437" i="5"/>
  <c r="M413" i="5"/>
  <c r="M412" i="5"/>
  <c r="M395" i="5"/>
  <c r="M381" i="5"/>
  <c r="M366" i="5"/>
  <c r="M364" i="5"/>
  <c r="M362" i="5"/>
  <c r="M360" i="5"/>
  <c r="M357" i="5"/>
  <c r="M350" i="5"/>
  <c r="M349" i="5"/>
  <c r="M348" i="5"/>
  <c r="M347" i="5"/>
  <c r="M346" i="5"/>
  <c r="M316" i="5"/>
  <c r="M308" i="5"/>
  <c r="M306" i="5"/>
  <c r="M304" i="5"/>
  <c r="M292" i="5"/>
  <c r="M290" i="5"/>
  <c r="M287" i="5"/>
  <c r="M249" i="5"/>
  <c r="M244" i="5"/>
  <c r="M241" i="5"/>
  <c r="M225" i="5"/>
  <c r="M222" i="5"/>
  <c r="M210" i="5"/>
  <c r="M207" i="5"/>
  <c r="M177" i="5"/>
  <c r="M175" i="5"/>
  <c r="M170" i="5"/>
  <c r="M159" i="5"/>
  <c r="M156" i="5"/>
  <c r="M124" i="5"/>
  <c r="M121" i="5"/>
  <c r="M107" i="5"/>
  <c r="M104" i="5"/>
  <c r="M77" i="5"/>
  <c r="M75" i="5"/>
  <c r="M46" i="5"/>
  <c r="M44" i="5"/>
  <c r="M41" i="5"/>
  <c r="M38" i="5"/>
  <c r="K100" i="4"/>
  <c r="M100" i="4" s="1"/>
  <c r="N100" i="4" s="1"/>
  <c r="H99" i="8"/>
  <c r="N628" i="5"/>
  <c r="N626" i="5"/>
  <c r="N623" i="5"/>
  <c r="N621" i="5"/>
  <c r="N619" i="5"/>
  <c r="N617" i="5"/>
  <c r="N615" i="5"/>
  <c r="N613" i="5"/>
  <c r="N611" i="5"/>
  <c r="N609" i="5"/>
  <c r="N607" i="5"/>
  <c r="N603" i="5"/>
  <c r="N601" i="5"/>
  <c r="N597" i="5"/>
  <c r="N595" i="5"/>
  <c r="N593" i="5"/>
  <c r="N523" i="5"/>
  <c r="N507" i="5"/>
  <c r="N505" i="5"/>
  <c r="N503" i="5"/>
  <c r="N466" i="5"/>
  <c r="N455" i="5"/>
  <c r="N450" i="5"/>
  <c r="N442" i="5"/>
  <c r="N439" i="5"/>
  <c r="N437" i="5"/>
  <c r="N413" i="5"/>
  <c r="N412" i="5"/>
  <c r="N395" i="5"/>
  <c r="N381" i="5"/>
  <c r="N366" i="5"/>
  <c r="N364" i="5"/>
  <c r="N362" i="5"/>
  <c r="N360" i="5"/>
  <c r="N357" i="5"/>
  <c r="N350" i="5"/>
  <c r="N349" i="5"/>
  <c r="N348" i="5"/>
  <c r="N347" i="5"/>
  <c r="N346" i="5"/>
  <c r="N316" i="5"/>
  <c r="N308" i="5"/>
  <c r="N306" i="5"/>
  <c r="N304" i="5"/>
  <c r="N292" i="5"/>
  <c r="N290" i="5"/>
  <c r="N287" i="5"/>
  <c r="N249" i="5"/>
  <c r="N244" i="5"/>
  <c r="N241" i="5"/>
  <c r="N225" i="5"/>
  <c r="N222" i="5"/>
  <c r="N210" i="5"/>
  <c r="N207" i="5"/>
  <c r="N177" i="5"/>
  <c r="N175" i="5"/>
  <c r="N170" i="5"/>
  <c r="N159" i="5"/>
  <c r="N156" i="5"/>
  <c r="N124" i="5"/>
  <c r="N121" i="5"/>
  <c r="N107" i="5"/>
  <c r="N104" i="5"/>
  <c r="N77" i="5"/>
  <c r="N75" i="5"/>
  <c r="N46" i="5"/>
  <c r="N44" i="5"/>
  <c r="N41" i="5"/>
  <c r="N38" i="5"/>
  <c r="I99" i="8"/>
  <c r="P628" i="5"/>
  <c r="P626" i="5"/>
  <c r="P623" i="5"/>
  <c r="P621" i="5"/>
  <c r="P619" i="5"/>
  <c r="P617" i="5"/>
  <c r="P615" i="5"/>
  <c r="P613" i="5"/>
  <c r="P611" i="5"/>
  <c r="P609" i="5"/>
  <c r="P607" i="5"/>
  <c r="P603" i="5"/>
  <c r="P601" i="5"/>
  <c r="P597" i="5"/>
  <c r="P595" i="5"/>
  <c r="P593" i="5"/>
  <c r="P523" i="5"/>
  <c r="P507" i="5"/>
  <c r="P505" i="5"/>
  <c r="P503" i="5"/>
  <c r="P466" i="5"/>
  <c r="P455" i="5"/>
  <c r="P450" i="5"/>
  <c r="P442" i="5"/>
  <c r="P439" i="5"/>
  <c r="P437" i="5"/>
  <c r="P413" i="5"/>
  <c r="P412" i="5"/>
  <c r="P395" i="5"/>
  <c r="P381" i="5"/>
  <c r="P366" i="5"/>
  <c r="P364" i="5"/>
  <c r="P362" i="5"/>
  <c r="P360" i="5"/>
  <c r="P357" i="5"/>
  <c r="P350" i="5"/>
  <c r="P349" i="5"/>
  <c r="P348" i="5"/>
  <c r="P347" i="5"/>
  <c r="P346" i="5"/>
  <c r="P316" i="5"/>
  <c r="P308" i="5"/>
  <c r="P306" i="5"/>
  <c r="P304" i="5"/>
  <c r="P292" i="5"/>
  <c r="P290" i="5"/>
  <c r="P287" i="5"/>
  <c r="P249" i="5"/>
  <c r="P244" i="5"/>
  <c r="P241" i="5"/>
  <c r="P225" i="5"/>
  <c r="P222" i="5"/>
  <c r="P210" i="5"/>
  <c r="P207" i="5"/>
  <c r="P177" i="5"/>
  <c r="P175" i="5"/>
  <c r="P170" i="5"/>
  <c r="P159" i="5"/>
  <c r="P156" i="5"/>
  <c r="P124" i="5"/>
  <c r="P121" i="5"/>
  <c r="P107" i="5"/>
  <c r="P104" i="5"/>
  <c r="P77" i="5"/>
  <c r="P75" i="5"/>
  <c r="P46" i="5"/>
  <c r="P44" i="5"/>
  <c r="P41" i="5"/>
  <c r="P38" i="5"/>
  <c r="L100" i="4"/>
  <c r="G100" i="8"/>
  <c r="M554" i="5"/>
  <c r="M552" i="5"/>
  <c r="M520" i="5"/>
  <c r="M518" i="5"/>
  <c r="M512" i="5"/>
  <c r="M464" i="5"/>
  <c r="M462" i="5"/>
  <c r="M460" i="5"/>
  <c r="M458" i="5"/>
  <c r="M449" i="5"/>
  <c r="M446" i="5"/>
  <c r="M444" i="5"/>
  <c r="M407" i="5"/>
  <c r="M405" i="5"/>
  <c r="K101" i="4"/>
  <c r="M101" i="4" s="1"/>
  <c r="N101" i="4" s="1"/>
  <c r="H100" i="8"/>
  <c r="N554" i="5"/>
  <c r="N552" i="5"/>
  <c r="N520" i="5"/>
  <c r="N518" i="5"/>
  <c r="N512" i="5"/>
  <c r="N464" i="5"/>
  <c r="N462" i="5"/>
  <c r="N460" i="5"/>
  <c r="N458" i="5"/>
  <c r="N449" i="5"/>
  <c r="N446" i="5"/>
  <c r="N444" i="5"/>
  <c r="N407" i="5"/>
  <c r="N405" i="5"/>
  <c r="I100" i="8"/>
  <c r="P554" i="5"/>
  <c r="P552" i="5"/>
  <c r="P520" i="5"/>
  <c r="P518" i="5"/>
  <c r="P512" i="5"/>
  <c r="P464" i="5"/>
  <c r="P462" i="5"/>
  <c r="P460" i="5"/>
  <c r="P458" i="5"/>
  <c r="P449" i="5"/>
  <c r="P446" i="5"/>
  <c r="P444" i="5"/>
  <c r="P407" i="5"/>
  <c r="P405" i="5"/>
  <c r="L101" i="4"/>
  <c r="M102" i="4"/>
  <c r="N102" i="4" s="1"/>
  <c r="L102" i="4"/>
  <c r="M103" i="4"/>
  <c r="N103" i="4" s="1"/>
  <c r="L103" i="4"/>
  <c r="M104" i="4"/>
  <c r="N104" i="4" s="1"/>
  <c r="L104" i="4"/>
  <c r="M105" i="4"/>
  <c r="N105" i="4" s="1"/>
  <c r="L105" i="4"/>
  <c r="M106" i="4"/>
  <c r="N106" i="4" s="1"/>
  <c r="L106" i="4"/>
  <c r="G114" i="8"/>
  <c r="M18" i="6"/>
  <c r="M17" i="6"/>
  <c r="M11" i="6"/>
  <c r="K119" i="4"/>
  <c r="H114" i="8"/>
  <c r="N18" i="6"/>
  <c r="N17" i="6"/>
  <c r="N11" i="6"/>
  <c r="I114" i="8"/>
  <c r="P18" i="6"/>
  <c r="P17" i="6"/>
  <c r="P11" i="6"/>
  <c r="L119" i="4"/>
  <c r="G115" i="8"/>
  <c r="M27" i="6"/>
  <c r="M24" i="6"/>
  <c r="K120" i="4"/>
  <c r="M120" i="4" s="1"/>
  <c r="N120" i="4" s="1"/>
  <c r="H115" i="8"/>
  <c r="N27" i="6"/>
  <c r="N24" i="6"/>
  <c r="I115" i="8"/>
  <c r="P27" i="6"/>
  <c r="P24" i="6"/>
  <c r="L120" i="4"/>
  <c r="G116" i="8"/>
  <c r="M5" i="6"/>
  <c r="K121" i="4"/>
  <c r="M121" i="4" s="1"/>
  <c r="N121" i="4" s="1"/>
  <c r="H116" i="8"/>
  <c r="N5" i="6"/>
  <c r="I116" i="8"/>
  <c r="P5" i="6"/>
  <c r="L121" i="4"/>
  <c r="G117" i="8"/>
  <c r="M39" i="6"/>
  <c r="M30" i="6"/>
  <c r="M9" i="6"/>
  <c r="K122" i="4"/>
  <c r="M122" i="4" s="1"/>
  <c r="N122" i="4" s="1"/>
  <c r="H117" i="8"/>
  <c r="N39" i="6"/>
  <c r="N30" i="6"/>
  <c r="N9" i="6"/>
  <c r="I117" i="8"/>
  <c r="P39" i="6"/>
  <c r="P30" i="6"/>
  <c r="P9" i="6"/>
  <c r="L122" i="4"/>
  <c r="G118" i="8"/>
  <c r="M35" i="6"/>
  <c r="M34" i="6"/>
  <c r="M29" i="6"/>
  <c r="M28" i="6"/>
  <c r="M26" i="6"/>
  <c r="M25" i="6"/>
  <c r="M23" i="6"/>
  <c r="M22" i="6"/>
  <c r="M21" i="6"/>
  <c r="M16" i="6"/>
  <c r="M15" i="6"/>
  <c r="M14" i="6"/>
  <c r="K123" i="4"/>
  <c r="M123" i="4" s="1"/>
  <c r="N123" i="4" s="1"/>
  <c r="H118" i="8"/>
  <c r="N35" i="6"/>
  <c r="N34" i="6"/>
  <c r="N29" i="6"/>
  <c r="N28" i="6"/>
  <c r="N26" i="6"/>
  <c r="N25" i="6"/>
  <c r="N23" i="6"/>
  <c r="N22" i="6"/>
  <c r="N21" i="6"/>
  <c r="N16" i="6"/>
  <c r="N15" i="6"/>
  <c r="N14" i="6"/>
  <c r="I118" i="8"/>
  <c r="P35" i="6"/>
  <c r="P34" i="6"/>
  <c r="P29" i="6"/>
  <c r="P28" i="6"/>
  <c r="P26" i="6"/>
  <c r="P25" i="6"/>
  <c r="P23" i="6"/>
  <c r="P22" i="6"/>
  <c r="P21" i="6"/>
  <c r="P16" i="6"/>
  <c r="P15" i="6"/>
  <c r="P14" i="6"/>
  <c r="L123" i="4"/>
  <c r="G119" i="8"/>
  <c r="M38" i="6"/>
  <c r="M36" i="6"/>
  <c r="M31" i="6"/>
  <c r="M8" i="6"/>
  <c r="M7" i="6"/>
  <c r="K124" i="4"/>
  <c r="M124" i="4" s="1"/>
  <c r="N124" i="4" s="1"/>
  <c r="H119" i="8"/>
  <c r="N38" i="6"/>
  <c r="N36" i="6"/>
  <c r="N31" i="6"/>
  <c r="N8" i="6"/>
  <c r="N7" i="6"/>
  <c r="I119" i="8"/>
  <c r="P38" i="6"/>
  <c r="P36" i="6"/>
  <c r="P31" i="6"/>
  <c r="P8" i="6"/>
  <c r="P7" i="6"/>
  <c r="L124" i="4"/>
  <c r="G120" i="8"/>
  <c r="M33" i="6"/>
  <c r="M32" i="6"/>
  <c r="M19" i="6"/>
  <c r="M13" i="6"/>
  <c r="M10" i="6"/>
  <c r="M6" i="6"/>
  <c r="K125" i="4"/>
  <c r="M125" i="4" s="1"/>
  <c r="N125" i="4" s="1"/>
  <c r="H120" i="8"/>
  <c r="N33" i="6"/>
  <c r="N32" i="6"/>
  <c r="N19" i="6"/>
  <c r="N13" i="6"/>
  <c r="N10" i="6"/>
  <c r="N6" i="6"/>
  <c r="I120" i="8"/>
  <c r="P33" i="6"/>
  <c r="P32" i="6"/>
  <c r="P19" i="6"/>
  <c r="P13" i="6"/>
  <c r="P10" i="6"/>
  <c r="P6" i="6"/>
  <c r="L125" i="4"/>
  <c r="G121" i="8"/>
  <c r="M37" i="6"/>
  <c r="M20" i="6"/>
  <c r="M12" i="6"/>
  <c r="K126" i="4"/>
  <c r="M126" i="4" s="1"/>
  <c r="N126" i="4" s="1"/>
  <c r="H121" i="8"/>
  <c r="N37" i="6"/>
  <c r="N20" i="6"/>
  <c r="N12" i="6"/>
  <c r="I121" i="8"/>
  <c r="P37" i="6"/>
  <c r="P20" i="6"/>
  <c r="P12" i="6"/>
  <c r="L126" i="4"/>
  <c r="G124" i="8"/>
  <c r="M39" i="7"/>
  <c r="M36" i="7"/>
  <c r="K133" i="4"/>
  <c r="H124" i="8"/>
  <c r="N39" i="7"/>
  <c r="N36" i="7"/>
  <c r="I124" i="8"/>
  <c r="P39" i="7"/>
  <c r="P36" i="7"/>
  <c r="L133" i="4"/>
  <c r="G125" i="8"/>
  <c r="M13" i="7"/>
  <c r="M5" i="7"/>
  <c r="K134" i="4"/>
  <c r="M134" i="4" s="1"/>
  <c r="N134" i="4" s="1"/>
  <c r="H125" i="8"/>
  <c r="N13" i="7"/>
  <c r="N5" i="7"/>
  <c r="I125" i="8"/>
  <c r="P13" i="7"/>
  <c r="P5" i="7"/>
  <c r="L134" i="4"/>
  <c r="G126" i="8"/>
  <c r="M14" i="7"/>
  <c r="M6" i="7"/>
  <c r="K135" i="4"/>
  <c r="M135" i="4" s="1"/>
  <c r="N135" i="4" s="1"/>
  <c r="H126" i="8"/>
  <c r="N14" i="7"/>
  <c r="N6" i="7"/>
  <c r="I126" i="8"/>
  <c r="P14" i="7"/>
  <c r="P6" i="7"/>
  <c r="L135" i="4"/>
  <c r="G127" i="8"/>
  <c r="M23" i="7"/>
  <c r="K136" i="4"/>
  <c r="M136" i="4" s="1"/>
  <c r="N136" i="4" s="1"/>
  <c r="H127" i="8"/>
  <c r="N23" i="7"/>
  <c r="I127" i="8"/>
  <c r="P23" i="7"/>
  <c r="L136" i="4"/>
  <c r="G128" i="8"/>
  <c r="M25" i="7"/>
  <c r="K137" i="4"/>
  <c r="M137" i="4" s="1"/>
  <c r="N137" i="4" s="1"/>
  <c r="H128" i="8"/>
  <c r="N25" i="7"/>
  <c r="I128" i="8"/>
  <c r="P25" i="7"/>
  <c r="L137" i="4"/>
  <c r="G129" i="8"/>
  <c r="M41" i="7"/>
  <c r="M40" i="7"/>
  <c r="M38" i="7"/>
  <c r="M37" i="7"/>
  <c r="M35" i="7"/>
  <c r="M34" i="7"/>
  <c r="M33" i="7"/>
  <c r="M31" i="7"/>
  <c r="M30" i="7"/>
  <c r="M29" i="7"/>
  <c r="K138" i="4"/>
  <c r="M138" i="4" s="1"/>
  <c r="N138" i="4" s="1"/>
  <c r="H129" i="8"/>
  <c r="N41" i="7"/>
  <c r="N40" i="7"/>
  <c r="N38" i="7"/>
  <c r="N37" i="7"/>
  <c r="N35" i="7"/>
  <c r="N34" i="7"/>
  <c r="N33" i="7"/>
  <c r="N31" i="7"/>
  <c r="N30" i="7"/>
  <c r="N29" i="7"/>
  <c r="I129" i="8"/>
  <c r="P41" i="7"/>
  <c r="P40" i="7"/>
  <c r="P38" i="7"/>
  <c r="P37" i="7"/>
  <c r="P35" i="7"/>
  <c r="P34" i="7"/>
  <c r="P33" i="7"/>
  <c r="P31" i="7"/>
  <c r="P30" i="7"/>
  <c r="P29" i="7"/>
  <c r="L138" i="4"/>
  <c r="G130" i="8"/>
  <c r="M19" i="7"/>
  <c r="M17" i="7"/>
  <c r="M15" i="7"/>
  <c r="M11" i="7"/>
  <c r="M9" i="7"/>
  <c r="M7" i="7"/>
  <c r="K139" i="4"/>
  <c r="M139" i="4" s="1"/>
  <c r="N139" i="4" s="1"/>
  <c r="H130" i="8"/>
  <c r="N19" i="7"/>
  <c r="N17" i="7"/>
  <c r="N15" i="7"/>
  <c r="N11" i="7"/>
  <c r="N9" i="7"/>
  <c r="N7" i="7"/>
  <c r="I130" i="8"/>
  <c r="P19" i="7"/>
  <c r="P17" i="7"/>
  <c r="P15" i="7"/>
  <c r="P11" i="7"/>
  <c r="P9" i="7"/>
  <c r="P7" i="7"/>
  <c r="L139" i="4"/>
  <c r="G131" i="8"/>
  <c r="M20" i="7"/>
  <c r="M18" i="7"/>
  <c r="M16" i="7"/>
  <c r="M12" i="7"/>
  <c r="M10" i="7"/>
  <c r="M8" i="7"/>
  <c r="K140" i="4"/>
  <c r="M140" i="4" s="1"/>
  <c r="N140" i="4" s="1"/>
  <c r="H131" i="8"/>
  <c r="N20" i="7"/>
  <c r="N18" i="7"/>
  <c r="N16" i="7"/>
  <c r="N12" i="7"/>
  <c r="N10" i="7"/>
  <c r="N8" i="7"/>
  <c r="I131" i="8"/>
  <c r="P20" i="7"/>
  <c r="P18" i="7"/>
  <c r="P16" i="7"/>
  <c r="P12" i="7"/>
  <c r="P10" i="7"/>
  <c r="P8" i="7"/>
  <c r="L140" i="4"/>
  <c r="G132" i="8"/>
  <c r="M28" i="7"/>
  <c r="M26" i="7"/>
  <c r="M24" i="7"/>
  <c r="K141" i="4"/>
  <c r="M141" i="4" s="1"/>
  <c r="N141" i="4" s="1"/>
  <c r="H132" i="8"/>
  <c r="N28" i="7"/>
  <c r="N26" i="7"/>
  <c r="N24" i="7"/>
  <c r="I132" i="8"/>
  <c r="P28" i="7"/>
  <c r="P26" i="7"/>
  <c r="P24" i="7"/>
  <c r="L141" i="4"/>
  <c r="G133" i="8"/>
  <c r="M32" i="7"/>
  <c r="M27" i="7"/>
  <c r="K142" i="4"/>
  <c r="M142" i="4" s="1"/>
  <c r="N142" i="4" s="1"/>
  <c r="H133" i="8"/>
  <c r="N32" i="7"/>
  <c r="N27" i="7"/>
  <c r="I133" i="8"/>
  <c r="P32" i="7"/>
  <c r="P27" i="7"/>
  <c r="L142" i="4"/>
  <c r="R21" i="5"/>
  <c r="S21" i="5"/>
  <c r="Q23" i="5"/>
  <c r="S23" i="5"/>
  <c r="Q25" i="5"/>
  <c r="S25" i="5"/>
  <c r="Q26" i="5"/>
  <c r="S26" i="5"/>
  <c r="Q29" i="5"/>
  <c r="S29" i="5"/>
  <c r="Q37" i="5"/>
  <c r="S37" i="5"/>
  <c r="Q40" i="5"/>
  <c r="S40" i="5"/>
  <c r="Q43" i="5"/>
  <c r="S43" i="5"/>
  <c r="Q54" i="5"/>
  <c r="S54" i="5"/>
  <c r="Q74" i="5"/>
  <c r="S74" i="5"/>
  <c r="Q92" i="5"/>
  <c r="S92" i="5"/>
  <c r="Q94" i="5"/>
  <c r="S94" i="5"/>
  <c r="Q96" i="5"/>
  <c r="S96" i="5"/>
  <c r="Q106" i="5"/>
  <c r="S106" i="5"/>
  <c r="Q123" i="5"/>
  <c r="S123" i="5"/>
  <c r="Q158" i="5"/>
  <c r="S158" i="5"/>
  <c r="Q174" i="5"/>
  <c r="S174" i="5"/>
  <c r="Q188" i="5"/>
  <c r="S188" i="5"/>
  <c r="Q209" i="5"/>
  <c r="S209" i="5"/>
  <c r="Q224" i="5"/>
  <c r="S224" i="5"/>
  <c r="Q294" i="5"/>
  <c r="S294" i="5"/>
  <c r="R328" i="5"/>
  <c r="S328" i="5"/>
  <c r="R408" i="5"/>
  <c r="S408" i="5"/>
  <c r="R451" i="5"/>
  <c r="S451" i="5"/>
  <c r="R493" i="5"/>
  <c r="S493" i="5"/>
  <c r="R530" i="5"/>
  <c r="S530" i="5"/>
  <c r="R533" i="5"/>
  <c r="S533" i="5"/>
  <c r="R555" i="5"/>
  <c r="S555" i="5"/>
  <c r="H4" i="11"/>
  <c r="H22" i="11" s="1"/>
  <c r="H150" i="10"/>
  <c r="H188" i="10" s="1"/>
  <c r="D5" i="17" s="1"/>
  <c r="D10" i="17" s="1"/>
  <c r="J13" i="10"/>
  <c r="K8" i="10"/>
  <c r="K13" i="10" s="1"/>
  <c r="J22" i="10"/>
  <c r="K17" i="10"/>
  <c r="K22" i="10" s="1"/>
  <c r="J31" i="10"/>
  <c r="I6" i="11" s="1"/>
  <c r="K26" i="10"/>
  <c r="K31" i="10" s="1"/>
  <c r="J40" i="10"/>
  <c r="I7" i="11" s="1"/>
  <c r="K35" i="10"/>
  <c r="K40" i="10" s="1"/>
  <c r="J49" i="10"/>
  <c r="I8" i="11" s="1"/>
  <c r="K44" i="10"/>
  <c r="K49" i="10" s="1"/>
  <c r="J58" i="10"/>
  <c r="K53" i="10"/>
  <c r="K58" i="10" s="1"/>
  <c r="J67" i="10"/>
  <c r="I10" i="11" s="1"/>
  <c r="K62" i="10"/>
  <c r="K67" i="10" s="1"/>
  <c r="J76" i="10"/>
  <c r="I11" i="11" s="1"/>
  <c r="K71" i="10"/>
  <c r="K76" i="10" s="1"/>
  <c r="J85" i="10"/>
  <c r="I12" i="11" s="1"/>
  <c r="K80" i="10"/>
  <c r="K85" i="10" s="1"/>
  <c r="J94" i="10"/>
  <c r="I13" i="11" s="1"/>
  <c r="K89" i="10"/>
  <c r="K94" i="10" s="1"/>
  <c r="J103" i="10"/>
  <c r="I14" i="11" s="1"/>
  <c r="K98" i="10"/>
  <c r="K103" i="10" s="1"/>
  <c r="J112" i="10"/>
  <c r="I16" i="11" s="1"/>
  <c r="K107" i="10"/>
  <c r="K112" i="10" s="1"/>
  <c r="J121" i="10"/>
  <c r="I17" i="11" s="1"/>
  <c r="K116" i="10"/>
  <c r="K121" i="10" s="1"/>
  <c r="J130" i="10"/>
  <c r="I18" i="11" s="1"/>
  <c r="K125" i="10"/>
  <c r="K130" i="10" s="1"/>
  <c r="J139" i="10"/>
  <c r="I19" i="11" s="1"/>
  <c r="K134" i="10"/>
  <c r="K139" i="10" s="1"/>
  <c r="J148" i="10"/>
  <c r="I20" i="11" s="1"/>
  <c r="K143" i="10"/>
  <c r="K148" i="10" s="1"/>
  <c r="J161" i="10"/>
  <c r="J163" i="10" s="1"/>
  <c r="K156" i="10"/>
  <c r="K161" i="10" s="1"/>
  <c r="K163" i="10" s="1"/>
  <c r="J174" i="10"/>
  <c r="K169" i="10"/>
  <c r="K174" i="10" s="1"/>
  <c r="J183" i="10"/>
  <c r="K178" i="10"/>
  <c r="K183" i="10" s="1"/>
  <c r="K185" i="10" l="1"/>
  <c r="J185" i="10"/>
  <c r="I9" i="11"/>
  <c r="I5" i="11"/>
  <c r="K150" i="10"/>
  <c r="K188" i="10" s="1"/>
  <c r="I4" i="11"/>
  <c r="I22" i="11" s="1"/>
  <c r="J150" i="10"/>
  <c r="J188" i="10" s="1"/>
  <c r="E5" i="17" s="1"/>
  <c r="T294" i="5"/>
  <c r="U294" i="5" s="1"/>
  <c r="R294" i="5"/>
  <c r="T224" i="5"/>
  <c r="U224" i="5" s="1"/>
  <c r="R224" i="5"/>
  <c r="T209" i="5"/>
  <c r="U209" i="5" s="1"/>
  <c r="R209" i="5"/>
  <c r="T188" i="5"/>
  <c r="U188" i="5" s="1"/>
  <c r="R188" i="5"/>
  <c r="T174" i="5"/>
  <c r="U174" i="5" s="1"/>
  <c r="R174" i="5"/>
  <c r="T158" i="5"/>
  <c r="U158" i="5" s="1"/>
  <c r="R158" i="5"/>
  <c r="T123" i="5"/>
  <c r="U123" i="5" s="1"/>
  <c r="R123" i="5"/>
  <c r="T106" i="5"/>
  <c r="U106" i="5" s="1"/>
  <c r="R106" i="5"/>
  <c r="T96" i="5"/>
  <c r="U96" i="5" s="1"/>
  <c r="R96" i="5"/>
  <c r="T94" i="5"/>
  <c r="U94" i="5" s="1"/>
  <c r="R94" i="5"/>
  <c r="T92" i="5"/>
  <c r="U92" i="5" s="1"/>
  <c r="R92" i="5"/>
  <c r="T74" i="5"/>
  <c r="U74" i="5" s="1"/>
  <c r="R74" i="5"/>
  <c r="T54" i="5"/>
  <c r="U54" i="5" s="1"/>
  <c r="R54" i="5"/>
  <c r="T43" i="5"/>
  <c r="U43" i="5" s="1"/>
  <c r="R43" i="5"/>
  <c r="T40" i="5"/>
  <c r="U40" i="5" s="1"/>
  <c r="R40" i="5"/>
  <c r="T37" i="5"/>
  <c r="U37" i="5" s="1"/>
  <c r="R37" i="5"/>
  <c r="T29" i="5"/>
  <c r="U29" i="5" s="1"/>
  <c r="R29" i="5"/>
  <c r="T26" i="5"/>
  <c r="U26" i="5" s="1"/>
  <c r="R26" i="5"/>
  <c r="T25" i="5"/>
  <c r="U25" i="5" s="1"/>
  <c r="R25" i="5"/>
  <c r="T23" i="5"/>
  <c r="U23" i="5" s="1"/>
  <c r="R23" i="5"/>
  <c r="Q27" i="7"/>
  <c r="Q32" i="7"/>
  <c r="Q24" i="7"/>
  <c r="Q26" i="7"/>
  <c r="Q28" i="7"/>
  <c r="Q8" i="7"/>
  <c r="Q10" i="7"/>
  <c r="Q12" i="7"/>
  <c r="Q16" i="7"/>
  <c r="Q18" i="7"/>
  <c r="Q20" i="7"/>
  <c r="Q7" i="7"/>
  <c r="Q9" i="7"/>
  <c r="Q11" i="7"/>
  <c r="Q15" i="7"/>
  <c r="Q17" i="7"/>
  <c r="Q19" i="7"/>
  <c r="Q29" i="7"/>
  <c r="Q30" i="7"/>
  <c r="Q31" i="7"/>
  <c r="Q33" i="7"/>
  <c r="Q34" i="7"/>
  <c r="Q35" i="7"/>
  <c r="Q37" i="7"/>
  <c r="Q38" i="7"/>
  <c r="Q40" i="7"/>
  <c r="Q41" i="7"/>
  <c r="Q25" i="7"/>
  <c r="Q23" i="7"/>
  <c r="Q6" i="7"/>
  <c r="Q14" i="7"/>
  <c r="Q5" i="7"/>
  <c r="Q13" i="7"/>
  <c r="L143" i="4"/>
  <c r="K143" i="4"/>
  <c r="M133" i="4"/>
  <c r="Q36" i="7"/>
  <c r="Q39" i="7"/>
  <c r="Q12" i="6"/>
  <c r="Q20" i="6"/>
  <c r="Q37" i="6"/>
  <c r="Q6" i="6"/>
  <c r="Q10" i="6"/>
  <c r="Q13" i="6"/>
  <c r="Q19" i="6"/>
  <c r="Q32" i="6"/>
  <c r="Q33" i="6"/>
  <c r="Q7" i="6"/>
  <c r="Q8" i="6"/>
  <c r="Q31" i="6"/>
  <c r="Q36" i="6"/>
  <c r="Q38" i="6"/>
  <c r="Q14" i="6"/>
  <c r="Q15" i="6"/>
  <c r="Q16" i="6"/>
  <c r="Q21" i="6"/>
  <c r="Q22" i="6"/>
  <c r="Q23" i="6"/>
  <c r="Q25" i="6"/>
  <c r="Q26" i="6"/>
  <c r="Q28" i="6"/>
  <c r="Q29" i="6"/>
  <c r="Q34" i="6"/>
  <c r="Q35" i="6"/>
  <c r="Q9" i="6"/>
  <c r="Q30" i="6"/>
  <c r="Q39" i="6"/>
  <c r="Q5" i="6"/>
  <c r="Q24" i="6"/>
  <c r="Q27" i="6"/>
  <c r="L127" i="4"/>
  <c r="K127" i="4"/>
  <c r="M119" i="4"/>
  <c r="Q11" i="6"/>
  <c r="Q17" i="6"/>
  <c r="Q18" i="6"/>
  <c r="Q405" i="5"/>
  <c r="Q407" i="5"/>
  <c r="Q444" i="5"/>
  <c r="Q446" i="5"/>
  <c r="Q449" i="5"/>
  <c r="Q458" i="5"/>
  <c r="Q460" i="5"/>
  <c r="Q462" i="5"/>
  <c r="Q464" i="5"/>
  <c r="Q512" i="5"/>
  <c r="Q518" i="5"/>
  <c r="Q520" i="5"/>
  <c r="Q552" i="5"/>
  <c r="Q554" i="5"/>
  <c r="Q38" i="5"/>
  <c r="Q41" i="5"/>
  <c r="Q44" i="5"/>
  <c r="Q46" i="5"/>
  <c r="Q75" i="5"/>
  <c r="Q77" i="5"/>
  <c r="Q104" i="5"/>
  <c r="Q107" i="5"/>
  <c r="Q121" i="5"/>
  <c r="Q124" i="5"/>
  <c r="Q156" i="5"/>
  <c r="Q159" i="5"/>
  <c r="Q170" i="5"/>
  <c r="Q175" i="5"/>
  <c r="Q177" i="5"/>
  <c r="Q207" i="5"/>
  <c r="Q210" i="5"/>
  <c r="Q222" i="5"/>
  <c r="Q225" i="5"/>
  <c r="Q241" i="5"/>
  <c r="Q244" i="5"/>
  <c r="Q249" i="5"/>
  <c r="Q287" i="5"/>
  <c r="Q290" i="5"/>
  <c r="Q292" i="5"/>
  <c r="Q304" i="5"/>
  <c r="Q306" i="5"/>
  <c r="Q308" i="5"/>
  <c r="Q316" i="5"/>
  <c r="Q346" i="5"/>
  <c r="Q347" i="5"/>
  <c r="Q348" i="5"/>
  <c r="Q349" i="5"/>
  <c r="Q350" i="5"/>
  <c r="Q357" i="5"/>
  <c r="Q360" i="5"/>
  <c r="Q362" i="5"/>
  <c r="Q364" i="5"/>
  <c r="Q366" i="5"/>
  <c r="Q381" i="5"/>
  <c r="Q395" i="5"/>
  <c r="Q412" i="5"/>
  <c r="Q413" i="5"/>
  <c r="Q437" i="5"/>
  <c r="Q439" i="5"/>
  <c r="Q442" i="5"/>
  <c r="Q450" i="5"/>
  <c r="Q455" i="5"/>
  <c r="Q466" i="5"/>
  <c r="Q503" i="5"/>
  <c r="Q505" i="5"/>
  <c r="Q507" i="5"/>
  <c r="Q523" i="5"/>
  <c r="Q593" i="5"/>
  <c r="Q595" i="5"/>
  <c r="Q597" i="5"/>
  <c r="Q601" i="5"/>
  <c r="Q603" i="5"/>
  <c r="Q607" i="5"/>
  <c r="Q609" i="5"/>
  <c r="Q611" i="5"/>
  <c r="Q613" i="5"/>
  <c r="Q615" i="5"/>
  <c r="Q617" i="5"/>
  <c r="Q619" i="5"/>
  <c r="Q621" i="5"/>
  <c r="Q623" i="5"/>
  <c r="Q626" i="5"/>
  <c r="Q628" i="5"/>
  <c r="Q33" i="5"/>
  <c r="Q27" i="5"/>
  <c r="Q31" i="5"/>
  <c r="Q32" i="5"/>
  <c r="Q240" i="5"/>
  <c r="Q239" i="5"/>
  <c r="Q558" i="5"/>
  <c r="Q560" i="5"/>
  <c r="Q564" i="5"/>
  <c r="Q392" i="5"/>
  <c r="Q447" i="5"/>
  <c r="Q336" i="5"/>
  <c r="Q356" i="5"/>
  <c r="Q358" i="5"/>
  <c r="Q386" i="5"/>
  <c r="Q49" i="5"/>
  <c r="Q97" i="5"/>
  <c r="Q108" i="5"/>
  <c r="Q109" i="5"/>
  <c r="Q113" i="5"/>
  <c r="Q118" i="5"/>
  <c r="Q119" i="5"/>
  <c r="Q126" i="5"/>
  <c r="Q127" i="5"/>
  <c r="Q140" i="5"/>
  <c r="Q147" i="5"/>
  <c r="Q148" i="5"/>
  <c r="Q152" i="5"/>
  <c r="Q160" i="5"/>
  <c r="Q166" i="5"/>
  <c r="Q172" i="5"/>
  <c r="Q189" i="5"/>
  <c r="Q199" i="5"/>
  <c r="Q201" i="5"/>
  <c r="Q214" i="5"/>
  <c r="Q220" i="5"/>
  <c r="Q227" i="5"/>
  <c r="Q598" i="5"/>
  <c r="Q538" i="5"/>
  <c r="Q20" i="5"/>
  <c r="Q28" i="5"/>
  <c r="Q30" i="5"/>
  <c r="Q34" i="5"/>
  <c r="Q319" i="5"/>
  <c r="Q497" i="5"/>
  <c r="Q502" i="5"/>
  <c r="Q504" i="5"/>
  <c r="Q506" i="5"/>
  <c r="Q521" i="5"/>
  <c r="Q522" i="5"/>
  <c r="Q414" i="5"/>
  <c r="Q427" i="5"/>
  <c r="Q435" i="5"/>
  <c r="Q438" i="5"/>
  <c r="Q440" i="5"/>
  <c r="Q441" i="5"/>
  <c r="Q469" i="5"/>
  <c r="Q470" i="5"/>
  <c r="Q471" i="5"/>
  <c r="Q479" i="5"/>
  <c r="Q487" i="5"/>
  <c r="Q492" i="5"/>
  <c r="Q546" i="5"/>
  <c r="Q330" i="5"/>
  <c r="Q334" i="5"/>
  <c r="Q338" i="5"/>
  <c r="Q345" i="5"/>
  <c r="Q380" i="5"/>
  <c r="Q382" i="5"/>
  <c r="Q6" i="5"/>
  <c r="Q52" i="5"/>
  <c r="Q76" i="5"/>
  <c r="Q103" i="5"/>
  <c r="Q120" i="5"/>
  <c r="Q155" i="5"/>
  <c r="Q169" i="5"/>
  <c r="Q176" i="5"/>
  <c r="Q206" i="5"/>
  <c r="Q221" i="5"/>
  <c r="Q284" i="5"/>
  <c r="Q286" i="5"/>
  <c r="Q295" i="5"/>
  <c r="Q297" i="5"/>
  <c r="Q42" i="5"/>
  <c r="Q48" i="5"/>
  <c r="Q51" i="5"/>
  <c r="Q311" i="5"/>
  <c r="Q568" i="5"/>
  <c r="Q596" i="5"/>
  <c r="Q606" i="5"/>
  <c r="Q618" i="5"/>
  <c r="Q535" i="5"/>
  <c r="Q61" i="5"/>
  <c r="Q79" i="5"/>
  <c r="Q16" i="5"/>
  <c r="Q98" i="5"/>
  <c r="Q114" i="5"/>
  <c r="Q128" i="5"/>
  <c r="Q149" i="5"/>
  <c r="Q167" i="5"/>
  <c r="Q179" i="5"/>
  <c r="Q200" i="5"/>
  <c r="Q215" i="5"/>
  <c r="Q228" i="5"/>
  <c r="Q84" i="5"/>
  <c r="Q559" i="5"/>
  <c r="Q563" i="5"/>
  <c r="Q331" i="5"/>
  <c r="Q332" i="5"/>
  <c r="Q359" i="5"/>
  <c r="Q376" i="5"/>
  <c r="Q385" i="5"/>
  <c r="Q387" i="5"/>
  <c r="Q7" i="5"/>
  <c r="Q569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261" i="5"/>
  <c r="Q264" i="5"/>
  <c r="Q267" i="5"/>
  <c r="Q274" i="5"/>
  <c r="Q277" i="5"/>
  <c r="Q280" i="5"/>
  <c r="Q13" i="5"/>
  <c r="Q15" i="5"/>
  <c r="Q56" i="5"/>
  <c r="Q58" i="5"/>
  <c r="Q72" i="5"/>
  <c r="Q81" i="5"/>
  <c r="Q83" i="5"/>
  <c r="Q100" i="5"/>
  <c r="Q102" i="5"/>
  <c r="Q130" i="5"/>
  <c r="Q132" i="5"/>
  <c r="Q151" i="5"/>
  <c r="Q154" i="5"/>
  <c r="Q181" i="5"/>
  <c r="Q183" i="5"/>
  <c r="Q203" i="5"/>
  <c r="Q205" i="5"/>
  <c r="Q230" i="5"/>
  <c r="Q232" i="5"/>
  <c r="Q539" i="5"/>
  <c r="Q540" i="5"/>
  <c r="Q541" i="5"/>
  <c r="Q542" i="5"/>
  <c r="Q320" i="5"/>
  <c r="Q12" i="5"/>
  <c r="Q14" i="5"/>
  <c r="Q55" i="5"/>
  <c r="Q57" i="5"/>
  <c r="Q71" i="5"/>
  <c r="Q80" i="5"/>
  <c r="Q82" i="5"/>
  <c r="Q99" i="5"/>
  <c r="Q101" i="5"/>
  <c r="Q129" i="5"/>
  <c r="Q131" i="5"/>
  <c r="Q150" i="5"/>
  <c r="Q153" i="5"/>
  <c r="Q180" i="5"/>
  <c r="Q182" i="5"/>
  <c r="Q202" i="5"/>
  <c r="Q204" i="5"/>
  <c r="Q226" i="5"/>
  <c r="Q229" i="5"/>
  <c r="Q231" i="5"/>
  <c r="Q301" i="5"/>
  <c r="Q302" i="5"/>
  <c r="Q604" i="5"/>
  <c r="Q605" i="5"/>
  <c r="Q9" i="5"/>
  <c r="Q260" i="5"/>
  <c r="Q262" i="5"/>
  <c r="Q265" i="5"/>
  <c r="Q272" i="5"/>
  <c r="Q275" i="5"/>
  <c r="Q278" i="5"/>
  <c r="Q45" i="5"/>
  <c r="Q562" i="5"/>
  <c r="Q498" i="5"/>
  <c r="Q500" i="5"/>
  <c r="Q501" i="5"/>
  <c r="Q508" i="5"/>
  <c r="Q509" i="5"/>
  <c r="Q513" i="5"/>
  <c r="Q514" i="5"/>
  <c r="Q515" i="5"/>
  <c r="Q516" i="5"/>
  <c r="Q524" i="5"/>
  <c r="Q526" i="5"/>
  <c r="Q527" i="5"/>
  <c r="Q529" i="5"/>
  <c r="Q393" i="5"/>
  <c r="Q396" i="5"/>
  <c r="Q398" i="5"/>
  <c r="Q400" i="5"/>
  <c r="Q401" i="5"/>
  <c r="Q415" i="5"/>
  <c r="Q416" i="5"/>
  <c r="Q418" i="5"/>
  <c r="Q419" i="5"/>
  <c r="Q421" i="5"/>
  <c r="Q422" i="5"/>
  <c r="Q423" i="5"/>
  <c r="Q424" i="5"/>
  <c r="Q425" i="5"/>
  <c r="Q426" i="5"/>
  <c r="Q428" i="5"/>
  <c r="Q430" i="5"/>
  <c r="Q431" i="5"/>
  <c r="Q432" i="5"/>
  <c r="Q434" i="5"/>
  <c r="Q456" i="5"/>
  <c r="Q468" i="5"/>
  <c r="Q472" i="5"/>
  <c r="Q473" i="5"/>
  <c r="Q474" i="5"/>
  <c r="Q475" i="5"/>
  <c r="Q476" i="5"/>
  <c r="Q478" i="5"/>
  <c r="Q480" i="5"/>
  <c r="Q481" i="5"/>
  <c r="Q483" i="5"/>
  <c r="Q484" i="5"/>
  <c r="Q486" i="5"/>
  <c r="Q488" i="5"/>
  <c r="Q489" i="5"/>
  <c r="Q491" i="5"/>
  <c r="Q547" i="5"/>
  <c r="Q549" i="5"/>
  <c r="Q550" i="5"/>
  <c r="Q340" i="5"/>
  <c r="Q341" i="5"/>
  <c r="Q342" i="5"/>
  <c r="Q361" i="5"/>
  <c r="Q363" i="5"/>
  <c r="Q365" i="5"/>
  <c r="Q368" i="5"/>
  <c r="Q369" i="5"/>
  <c r="Q372" i="5"/>
  <c r="Q373" i="5"/>
  <c r="Q383" i="5"/>
  <c r="Q384" i="5"/>
  <c r="Q624" i="5"/>
  <c r="Q629" i="5"/>
  <c r="Q630" i="5"/>
  <c r="Q631" i="5"/>
  <c r="Q298" i="5"/>
  <c r="Q312" i="5"/>
  <c r="Q322" i="5"/>
  <c r="Q570" i="5"/>
  <c r="Q242" i="5"/>
  <c r="Q245" i="5"/>
  <c r="Q251" i="5"/>
  <c r="Q536" i="5"/>
  <c r="Q537" i="5"/>
  <c r="Q259" i="5"/>
  <c r="Q263" i="5"/>
  <c r="Q266" i="5"/>
  <c r="Q273" i="5"/>
  <c r="Q276" i="5"/>
  <c r="Q279" i="5"/>
  <c r="Q243" i="5"/>
  <c r="Q246" i="5"/>
  <c r="Q250" i="5"/>
  <c r="Q321" i="5"/>
  <c r="Q90" i="5"/>
  <c r="Q187" i="5"/>
  <c r="Q291" i="5"/>
  <c r="Q323" i="5"/>
  <c r="Q53" i="5"/>
  <c r="Q73" i="5"/>
  <c r="Q105" i="5"/>
  <c r="Q122" i="5"/>
  <c r="Q157" i="5"/>
  <c r="Q173" i="5"/>
  <c r="Q208" i="5"/>
  <c r="Q223" i="5"/>
  <c r="Q293" i="5"/>
  <c r="Q315" i="5"/>
  <c r="Q324" i="5"/>
  <c r="Q610" i="5"/>
  <c r="Q612" i="5"/>
  <c r="Q22" i="5"/>
  <c r="Q561" i="5"/>
  <c r="Q565" i="5"/>
  <c r="Q333" i="5"/>
  <c r="Q374" i="5"/>
  <c r="Q388" i="5"/>
  <c r="Q62" i="5"/>
  <c r="Q63" i="5"/>
  <c r="Q64" i="5"/>
  <c r="Q65" i="5"/>
  <c r="Q66" i="5"/>
  <c r="Q67" i="5"/>
  <c r="Q68" i="5"/>
  <c r="Q69" i="5"/>
  <c r="Q93" i="5"/>
  <c r="Q95" i="5"/>
  <c r="Q110" i="5"/>
  <c r="Q116" i="5"/>
  <c r="Q117" i="5"/>
  <c r="Q138" i="5"/>
  <c r="Q145" i="5"/>
  <c r="Q146" i="5"/>
  <c r="Q161" i="5"/>
  <c r="Q163" i="5"/>
  <c r="Q164" i="5"/>
  <c r="Q178" i="5"/>
  <c r="Q190" i="5"/>
  <c r="Q191" i="5"/>
  <c r="Q192" i="5"/>
  <c r="Q193" i="5"/>
  <c r="Q197" i="5"/>
  <c r="Q212" i="5"/>
  <c r="Q216" i="5"/>
  <c r="Q217" i="5"/>
  <c r="Q218" i="5"/>
  <c r="Q288" i="5"/>
  <c r="Q296" i="5"/>
  <c r="Q36" i="5"/>
  <c r="Q289" i="5"/>
  <c r="Q594" i="5"/>
  <c r="Q602" i="5"/>
  <c r="Q592" i="5"/>
  <c r="Q608" i="5"/>
  <c r="Q616" i="5"/>
  <c r="Q620" i="5"/>
  <c r="Q625" i="5"/>
  <c r="Q627" i="5"/>
  <c r="Q18" i="5"/>
  <c r="Q19" i="5"/>
  <c r="Q17" i="5"/>
  <c r="Q59" i="5"/>
  <c r="Q60" i="5"/>
  <c r="Q78" i="5"/>
  <c r="Q467" i="5"/>
  <c r="Q406" i="5"/>
  <c r="Q448" i="5"/>
  <c r="Q461" i="5"/>
  <c r="Q463" i="5"/>
  <c r="Q519" i="5"/>
  <c r="Q553" i="5"/>
  <c r="Q511" i="5"/>
  <c r="Q517" i="5"/>
  <c r="Q404" i="5"/>
  <c r="Q443" i="5"/>
  <c r="Q445" i="5"/>
  <c r="Q457" i="5"/>
  <c r="Q459" i="5"/>
  <c r="Q551" i="5"/>
  <c r="Q8" i="5"/>
  <c r="Q24" i="5"/>
  <c r="Q50" i="5"/>
  <c r="Q283" i="5"/>
  <c r="Q599" i="5"/>
  <c r="Q545" i="5"/>
  <c r="Q496" i="5"/>
  <c r="Q411" i="5"/>
  <c r="Q454" i="5"/>
  <c r="Q465" i="5"/>
  <c r="Q329" i="5"/>
  <c r="Q258" i="5"/>
  <c r="Q270" i="5"/>
  <c r="Q271" i="5"/>
  <c r="Q10" i="5"/>
  <c r="Q11" i="5"/>
  <c r="Q299" i="5"/>
  <c r="Q300" i="5"/>
  <c r="Q256" i="5"/>
  <c r="Q269" i="5"/>
  <c r="Q499" i="5"/>
  <c r="Q510" i="5"/>
  <c r="Q525" i="5"/>
  <c r="Q528" i="5"/>
  <c r="Q397" i="5"/>
  <c r="Q399" i="5"/>
  <c r="Q402" i="5"/>
  <c r="Q403" i="5"/>
  <c r="Q417" i="5"/>
  <c r="Q420" i="5"/>
  <c r="Q429" i="5"/>
  <c r="Q433" i="5"/>
  <c r="Q477" i="5"/>
  <c r="Q482" i="5"/>
  <c r="Q485" i="5"/>
  <c r="Q490" i="5"/>
  <c r="Q548" i="5"/>
  <c r="Q367" i="5"/>
  <c r="Q370" i="5"/>
  <c r="Q307" i="5"/>
  <c r="Q236" i="5"/>
  <c r="Q253" i="5"/>
  <c r="Q255" i="5"/>
  <c r="Q257" i="5"/>
  <c r="Q268" i="5"/>
  <c r="Q235" i="5"/>
  <c r="Q252" i="5"/>
  <c r="Q254" i="5"/>
  <c r="Q335" i="5"/>
  <c r="Q343" i="5"/>
  <c r="Q344" i="5"/>
  <c r="Q35" i="5"/>
  <c r="Q47" i="5"/>
  <c r="Q85" i="5"/>
  <c r="Q86" i="5"/>
  <c r="Q87" i="5"/>
  <c r="Q88" i="5"/>
  <c r="Q89" i="5"/>
  <c r="Q91" i="5"/>
  <c r="Q111" i="5"/>
  <c r="Q112" i="5"/>
  <c r="Q115" i="5"/>
  <c r="Q125" i="5"/>
  <c r="Q133" i="5"/>
  <c r="Q134" i="5"/>
  <c r="Q135" i="5"/>
  <c r="Q136" i="5"/>
  <c r="Q137" i="5"/>
  <c r="Q139" i="5"/>
  <c r="Q141" i="5"/>
  <c r="Q142" i="5"/>
  <c r="Q143" i="5"/>
  <c r="Q144" i="5"/>
  <c r="Q162" i="5"/>
  <c r="Q165" i="5"/>
  <c r="Q168" i="5"/>
  <c r="Q171" i="5"/>
  <c r="Q184" i="5"/>
  <c r="Q185" i="5"/>
  <c r="Q186" i="5"/>
  <c r="Q194" i="5"/>
  <c r="Q195" i="5"/>
  <c r="Q196" i="5"/>
  <c r="Q198" i="5"/>
  <c r="Q211" i="5"/>
  <c r="Q213" i="5"/>
  <c r="Q219" i="5"/>
  <c r="Q285" i="5"/>
  <c r="Q39" i="5"/>
  <c r="Q394" i="5"/>
  <c r="Q436" i="5"/>
  <c r="Q377" i="5"/>
  <c r="Q70" i="5"/>
  <c r="Q303" i="5"/>
  <c r="Q305" i="5"/>
  <c r="Q313" i="5"/>
  <c r="Q325" i="5"/>
  <c r="Q600" i="5"/>
  <c r="Q614" i="5"/>
  <c r="Q622" i="5"/>
  <c r="Q248" i="5"/>
  <c r="Q247" i="5"/>
  <c r="Q378" i="5"/>
  <c r="Q375" i="5"/>
  <c r="Q379" i="5"/>
  <c r="Q389" i="5"/>
  <c r="Q5" i="5"/>
  <c r="Q314" i="5"/>
  <c r="Q238" i="5"/>
  <c r="Q237" i="5"/>
  <c r="K113" i="4"/>
  <c r="M6" i="4"/>
  <c r="Q337" i="5"/>
  <c r="Q339" i="5"/>
  <c r="Q351" i="5"/>
  <c r="Q352" i="5"/>
  <c r="Q353" i="5"/>
  <c r="Q354" i="5"/>
  <c r="Q355" i="5"/>
  <c r="Q371" i="5"/>
  <c r="K13" i="15"/>
  <c r="L6" i="15"/>
  <c r="L12" i="16"/>
  <c r="M12" i="16" s="1"/>
  <c r="M6" i="16"/>
  <c r="L18" i="16"/>
  <c r="M18" i="16" s="1"/>
  <c r="M15" i="16"/>
  <c r="L25" i="16"/>
  <c r="M25" i="16" s="1"/>
  <c r="M21" i="16"/>
  <c r="L30" i="16"/>
  <c r="M30" i="16" s="1"/>
  <c r="M28" i="16"/>
  <c r="L37" i="16"/>
  <c r="M37" i="16" s="1"/>
  <c r="M33" i="16"/>
  <c r="L44" i="16"/>
  <c r="M44" i="16" s="1"/>
  <c r="M40" i="16"/>
  <c r="L50" i="16"/>
  <c r="M50" i="16" s="1"/>
  <c r="M47" i="16"/>
  <c r="L56" i="16"/>
  <c r="M56" i="16" s="1"/>
  <c r="M53" i="16"/>
  <c r="L63" i="16"/>
  <c r="M63" i="16" s="1"/>
  <c r="M59" i="16"/>
  <c r="L70" i="16"/>
  <c r="M70" i="16" s="1"/>
  <c r="M66" i="16"/>
  <c r="L76" i="16"/>
  <c r="M76" i="16" s="1"/>
  <c r="M73" i="16"/>
  <c r="L80" i="16"/>
  <c r="M80" i="16" s="1"/>
  <c r="M79" i="16"/>
  <c r="K15" i="12"/>
  <c r="L15" i="12" s="1"/>
  <c r="L12" i="12"/>
  <c r="K13" i="14"/>
  <c r="L13" i="14" s="1"/>
  <c r="L12" i="14"/>
  <c r="M109" i="4"/>
  <c r="N109" i="4" s="1"/>
  <c r="L109" i="4"/>
  <c r="K9" i="14"/>
  <c r="L6" i="14"/>
  <c r="K17" i="12"/>
  <c r="L9" i="12"/>
  <c r="M112" i="4"/>
  <c r="N112" i="4" s="1"/>
  <c r="L112" i="4"/>
  <c r="M111" i="4"/>
  <c r="N111" i="4" s="1"/>
  <c r="L111" i="4"/>
  <c r="M110" i="4"/>
  <c r="N110" i="4" s="1"/>
  <c r="L110" i="4"/>
  <c r="M107" i="4"/>
  <c r="N107" i="4" s="1"/>
  <c r="L107" i="4"/>
  <c r="M108" i="4"/>
  <c r="N108" i="4" s="1"/>
  <c r="L108" i="4"/>
  <c r="Q390" i="5"/>
  <c r="T328" i="5"/>
  <c r="U328" i="5" l="1"/>
  <c r="L113" i="4"/>
  <c r="E6" i="17"/>
  <c r="L17" i="12"/>
  <c r="K15" i="14"/>
  <c r="L9" i="14"/>
  <c r="K15" i="15"/>
  <c r="L13" i="15"/>
  <c r="T371" i="5"/>
  <c r="U371" i="5" s="1"/>
  <c r="S371" i="5"/>
  <c r="R371" i="5"/>
  <c r="T355" i="5"/>
  <c r="U355" i="5" s="1"/>
  <c r="S355" i="5"/>
  <c r="R355" i="5"/>
  <c r="T354" i="5"/>
  <c r="U354" i="5" s="1"/>
  <c r="S354" i="5"/>
  <c r="R354" i="5"/>
  <c r="T353" i="5"/>
  <c r="U353" i="5" s="1"/>
  <c r="S353" i="5"/>
  <c r="R353" i="5"/>
  <c r="T352" i="5"/>
  <c r="U352" i="5" s="1"/>
  <c r="S352" i="5"/>
  <c r="R352" i="5"/>
  <c r="T351" i="5"/>
  <c r="U351" i="5" s="1"/>
  <c r="S351" i="5"/>
  <c r="R351" i="5"/>
  <c r="T339" i="5"/>
  <c r="U339" i="5" s="1"/>
  <c r="S339" i="5"/>
  <c r="R339" i="5"/>
  <c r="T337" i="5"/>
  <c r="U337" i="5" s="1"/>
  <c r="S337" i="5"/>
  <c r="R337" i="5"/>
  <c r="M113" i="4"/>
  <c r="N6" i="4"/>
  <c r="N113" i="4" s="1"/>
  <c r="T237" i="5"/>
  <c r="U237" i="5" s="1"/>
  <c r="S237" i="5"/>
  <c r="R237" i="5"/>
  <c r="T238" i="5"/>
  <c r="U238" i="5" s="1"/>
  <c r="S238" i="5"/>
  <c r="R238" i="5"/>
  <c r="T314" i="5"/>
  <c r="U314" i="5" s="1"/>
  <c r="S314" i="5"/>
  <c r="R314" i="5"/>
  <c r="Q233" i="5"/>
  <c r="T5" i="5"/>
  <c r="S5" i="5"/>
  <c r="S233" i="5" s="1"/>
  <c r="R5" i="5"/>
  <c r="R233" i="5" s="1"/>
  <c r="T389" i="5"/>
  <c r="U389" i="5" s="1"/>
  <c r="S389" i="5"/>
  <c r="R389" i="5"/>
  <c r="T379" i="5"/>
  <c r="U379" i="5" s="1"/>
  <c r="S379" i="5"/>
  <c r="R379" i="5"/>
  <c r="T375" i="5"/>
  <c r="U375" i="5" s="1"/>
  <c r="S375" i="5"/>
  <c r="R375" i="5"/>
  <c r="T378" i="5"/>
  <c r="U378" i="5" s="1"/>
  <c r="S378" i="5"/>
  <c r="R378" i="5"/>
  <c r="T247" i="5"/>
  <c r="U247" i="5" s="1"/>
  <c r="S247" i="5"/>
  <c r="R247" i="5"/>
  <c r="T248" i="5"/>
  <c r="U248" i="5" s="1"/>
  <c r="S248" i="5"/>
  <c r="R248" i="5"/>
  <c r="T622" i="5"/>
  <c r="U622" i="5" s="1"/>
  <c r="S622" i="5"/>
  <c r="R622" i="5"/>
  <c r="T614" i="5"/>
  <c r="U614" i="5" s="1"/>
  <c r="S614" i="5"/>
  <c r="R614" i="5"/>
  <c r="T600" i="5"/>
  <c r="U600" i="5" s="1"/>
  <c r="S600" i="5"/>
  <c r="R600" i="5"/>
  <c r="T325" i="5"/>
  <c r="U325" i="5" s="1"/>
  <c r="S325" i="5"/>
  <c r="R325" i="5"/>
  <c r="T313" i="5"/>
  <c r="U313" i="5" s="1"/>
  <c r="S313" i="5"/>
  <c r="R313" i="5"/>
  <c r="T305" i="5"/>
  <c r="U305" i="5" s="1"/>
  <c r="S305" i="5"/>
  <c r="R305" i="5"/>
  <c r="T303" i="5"/>
  <c r="U303" i="5" s="1"/>
  <c r="S303" i="5"/>
  <c r="R303" i="5"/>
  <c r="T70" i="5"/>
  <c r="U70" i="5" s="1"/>
  <c r="S70" i="5"/>
  <c r="R70" i="5"/>
  <c r="T377" i="5"/>
  <c r="U377" i="5" s="1"/>
  <c r="S377" i="5"/>
  <c r="R377" i="5"/>
  <c r="T436" i="5"/>
  <c r="U436" i="5" s="1"/>
  <c r="S436" i="5"/>
  <c r="R436" i="5"/>
  <c r="T394" i="5"/>
  <c r="U394" i="5" s="1"/>
  <c r="S394" i="5"/>
  <c r="R394" i="5"/>
  <c r="T39" i="5"/>
  <c r="U39" i="5" s="1"/>
  <c r="S39" i="5"/>
  <c r="R39" i="5"/>
  <c r="T285" i="5"/>
  <c r="U285" i="5" s="1"/>
  <c r="S285" i="5"/>
  <c r="R285" i="5"/>
  <c r="T219" i="5"/>
  <c r="U219" i="5" s="1"/>
  <c r="S219" i="5"/>
  <c r="R219" i="5"/>
  <c r="T213" i="5"/>
  <c r="U213" i="5" s="1"/>
  <c r="S213" i="5"/>
  <c r="R213" i="5"/>
  <c r="T211" i="5"/>
  <c r="U211" i="5" s="1"/>
  <c r="S211" i="5"/>
  <c r="R211" i="5"/>
  <c r="T198" i="5"/>
  <c r="U198" i="5" s="1"/>
  <c r="S198" i="5"/>
  <c r="R198" i="5"/>
  <c r="T196" i="5"/>
  <c r="U196" i="5" s="1"/>
  <c r="S196" i="5"/>
  <c r="R196" i="5"/>
  <c r="T195" i="5"/>
  <c r="U195" i="5" s="1"/>
  <c r="S195" i="5"/>
  <c r="R195" i="5"/>
  <c r="T194" i="5"/>
  <c r="U194" i="5" s="1"/>
  <c r="S194" i="5"/>
  <c r="R194" i="5"/>
  <c r="T186" i="5"/>
  <c r="U186" i="5" s="1"/>
  <c r="S186" i="5"/>
  <c r="R186" i="5"/>
  <c r="T185" i="5"/>
  <c r="U185" i="5" s="1"/>
  <c r="S185" i="5"/>
  <c r="R185" i="5"/>
  <c r="T184" i="5"/>
  <c r="U184" i="5" s="1"/>
  <c r="S184" i="5"/>
  <c r="R184" i="5"/>
  <c r="T171" i="5"/>
  <c r="U171" i="5" s="1"/>
  <c r="S171" i="5"/>
  <c r="R171" i="5"/>
  <c r="T168" i="5"/>
  <c r="U168" i="5" s="1"/>
  <c r="S168" i="5"/>
  <c r="R168" i="5"/>
  <c r="T165" i="5"/>
  <c r="U165" i="5" s="1"/>
  <c r="S165" i="5"/>
  <c r="R165" i="5"/>
  <c r="T162" i="5"/>
  <c r="U162" i="5" s="1"/>
  <c r="S162" i="5"/>
  <c r="R162" i="5"/>
  <c r="T144" i="5"/>
  <c r="U144" i="5" s="1"/>
  <c r="S144" i="5"/>
  <c r="R144" i="5"/>
  <c r="T143" i="5"/>
  <c r="U143" i="5" s="1"/>
  <c r="S143" i="5"/>
  <c r="R143" i="5"/>
  <c r="T142" i="5"/>
  <c r="U142" i="5" s="1"/>
  <c r="S142" i="5"/>
  <c r="R142" i="5"/>
  <c r="T141" i="5"/>
  <c r="U141" i="5" s="1"/>
  <c r="S141" i="5"/>
  <c r="R141" i="5"/>
  <c r="T139" i="5"/>
  <c r="U139" i="5" s="1"/>
  <c r="S139" i="5"/>
  <c r="R139" i="5"/>
  <c r="T137" i="5"/>
  <c r="U137" i="5" s="1"/>
  <c r="S137" i="5"/>
  <c r="R137" i="5"/>
  <c r="T136" i="5"/>
  <c r="U136" i="5" s="1"/>
  <c r="S136" i="5"/>
  <c r="R136" i="5"/>
  <c r="T135" i="5"/>
  <c r="U135" i="5" s="1"/>
  <c r="S135" i="5"/>
  <c r="R135" i="5"/>
  <c r="T134" i="5"/>
  <c r="U134" i="5" s="1"/>
  <c r="S134" i="5"/>
  <c r="R134" i="5"/>
  <c r="T133" i="5"/>
  <c r="U133" i="5" s="1"/>
  <c r="S133" i="5"/>
  <c r="R133" i="5"/>
  <c r="T125" i="5"/>
  <c r="U125" i="5" s="1"/>
  <c r="S125" i="5"/>
  <c r="R125" i="5"/>
  <c r="T115" i="5"/>
  <c r="U115" i="5" s="1"/>
  <c r="S115" i="5"/>
  <c r="R115" i="5"/>
  <c r="T112" i="5"/>
  <c r="U112" i="5" s="1"/>
  <c r="S112" i="5"/>
  <c r="R112" i="5"/>
  <c r="T111" i="5"/>
  <c r="U111" i="5" s="1"/>
  <c r="S111" i="5"/>
  <c r="R111" i="5"/>
  <c r="T91" i="5"/>
  <c r="U91" i="5" s="1"/>
  <c r="S91" i="5"/>
  <c r="R91" i="5"/>
  <c r="T89" i="5"/>
  <c r="U89" i="5" s="1"/>
  <c r="S89" i="5"/>
  <c r="R89" i="5"/>
  <c r="T88" i="5"/>
  <c r="U88" i="5" s="1"/>
  <c r="S88" i="5"/>
  <c r="R88" i="5"/>
  <c r="T87" i="5"/>
  <c r="U87" i="5" s="1"/>
  <c r="S87" i="5"/>
  <c r="R87" i="5"/>
  <c r="T86" i="5"/>
  <c r="U86" i="5" s="1"/>
  <c r="S86" i="5"/>
  <c r="R86" i="5"/>
  <c r="T85" i="5"/>
  <c r="U85" i="5" s="1"/>
  <c r="S85" i="5"/>
  <c r="R85" i="5"/>
  <c r="T47" i="5"/>
  <c r="U47" i="5" s="1"/>
  <c r="S47" i="5"/>
  <c r="R47" i="5"/>
  <c r="T35" i="5"/>
  <c r="U35" i="5" s="1"/>
  <c r="S35" i="5"/>
  <c r="R35" i="5"/>
  <c r="T344" i="5"/>
  <c r="U344" i="5" s="1"/>
  <c r="S344" i="5"/>
  <c r="R344" i="5"/>
  <c r="T343" i="5"/>
  <c r="U343" i="5" s="1"/>
  <c r="S343" i="5"/>
  <c r="R343" i="5"/>
  <c r="T335" i="5"/>
  <c r="U335" i="5" s="1"/>
  <c r="S335" i="5"/>
  <c r="R335" i="5"/>
  <c r="T254" i="5"/>
  <c r="U254" i="5" s="1"/>
  <c r="S254" i="5"/>
  <c r="R254" i="5"/>
  <c r="T252" i="5"/>
  <c r="U252" i="5" s="1"/>
  <c r="S252" i="5"/>
  <c r="R252" i="5"/>
  <c r="Q281" i="5"/>
  <c r="T235" i="5"/>
  <c r="S235" i="5"/>
  <c r="S281" i="5" s="1"/>
  <c r="R235" i="5"/>
  <c r="R281" i="5" s="1"/>
  <c r="T268" i="5"/>
  <c r="U268" i="5" s="1"/>
  <c r="S268" i="5"/>
  <c r="R268" i="5"/>
  <c r="T257" i="5"/>
  <c r="U257" i="5" s="1"/>
  <c r="S257" i="5"/>
  <c r="R257" i="5"/>
  <c r="T255" i="5"/>
  <c r="U255" i="5" s="1"/>
  <c r="S255" i="5"/>
  <c r="R255" i="5"/>
  <c r="T253" i="5"/>
  <c r="U253" i="5" s="1"/>
  <c r="S253" i="5"/>
  <c r="R253" i="5"/>
  <c r="T236" i="5"/>
  <c r="U236" i="5" s="1"/>
  <c r="S236" i="5"/>
  <c r="R236" i="5"/>
  <c r="T307" i="5"/>
  <c r="U307" i="5" s="1"/>
  <c r="S307" i="5"/>
  <c r="R307" i="5"/>
  <c r="T370" i="5"/>
  <c r="U370" i="5" s="1"/>
  <c r="S370" i="5"/>
  <c r="R370" i="5"/>
  <c r="T367" i="5"/>
  <c r="U367" i="5" s="1"/>
  <c r="S367" i="5"/>
  <c r="R367" i="5"/>
  <c r="T548" i="5"/>
  <c r="U548" i="5" s="1"/>
  <c r="S548" i="5"/>
  <c r="R548" i="5"/>
  <c r="T490" i="5"/>
  <c r="U490" i="5" s="1"/>
  <c r="S490" i="5"/>
  <c r="R490" i="5"/>
  <c r="T485" i="5"/>
  <c r="U485" i="5" s="1"/>
  <c r="S485" i="5"/>
  <c r="R485" i="5"/>
  <c r="T482" i="5"/>
  <c r="U482" i="5" s="1"/>
  <c r="S482" i="5"/>
  <c r="R482" i="5"/>
  <c r="T477" i="5"/>
  <c r="U477" i="5" s="1"/>
  <c r="S477" i="5"/>
  <c r="R477" i="5"/>
  <c r="T433" i="5"/>
  <c r="U433" i="5" s="1"/>
  <c r="S433" i="5"/>
  <c r="R433" i="5"/>
  <c r="T429" i="5"/>
  <c r="U429" i="5" s="1"/>
  <c r="S429" i="5"/>
  <c r="R429" i="5"/>
  <c r="T420" i="5"/>
  <c r="U420" i="5" s="1"/>
  <c r="S420" i="5"/>
  <c r="R420" i="5"/>
  <c r="T417" i="5"/>
  <c r="U417" i="5" s="1"/>
  <c r="S417" i="5"/>
  <c r="R417" i="5"/>
  <c r="T403" i="5"/>
  <c r="U403" i="5" s="1"/>
  <c r="S403" i="5"/>
  <c r="R403" i="5"/>
  <c r="T402" i="5"/>
  <c r="U402" i="5" s="1"/>
  <c r="S402" i="5"/>
  <c r="R402" i="5"/>
  <c r="T399" i="5"/>
  <c r="U399" i="5" s="1"/>
  <c r="S399" i="5"/>
  <c r="R399" i="5"/>
  <c r="T397" i="5"/>
  <c r="U397" i="5" s="1"/>
  <c r="S397" i="5"/>
  <c r="R397" i="5"/>
  <c r="T528" i="5"/>
  <c r="U528" i="5" s="1"/>
  <c r="S528" i="5"/>
  <c r="R528" i="5"/>
  <c r="T525" i="5"/>
  <c r="U525" i="5" s="1"/>
  <c r="S525" i="5"/>
  <c r="R525" i="5"/>
  <c r="T510" i="5"/>
  <c r="U510" i="5" s="1"/>
  <c r="S510" i="5"/>
  <c r="R510" i="5"/>
  <c r="T499" i="5"/>
  <c r="U499" i="5" s="1"/>
  <c r="S499" i="5"/>
  <c r="R499" i="5"/>
  <c r="T269" i="5"/>
  <c r="U269" i="5" s="1"/>
  <c r="S269" i="5"/>
  <c r="R269" i="5"/>
  <c r="T256" i="5"/>
  <c r="U256" i="5" s="1"/>
  <c r="S256" i="5"/>
  <c r="R256" i="5"/>
  <c r="T300" i="5"/>
  <c r="U300" i="5" s="1"/>
  <c r="S300" i="5"/>
  <c r="R300" i="5"/>
  <c r="T299" i="5"/>
  <c r="U299" i="5" s="1"/>
  <c r="S299" i="5"/>
  <c r="R299" i="5"/>
  <c r="T11" i="5"/>
  <c r="U11" i="5" s="1"/>
  <c r="S11" i="5"/>
  <c r="R11" i="5"/>
  <c r="T10" i="5"/>
  <c r="U10" i="5" s="1"/>
  <c r="S10" i="5"/>
  <c r="R10" i="5"/>
  <c r="T271" i="5"/>
  <c r="U271" i="5" s="1"/>
  <c r="S271" i="5"/>
  <c r="R271" i="5"/>
  <c r="T270" i="5"/>
  <c r="U270" i="5" s="1"/>
  <c r="S270" i="5"/>
  <c r="R270" i="5"/>
  <c r="T258" i="5"/>
  <c r="U258" i="5" s="1"/>
  <c r="S258" i="5"/>
  <c r="R258" i="5"/>
  <c r="T329" i="5"/>
  <c r="S329" i="5"/>
  <c r="S390" i="5" s="1"/>
  <c r="R329" i="5"/>
  <c r="R390" i="5" s="1"/>
  <c r="T465" i="5"/>
  <c r="U465" i="5" s="1"/>
  <c r="S465" i="5"/>
  <c r="R465" i="5"/>
  <c r="Q494" i="5"/>
  <c r="T454" i="5"/>
  <c r="S454" i="5"/>
  <c r="S494" i="5" s="1"/>
  <c r="R454" i="5"/>
  <c r="R494" i="5" s="1"/>
  <c r="Q452" i="5"/>
  <c r="T411" i="5"/>
  <c r="S411" i="5"/>
  <c r="S452" i="5" s="1"/>
  <c r="R411" i="5"/>
  <c r="R452" i="5" s="1"/>
  <c r="Q531" i="5"/>
  <c r="T496" i="5"/>
  <c r="S496" i="5"/>
  <c r="S531" i="5" s="1"/>
  <c r="R496" i="5"/>
  <c r="R531" i="5" s="1"/>
  <c r="Q556" i="5"/>
  <c r="T545" i="5"/>
  <c r="S545" i="5"/>
  <c r="S556" i="5" s="1"/>
  <c r="R545" i="5"/>
  <c r="R556" i="5" s="1"/>
  <c r="T599" i="5"/>
  <c r="U599" i="5" s="1"/>
  <c r="S599" i="5"/>
  <c r="R599" i="5"/>
  <c r="Q309" i="5"/>
  <c r="T283" i="5"/>
  <c r="S283" i="5"/>
  <c r="S309" i="5" s="1"/>
  <c r="R283" i="5"/>
  <c r="R309" i="5" s="1"/>
  <c r="T50" i="5"/>
  <c r="U50" i="5" s="1"/>
  <c r="S50" i="5"/>
  <c r="R50" i="5"/>
  <c r="T24" i="5"/>
  <c r="U24" i="5" s="1"/>
  <c r="S24" i="5"/>
  <c r="R24" i="5"/>
  <c r="T8" i="5"/>
  <c r="U8" i="5" s="1"/>
  <c r="S8" i="5"/>
  <c r="R8" i="5"/>
  <c r="T551" i="5"/>
  <c r="U551" i="5" s="1"/>
  <c r="S551" i="5"/>
  <c r="R551" i="5"/>
  <c r="T459" i="5"/>
  <c r="U459" i="5" s="1"/>
  <c r="S459" i="5"/>
  <c r="R459" i="5"/>
  <c r="T457" i="5"/>
  <c r="U457" i="5" s="1"/>
  <c r="S457" i="5"/>
  <c r="R457" i="5"/>
  <c r="T445" i="5"/>
  <c r="U445" i="5" s="1"/>
  <c r="S445" i="5"/>
  <c r="R445" i="5"/>
  <c r="T443" i="5"/>
  <c r="U443" i="5" s="1"/>
  <c r="S443" i="5"/>
  <c r="R443" i="5"/>
  <c r="T404" i="5"/>
  <c r="U404" i="5" s="1"/>
  <c r="S404" i="5"/>
  <c r="R404" i="5"/>
  <c r="T517" i="5"/>
  <c r="U517" i="5" s="1"/>
  <c r="S517" i="5"/>
  <c r="R517" i="5"/>
  <c r="T511" i="5"/>
  <c r="U511" i="5" s="1"/>
  <c r="S511" i="5"/>
  <c r="R511" i="5"/>
  <c r="T553" i="5"/>
  <c r="U553" i="5" s="1"/>
  <c r="S553" i="5"/>
  <c r="R553" i="5"/>
  <c r="T519" i="5"/>
  <c r="U519" i="5" s="1"/>
  <c r="S519" i="5"/>
  <c r="R519" i="5"/>
  <c r="T463" i="5"/>
  <c r="U463" i="5" s="1"/>
  <c r="S463" i="5"/>
  <c r="R463" i="5"/>
  <c r="T461" i="5"/>
  <c r="U461" i="5" s="1"/>
  <c r="S461" i="5"/>
  <c r="R461" i="5"/>
  <c r="T448" i="5"/>
  <c r="U448" i="5" s="1"/>
  <c r="S448" i="5"/>
  <c r="R448" i="5"/>
  <c r="T406" i="5"/>
  <c r="U406" i="5" s="1"/>
  <c r="S406" i="5"/>
  <c r="R406" i="5"/>
  <c r="T467" i="5"/>
  <c r="U467" i="5" s="1"/>
  <c r="S467" i="5"/>
  <c r="R467" i="5"/>
  <c r="T78" i="5"/>
  <c r="U78" i="5" s="1"/>
  <c r="S78" i="5"/>
  <c r="R78" i="5"/>
  <c r="T60" i="5"/>
  <c r="U60" i="5" s="1"/>
  <c r="S60" i="5"/>
  <c r="R60" i="5"/>
  <c r="T59" i="5"/>
  <c r="U59" i="5" s="1"/>
  <c r="S59" i="5"/>
  <c r="R59" i="5"/>
  <c r="T17" i="5"/>
  <c r="U17" i="5" s="1"/>
  <c r="S17" i="5"/>
  <c r="R17" i="5"/>
  <c r="T19" i="5"/>
  <c r="U19" i="5" s="1"/>
  <c r="S19" i="5"/>
  <c r="R19" i="5"/>
  <c r="T18" i="5"/>
  <c r="U18" i="5" s="1"/>
  <c r="S18" i="5"/>
  <c r="R18" i="5"/>
  <c r="T627" i="5"/>
  <c r="U627" i="5" s="1"/>
  <c r="S627" i="5"/>
  <c r="R627" i="5"/>
  <c r="T625" i="5"/>
  <c r="U625" i="5" s="1"/>
  <c r="S625" i="5"/>
  <c r="R625" i="5"/>
  <c r="T620" i="5"/>
  <c r="U620" i="5" s="1"/>
  <c r="S620" i="5"/>
  <c r="R620" i="5"/>
  <c r="T616" i="5"/>
  <c r="U616" i="5" s="1"/>
  <c r="S616" i="5"/>
  <c r="R616" i="5"/>
  <c r="T608" i="5"/>
  <c r="U608" i="5" s="1"/>
  <c r="S608" i="5"/>
  <c r="R608" i="5"/>
  <c r="Q632" i="5"/>
  <c r="T592" i="5"/>
  <c r="S592" i="5"/>
  <c r="S632" i="5" s="1"/>
  <c r="R592" i="5"/>
  <c r="R632" i="5" s="1"/>
  <c r="T602" i="5"/>
  <c r="U602" i="5" s="1"/>
  <c r="S602" i="5"/>
  <c r="R602" i="5"/>
  <c r="T594" i="5"/>
  <c r="U594" i="5" s="1"/>
  <c r="S594" i="5"/>
  <c r="R594" i="5"/>
  <c r="T289" i="5"/>
  <c r="U289" i="5" s="1"/>
  <c r="S289" i="5"/>
  <c r="R289" i="5"/>
  <c r="T36" i="5"/>
  <c r="U36" i="5" s="1"/>
  <c r="S36" i="5"/>
  <c r="R36" i="5"/>
  <c r="T296" i="5"/>
  <c r="U296" i="5" s="1"/>
  <c r="S296" i="5"/>
  <c r="R296" i="5"/>
  <c r="T288" i="5"/>
  <c r="U288" i="5" s="1"/>
  <c r="S288" i="5"/>
  <c r="R288" i="5"/>
  <c r="T218" i="5"/>
  <c r="U218" i="5" s="1"/>
  <c r="S218" i="5"/>
  <c r="R218" i="5"/>
  <c r="T217" i="5"/>
  <c r="U217" i="5" s="1"/>
  <c r="S217" i="5"/>
  <c r="R217" i="5"/>
  <c r="T216" i="5"/>
  <c r="U216" i="5" s="1"/>
  <c r="S216" i="5"/>
  <c r="R216" i="5"/>
  <c r="T212" i="5"/>
  <c r="U212" i="5" s="1"/>
  <c r="S212" i="5"/>
  <c r="R212" i="5"/>
  <c r="T197" i="5"/>
  <c r="U197" i="5" s="1"/>
  <c r="S197" i="5"/>
  <c r="R197" i="5"/>
  <c r="T193" i="5"/>
  <c r="U193" i="5" s="1"/>
  <c r="S193" i="5"/>
  <c r="R193" i="5"/>
  <c r="T192" i="5"/>
  <c r="U192" i="5" s="1"/>
  <c r="S192" i="5"/>
  <c r="R192" i="5"/>
  <c r="T191" i="5"/>
  <c r="U191" i="5" s="1"/>
  <c r="S191" i="5"/>
  <c r="R191" i="5"/>
  <c r="T190" i="5"/>
  <c r="U190" i="5" s="1"/>
  <c r="S190" i="5"/>
  <c r="R190" i="5"/>
  <c r="T178" i="5"/>
  <c r="U178" i="5" s="1"/>
  <c r="S178" i="5"/>
  <c r="R178" i="5"/>
  <c r="T164" i="5"/>
  <c r="U164" i="5" s="1"/>
  <c r="S164" i="5"/>
  <c r="R164" i="5"/>
  <c r="T163" i="5"/>
  <c r="U163" i="5" s="1"/>
  <c r="S163" i="5"/>
  <c r="R163" i="5"/>
  <c r="T161" i="5"/>
  <c r="U161" i="5" s="1"/>
  <c r="S161" i="5"/>
  <c r="R161" i="5"/>
  <c r="T146" i="5"/>
  <c r="U146" i="5" s="1"/>
  <c r="S146" i="5"/>
  <c r="R146" i="5"/>
  <c r="T145" i="5"/>
  <c r="U145" i="5" s="1"/>
  <c r="S145" i="5"/>
  <c r="R145" i="5"/>
  <c r="T138" i="5"/>
  <c r="U138" i="5" s="1"/>
  <c r="S138" i="5"/>
  <c r="R138" i="5"/>
  <c r="T117" i="5"/>
  <c r="U117" i="5" s="1"/>
  <c r="S117" i="5"/>
  <c r="R117" i="5"/>
  <c r="T116" i="5"/>
  <c r="U116" i="5" s="1"/>
  <c r="S116" i="5"/>
  <c r="R116" i="5"/>
  <c r="T110" i="5"/>
  <c r="U110" i="5" s="1"/>
  <c r="S110" i="5"/>
  <c r="R110" i="5"/>
  <c r="T95" i="5"/>
  <c r="U95" i="5" s="1"/>
  <c r="S95" i="5"/>
  <c r="R95" i="5"/>
  <c r="T93" i="5"/>
  <c r="U93" i="5" s="1"/>
  <c r="S93" i="5"/>
  <c r="R93" i="5"/>
  <c r="T69" i="5"/>
  <c r="U69" i="5" s="1"/>
  <c r="S69" i="5"/>
  <c r="R69" i="5"/>
  <c r="T68" i="5"/>
  <c r="U68" i="5" s="1"/>
  <c r="S68" i="5"/>
  <c r="R68" i="5"/>
  <c r="T67" i="5"/>
  <c r="U67" i="5" s="1"/>
  <c r="S67" i="5"/>
  <c r="R67" i="5"/>
  <c r="T66" i="5"/>
  <c r="U66" i="5" s="1"/>
  <c r="S66" i="5"/>
  <c r="R66" i="5"/>
  <c r="T65" i="5"/>
  <c r="U65" i="5" s="1"/>
  <c r="S65" i="5"/>
  <c r="R65" i="5"/>
  <c r="T64" i="5"/>
  <c r="U64" i="5" s="1"/>
  <c r="S64" i="5"/>
  <c r="R64" i="5"/>
  <c r="T63" i="5"/>
  <c r="U63" i="5" s="1"/>
  <c r="S63" i="5"/>
  <c r="R63" i="5"/>
  <c r="T62" i="5"/>
  <c r="U62" i="5" s="1"/>
  <c r="S62" i="5"/>
  <c r="R62" i="5"/>
  <c r="T388" i="5"/>
  <c r="U388" i="5" s="1"/>
  <c r="S388" i="5"/>
  <c r="R388" i="5"/>
  <c r="T374" i="5"/>
  <c r="U374" i="5" s="1"/>
  <c r="S374" i="5"/>
  <c r="R374" i="5"/>
  <c r="T333" i="5"/>
  <c r="U333" i="5" s="1"/>
  <c r="S333" i="5"/>
  <c r="R333" i="5"/>
  <c r="T565" i="5"/>
  <c r="U565" i="5" s="1"/>
  <c r="S565" i="5"/>
  <c r="R565" i="5"/>
  <c r="T561" i="5"/>
  <c r="U561" i="5" s="1"/>
  <c r="S561" i="5"/>
  <c r="R561" i="5"/>
  <c r="T22" i="5"/>
  <c r="U22" i="5" s="1"/>
  <c r="S22" i="5"/>
  <c r="R22" i="5"/>
  <c r="T612" i="5"/>
  <c r="U612" i="5" s="1"/>
  <c r="S612" i="5"/>
  <c r="R612" i="5"/>
  <c r="T610" i="5"/>
  <c r="U610" i="5" s="1"/>
  <c r="S610" i="5"/>
  <c r="R610" i="5"/>
  <c r="T324" i="5"/>
  <c r="U324" i="5" s="1"/>
  <c r="S324" i="5"/>
  <c r="R324" i="5"/>
  <c r="T315" i="5"/>
  <c r="U315" i="5" s="1"/>
  <c r="S315" i="5"/>
  <c r="R315" i="5"/>
  <c r="T293" i="5"/>
  <c r="U293" i="5" s="1"/>
  <c r="S293" i="5"/>
  <c r="R293" i="5"/>
  <c r="T223" i="5"/>
  <c r="U223" i="5" s="1"/>
  <c r="S223" i="5"/>
  <c r="R223" i="5"/>
  <c r="T208" i="5"/>
  <c r="U208" i="5" s="1"/>
  <c r="S208" i="5"/>
  <c r="R208" i="5"/>
  <c r="T173" i="5"/>
  <c r="U173" i="5" s="1"/>
  <c r="S173" i="5"/>
  <c r="R173" i="5"/>
  <c r="T157" i="5"/>
  <c r="U157" i="5" s="1"/>
  <c r="S157" i="5"/>
  <c r="R157" i="5"/>
  <c r="T122" i="5"/>
  <c r="U122" i="5" s="1"/>
  <c r="S122" i="5"/>
  <c r="R122" i="5"/>
  <c r="T105" i="5"/>
  <c r="U105" i="5" s="1"/>
  <c r="S105" i="5"/>
  <c r="R105" i="5"/>
  <c r="T73" i="5"/>
  <c r="U73" i="5" s="1"/>
  <c r="S73" i="5"/>
  <c r="R73" i="5"/>
  <c r="T53" i="5"/>
  <c r="U53" i="5" s="1"/>
  <c r="S53" i="5"/>
  <c r="R53" i="5"/>
  <c r="T323" i="5"/>
  <c r="U323" i="5" s="1"/>
  <c r="S323" i="5"/>
  <c r="R323" i="5"/>
  <c r="T291" i="5"/>
  <c r="U291" i="5" s="1"/>
  <c r="S291" i="5"/>
  <c r="R291" i="5"/>
  <c r="T187" i="5"/>
  <c r="U187" i="5" s="1"/>
  <c r="S187" i="5"/>
  <c r="R187" i="5"/>
  <c r="T90" i="5"/>
  <c r="U90" i="5" s="1"/>
  <c r="S90" i="5"/>
  <c r="R90" i="5"/>
  <c r="T321" i="5"/>
  <c r="U321" i="5" s="1"/>
  <c r="S321" i="5"/>
  <c r="R321" i="5"/>
  <c r="T250" i="5"/>
  <c r="U250" i="5" s="1"/>
  <c r="S250" i="5"/>
  <c r="R250" i="5"/>
  <c r="T246" i="5"/>
  <c r="U246" i="5" s="1"/>
  <c r="S246" i="5"/>
  <c r="R246" i="5"/>
  <c r="T243" i="5"/>
  <c r="U243" i="5" s="1"/>
  <c r="S243" i="5"/>
  <c r="R243" i="5"/>
  <c r="T279" i="5"/>
  <c r="U279" i="5" s="1"/>
  <c r="S279" i="5"/>
  <c r="R279" i="5"/>
  <c r="T276" i="5"/>
  <c r="U276" i="5" s="1"/>
  <c r="S276" i="5"/>
  <c r="R276" i="5"/>
  <c r="T273" i="5"/>
  <c r="U273" i="5" s="1"/>
  <c r="S273" i="5"/>
  <c r="R273" i="5"/>
  <c r="T266" i="5"/>
  <c r="U266" i="5" s="1"/>
  <c r="S266" i="5"/>
  <c r="R266" i="5"/>
  <c r="T263" i="5"/>
  <c r="U263" i="5" s="1"/>
  <c r="S263" i="5"/>
  <c r="R263" i="5"/>
  <c r="T259" i="5"/>
  <c r="U259" i="5" s="1"/>
  <c r="S259" i="5"/>
  <c r="R259" i="5"/>
  <c r="T537" i="5"/>
  <c r="U537" i="5" s="1"/>
  <c r="S537" i="5"/>
  <c r="R537" i="5"/>
  <c r="T536" i="5"/>
  <c r="U536" i="5" s="1"/>
  <c r="S536" i="5"/>
  <c r="R536" i="5"/>
  <c r="T251" i="5"/>
  <c r="U251" i="5" s="1"/>
  <c r="S251" i="5"/>
  <c r="R251" i="5"/>
  <c r="T245" i="5"/>
  <c r="U245" i="5" s="1"/>
  <c r="S245" i="5"/>
  <c r="R245" i="5"/>
  <c r="T242" i="5"/>
  <c r="U242" i="5" s="1"/>
  <c r="S242" i="5"/>
  <c r="R242" i="5"/>
  <c r="T570" i="5"/>
  <c r="U570" i="5" s="1"/>
  <c r="S570" i="5"/>
  <c r="R570" i="5"/>
  <c r="T322" i="5"/>
  <c r="U322" i="5" s="1"/>
  <c r="S322" i="5"/>
  <c r="R322" i="5"/>
  <c r="T312" i="5"/>
  <c r="U312" i="5" s="1"/>
  <c r="S312" i="5"/>
  <c r="R312" i="5"/>
  <c r="T298" i="5"/>
  <c r="U298" i="5" s="1"/>
  <c r="S298" i="5"/>
  <c r="R298" i="5"/>
  <c r="T631" i="5"/>
  <c r="U631" i="5" s="1"/>
  <c r="S631" i="5"/>
  <c r="R631" i="5"/>
  <c r="T630" i="5"/>
  <c r="U630" i="5" s="1"/>
  <c r="S630" i="5"/>
  <c r="R630" i="5"/>
  <c r="T629" i="5"/>
  <c r="U629" i="5" s="1"/>
  <c r="S629" i="5"/>
  <c r="R629" i="5"/>
  <c r="T624" i="5"/>
  <c r="U624" i="5" s="1"/>
  <c r="S624" i="5"/>
  <c r="R624" i="5"/>
  <c r="T384" i="5"/>
  <c r="U384" i="5" s="1"/>
  <c r="S384" i="5"/>
  <c r="R384" i="5"/>
  <c r="T383" i="5"/>
  <c r="U383" i="5" s="1"/>
  <c r="S383" i="5"/>
  <c r="R383" i="5"/>
  <c r="T373" i="5"/>
  <c r="U373" i="5" s="1"/>
  <c r="S373" i="5"/>
  <c r="R373" i="5"/>
  <c r="T372" i="5"/>
  <c r="U372" i="5" s="1"/>
  <c r="S372" i="5"/>
  <c r="R372" i="5"/>
  <c r="T369" i="5"/>
  <c r="U369" i="5" s="1"/>
  <c r="S369" i="5"/>
  <c r="R369" i="5"/>
  <c r="T368" i="5"/>
  <c r="U368" i="5" s="1"/>
  <c r="S368" i="5"/>
  <c r="R368" i="5"/>
  <c r="T365" i="5"/>
  <c r="U365" i="5" s="1"/>
  <c r="S365" i="5"/>
  <c r="R365" i="5"/>
  <c r="T363" i="5"/>
  <c r="U363" i="5" s="1"/>
  <c r="S363" i="5"/>
  <c r="R363" i="5"/>
  <c r="T361" i="5"/>
  <c r="U361" i="5" s="1"/>
  <c r="S361" i="5"/>
  <c r="R361" i="5"/>
  <c r="T342" i="5"/>
  <c r="U342" i="5" s="1"/>
  <c r="S342" i="5"/>
  <c r="R342" i="5"/>
  <c r="T341" i="5"/>
  <c r="U341" i="5" s="1"/>
  <c r="S341" i="5"/>
  <c r="R341" i="5"/>
  <c r="T340" i="5"/>
  <c r="U340" i="5" s="1"/>
  <c r="S340" i="5"/>
  <c r="R340" i="5"/>
  <c r="T550" i="5"/>
  <c r="U550" i="5" s="1"/>
  <c r="S550" i="5"/>
  <c r="R550" i="5"/>
  <c r="T549" i="5"/>
  <c r="U549" i="5" s="1"/>
  <c r="S549" i="5"/>
  <c r="R549" i="5"/>
  <c r="T547" i="5"/>
  <c r="U547" i="5" s="1"/>
  <c r="S547" i="5"/>
  <c r="R547" i="5"/>
  <c r="T491" i="5"/>
  <c r="U491" i="5" s="1"/>
  <c r="S491" i="5"/>
  <c r="R491" i="5"/>
  <c r="T489" i="5"/>
  <c r="U489" i="5" s="1"/>
  <c r="S489" i="5"/>
  <c r="R489" i="5"/>
  <c r="T488" i="5"/>
  <c r="U488" i="5" s="1"/>
  <c r="S488" i="5"/>
  <c r="R488" i="5"/>
  <c r="T486" i="5"/>
  <c r="U486" i="5" s="1"/>
  <c r="S486" i="5"/>
  <c r="R486" i="5"/>
  <c r="T484" i="5"/>
  <c r="U484" i="5" s="1"/>
  <c r="S484" i="5"/>
  <c r="R484" i="5"/>
  <c r="T483" i="5"/>
  <c r="U483" i="5" s="1"/>
  <c r="S483" i="5"/>
  <c r="R483" i="5"/>
  <c r="T481" i="5"/>
  <c r="U481" i="5" s="1"/>
  <c r="S481" i="5"/>
  <c r="R481" i="5"/>
  <c r="T480" i="5"/>
  <c r="U480" i="5" s="1"/>
  <c r="S480" i="5"/>
  <c r="R480" i="5"/>
  <c r="T478" i="5"/>
  <c r="U478" i="5" s="1"/>
  <c r="S478" i="5"/>
  <c r="R478" i="5"/>
  <c r="T476" i="5"/>
  <c r="U476" i="5" s="1"/>
  <c r="S476" i="5"/>
  <c r="R476" i="5"/>
  <c r="T475" i="5"/>
  <c r="U475" i="5" s="1"/>
  <c r="S475" i="5"/>
  <c r="R475" i="5"/>
  <c r="T474" i="5"/>
  <c r="U474" i="5" s="1"/>
  <c r="S474" i="5"/>
  <c r="R474" i="5"/>
  <c r="T473" i="5"/>
  <c r="U473" i="5" s="1"/>
  <c r="S473" i="5"/>
  <c r="R473" i="5"/>
  <c r="T472" i="5"/>
  <c r="U472" i="5" s="1"/>
  <c r="S472" i="5"/>
  <c r="R472" i="5"/>
  <c r="T468" i="5"/>
  <c r="U468" i="5" s="1"/>
  <c r="S468" i="5"/>
  <c r="R468" i="5"/>
  <c r="T456" i="5"/>
  <c r="U456" i="5" s="1"/>
  <c r="S456" i="5"/>
  <c r="R456" i="5"/>
  <c r="T434" i="5"/>
  <c r="U434" i="5" s="1"/>
  <c r="S434" i="5"/>
  <c r="R434" i="5"/>
  <c r="T432" i="5"/>
  <c r="U432" i="5" s="1"/>
  <c r="S432" i="5"/>
  <c r="R432" i="5"/>
  <c r="T431" i="5"/>
  <c r="U431" i="5" s="1"/>
  <c r="S431" i="5"/>
  <c r="R431" i="5"/>
  <c r="T430" i="5"/>
  <c r="U430" i="5" s="1"/>
  <c r="S430" i="5"/>
  <c r="R430" i="5"/>
  <c r="T428" i="5"/>
  <c r="U428" i="5" s="1"/>
  <c r="S428" i="5"/>
  <c r="R428" i="5"/>
  <c r="T426" i="5"/>
  <c r="U426" i="5" s="1"/>
  <c r="S426" i="5"/>
  <c r="R426" i="5"/>
  <c r="T425" i="5"/>
  <c r="U425" i="5" s="1"/>
  <c r="S425" i="5"/>
  <c r="R425" i="5"/>
  <c r="T424" i="5"/>
  <c r="U424" i="5" s="1"/>
  <c r="S424" i="5"/>
  <c r="R424" i="5"/>
  <c r="T423" i="5"/>
  <c r="U423" i="5" s="1"/>
  <c r="S423" i="5"/>
  <c r="R423" i="5"/>
  <c r="T422" i="5"/>
  <c r="U422" i="5" s="1"/>
  <c r="S422" i="5"/>
  <c r="R422" i="5"/>
  <c r="T421" i="5"/>
  <c r="U421" i="5" s="1"/>
  <c r="S421" i="5"/>
  <c r="R421" i="5"/>
  <c r="T419" i="5"/>
  <c r="U419" i="5" s="1"/>
  <c r="S419" i="5"/>
  <c r="R419" i="5"/>
  <c r="T418" i="5"/>
  <c r="U418" i="5" s="1"/>
  <c r="S418" i="5"/>
  <c r="R418" i="5"/>
  <c r="T416" i="5"/>
  <c r="U416" i="5" s="1"/>
  <c r="S416" i="5"/>
  <c r="R416" i="5"/>
  <c r="T415" i="5"/>
  <c r="U415" i="5" s="1"/>
  <c r="S415" i="5"/>
  <c r="R415" i="5"/>
  <c r="T401" i="5"/>
  <c r="U401" i="5" s="1"/>
  <c r="S401" i="5"/>
  <c r="R401" i="5"/>
  <c r="T400" i="5"/>
  <c r="U400" i="5" s="1"/>
  <c r="S400" i="5"/>
  <c r="R400" i="5"/>
  <c r="T398" i="5"/>
  <c r="U398" i="5" s="1"/>
  <c r="S398" i="5"/>
  <c r="R398" i="5"/>
  <c r="T396" i="5"/>
  <c r="U396" i="5" s="1"/>
  <c r="S396" i="5"/>
  <c r="R396" i="5"/>
  <c r="T393" i="5"/>
  <c r="U393" i="5" s="1"/>
  <c r="S393" i="5"/>
  <c r="R393" i="5"/>
  <c r="T529" i="5"/>
  <c r="U529" i="5" s="1"/>
  <c r="S529" i="5"/>
  <c r="R529" i="5"/>
  <c r="T527" i="5"/>
  <c r="U527" i="5" s="1"/>
  <c r="S527" i="5"/>
  <c r="R527" i="5"/>
  <c r="T526" i="5"/>
  <c r="U526" i="5" s="1"/>
  <c r="S526" i="5"/>
  <c r="R526" i="5"/>
  <c r="T524" i="5"/>
  <c r="U524" i="5" s="1"/>
  <c r="S524" i="5"/>
  <c r="R524" i="5"/>
  <c r="T516" i="5"/>
  <c r="U516" i="5" s="1"/>
  <c r="S516" i="5"/>
  <c r="R516" i="5"/>
  <c r="T515" i="5"/>
  <c r="U515" i="5" s="1"/>
  <c r="S515" i="5"/>
  <c r="R515" i="5"/>
  <c r="T514" i="5"/>
  <c r="U514" i="5" s="1"/>
  <c r="S514" i="5"/>
  <c r="R514" i="5"/>
  <c r="T513" i="5"/>
  <c r="U513" i="5" s="1"/>
  <c r="S513" i="5"/>
  <c r="R513" i="5"/>
  <c r="T509" i="5"/>
  <c r="U509" i="5" s="1"/>
  <c r="S509" i="5"/>
  <c r="R509" i="5"/>
  <c r="T508" i="5"/>
  <c r="U508" i="5" s="1"/>
  <c r="S508" i="5"/>
  <c r="R508" i="5"/>
  <c r="T501" i="5"/>
  <c r="U501" i="5" s="1"/>
  <c r="S501" i="5"/>
  <c r="R501" i="5"/>
  <c r="T500" i="5"/>
  <c r="U500" i="5" s="1"/>
  <c r="S500" i="5"/>
  <c r="R500" i="5"/>
  <c r="T498" i="5"/>
  <c r="U498" i="5" s="1"/>
  <c r="S498" i="5"/>
  <c r="R498" i="5"/>
  <c r="T562" i="5"/>
  <c r="U562" i="5" s="1"/>
  <c r="S562" i="5"/>
  <c r="R562" i="5"/>
  <c r="T45" i="5"/>
  <c r="U45" i="5" s="1"/>
  <c r="S45" i="5"/>
  <c r="R45" i="5"/>
  <c r="T278" i="5"/>
  <c r="U278" i="5" s="1"/>
  <c r="S278" i="5"/>
  <c r="R278" i="5"/>
  <c r="T275" i="5"/>
  <c r="U275" i="5" s="1"/>
  <c r="S275" i="5"/>
  <c r="R275" i="5"/>
  <c r="T272" i="5"/>
  <c r="U272" i="5" s="1"/>
  <c r="S272" i="5"/>
  <c r="R272" i="5"/>
  <c r="T265" i="5"/>
  <c r="U265" i="5" s="1"/>
  <c r="S265" i="5"/>
  <c r="R265" i="5"/>
  <c r="T262" i="5"/>
  <c r="U262" i="5" s="1"/>
  <c r="S262" i="5"/>
  <c r="R262" i="5"/>
  <c r="T260" i="5"/>
  <c r="U260" i="5" s="1"/>
  <c r="S260" i="5"/>
  <c r="R260" i="5"/>
  <c r="T9" i="5"/>
  <c r="U9" i="5" s="1"/>
  <c r="S9" i="5"/>
  <c r="R9" i="5"/>
  <c r="T605" i="5"/>
  <c r="U605" i="5" s="1"/>
  <c r="S605" i="5"/>
  <c r="R605" i="5"/>
  <c r="T604" i="5"/>
  <c r="U604" i="5" s="1"/>
  <c r="S604" i="5"/>
  <c r="R604" i="5"/>
  <c r="T302" i="5"/>
  <c r="U302" i="5" s="1"/>
  <c r="S302" i="5"/>
  <c r="R302" i="5"/>
  <c r="T301" i="5"/>
  <c r="U301" i="5" s="1"/>
  <c r="S301" i="5"/>
  <c r="R301" i="5"/>
  <c r="T231" i="5"/>
  <c r="U231" i="5" s="1"/>
  <c r="S231" i="5"/>
  <c r="R231" i="5"/>
  <c r="T229" i="5"/>
  <c r="U229" i="5" s="1"/>
  <c r="S229" i="5"/>
  <c r="R229" i="5"/>
  <c r="T226" i="5"/>
  <c r="U226" i="5" s="1"/>
  <c r="S226" i="5"/>
  <c r="R226" i="5"/>
  <c r="T204" i="5"/>
  <c r="U204" i="5" s="1"/>
  <c r="S204" i="5"/>
  <c r="R204" i="5"/>
  <c r="T202" i="5"/>
  <c r="U202" i="5" s="1"/>
  <c r="S202" i="5"/>
  <c r="R202" i="5"/>
  <c r="T182" i="5"/>
  <c r="U182" i="5" s="1"/>
  <c r="S182" i="5"/>
  <c r="R182" i="5"/>
  <c r="T180" i="5"/>
  <c r="U180" i="5" s="1"/>
  <c r="S180" i="5"/>
  <c r="R180" i="5"/>
  <c r="T153" i="5"/>
  <c r="U153" i="5" s="1"/>
  <c r="S153" i="5"/>
  <c r="R153" i="5"/>
  <c r="T150" i="5"/>
  <c r="U150" i="5" s="1"/>
  <c r="S150" i="5"/>
  <c r="R150" i="5"/>
  <c r="T131" i="5"/>
  <c r="U131" i="5" s="1"/>
  <c r="S131" i="5"/>
  <c r="R131" i="5"/>
  <c r="T129" i="5"/>
  <c r="U129" i="5" s="1"/>
  <c r="S129" i="5"/>
  <c r="R129" i="5"/>
  <c r="T101" i="5"/>
  <c r="U101" i="5" s="1"/>
  <c r="S101" i="5"/>
  <c r="R101" i="5"/>
  <c r="T99" i="5"/>
  <c r="U99" i="5" s="1"/>
  <c r="S99" i="5"/>
  <c r="R99" i="5"/>
  <c r="T82" i="5"/>
  <c r="U82" i="5" s="1"/>
  <c r="S82" i="5"/>
  <c r="R82" i="5"/>
  <c r="T80" i="5"/>
  <c r="U80" i="5" s="1"/>
  <c r="S80" i="5"/>
  <c r="R80" i="5"/>
  <c r="T71" i="5"/>
  <c r="U71" i="5" s="1"/>
  <c r="S71" i="5"/>
  <c r="R71" i="5"/>
  <c r="T57" i="5"/>
  <c r="U57" i="5" s="1"/>
  <c r="S57" i="5"/>
  <c r="R57" i="5"/>
  <c r="T55" i="5"/>
  <c r="U55" i="5" s="1"/>
  <c r="S55" i="5"/>
  <c r="R55" i="5"/>
  <c r="T14" i="5"/>
  <c r="U14" i="5" s="1"/>
  <c r="S14" i="5"/>
  <c r="R14" i="5"/>
  <c r="T12" i="5"/>
  <c r="U12" i="5" s="1"/>
  <c r="S12" i="5"/>
  <c r="R12" i="5"/>
  <c r="T320" i="5"/>
  <c r="U320" i="5" s="1"/>
  <c r="S320" i="5"/>
  <c r="R320" i="5"/>
  <c r="T542" i="5"/>
  <c r="U542" i="5" s="1"/>
  <c r="S542" i="5"/>
  <c r="R542" i="5"/>
  <c r="T541" i="5"/>
  <c r="U541" i="5" s="1"/>
  <c r="S541" i="5"/>
  <c r="R541" i="5"/>
  <c r="T540" i="5"/>
  <c r="U540" i="5" s="1"/>
  <c r="S540" i="5"/>
  <c r="R540" i="5"/>
  <c r="T539" i="5"/>
  <c r="U539" i="5" s="1"/>
  <c r="S539" i="5"/>
  <c r="R539" i="5"/>
  <c r="T232" i="5"/>
  <c r="U232" i="5" s="1"/>
  <c r="S232" i="5"/>
  <c r="R232" i="5"/>
  <c r="T230" i="5"/>
  <c r="U230" i="5" s="1"/>
  <c r="S230" i="5"/>
  <c r="R230" i="5"/>
  <c r="T205" i="5"/>
  <c r="U205" i="5" s="1"/>
  <c r="S205" i="5"/>
  <c r="R205" i="5"/>
  <c r="T203" i="5"/>
  <c r="U203" i="5" s="1"/>
  <c r="S203" i="5"/>
  <c r="R203" i="5"/>
  <c r="T183" i="5"/>
  <c r="U183" i="5" s="1"/>
  <c r="S183" i="5"/>
  <c r="R183" i="5"/>
  <c r="T181" i="5"/>
  <c r="U181" i="5" s="1"/>
  <c r="S181" i="5"/>
  <c r="R181" i="5"/>
  <c r="T154" i="5"/>
  <c r="U154" i="5" s="1"/>
  <c r="S154" i="5"/>
  <c r="R154" i="5"/>
  <c r="T151" i="5"/>
  <c r="U151" i="5" s="1"/>
  <c r="S151" i="5"/>
  <c r="R151" i="5"/>
  <c r="T132" i="5"/>
  <c r="U132" i="5" s="1"/>
  <c r="S132" i="5"/>
  <c r="R132" i="5"/>
  <c r="T130" i="5"/>
  <c r="U130" i="5" s="1"/>
  <c r="S130" i="5"/>
  <c r="R130" i="5"/>
  <c r="T102" i="5"/>
  <c r="U102" i="5" s="1"/>
  <c r="S102" i="5"/>
  <c r="R102" i="5"/>
  <c r="T100" i="5"/>
  <c r="U100" i="5" s="1"/>
  <c r="S100" i="5"/>
  <c r="R100" i="5"/>
  <c r="T83" i="5"/>
  <c r="U83" i="5" s="1"/>
  <c r="S83" i="5"/>
  <c r="R83" i="5"/>
  <c r="T81" i="5"/>
  <c r="U81" i="5" s="1"/>
  <c r="S81" i="5"/>
  <c r="R81" i="5"/>
  <c r="T72" i="5"/>
  <c r="U72" i="5" s="1"/>
  <c r="S72" i="5"/>
  <c r="R72" i="5"/>
  <c r="T58" i="5"/>
  <c r="U58" i="5" s="1"/>
  <c r="S58" i="5"/>
  <c r="R58" i="5"/>
  <c r="T56" i="5"/>
  <c r="U56" i="5" s="1"/>
  <c r="S56" i="5"/>
  <c r="R56" i="5"/>
  <c r="T15" i="5"/>
  <c r="U15" i="5" s="1"/>
  <c r="S15" i="5"/>
  <c r="R15" i="5"/>
  <c r="T13" i="5"/>
  <c r="U13" i="5" s="1"/>
  <c r="S13" i="5"/>
  <c r="R13" i="5"/>
  <c r="T280" i="5"/>
  <c r="U280" i="5" s="1"/>
  <c r="S280" i="5"/>
  <c r="R280" i="5"/>
  <c r="T277" i="5"/>
  <c r="U277" i="5" s="1"/>
  <c r="S277" i="5"/>
  <c r="R277" i="5"/>
  <c r="T274" i="5"/>
  <c r="U274" i="5" s="1"/>
  <c r="S274" i="5"/>
  <c r="R274" i="5"/>
  <c r="T267" i="5"/>
  <c r="U267" i="5" s="1"/>
  <c r="S267" i="5"/>
  <c r="R267" i="5"/>
  <c r="T264" i="5"/>
  <c r="U264" i="5" s="1"/>
  <c r="S264" i="5"/>
  <c r="R264" i="5"/>
  <c r="T261" i="5"/>
  <c r="U261" i="5" s="1"/>
  <c r="S261" i="5"/>
  <c r="R261" i="5"/>
  <c r="T589" i="5"/>
  <c r="U589" i="5" s="1"/>
  <c r="S589" i="5"/>
  <c r="R589" i="5"/>
  <c r="T588" i="5"/>
  <c r="U588" i="5" s="1"/>
  <c r="S588" i="5"/>
  <c r="R588" i="5"/>
  <c r="T587" i="5"/>
  <c r="U587" i="5" s="1"/>
  <c r="S587" i="5"/>
  <c r="R587" i="5"/>
  <c r="T586" i="5"/>
  <c r="U586" i="5" s="1"/>
  <c r="S586" i="5"/>
  <c r="R586" i="5"/>
  <c r="T585" i="5"/>
  <c r="U585" i="5" s="1"/>
  <c r="S585" i="5"/>
  <c r="R585" i="5"/>
  <c r="T584" i="5"/>
  <c r="U584" i="5" s="1"/>
  <c r="S584" i="5"/>
  <c r="R584" i="5"/>
  <c r="T583" i="5"/>
  <c r="U583" i="5" s="1"/>
  <c r="S583" i="5"/>
  <c r="R583" i="5"/>
  <c r="T582" i="5"/>
  <c r="U582" i="5" s="1"/>
  <c r="S582" i="5"/>
  <c r="R582" i="5"/>
  <c r="T581" i="5"/>
  <c r="U581" i="5" s="1"/>
  <c r="S581" i="5"/>
  <c r="R581" i="5"/>
  <c r="T580" i="5"/>
  <c r="U580" i="5" s="1"/>
  <c r="S580" i="5"/>
  <c r="R580" i="5"/>
  <c r="T579" i="5"/>
  <c r="U579" i="5" s="1"/>
  <c r="S579" i="5"/>
  <c r="R579" i="5"/>
  <c r="T578" i="5"/>
  <c r="U578" i="5" s="1"/>
  <c r="S578" i="5"/>
  <c r="R578" i="5"/>
  <c r="T577" i="5"/>
  <c r="U577" i="5" s="1"/>
  <c r="S577" i="5"/>
  <c r="R577" i="5"/>
  <c r="T576" i="5"/>
  <c r="U576" i="5" s="1"/>
  <c r="S576" i="5"/>
  <c r="R576" i="5"/>
  <c r="T575" i="5"/>
  <c r="U575" i="5" s="1"/>
  <c r="S575" i="5"/>
  <c r="R575" i="5"/>
  <c r="T574" i="5"/>
  <c r="U574" i="5" s="1"/>
  <c r="S574" i="5"/>
  <c r="R574" i="5"/>
  <c r="T573" i="5"/>
  <c r="U573" i="5" s="1"/>
  <c r="S573" i="5"/>
  <c r="R573" i="5"/>
  <c r="T572" i="5"/>
  <c r="U572" i="5" s="1"/>
  <c r="S572" i="5"/>
  <c r="R572" i="5"/>
  <c r="T571" i="5"/>
  <c r="U571" i="5" s="1"/>
  <c r="S571" i="5"/>
  <c r="R571" i="5"/>
  <c r="T569" i="5"/>
  <c r="U569" i="5" s="1"/>
  <c r="S569" i="5"/>
  <c r="R569" i="5"/>
  <c r="T7" i="5"/>
  <c r="U7" i="5" s="1"/>
  <c r="S7" i="5"/>
  <c r="R7" i="5"/>
  <c r="T387" i="5"/>
  <c r="U387" i="5" s="1"/>
  <c r="S387" i="5"/>
  <c r="R387" i="5"/>
  <c r="T385" i="5"/>
  <c r="U385" i="5" s="1"/>
  <c r="S385" i="5"/>
  <c r="R385" i="5"/>
  <c r="T376" i="5"/>
  <c r="U376" i="5" s="1"/>
  <c r="S376" i="5"/>
  <c r="R376" i="5"/>
  <c r="T359" i="5"/>
  <c r="U359" i="5" s="1"/>
  <c r="S359" i="5"/>
  <c r="R359" i="5"/>
  <c r="T332" i="5"/>
  <c r="U332" i="5" s="1"/>
  <c r="S332" i="5"/>
  <c r="R332" i="5"/>
  <c r="T331" i="5"/>
  <c r="U331" i="5" s="1"/>
  <c r="S331" i="5"/>
  <c r="R331" i="5"/>
  <c r="T563" i="5"/>
  <c r="U563" i="5" s="1"/>
  <c r="S563" i="5"/>
  <c r="R563" i="5"/>
  <c r="T559" i="5"/>
  <c r="U559" i="5" s="1"/>
  <c r="S559" i="5"/>
  <c r="R559" i="5"/>
  <c r="T84" i="5"/>
  <c r="U84" i="5" s="1"/>
  <c r="S84" i="5"/>
  <c r="R84" i="5"/>
  <c r="T228" i="5"/>
  <c r="U228" i="5" s="1"/>
  <c r="S228" i="5"/>
  <c r="R228" i="5"/>
  <c r="T215" i="5"/>
  <c r="U215" i="5" s="1"/>
  <c r="S215" i="5"/>
  <c r="R215" i="5"/>
  <c r="T200" i="5"/>
  <c r="U200" i="5" s="1"/>
  <c r="S200" i="5"/>
  <c r="R200" i="5"/>
  <c r="T179" i="5"/>
  <c r="U179" i="5" s="1"/>
  <c r="S179" i="5"/>
  <c r="R179" i="5"/>
  <c r="T167" i="5"/>
  <c r="U167" i="5" s="1"/>
  <c r="S167" i="5"/>
  <c r="R167" i="5"/>
  <c r="T149" i="5"/>
  <c r="U149" i="5" s="1"/>
  <c r="S149" i="5"/>
  <c r="R149" i="5"/>
  <c r="T128" i="5"/>
  <c r="U128" i="5" s="1"/>
  <c r="S128" i="5"/>
  <c r="R128" i="5"/>
  <c r="T114" i="5"/>
  <c r="U114" i="5" s="1"/>
  <c r="S114" i="5"/>
  <c r="R114" i="5"/>
  <c r="T98" i="5"/>
  <c r="U98" i="5" s="1"/>
  <c r="S98" i="5"/>
  <c r="R98" i="5"/>
  <c r="T16" i="5"/>
  <c r="U16" i="5" s="1"/>
  <c r="S16" i="5"/>
  <c r="R16" i="5"/>
  <c r="T79" i="5"/>
  <c r="U79" i="5" s="1"/>
  <c r="S79" i="5"/>
  <c r="R79" i="5"/>
  <c r="T61" i="5"/>
  <c r="U61" i="5" s="1"/>
  <c r="S61" i="5"/>
  <c r="R61" i="5"/>
  <c r="Q543" i="5"/>
  <c r="T535" i="5"/>
  <c r="S535" i="5"/>
  <c r="S543" i="5" s="1"/>
  <c r="R535" i="5"/>
  <c r="R543" i="5" s="1"/>
  <c r="T618" i="5"/>
  <c r="U618" i="5" s="1"/>
  <c r="S618" i="5"/>
  <c r="R618" i="5"/>
  <c r="T606" i="5"/>
  <c r="U606" i="5" s="1"/>
  <c r="S606" i="5"/>
  <c r="R606" i="5"/>
  <c r="T596" i="5"/>
  <c r="U596" i="5" s="1"/>
  <c r="S596" i="5"/>
  <c r="R596" i="5"/>
  <c r="Q590" i="5"/>
  <c r="T568" i="5"/>
  <c r="S568" i="5"/>
  <c r="S590" i="5" s="1"/>
  <c r="R568" i="5"/>
  <c r="R590" i="5" s="1"/>
  <c r="Q317" i="5"/>
  <c r="T311" i="5"/>
  <c r="S311" i="5"/>
  <c r="S317" i="5" s="1"/>
  <c r="R311" i="5"/>
  <c r="R317" i="5" s="1"/>
  <c r="T51" i="5"/>
  <c r="U51" i="5" s="1"/>
  <c r="S51" i="5"/>
  <c r="R51" i="5"/>
  <c r="T48" i="5"/>
  <c r="U48" i="5" s="1"/>
  <c r="S48" i="5"/>
  <c r="R48" i="5"/>
  <c r="T42" i="5"/>
  <c r="U42" i="5" s="1"/>
  <c r="S42" i="5"/>
  <c r="R42" i="5"/>
  <c r="T297" i="5"/>
  <c r="U297" i="5" s="1"/>
  <c r="S297" i="5"/>
  <c r="R297" i="5"/>
  <c r="T295" i="5"/>
  <c r="U295" i="5" s="1"/>
  <c r="S295" i="5"/>
  <c r="R295" i="5"/>
  <c r="T286" i="5"/>
  <c r="U286" i="5" s="1"/>
  <c r="S286" i="5"/>
  <c r="R286" i="5"/>
  <c r="T284" i="5"/>
  <c r="U284" i="5" s="1"/>
  <c r="S284" i="5"/>
  <c r="R284" i="5"/>
  <c r="T221" i="5"/>
  <c r="U221" i="5" s="1"/>
  <c r="S221" i="5"/>
  <c r="R221" i="5"/>
  <c r="T206" i="5"/>
  <c r="U206" i="5" s="1"/>
  <c r="S206" i="5"/>
  <c r="R206" i="5"/>
  <c r="T176" i="5"/>
  <c r="U176" i="5" s="1"/>
  <c r="S176" i="5"/>
  <c r="R176" i="5"/>
  <c r="T169" i="5"/>
  <c r="U169" i="5" s="1"/>
  <c r="S169" i="5"/>
  <c r="R169" i="5"/>
  <c r="T155" i="5"/>
  <c r="U155" i="5" s="1"/>
  <c r="S155" i="5"/>
  <c r="R155" i="5"/>
  <c r="T120" i="5"/>
  <c r="U120" i="5" s="1"/>
  <c r="S120" i="5"/>
  <c r="R120" i="5"/>
  <c r="T103" i="5"/>
  <c r="U103" i="5" s="1"/>
  <c r="S103" i="5"/>
  <c r="R103" i="5"/>
  <c r="T76" i="5"/>
  <c r="U76" i="5" s="1"/>
  <c r="S76" i="5"/>
  <c r="R76" i="5"/>
  <c r="T52" i="5"/>
  <c r="U52" i="5" s="1"/>
  <c r="S52" i="5"/>
  <c r="R52" i="5"/>
  <c r="T6" i="5"/>
  <c r="U6" i="5" s="1"/>
  <c r="S6" i="5"/>
  <c r="R6" i="5"/>
  <c r="T382" i="5"/>
  <c r="U382" i="5" s="1"/>
  <c r="S382" i="5"/>
  <c r="R382" i="5"/>
  <c r="T380" i="5"/>
  <c r="U380" i="5" s="1"/>
  <c r="S380" i="5"/>
  <c r="R380" i="5"/>
  <c r="T345" i="5"/>
  <c r="U345" i="5" s="1"/>
  <c r="S345" i="5"/>
  <c r="R345" i="5"/>
  <c r="T338" i="5"/>
  <c r="U338" i="5" s="1"/>
  <c r="S338" i="5"/>
  <c r="R338" i="5"/>
  <c r="T334" i="5"/>
  <c r="U334" i="5" s="1"/>
  <c r="S334" i="5"/>
  <c r="R334" i="5"/>
  <c r="T330" i="5"/>
  <c r="U330" i="5" s="1"/>
  <c r="S330" i="5"/>
  <c r="R330" i="5"/>
  <c r="T546" i="5"/>
  <c r="U546" i="5" s="1"/>
  <c r="S546" i="5"/>
  <c r="R546" i="5"/>
  <c r="T492" i="5"/>
  <c r="U492" i="5" s="1"/>
  <c r="S492" i="5"/>
  <c r="R492" i="5"/>
  <c r="T487" i="5"/>
  <c r="U487" i="5" s="1"/>
  <c r="S487" i="5"/>
  <c r="R487" i="5"/>
  <c r="T479" i="5"/>
  <c r="U479" i="5" s="1"/>
  <c r="S479" i="5"/>
  <c r="R479" i="5"/>
  <c r="T471" i="5"/>
  <c r="U471" i="5" s="1"/>
  <c r="S471" i="5"/>
  <c r="R471" i="5"/>
  <c r="T470" i="5"/>
  <c r="U470" i="5" s="1"/>
  <c r="S470" i="5"/>
  <c r="R470" i="5"/>
  <c r="T469" i="5"/>
  <c r="U469" i="5" s="1"/>
  <c r="S469" i="5"/>
  <c r="R469" i="5"/>
  <c r="T441" i="5"/>
  <c r="U441" i="5" s="1"/>
  <c r="S441" i="5"/>
  <c r="R441" i="5"/>
  <c r="T440" i="5"/>
  <c r="U440" i="5" s="1"/>
  <c r="S440" i="5"/>
  <c r="R440" i="5"/>
  <c r="T438" i="5"/>
  <c r="U438" i="5" s="1"/>
  <c r="S438" i="5"/>
  <c r="R438" i="5"/>
  <c r="T435" i="5"/>
  <c r="U435" i="5" s="1"/>
  <c r="S435" i="5"/>
  <c r="R435" i="5"/>
  <c r="T427" i="5"/>
  <c r="U427" i="5" s="1"/>
  <c r="S427" i="5"/>
  <c r="R427" i="5"/>
  <c r="T414" i="5"/>
  <c r="U414" i="5" s="1"/>
  <c r="S414" i="5"/>
  <c r="R414" i="5"/>
  <c r="T522" i="5"/>
  <c r="U522" i="5" s="1"/>
  <c r="S522" i="5"/>
  <c r="R522" i="5"/>
  <c r="T521" i="5"/>
  <c r="U521" i="5" s="1"/>
  <c r="S521" i="5"/>
  <c r="R521" i="5"/>
  <c r="T506" i="5"/>
  <c r="U506" i="5" s="1"/>
  <c r="S506" i="5"/>
  <c r="R506" i="5"/>
  <c r="T504" i="5"/>
  <c r="U504" i="5" s="1"/>
  <c r="S504" i="5"/>
  <c r="R504" i="5"/>
  <c r="T502" i="5"/>
  <c r="U502" i="5" s="1"/>
  <c r="S502" i="5"/>
  <c r="R502" i="5"/>
  <c r="T497" i="5"/>
  <c r="U497" i="5" s="1"/>
  <c r="S497" i="5"/>
  <c r="R497" i="5"/>
  <c r="Q326" i="5"/>
  <c r="T319" i="5"/>
  <c r="S319" i="5"/>
  <c r="S326" i="5" s="1"/>
  <c r="R319" i="5"/>
  <c r="R326" i="5" s="1"/>
  <c r="T34" i="5"/>
  <c r="U34" i="5" s="1"/>
  <c r="S34" i="5"/>
  <c r="R34" i="5"/>
  <c r="T30" i="5"/>
  <c r="U30" i="5" s="1"/>
  <c r="S30" i="5"/>
  <c r="R30" i="5"/>
  <c r="T28" i="5"/>
  <c r="U28" i="5" s="1"/>
  <c r="S28" i="5"/>
  <c r="R28" i="5"/>
  <c r="T20" i="5"/>
  <c r="U20" i="5" s="1"/>
  <c r="S20" i="5"/>
  <c r="R20" i="5"/>
  <c r="T538" i="5"/>
  <c r="U538" i="5" s="1"/>
  <c r="S538" i="5"/>
  <c r="R538" i="5"/>
  <c r="T598" i="5"/>
  <c r="U598" i="5" s="1"/>
  <c r="S598" i="5"/>
  <c r="R598" i="5"/>
  <c r="T227" i="5"/>
  <c r="U227" i="5" s="1"/>
  <c r="S227" i="5"/>
  <c r="R227" i="5"/>
  <c r="T220" i="5"/>
  <c r="U220" i="5" s="1"/>
  <c r="S220" i="5"/>
  <c r="R220" i="5"/>
  <c r="T214" i="5"/>
  <c r="U214" i="5" s="1"/>
  <c r="S214" i="5"/>
  <c r="R214" i="5"/>
  <c r="T201" i="5"/>
  <c r="U201" i="5" s="1"/>
  <c r="S201" i="5"/>
  <c r="R201" i="5"/>
  <c r="T199" i="5"/>
  <c r="U199" i="5" s="1"/>
  <c r="S199" i="5"/>
  <c r="R199" i="5"/>
  <c r="T189" i="5"/>
  <c r="U189" i="5" s="1"/>
  <c r="S189" i="5"/>
  <c r="R189" i="5"/>
  <c r="T172" i="5"/>
  <c r="U172" i="5" s="1"/>
  <c r="S172" i="5"/>
  <c r="R172" i="5"/>
  <c r="T166" i="5"/>
  <c r="U166" i="5" s="1"/>
  <c r="S166" i="5"/>
  <c r="R166" i="5"/>
  <c r="T160" i="5"/>
  <c r="U160" i="5" s="1"/>
  <c r="S160" i="5"/>
  <c r="R160" i="5"/>
  <c r="T152" i="5"/>
  <c r="U152" i="5" s="1"/>
  <c r="S152" i="5"/>
  <c r="R152" i="5"/>
  <c r="T148" i="5"/>
  <c r="U148" i="5" s="1"/>
  <c r="S148" i="5"/>
  <c r="R148" i="5"/>
  <c r="T147" i="5"/>
  <c r="U147" i="5" s="1"/>
  <c r="S147" i="5"/>
  <c r="R147" i="5"/>
  <c r="T140" i="5"/>
  <c r="U140" i="5" s="1"/>
  <c r="S140" i="5"/>
  <c r="R140" i="5"/>
  <c r="T127" i="5"/>
  <c r="U127" i="5" s="1"/>
  <c r="S127" i="5"/>
  <c r="R127" i="5"/>
  <c r="T126" i="5"/>
  <c r="U126" i="5" s="1"/>
  <c r="S126" i="5"/>
  <c r="R126" i="5"/>
  <c r="T119" i="5"/>
  <c r="U119" i="5" s="1"/>
  <c r="S119" i="5"/>
  <c r="R119" i="5"/>
  <c r="T118" i="5"/>
  <c r="U118" i="5" s="1"/>
  <c r="S118" i="5"/>
  <c r="R118" i="5"/>
  <c r="T113" i="5"/>
  <c r="U113" i="5" s="1"/>
  <c r="S113" i="5"/>
  <c r="R113" i="5"/>
  <c r="T109" i="5"/>
  <c r="U109" i="5" s="1"/>
  <c r="S109" i="5"/>
  <c r="R109" i="5"/>
  <c r="T108" i="5"/>
  <c r="U108" i="5" s="1"/>
  <c r="S108" i="5"/>
  <c r="R108" i="5"/>
  <c r="T97" i="5"/>
  <c r="U97" i="5" s="1"/>
  <c r="S97" i="5"/>
  <c r="R97" i="5"/>
  <c r="T49" i="5"/>
  <c r="U49" i="5" s="1"/>
  <c r="S49" i="5"/>
  <c r="R49" i="5"/>
  <c r="T386" i="5"/>
  <c r="U386" i="5" s="1"/>
  <c r="S386" i="5"/>
  <c r="R386" i="5"/>
  <c r="T358" i="5"/>
  <c r="U358" i="5" s="1"/>
  <c r="S358" i="5"/>
  <c r="R358" i="5"/>
  <c r="T356" i="5"/>
  <c r="U356" i="5" s="1"/>
  <c r="S356" i="5"/>
  <c r="R356" i="5"/>
  <c r="T336" i="5"/>
  <c r="U336" i="5" s="1"/>
  <c r="S336" i="5"/>
  <c r="R336" i="5"/>
  <c r="T447" i="5"/>
  <c r="U447" i="5" s="1"/>
  <c r="S447" i="5"/>
  <c r="R447" i="5"/>
  <c r="Q409" i="5"/>
  <c r="T392" i="5"/>
  <c r="S392" i="5"/>
  <c r="S409" i="5" s="1"/>
  <c r="R392" i="5"/>
  <c r="R409" i="5" s="1"/>
  <c r="T564" i="5"/>
  <c r="U564" i="5" s="1"/>
  <c r="S564" i="5"/>
  <c r="R564" i="5"/>
  <c r="T560" i="5"/>
  <c r="U560" i="5" s="1"/>
  <c r="S560" i="5"/>
  <c r="R560" i="5"/>
  <c r="Q566" i="5"/>
  <c r="T558" i="5"/>
  <c r="S558" i="5"/>
  <c r="S566" i="5" s="1"/>
  <c r="R558" i="5"/>
  <c r="R566" i="5" s="1"/>
  <c r="T239" i="5"/>
  <c r="U239" i="5" s="1"/>
  <c r="S239" i="5"/>
  <c r="R239" i="5"/>
  <c r="T240" i="5"/>
  <c r="U240" i="5" s="1"/>
  <c r="S240" i="5"/>
  <c r="R240" i="5"/>
  <c r="T32" i="5"/>
  <c r="U32" i="5" s="1"/>
  <c r="S32" i="5"/>
  <c r="R32" i="5"/>
  <c r="T31" i="5"/>
  <c r="U31" i="5" s="1"/>
  <c r="S31" i="5"/>
  <c r="R31" i="5"/>
  <c r="T27" i="5"/>
  <c r="U27" i="5" s="1"/>
  <c r="S27" i="5"/>
  <c r="R27" i="5"/>
  <c r="T33" i="5"/>
  <c r="U33" i="5" s="1"/>
  <c r="S33" i="5"/>
  <c r="R33" i="5"/>
  <c r="T628" i="5"/>
  <c r="U628" i="5" s="1"/>
  <c r="S628" i="5"/>
  <c r="R628" i="5"/>
  <c r="T626" i="5"/>
  <c r="U626" i="5" s="1"/>
  <c r="S626" i="5"/>
  <c r="R626" i="5"/>
  <c r="T623" i="5"/>
  <c r="U623" i="5" s="1"/>
  <c r="S623" i="5"/>
  <c r="R623" i="5"/>
  <c r="T621" i="5"/>
  <c r="U621" i="5" s="1"/>
  <c r="S621" i="5"/>
  <c r="R621" i="5"/>
  <c r="T619" i="5"/>
  <c r="U619" i="5" s="1"/>
  <c r="S619" i="5"/>
  <c r="R619" i="5"/>
  <c r="T617" i="5"/>
  <c r="U617" i="5" s="1"/>
  <c r="S617" i="5"/>
  <c r="R617" i="5"/>
  <c r="T615" i="5"/>
  <c r="U615" i="5" s="1"/>
  <c r="S615" i="5"/>
  <c r="R615" i="5"/>
  <c r="T613" i="5"/>
  <c r="U613" i="5" s="1"/>
  <c r="S613" i="5"/>
  <c r="R613" i="5"/>
  <c r="T611" i="5"/>
  <c r="U611" i="5" s="1"/>
  <c r="S611" i="5"/>
  <c r="R611" i="5"/>
  <c r="T609" i="5"/>
  <c r="U609" i="5" s="1"/>
  <c r="S609" i="5"/>
  <c r="R609" i="5"/>
  <c r="T607" i="5"/>
  <c r="U607" i="5" s="1"/>
  <c r="S607" i="5"/>
  <c r="R607" i="5"/>
  <c r="T603" i="5"/>
  <c r="U603" i="5" s="1"/>
  <c r="S603" i="5"/>
  <c r="R603" i="5"/>
  <c r="T601" i="5"/>
  <c r="U601" i="5" s="1"/>
  <c r="S601" i="5"/>
  <c r="R601" i="5"/>
  <c r="T597" i="5"/>
  <c r="U597" i="5" s="1"/>
  <c r="S597" i="5"/>
  <c r="R597" i="5"/>
  <c r="T595" i="5"/>
  <c r="U595" i="5" s="1"/>
  <c r="S595" i="5"/>
  <c r="R595" i="5"/>
  <c r="T593" i="5"/>
  <c r="U593" i="5" s="1"/>
  <c r="S593" i="5"/>
  <c r="R593" i="5"/>
  <c r="T523" i="5"/>
  <c r="U523" i="5" s="1"/>
  <c r="S523" i="5"/>
  <c r="R523" i="5"/>
  <c r="T507" i="5"/>
  <c r="U507" i="5" s="1"/>
  <c r="S507" i="5"/>
  <c r="R507" i="5"/>
  <c r="T505" i="5"/>
  <c r="U505" i="5" s="1"/>
  <c r="S505" i="5"/>
  <c r="R505" i="5"/>
  <c r="T503" i="5"/>
  <c r="U503" i="5" s="1"/>
  <c r="S503" i="5"/>
  <c r="R503" i="5"/>
  <c r="T466" i="5"/>
  <c r="U466" i="5" s="1"/>
  <c r="S466" i="5"/>
  <c r="R466" i="5"/>
  <c r="T455" i="5"/>
  <c r="U455" i="5" s="1"/>
  <c r="S455" i="5"/>
  <c r="R455" i="5"/>
  <c r="T450" i="5"/>
  <c r="U450" i="5" s="1"/>
  <c r="S450" i="5"/>
  <c r="R450" i="5"/>
  <c r="T442" i="5"/>
  <c r="U442" i="5" s="1"/>
  <c r="S442" i="5"/>
  <c r="R442" i="5"/>
  <c r="T439" i="5"/>
  <c r="U439" i="5" s="1"/>
  <c r="S439" i="5"/>
  <c r="R439" i="5"/>
  <c r="T437" i="5"/>
  <c r="U437" i="5" s="1"/>
  <c r="S437" i="5"/>
  <c r="R437" i="5"/>
  <c r="T413" i="5"/>
  <c r="U413" i="5" s="1"/>
  <c r="S413" i="5"/>
  <c r="R413" i="5"/>
  <c r="T412" i="5"/>
  <c r="U412" i="5" s="1"/>
  <c r="S412" i="5"/>
  <c r="R412" i="5"/>
  <c r="T395" i="5"/>
  <c r="U395" i="5" s="1"/>
  <c r="S395" i="5"/>
  <c r="R395" i="5"/>
  <c r="T381" i="5"/>
  <c r="U381" i="5" s="1"/>
  <c r="S381" i="5"/>
  <c r="R381" i="5"/>
  <c r="T366" i="5"/>
  <c r="U366" i="5" s="1"/>
  <c r="S366" i="5"/>
  <c r="R366" i="5"/>
  <c r="T364" i="5"/>
  <c r="U364" i="5" s="1"/>
  <c r="S364" i="5"/>
  <c r="R364" i="5"/>
  <c r="T362" i="5"/>
  <c r="U362" i="5" s="1"/>
  <c r="S362" i="5"/>
  <c r="R362" i="5"/>
  <c r="T360" i="5"/>
  <c r="U360" i="5" s="1"/>
  <c r="S360" i="5"/>
  <c r="R360" i="5"/>
  <c r="T357" i="5"/>
  <c r="U357" i="5" s="1"/>
  <c r="S357" i="5"/>
  <c r="R357" i="5"/>
  <c r="T350" i="5"/>
  <c r="U350" i="5" s="1"/>
  <c r="S350" i="5"/>
  <c r="R350" i="5"/>
  <c r="T349" i="5"/>
  <c r="U349" i="5" s="1"/>
  <c r="S349" i="5"/>
  <c r="R349" i="5"/>
  <c r="T348" i="5"/>
  <c r="U348" i="5" s="1"/>
  <c r="S348" i="5"/>
  <c r="R348" i="5"/>
  <c r="T347" i="5"/>
  <c r="U347" i="5" s="1"/>
  <c r="S347" i="5"/>
  <c r="R347" i="5"/>
  <c r="T346" i="5"/>
  <c r="U346" i="5" s="1"/>
  <c r="S346" i="5"/>
  <c r="R346" i="5"/>
  <c r="T316" i="5"/>
  <c r="U316" i="5" s="1"/>
  <c r="S316" i="5"/>
  <c r="R316" i="5"/>
  <c r="T308" i="5"/>
  <c r="U308" i="5" s="1"/>
  <c r="S308" i="5"/>
  <c r="R308" i="5"/>
  <c r="T306" i="5"/>
  <c r="U306" i="5" s="1"/>
  <c r="S306" i="5"/>
  <c r="R306" i="5"/>
  <c r="T304" i="5"/>
  <c r="U304" i="5" s="1"/>
  <c r="S304" i="5"/>
  <c r="R304" i="5"/>
  <c r="T292" i="5"/>
  <c r="U292" i="5" s="1"/>
  <c r="S292" i="5"/>
  <c r="R292" i="5"/>
  <c r="T290" i="5"/>
  <c r="U290" i="5" s="1"/>
  <c r="S290" i="5"/>
  <c r="R290" i="5"/>
  <c r="T287" i="5"/>
  <c r="U287" i="5" s="1"/>
  <c r="S287" i="5"/>
  <c r="R287" i="5"/>
  <c r="T249" i="5"/>
  <c r="U249" i="5" s="1"/>
  <c r="S249" i="5"/>
  <c r="R249" i="5"/>
  <c r="T244" i="5"/>
  <c r="U244" i="5" s="1"/>
  <c r="S244" i="5"/>
  <c r="R244" i="5"/>
  <c r="T241" i="5"/>
  <c r="U241" i="5" s="1"/>
  <c r="S241" i="5"/>
  <c r="R241" i="5"/>
  <c r="T225" i="5"/>
  <c r="U225" i="5" s="1"/>
  <c r="S225" i="5"/>
  <c r="R225" i="5"/>
  <c r="T222" i="5"/>
  <c r="U222" i="5" s="1"/>
  <c r="S222" i="5"/>
  <c r="R222" i="5"/>
  <c r="T210" i="5"/>
  <c r="U210" i="5" s="1"/>
  <c r="S210" i="5"/>
  <c r="R210" i="5"/>
  <c r="T207" i="5"/>
  <c r="U207" i="5" s="1"/>
  <c r="S207" i="5"/>
  <c r="R207" i="5"/>
  <c r="T177" i="5"/>
  <c r="U177" i="5" s="1"/>
  <c r="S177" i="5"/>
  <c r="R177" i="5"/>
  <c r="T175" i="5"/>
  <c r="U175" i="5" s="1"/>
  <c r="S175" i="5"/>
  <c r="R175" i="5"/>
  <c r="T170" i="5"/>
  <c r="U170" i="5" s="1"/>
  <c r="S170" i="5"/>
  <c r="R170" i="5"/>
  <c r="T159" i="5"/>
  <c r="U159" i="5" s="1"/>
  <c r="S159" i="5"/>
  <c r="R159" i="5"/>
  <c r="T156" i="5"/>
  <c r="U156" i="5" s="1"/>
  <c r="S156" i="5"/>
  <c r="R156" i="5"/>
  <c r="T124" i="5"/>
  <c r="U124" i="5" s="1"/>
  <c r="S124" i="5"/>
  <c r="R124" i="5"/>
  <c r="T121" i="5"/>
  <c r="U121" i="5" s="1"/>
  <c r="S121" i="5"/>
  <c r="R121" i="5"/>
  <c r="T107" i="5"/>
  <c r="U107" i="5" s="1"/>
  <c r="S107" i="5"/>
  <c r="R107" i="5"/>
  <c r="T104" i="5"/>
  <c r="U104" i="5" s="1"/>
  <c r="S104" i="5"/>
  <c r="R104" i="5"/>
  <c r="T77" i="5"/>
  <c r="U77" i="5" s="1"/>
  <c r="S77" i="5"/>
  <c r="R77" i="5"/>
  <c r="T75" i="5"/>
  <c r="U75" i="5" s="1"/>
  <c r="S75" i="5"/>
  <c r="R75" i="5"/>
  <c r="T46" i="5"/>
  <c r="U46" i="5" s="1"/>
  <c r="S46" i="5"/>
  <c r="R46" i="5"/>
  <c r="T44" i="5"/>
  <c r="U44" i="5" s="1"/>
  <c r="S44" i="5"/>
  <c r="R44" i="5"/>
  <c r="T41" i="5"/>
  <c r="U41" i="5" s="1"/>
  <c r="S41" i="5"/>
  <c r="R41" i="5"/>
  <c r="T38" i="5"/>
  <c r="U38" i="5" s="1"/>
  <c r="S38" i="5"/>
  <c r="R38" i="5"/>
  <c r="T554" i="5"/>
  <c r="U554" i="5" s="1"/>
  <c r="S554" i="5"/>
  <c r="R554" i="5"/>
  <c r="T552" i="5"/>
  <c r="U552" i="5" s="1"/>
  <c r="S552" i="5"/>
  <c r="R552" i="5"/>
  <c r="T520" i="5"/>
  <c r="U520" i="5" s="1"/>
  <c r="S520" i="5"/>
  <c r="R520" i="5"/>
  <c r="T518" i="5"/>
  <c r="U518" i="5" s="1"/>
  <c r="S518" i="5"/>
  <c r="R518" i="5"/>
  <c r="T512" i="5"/>
  <c r="U512" i="5" s="1"/>
  <c r="S512" i="5"/>
  <c r="R512" i="5"/>
  <c r="T464" i="5"/>
  <c r="U464" i="5" s="1"/>
  <c r="S464" i="5"/>
  <c r="R464" i="5"/>
  <c r="T462" i="5"/>
  <c r="U462" i="5" s="1"/>
  <c r="S462" i="5"/>
  <c r="R462" i="5"/>
  <c r="T460" i="5"/>
  <c r="U460" i="5" s="1"/>
  <c r="S460" i="5"/>
  <c r="R460" i="5"/>
  <c r="T458" i="5"/>
  <c r="U458" i="5" s="1"/>
  <c r="S458" i="5"/>
  <c r="R458" i="5"/>
  <c r="T449" i="5"/>
  <c r="U449" i="5" s="1"/>
  <c r="S449" i="5"/>
  <c r="R449" i="5"/>
  <c r="T446" i="5"/>
  <c r="U446" i="5" s="1"/>
  <c r="S446" i="5"/>
  <c r="R446" i="5"/>
  <c r="T444" i="5"/>
  <c r="U444" i="5" s="1"/>
  <c r="S444" i="5"/>
  <c r="R444" i="5"/>
  <c r="T407" i="5"/>
  <c r="U407" i="5" s="1"/>
  <c r="S407" i="5"/>
  <c r="R407" i="5"/>
  <c r="T405" i="5"/>
  <c r="U405" i="5" s="1"/>
  <c r="S405" i="5"/>
  <c r="R405" i="5"/>
  <c r="T18" i="6"/>
  <c r="U18" i="6" s="1"/>
  <c r="S18" i="6"/>
  <c r="R18" i="6"/>
  <c r="T17" i="6"/>
  <c r="U17" i="6" s="1"/>
  <c r="S17" i="6"/>
  <c r="R17" i="6"/>
  <c r="T11" i="6"/>
  <c r="U11" i="6" s="1"/>
  <c r="S11" i="6"/>
  <c r="R11" i="6"/>
  <c r="M127" i="4"/>
  <c r="J129" i="4" s="1"/>
  <c r="F26" i="9" s="1"/>
  <c r="N26" i="9" s="1"/>
  <c r="N119" i="4"/>
  <c r="N127" i="4" s="1"/>
  <c r="T27" i="6"/>
  <c r="U27" i="6" s="1"/>
  <c r="S27" i="6"/>
  <c r="R27" i="6"/>
  <c r="T24" i="6"/>
  <c r="U24" i="6" s="1"/>
  <c r="S24" i="6"/>
  <c r="R24" i="6"/>
  <c r="Q40" i="6"/>
  <c r="T5" i="6"/>
  <c r="S5" i="6"/>
  <c r="S40" i="6" s="1"/>
  <c r="R5" i="6"/>
  <c r="R40" i="6" s="1"/>
  <c r="T39" i="6"/>
  <c r="U39" i="6" s="1"/>
  <c r="S39" i="6"/>
  <c r="R39" i="6"/>
  <c r="T30" i="6"/>
  <c r="U30" i="6" s="1"/>
  <c r="S30" i="6"/>
  <c r="R30" i="6"/>
  <c r="T9" i="6"/>
  <c r="U9" i="6" s="1"/>
  <c r="S9" i="6"/>
  <c r="R9" i="6"/>
  <c r="T35" i="6"/>
  <c r="U35" i="6" s="1"/>
  <c r="S35" i="6"/>
  <c r="R35" i="6"/>
  <c r="T34" i="6"/>
  <c r="U34" i="6" s="1"/>
  <c r="S34" i="6"/>
  <c r="R34" i="6"/>
  <c r="T29" i="6"/>
  <c r="U29" i="6" s="1"/>
  <c r="S29" i="6"/>
  <c r="R29" i="6"/>
  <c r="T28" i="6"/>
  <c r="U28" i="6" s="1"/>
  <c r="S28" i="6"/>
  <c r="R28" i="6"/>
  <c r="T26" i="6"/>
  <c r="U26" i="6" s="1"/>
  <c r="S26" i="6"/>
  <c r="R26" i="6"/>
  <c r="T25" i="6"/>
  <c r="U25" i="6" s="1"/>
  <c r="S25" i="6"/>
  <c r="R25" i="6"/>
  <c r="T23" i="6"/>
  <c r="U23" i="6" s="1"/>
  <c r="S23" i="6"/>
  <c r="R23" i="6"/>
  <c r="T22" i="6"/>
  <c r="U22" i="6" s="1"/>
  <c r="S22" i="6"/>
  <c r="R22" i="6"/>
  <c r="T21" i="6"/>
  <c r="U21" i="6" s="1"/>
  <c r="S21" i="6"/>
  <c r="R21" i="6"/>
  <c r="T16" i="6"/>
  <c r="U16" i="6" s="1"/>
  <c r="S16" i="6"/>
  <c r="R16" i="6"/>
  <c r="T15" i="6"/>
  <c r="U15" i="6" s="1"/>
  <c r="S15" i="6"/>
  <c r="R15" i="6"/>
  <c r="T14" i="6"/>
  <c r="U14" i="6" s="1"/>
  <c r="S14" i="6"/>
  <c r="R14" i="6"/>
  <c r="T38" i="6"/>
  <c r="U38" i="6" s="1"/>
  <c r="S38" i="6"/>
  <c r="R38" i="6"/>
  <c r="T36" i="6"/>
  <c r="U36" i="6" s="1"/>
  <c r="S36" i="6"/>
  <c r="R36" i="6"/>
  <c r="T31" i="6"/>
  <c r="U31" i="6" s="1"/>
  <c r="S31" i="6"/>
  <c r="R31" i="6"/>
  <c r="T8" i="6"/>
  <c r="U8" i="6" s="1"/>
  <c r="S8" i="6"/>
  <c r="R8" i="6"/>
  <c r="T7" i="6"/>
  <c r="U7" i="6" s="1"/>
  <c r="S7" i="6"/>
  <c r="R7" i="6"/>
  <c r="T33" i="6"/>
  <c r="U33" i="6" s="1"/>
  <c r="S33" i="6"/>
  <c r="R33" i="6"/>
  <c r="T32" i="6"/>
  <c r="U32" i="6" s="1"/>
  <c r="S32" i="6"/>
  <c r="R32" i="6"/>
  <c r="T19" i="6"/>
  <c r="U19" i="6" s="1"/>
  <c r="S19" i="6"/>
  <c r="R19" i="6"/>
  <c r="T13" i="6"/>
  <c r="U13" i="6" s="1"/>
  <c r="S13" i="6"/>
  <c r="R13" i="6"/>
  <c r="T10" i="6"/>
  <c r="U10" i="6" s="1"/>
  <c r="S10" i="6"/>
  <c r="R10" i="6"/>
  <c r="T6" i="6"/>
  <c r="U6" i="6" s="1"/>
  <c r="S6" i="6"/>
  <c r="R6" i="6"/>
  <c r="T37" i="6"/>
  <c r="U37" i="6" s="1"/>
  <c r="S37" i="6"/>
  <c r="R37" i="6"/>
  <c r="T20" i="6"/>
  <c r="U20" i="6" s="1"/>
  <c r="S20" i="6"/>
  <c r="R20" i="6"/>
  <c r="T12" i="6"/>
  <c r="U12" i="6" s="1"/>
  <c r="S12" i="6"/>
  <c r="R12" i="6"/>
  <c r="T39" i="7"/>
  <c r="U39" i="7" s="1"/>
  <c r="S39" i="7"/>
  <c r="R39" i="7"/>
  <c r="T36" i="7"/>
  <c r="U36" i="7" s="1"/>
  <c r="S36" i="7"/>
  <c r="R36" i="7"/>
  <c r="M143" i="4"/>
  <c r="J145" i="4" s="1"/>
  <c r="N133" i="4"/>
  <c r="N143" i="4" s="1"/>
  <c r="T13" i="7"/>
  <c r="U13" i="7" s="1"/>
  <c r="S13" i="7"/>
  <c r="R13" i="7"/>
  <c r="Q21" i="7"/>
  <c r="T5" i="7"/>
  <c r="S5" i="7"/>
  <c r="S21" i="7" s="1"/>
  <c r="R5" i="7"/>
  <c r="R21" i="7" s="1"/>
  <c r="T14" i="7"/>
  <c r="U14" i="7" s="1"/>
  <c r="S14" i="7"/>
  <c r="R14" i="7"/>
  <c r="T6" i="7"/>
  <c r="U6" i="7" s="1"/>
  <c r="S6" i="7"/>
  <c r="R6" i="7"/>
  <c r="Q42" i="7"/>
  <c r="T23" i="7"/>
  <c r="S23" i="7"/>
  <c r="S42" i="7" s="1"/>
  <c r="R23" i="7"/>
  <c r="R42" i="7" s="1"/>
  <c r="T25" i="7"/>
  <c r="U25" i="7" s="1"/>
  <c r="S25" i="7"/>
  <c r="R25" i="7"/>
  <c r="T41" i="7"/>
  <c r="U41" i="7" s="1"/>
  <c r="S41" i="7"/>
  <c r="R41" i="7"/>
  <c r="T40" i="7"/>
  <c r="U40" i="7" s="1"/>
  <c r="S40" i="7"/>
  <c r="R40" i="7"/>
  <c r="T38" i="7"/>
  <c r="U38" i="7" s="1"/>
  <c r="S38" i="7"/>
  <c r="R38" i="7"/>
  <c r="T37" i="7"/>
  <c r="U37" i="7" s="1"/>
  <c r="S37" i="7"/>
  <c r="R37" i="7"/>
  <c r="T35" i="7"/>
  <c r="U35" i="7" s="1"/>
  <c r="S35" i="7"/>
  <c r="R35" i="7"/>
  <c r="T34" i="7"/>
  <c r="U34" i="7" s="1"/>
  <c r="S34" i="7"/>
  <c r="R34" i="7"/>
  <c r="T33" i="7"/>
  <c r="U33" i="7" s="1"/>
  <c r="S33" i="7"/>
  <c r="R33" i="7"/>
  <c r="T31" i="7"/>
  <c r="U31" i="7" s="1"/>
  <c r="S31" i="7"/>
  <c r="R31" i="7"/>
  <c r="T30" i="7"/>
  <c r="U30" i="7" s="1"/>
  <c r="S30" i="7"/>
  <c r="R30" i="7"/>
  <c r="T29" i="7"/>
  <c r="U29" i="7" s="1"/>
  <c r="S29" i="7"/>
  <c r="R29" i="7"/>
  <c r="T19" i="7"/>
  <c r="U19" i="7" s="1"/>
  <c r="S19" i="7"/>
  <c r="R19" i="7"/>
  <c r="T17" i="7"/>
  <c r="U17" i="7" s="1"/>
  <c r="S17" i="7"/>
  <c r="R17" i="7"/>
  <c r="T15" i="7"/>
  <c r="U15" i="7" s="1"/>
  <c r="S15" i="7"/>
  <c r="R15" i="7"/>
  <c r="T11" i="7"/>
  <c r="U11" i="7" s="1"/>
  <c r="S11" i="7"/>
  <c r="R11" i="7"/>
  <c r="T9" i="7"/>
  <c r="U9" i="7" s="1"/>
  <c r="S9" i="7"/>
  <c r="R9" i="7"/>
  <c r="T7" i="7"/>
  <c r="U7" i="7" s="1"/>
  <c r="S7" i="7"/>
  <c r="R7" i="7"/>
  <c r="T20" i="7"/>
  <c r="U20" i="7" s="1"/>
  <c r="S20" i="7"/>
  <c r="R20" i="7"/>
  <c r="T18" i="7"/>
  <c r="U18" i="7" s="1"/>
  <c r="S18" i="7"/>
  <c r="R18" i="7"/>
  <c r="T16" i="7"/>
  <c r="U16" i="7" s="1"/>
  <c r="S16" i="7"/>
  <c r="R16" i="7"/>
  <c r="T12" i="7"/>
  <c r="U12" i="7" s="1"/>
  <c r="S12" i="7"/>
  <c r="R12" i="7"/>
  <c r="T10" i="7"/>
  <c r="U10" i="7" s="1"/>
  <c r="S10" i="7"/>
  <c r="R10" i="7"/>
  <c r="T8" i="7"/>
  <c r="U8" i="7" s="1"/>
  <c r="S8" i="7"/>
  <c r="R8" i="7"/>
  <c r="T28" i="7"/>
  <c r="U28" i="7" s="1"/>
  <c r="S28" i="7"/>
  <c r="R28" i="7"/>
  <c r="T26" i="7"/>
  <c r="U26" i="7" s="1"/>
  <c r="S26" i="7"/>
  <c r="R26" i="7"/>
  <c r="T24" i="7"/>
  <c r="U24" i="7" s="1"/>
  <c r="S24" i="7"/>
  <c r="R24" i="7"/>
  <c r="T32" i="7"/>
  <c r="U32" i="7" s="1"/>
  <c r="S32" i="7"/>
  <c r="R32" i="7"/>
  <c r="T27" i="7"/>
  <c r="U27" i="7" s="1"/>
  <c r="S27" i="7"/>
  <c r="R27" i="7"/>
  <c r="T42" i="7" l="1"/>
  <c r="P42" i="7" s="1"/>
  <c r="U23" i="7"/>
  <c r="U42" i="7" s="1"/>
  <c r="T21" i="7"/>
  <c r="P21" i="7" s="1"/>
  <c r="U5" i="7"/>
  <c r="U21" i="7" s="1"/>
  <c r="F32" i="9"/>
  <c r="N32" i="9" s="1"/>
  <c r="F31" i="9"/>
  <c r="N31" i="9" s="1"/>
  <c r="T40" i="6"/>
  <c r="P40" i="6" s="1"/>
  <c r="U5" i="6"/>
  <c r="U40" i="6" s="1"/>
  <c r="T566" i="5"/>
  <c r="P566" i="5" s="1"/>
  <c r="U558" i="5"/>
  <c r="U566" i="5" s="1"/>
  <c r="T409" i="5"/>
  <c r="P409" i="5" s="1"/>
  <c r="U392" i="5"/>
  <c r="U409" i="5" s="1"/>
  <c r="T326" i="5"/>
  <c r="P326" i="5" s="1"/>
  <c r="U319" i="5"/>
  <c r="U326" i="5" s="1"/>
  <c r="T317" i="5"/>
  <c r="P317" i="5" s="1"/>
  <c r="U311" i="5"/>
  <c r="U317" i="5" s="1"/>
  <c r="T590" i="5"/>
  <c r="P590" i="5" s="1"/>
  <c r="U568" i="5"/>
  <c r="U590" i="5" s="1"/>
  <c r="T543" i="5"/>
  <c r="P543" i="5" s="1"/>
  <c r="U535" i="5"/>
  <c r="U543" i="5" s="1"/>
  <c r="T632" i="5"/>
  <c r="P632" i="5" s="1"/>
  <c r="U592" i="5"/>
  <c r="U632" i="5" s="1"/>
  <c r="T309" i="5"/>
  <c r="P309" i="5" s="1"/>
  <c r="U283" i="5"/>
  <c r="U309" i="5" s="1"/>
  <c r="T556" i="5"/>
  <c r="P556" i="5" s="1"/>
  <c r="U545" i="5"/>
  <c r="U556" i="5" s="1"/>
  <c r="T531" i="5"/>
  <c r="P531" i="5" s="1"/>
  <c r="U496" i="5"/>
  <c r="U531" i="5" s="1"/>
  <c r="T452" i="5"/>
  <c r="P452" i="5" s="1"/>
  <c r="U411" i="5"/>
  <c r="U452" i="5" s="1"/>
  <c r="T494" i="5"/>
  <c r="P494" i="5" s="1"/>
  <c r="U454" i="5"/>
  <c r="U494" i="5" s="1"/>
  <c r="U329" i="5"/>
  <c r="T390" i="5"/>
  <c r="P390" i="5" s="1"/>
  <c r="T281" i="5"/>
  <c r="P281" i="5" s="1"/>
  <c r="U235" i="5"/>
  <c r="U281" i="5" s="1"/>
  <c r="T233" i="5"/>
  <c r="P233" i="5" s="1"/>
  <c r="U5" i="5"/>
  <c r="U233" i="5" s="1"/>
  <c r="N148" i="4"/>
  <c r="M148" i="4"/>
  <c r="J115" i="4"/>
  <c r="E8" i="17"/>
  <c r="L15" i="15"/>
  <c r="E7" i="17"/>
  <c r="L15" i="14"/>
  <c r="U390" i="5"/>
  <c r="F21" i="9" l="1"/>
  <c r="N21" i="9" s="1"/>
  <c r="F20" i="9"/>
  <c r="N20" i="9" s="1"/>
  <c r="F19" i="9"/>
  <c r="N19" i="9" s="1"/>
  <c r="F18" i="9"/>
  <c r="N18" i="9" s="1"/>
  <c r="F17" i="9"/>
  <c r="N17" i="9" s="1"/>
  <c r="F16" i="9"/>
  <c r="N16" i="9" s="1"/>
  <c r="F15" i="9"/>
  <c r="N15" i="9" s="1"/>
  <c r="F14" i="9"/>
  <c r="N14" i="9" s="1"/>
  <c r="F13" i="9"/>
  <c r="N13" i="9" s="1"/>
  <c r="F12" i="9"/>
  <c r="N12" i="9" s="1"/>
  <c r="F11" i="9"/>
  <c r="N11" i="9" s="1"/>
  <c r="F10" i="9"/>
  <c r="N10" i="9" s="1"/>
  <c r="F9" i="9"/>
  <c r="N9" i="9" s="1"/>
  <c r="F8" i="9"/>
  <c r="N8" i="9" s="1"/>
  <c r="F7" i="9"/>
  <c r="N7" i="9" s="1"/>
  <c r="F6" i="9"/>
  <c r="N6" i="9" s="1"/>
  <c r="M32" i="9"/>
  <c r="O32" i="9"/>
  <c r="R32" i="9"/>
  <c r="S32" i="9"/>
  <c r="I32" i="9"/>
  <c r="K32" i="9"/>
  <c r="P32" i="9"/>
  <c r="G32" i="9"/>
  <c r="H32" i="9"/>
  <c r="L32" i="9"/>
  <c r="Q32" i="9"/>
  <c r="M31" i="9"/>
  <c r="O31" i="9"/>
  <c r="R31" i="9"/>
  <c r="S31" i="9"/>
  <c r="S33" i="9"/>
  <c r="R33" i="9"/>
  <c r="I31" i="9"/>
  <c r="K31" i="9"/>
  <c r="P31" i="9"/>
  <c r="P33" i="9"/>
  <c r="G31" i="9"/>
  <c r="H31" i="9"/>
  <c r="L31" i="9"/>
  <c r="Q31" i="9"/>
  <c r="Q33" i="9"/>
  <c r="M26" i="9"/>
  <c r="O26" i="9"/>
  <c r="R26" i="9"/>
  <c r="S26" i="9"/>
  <c r="S27" i="9"/>
  <c r="R27" i="9"/>
  <c r="I26" i="9"/>
  <c r="K26" i="9"/>
  <c r="P26" i="9"/>
  <c r="P27" i="9"/>
  <c r="G26" i="9"/>
  <c r="H26" i="9"/>
  <c r="L26" i="9"/>
  <c r="Q26" i="9"/>
  <c r="Q27" i="9"/>
  <c r="M21" i="9"/>
  <c r="O21" i="9"/>
  <c r="R21" i="9"/>
  <c r="S21" i="9"/>
  <c r="G20" i="11"/>
  <c r="J20" i="11"/>
  <c r="K20" i="11"/>
  <c r="I21" i="9"/>
  <c r="K21" i="9"/>
  <c r="P21" i="9"/>
  <c r="E20" i="11"/>
  <c r="G21" i="9"/>
  <c r="H21" i="9"/>
  <c r="L21" i="9"/>
  <c r="Q21" i="9"/>
  <c r="F20" i="11"/>
  <c r="M20" i="9"/>
  <c r="O20" i="9"/>
  <c r="R20" i="9"/>
  <c r="S20" i="9"/>
  <c r="G19" i="11"/>
  <c r="J19" i="11"/>
  <c r="K19" i="11"/>
  <c r="I20" i="9"/>
  <c r="K20" i="9"/>
  <c r="P20" i="9"/>
  <c r="E19" i="11"/>
  <c r="G20" i="9"/>
  <c r="H20" i="9"/>
  <c r="L20" i="9"/>
  <c r="Q20" i="9"/>
  <c r="F19" i="11"/>
  <c r="M19" i="9"/>
  <c r="O19" i="9"/>
  <c r="R19" i="9"/>
  <c r="S19" i="9"/>
  <c r="G18" i="11"/>
  <c r="J18" i="11"/>
  <c r="K18" i="11"/>
  <c r="I19" i="9"/>
  <c r="K19" i="9"/>
  <c r="P19" i="9"/>
  <c r="E18" i="11"/>
  <c r="G19" i="9"/>
  <c r="H19" i="9"/>
  <c r="L19" i="9"/>
  <c r="Q19" i="9"/>
  <c r="F18" i="11"/>
  <c r="M18" i="9"/>
  <c r="O18" i="9"/>
  <c r="R18" i="9"/>
  <c r="S18" i="9"/>
  <c r="G17" i="11"/>
  <c r="J17" i="11"/>
  <c r="K17" i="11"/>
  <c r="I18" i="9"/>
  <c r="K18" i="9"/>
  <c r="P18" i="9"/>
  <c r="E17" i="11"/>
  <c r="G18" i="9"/>
  <c r="H18" i="9"/>
  <c r="L18" i="9"/>
  <c r="Q18" i="9"/>
  <c r="F17" i="11"/>
  <c r="M17" i="9"/>
  <c r="O17" i="9"/>
  <c r="R17" i="9"/>
  <c r="S17" i="9"/>
  <c r="G16" i="11"/>
  <c r="J16" i="11"/>
  <c r="K16" i="11"/>
  <c r="I17" i="9"/>
  <c r="K17" i="9"/>
  <c r="P17" i="9"/>
  <c r="E16" i="11"/>
  <c r="G17" i="9"/>
  <c r="H17" i="9"/>
  <c r="L17" i="9"/>
  <c r="Q17" i="9"/>
  <c r="F16" i="11"/>
  <c r="M16" i="9"/>
  <c r="O16" i="9"/>
  <c r="R16" i="9"/>
  <c r="S16" i="9"/>
  <c r="G14" i="11"/>
  <c r="J14" i="11"/>
  <c r="K14" i="11"/>
  <c r="I16" i="9"/>
  <c r="K16" i="9"/>
  <c r="P16" i="9"/>
  <c r="E14" i="11"/>
  <c r="G16" i="9"/>
  <c r="H16" i="9"/>
  <c r="L16" i="9"/>
  <c r="Q16" i="9"/>
  <c r="F14" i="11"/>
  <c r="M15" i="9"/>
  <c r="O15" i="9"/>
  <c r="R15" i="9"/>
  <c r="S15" i="9"/>
  <c r="G13" i="11"/>
  <c r="J13" i="11"/>
  <c r="K13" i="11"/>
  <c r="I15" i="9"/>
  <c r="K15" i="9"/>
  <c r="P15" i="9"/>
  <c r="E13" i="11"/>
  <c r="G15" i="9"/>
  <c r="H15" i="9"/>
  <c r="L15" i="9"/>
  <c r="Q15" i="9"/>
  <c r="F13" i="11"/>
  <c r="M14" i="9"/>
  <c r="O14" i="9"/>
  <c r="R14" i="9"/>
  <c r="S14" i="9"/>
  <c r="G12" i="11"/>
  <c r="J12" i="11"/>
  <c r="K12" i="11"/>
  <c r="I14" i="9"/>
  <c r="K14" i="9"/>
  <c r="P14" i="9"/>
  <c r="E12" i="11"/>
  <c r="G14" i="9"/>
  <c r="H14" i="9"/>
  <c r="L14" i="9"/>
  <c r="Q14" i="9"/>
  <c r="F12" i="11"/>
  <c r="M13" i="9"/>
  <c r="O13" i="9"/>
  <c r="R13" i="9"/>
  <c r="S13" i="9"/>
  <c r="G11" i="11"/>
  <c r="J11" i="11"/>
  <c r="K11" i="11"/>
  <c r="I13" i="9"/>
  <c r="K13" i="9"/>
  <c r="P13" i="9"/>
  <c r="E11" i="11"/>
  <c r="G13" i="9"/>
  <c r="H13" i="9"/>
  <c r="L13" i="9"/>
  <c r="Q13" i="9"/>
  <c r="F11" i="11"/>
  <c r="M12" i="9"/>
  <c r="O12" i="9"/>
  <c r="R12" i="9"/>
  <c r="S12" i="9"/>
  <c r="G10" i="11"/>
  <c r="J10" i="11"/>
  <c r="K10" i="11"/>
  <c r="I12" i="9"/>
  <c r="K12" i="9"/>
  <c r="P12" i="9"/>
  <c r="E10" i="11"/>
  <c r="G12" i="9"/>
  <c r="H12" i="9"/>
  <c r="L12" i="9"/>
  <c r="Q12" i="9"/>
  <c r="F10" i="11"/>
  <c r="M11" i="9"/>
  <c r="O11" i="9"/>
  <c r="R11" i="9"/>
  <c r="S11" i="9"/>
  <c r="G9" i="11"/>
  <c r="J9" i="11"/>
  <c r="K9" i="11"/>
  <c r="I11" i="9"/>
  <c r="K11" i="9"/>
  <c r="P11" i="9"/>
  <c r="E9" i="11"/>
  <c r="G11" i="9"/>
  <c r="H11" i="9"/>
  <c r="L11" i="9"/>
  <c r="Q11" i="9"/>
  <c r="F9" i="11"/>
  <c r="M10" i="9"/>
  <c r="O10" i="9"/>
  <c r="R10" i="9"/>
  <c r="S10" i="9"/>
  <c r="G8" i="11"/>
  <c r="J8" i="11"/>
  <c r="K8" i="11"/>
  <c r="I10" i="9"/>
  <c r="K10" i="9"/>
  <c r="P10" i="9"/>
  <c r="E8" i="11"/>
  <c r="G10" i="9"/>
  <c r="H10" i="9"/>
  <c r="L10" i="9"/>
  <c r="Q10" i="9"/>
  <c r="F8" i="11"/>
  <c r="M9" i="9"/>
  <c r="O9" i="9"/>
  <c r="R9" i="9"/>
  <c r="S9" i="9"/>
  <c r="G7" i="11"/>
  <c r="J7" i="11"/>
  <c r="K7" i="11"/>
  <c r="I9" i="9"/>
  <c r="K9" i="9"/>
  <c r="P9" i="9"/>
  <c r="E7" i="11"/>
  <c r="G9" i="9"/>
  <c r="H9" i="9"/>
  <c r="L9" i="9"/>
  <c r="Q9" i="9"/>
  <c r="F7" i="11"/>
  <c r="M8" i="9"/>
  <c r="O8" i="9"/>
  <c r="R8" i="9"/>
  <c r="S8" i="9"/>
  <c r="G6" i="11"/>
  <c r="J6" i="11"/>
  <c r="K6" i="11"/>
  <c r="I8" i="9"/>
  <c r="K8" i="9"/>
  <c r="P8" i="9"/>
  <c r="E6" i="11"/>
  <c r="G8" i="9"/>
  <c r="H8" i="9"/>
  <c r="L8" i="9"/>
  <c r="Q8" i="9"/>
  <c r="F6" i="11"/>
  <c r="M7" i="9"/>
  <c r="O7" i="9"/>
  <c r="R7" i="9"/>
  <c r="S7" i="9"/>
  <c r="G5" i="11"/>
  <c r="J5" i="11"/>
  <c r="K5" i="11"/>
  <c r="I7" i="9"/>
  <c r="K7" i="9"/>
  <c r="P7" i="9"/>
  <c r="E5" i="11"/>
  <c r="G7" i="9"/>
  <c r="H7" i="9"/>
  <c r="L7" i="9"/>
  <c r="Q7" i="9"/>
  <c r="F5" i="11"/>
  <c r="M6" i="9"/>
  <c r="O6" i="9"/>
  <c r="R6" i="9"/>
  <c r="S6" i="9"/>
  <c r="S22" i="9"/>
  <c r="S36" i="9"/>
  <c r="R22" i="9"/>
  <c r="R36" i="9"/>
  <c r="G4" i="11"/>
  <c r="J4" i="11"/>
  <c r="K4" i="11"/>
  <c r="K22" i="11"/>
  <c r="J22" i="11"/>
  <c r="G22" i="11"/>
  <c r="E4" i="17"/>
  <c r="E10" i="17"/>
  <c r="I6" i="9"/>
  <c r="K6" i="9"/>
  <c r="P6" i="9"/>
  <c r="P22" i="9"/>
  <c r="P36" i="9"/>
  <c r="E4" i="11"/>
  <c r="E22" i="11"/>
  <c r="C4" i="17"/>
  <c r="C10" i="17"/>
  <c r="G6" i="9"/>
  <c r="H6" i="9"/>
  <c r="L6" i="9"/>
  <c r="Q6" i="9"/>
  <c r="Q22" i="9"/>
  <c r="Q36" i="9"/>
  <c r="F4" i="11"/>
  <c r="F22" i="11"/>
  <c r="B4" i="17"/>
  <c r="B10" i="17"/>
  <c r="B12" i="17"/>
</calcChain>
</file>

<file path=xl/sharedStrings.xml><?xml version="1.0" encoding="utf-8"?>
<sst xmlns="http://schemas.openxmlformats.org/spreadsheetml/2006/main" count="10224" uniqueCount="1065">
  <si>
    <t>Voorblad informatie</t>
  </si>
  <si>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</si>
  <si>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</si>
  <si>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</si>
  <si>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</si>
  <si>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</si>
  <si>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</si>
  <si>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</si>
  <si>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</si>
  <si>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</si>
  <si>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</si>
  <si>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237J</t>
  </si>
  <si>
    <t>225J</t>
  </si>
  <si>
    <t>4W</t>
  </si>
  <si>
    <t>200J</t>
  </si>
  <si>
    <t>175J</t>
  </si>
  <si>
    <t>3W</t>
  </si>
  <si>
    <t>2,5W</t>
  </si>
  <si>
    <t>114J</t>
  </si>
  <si>
    <t>2W</t>
  </si>
  <si>
    <t>100J</t>
  </si>
  <si>
    <t>85J</t>
  </si>
  <si>
    <t>70J</t>
  </si>
  <si>
    <t>65J</t>
  </si>
  <si>
    <t>1W</t>
  </si>
  <si>
    <t>45J</t>
  </si>
  <si>
    <t>36J</t>
  </si>
  <si>
    <t>26J</t>
  </si>
  <si>
    <t>25J</t>
  </si>
  <si>
    <t>24J</t>
  </si>
  <si>
    <t>20J</t>
  </si>
  <si>
    <t>19J</t>
  </si>
  <si>
    <t>17J</t>
  </si>
  <si>
    <t>16J</t>
  </si>
  <si>
    <t>14J</t>
  </si>
  <si>
    <t>12J</t>
  </si>
  <si>
    <t>8J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</si>
  <si>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</si>
  <si>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</si>
  <si>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</si>
  <si>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</si>
  <si>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</si>
  <si>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</si>
  <si>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</si>
  <si>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</si>
  <si>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</si>
  <si>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</si>
  <si>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</si>
  <si>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</si>
  <si>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</si>
  <si>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</si>
  <si>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</si>
  <si>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</si>
  <si>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Bureauruimte harde vloeren basis</t>
  </si>
  <si>
    <t>m²/uur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</si>
  <si>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</si>
  <si>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</si>
  <si>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</si>
  <si>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</si>
  <si>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</si>
  <si>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</si>
  <si>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OHB</t>
  </si>
  <si>
    <t>Vergader-/spreek-/overlegruimte harde vloeren basis</t>
  </si>
  <si>
    <t>OHV</t>
  </si>
  <si>
    <t>Vergader-/spreek-/overlegruimte harde vloeren (volledig)</t>
  </si>
  <si>
    <t>OZB</t>
  </si>
  <si>
    <t>Vergader-/spreek-/overlegruimte zachte vloeren basis</t>
  </si>
  <si>
    <t>OZV</t>
  </si>
  <si>
    <t>Vergader-/spreek-/overlegruimte zachte vloeren (volledig)</t>
  </si>
  <si>
    <t>WHB</t>
  </si>
  <si>
    <t>Receptie/ontvangst/wachtruimte harde vloeren basis</t>
  </si>
  <si>
    <t>WHV</t>
  </si>
  <si>
    <t>Receptie/ontvangst/wachtruimte harde vloeren (volledig)</t>
  </si>
  <si>
    <t>WZB</t>
  </si>
  <si>
    <t>Receptie/ontvangst/wachtruimte zachte vloeren basis</t>
  </si>
  <si>
    <t>WZV</t>
  </si>
  <si>
    <t>Receptie/ontvangst/wachtruimte zachte vloeren (volledig)</t>
  </si>
  <si>
    <t>LHB</t>
  </si>
  <si>
    <t xml:space="preserve">L    </t>
  </si>
  <si>
    <t>Leslokalen/studieruimte hard (basis)</t>
  </si>
  <si>
    <t>LHV</t>
  </si>
  <si>
    <t>Leslokalen/studieruimte hard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</si>
  <si>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</si>
  <si>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</si>
  <si>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</si>
  <si>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</si>
  <si>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</si>
  <si>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</si>
  <si>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Kleedruimten - harde vloeren (basis)</t>
  </si>
  <si>
    <t>KHV</t>
  </si>
  <si>
    <t>Kleedruimten - harde vloeren (volledig)</t>
  </si>
  <si>
    <t>SHB</t>
  </si>
  <si>
    <t>Sanitaire ruimte basis</t>
  </si>
  <si>
    <t>SHV</t>
  </si>
  <si>
    <t>Sanitaire ruimte (volledig)</t>
  </si>
  <si>
    <t>GHB</t>
  </si>
  <si>
    <t xml:space="preserve">SP   </t>
  </si>
  <si>
    <t>Sportruimte harde vloer basis</t>
  </si>
  <si>
    <t>GHV</t>
  </si>
  <si>
    <t>Sportruimte harde vloer (volledig)</t>
  </si>
  <si>
    <t>AHB</t>
  </si>
  <si>
    <t xml:space="preserve">V    </t>
  </si>
  <si>
    <t>Archief/bergruimte/magazijn- harde basis</t>
  </si>
  <si>
    <t>AHV</t>
  </si>
  <si>
    <t>Archief/bergruimte/magazijn - harde vloeren (volledig)</t>
  </si>
  <si>
    <t>AZB</t>
  </si>
  <si>
    <t>Archief/bergruimte/magazijn- zachte basis</t>
  </si>
  <si>
    <t>AZV</t>
  </si>
  <si>
    <t>Archief/bergruimte/magazijn - zachte vloeren (volledig)</t>
  </si>
  <si>
    <t>EHB</t>
  </si>
  <si>
    <t>Entree - harde vloeren basis</t>
  </si>
  <si>
    <t>EHV</t>
  </si>
  <si>
    <t>Entree - harde vloeren (volledig)</t>
  </si>
  <si>
    <t>EZB</t>
  </si>
  <si>
    <t>Entree - zachte vloeren basis</t>
  </si>
  <si>
    <t>EZV</t>
  </si>
  <si>
    <t>Entree - zachte vloeren (volledig)</t>
  </si>
  <si>
    <t>FHB</t>
  </si>
  <si>
    <t>Fietsenstalling harde vloeren basis</t>
  </si>
  <si>
    <t>FHV</t>
  </si>
  <si>
    <t>Fietsenstalling harde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</si>
  <si>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</si>
  <si>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</si>
  <si>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</si>
  <si>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</si>
  <si>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</si>
  <si>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</si>
  <si>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</si>
  <si>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</si>
  <si>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RHB</t>
  </si>
  <si>
    <t>Personeelsrestaurant/kantine harde vloeren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</si>
  <si>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</si>
  <si>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</si>
  <si>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</si>
  <si>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</si>
  <si>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</si>
  <si>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</si>
  <si>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TZB</t>
  </si>
  <si>
    <t>Trappenhuis zachte vloeren basis</t>
  </si>
  <si>
    <t>TZV</t>
  </si>
  <si>
    <t>Trappenhuis zachte vloeren (volledig)</t>
  </si>
  <si>
    <t>VHB</t>
  </si>
  <si>
    <t>Verkeersruimte harde vloeren basis</t>
  </si>
  <si>
    <t>VHV</t>
  </si>
  <si>
    <t>Verkeersruimte harde vloeren (volledig)</t>
  </si>
  <si>
    <t>VZB</t>
  </si>
  <si>
    <t>Verkeersruimte zachte vloeren (basis)</t>
  </si>
  <si>
    <t>VZV</t>
  </si>
  <si>
    <t>Verkeersruimte zachte vloeren (volledig)</t>
  </si>
  <si>
    <t>XMBB</t>
  </si>
  <si>
    <t xml:space="preserve">X    </t>
  </si>
  <si>
    <t>Periodiek beschermde harde vloeren (basis)</t>
  </si>
  <si>
    <t>XSPB</t>
  </si>
  <si>
    <t>Periodiek sportvloeren (basis)</t>
  </si>
  <si>
    <t xml:space="preserve">WERKDAG VAKANTIE    </t>
  </si>
  <si>
    <t>VBZB</t>
  </si>
  <si>
    <t>VBZV</t>
  </si>
  <si>
    <t>VOZB</t>
  </si>
  <si>
    <t>VOZV</t>
  </si>
  <si>
    <t>VDHB</t>
  </si>
  <si>
    <t>VDHV</t>
  </si>
  <si>
    <t>VSHB</t>
  </si>
  <si>
    <t>VSHV</t>
  </si>
  <si>
    <t>VEHB</t>
  </si>
  <si>
    <t>VEHV</t>
  </si>
  <si>
    <t>VTHB</t>
  </si>
  <si>
    <t>VTHV</t>
  </si>
  <si>
    <t>VVHB</t>
  </si>
  <si>
    <t>VVHV</t>
  </si>
  <si>
    <t>VVZB</t>
  </si>
  <si>
    <t>VVZV</t>
  </si>
  <si>
    <t xml:space="preserve">WEEKENDDAG          </t>
  </si>
  <si>
    <t>WOZB</t>
  </si>
  <si>
    <t>WDHB</t>
  </si>
  <si>
    <t>WSHB</t>
  </si>
  <si>
    <t>WEHB</t>
  </si>
  <si>
    <t>WVHB</t>
  </si>
  <si>
    <t>WVZB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</si>
  <si>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</si>
  <si>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</si>
  <si>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</si>
  <si>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</si>
  <si>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</si>
  <si>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</si>
  <si>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</si>
  <si>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</si>
  <si>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</si>
  <si>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</si>
  <si>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</si>
  <si>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AZ</t>
  </si>
  <si>
    <t>Archief/magazijn/opslag zachte vloeren</t>
  </si>
  <si>
    <t>BH</t>
  </si>
  <si>
    <t>Kantoorruimte harde vloeren</t>
  </si>
  <si>
    <t>BZ</t>
  </si>
  <si>
    <t>Kantoorruimte zachte vloeren</t>
  </si>
  <si>
    <t>DH</t>
  </si>
  <si>
    <t>Douche/wasruimte harde vloeren</t>
  </si>
  <si>
    <t>DHN</t>
  </si>
  <si>
    <t>Douche/wasruimte harde vloeren naloop</t>
  </si>
  <si>
    <t>EH</t>
  </si>
  <si>
    <t>Entree harde vloeren</t>
  </si>
  <si>
    <t>EZ</t>
  </si>
  <si>
    <t>Entree zachte vloeren</t>
  </si>
  <si>
    <t>FH</t>
  </si>
  <si>
    <t>Fietsenstalling harde vloeren</t>
  </si>
  <si>
    <t>GH</t>
  </si>
  <si>
    <t>Gymzaal harde vloer</t>
  </si>
  <si>
    <t>Gymzaal (berging) harde vloer</t>
  </si>
  <si>
    <t>IH</t>
  </si>
  <si>
    <t>Lift harde vloeren</t>
  </si>
  <si>
    <t>KH</t>
  </si>
  <si>
    <t>Kleedruimte harde vloeren</t>
  </si>
  <si>
    <t>LH</t>
  </si>
  <si>
    <t>Leslokaal/studieruimte hardev loer</t>
  </si>
  <si>
    <t>OH</t>
  </si>
  <si>
    <t>Vergader-/spreek-/overlegruimte harde vloeren</t>
  </si>
  <si>
    <t>OZ</t>
  </si>
  <si>
    <t>Vergader-/spreek-/overlegruimte zachte vloeren</t>
  </si>
  <si>
    <t>PH</t>
  </si>
  <si>
    <t>Pantry/keuken harde vloeren</t>
  </si>
  <si>
    <t>RH</t>
  </si>
  <si>
    <t>Personeelsrestaurant/kantine harde vloeren</t>
  </si>
  <si>
    <t>SH</t>
  </si>
  <si>
    <t>Sanitaire ruimte/toiletten harde vloer</t>
  </si>
  <si>
    <t>SHN</t>
  </si>
  <si>
    <t>Sanitaire ruimten/toiletten harde vloer naloop</t>
  </si>
  <si>
    <t>Sanitaire ruimte/toiletten harde vloer naloop</t>
  </si>
  <si>
    <t>TH</t>
  </si>
  <si>
    <t>Trap(penhuis) harde vloeren</t>
  </si>
  <si>
    <t>TZ</t>
  </si>
  <si>
    <t>Trap(penhuis) zachte vloeren</t>
  </si>
  <si>
    <t>VH</t>
  </si>
  <si>
    <t>Verkeersruimte/garderobe harde vloeren</t>
  </si>
  <si>
    <t>VZ</t>
  </si>
  <si>
    <t>Verkeersruimte/garderobe zachte vloeren</t>
  </si>
  <si>
    <t>WH</t>
  </si>
  <si>
    <t>Receptie/wachtruimte harde vloeren</t>
  </si>
  <si>
    <t>WZ</t>
  </si>
  <si>
    <t>Receptie/wachtruimte zachte vloeren</t>
  </si>
  <si>
    <t>Z010</t>
  </si>
  <si>
    <t>Afvalbakken Stadhuis</t>
  </si>
  <si>
    <t>XB</t>
  </si>
  <si>
    <t>vloer</t>
  </si>
  <si>
    <t>Periodiek harde vloeren (met beschermlaag)</t>
  </si>
  <si>
    <t>XS</t>
  </si>
  <si>
    <t>Periodiek sportvloeren</t>
  </si>
  <si>
    <t>Z005</t>
  </si>
  <si>
    <t>Vloer schrobben</t>
  </si>
  <si>
    <t>Z011</t>
  </si>
  <si>
    <t>Vloer geheel stofzuigen</t>
  </si>
  <si>
    <t>Z012</t>
  </si>
  <si>
    <t>Vloer bijtippend stofzuigen</t>
  </si>
  <si>
    <t>Z001</t>
  </si>
  <si>
    <t>extra</t>
  </si>
  <si>
    <t>Uitvoeren regiewerkzaamheden Hospice</t>
  </si>
  <si>
    <t>min./keer</t>
  </si>
  <si>
    <t>Z002</t>
  </si>
  <si>
    <t>Zwerfvuil rondom gebouw verwijderen</t>
  </si>
  <si>
    <t>Z003</t>
  </si>
  <si>
    <t>Boog incl brievenbussen</t>
  </si>
  <si>
    <t>Z008</t>
  </si>
  <si>
    <t>Container restafval 240 liter</t>
  </si>
  <si>
    <t>Z009</t>
  </si>
  <si>
    <t>Container restafval 1100 liter</t>
  </si>
  <si>
    <t xml:space="preserve">Totaal werkdag             </t>
  </si>
  <si>
    <t xml:space="preserve">Gemiddeld uurtarief werkdag             </t>
  </si>
  <si>
    <t>VBZ</t>
  </si>
  <si>
    <t>VDH</t>
  </si>
  <si>
    <t>VEH</t>
  </si>
  <si>
    <t>VOZ</t>
  </si>
  <si>
    <t>VSH</t>
  </si>
  <si>
    <t>VTH</t>
  </si>
  <si>
    <t>Trappenhuis harde vloeren</t>
  </si>
  <si>
    <t>VVH</t>
  </si>
  <si>
    <t>VVZ</t>
  </si>
  <si>
    <t xml:space="preserve">Totaal werkdag vakantie    </t>
  </si>
  <si>
    <t xml:space="preserve">Gemiddeld uurtarief werkdag vakantie    </t>
  </si>
  <si>
    <t>WDH</t>
  </si>
  <si>
    <t>WDHN</t>
  </si>
  <si>
    <t>WEH</t>
  </si>
  <si>
    <t>WOZ</t>
  </si>
  <si>
    <t>Vergader-/spreek-/overlegruimte zachte vloer</t>
  </si>
  <si>
    <t>WSH</t>
  </si>
  <si>
    <t>WSHN</t>
  </si>
  <si>
    <t>WVH</t>
  </si>
  <si>
    <t>WVZ</t>
  </si>
  <si>
    <t xml:space="preserve">Totaal weekenddag          </t>
  </si>
  <si>
    <t xml:space="preserve">Gemiddeld uurtarief weekenddag      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</si>
  <si>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</si>
  <si>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</si>
  <si>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</si>
  <si>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</si>
  <si>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</si>
  <si>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</si>
  <si>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</si>
  <si>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</si>
  <si>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</si>
  <si>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UREN HOOG-FREQUENT/ DAG</t>
  </si>
  <si>
    <t>001 - Stadhuis, Grote Oever 26, Meppel</t>
  </si>
  <si>
    <t>001</t>
  </si>
  <si>
    <t/>
  </si>
  <si>
    <t>-1</t>
  </si>
  <si>
    <t>-1.01</t>
  </si>
  <si>
    <t>magazijn</t>
  </si>
  <si>
    <t>gietvloer</t>
  </si>
  <si>
    <t>-1.02</t>
  </si>
  <si>
    <t>gang</t>
  </si>
  <si>
    <t>-1.13</t>
  </si>
  <si>
    <t>trappenhuis fietskelder</t>
  </si>
  <si>
    <t>steen/dhgt</t>
  </si>
  <si>
    <t>-1.15</t>
  </si>
  <si>
    <t>fietsenstalling</t>
  </si>
  <si>
    <t>-1.18</t>
  </si>
  <si>
    <t>kleedruimte</t>
  </si>
  <si>
    <t>-1.20</t>
  </si>
  <si>
    <t>douche D</t>
  </si>
  <si>
    <t>-1.21</t>
  </si>
  <si>
    <t>douche H</t>
  </si>
  <si>
    <t>-1.22</t>
  </si>
  <si>
    <t>toilet</t>
  </si>
  <si>
    <t>-1.23</t>
  </si>
  <si>
    <t>-1.25</t>
  </si>
  <si>
    <t>trappenhuis straatzijde</t>
  </si>
  <si>
    <t>tapijt</t>
  </si>
  <si>
    <t>-1.26</t>
  </si>
  <si>
    <t>-1.27</t>
  </si>
  <si>
    <t>linoleum</t>
  </si>
  <si>
    <t>-1.27a</t>
  </si>
  <si>
    <t>-1.27b</t>
  </si>
  <si>
    <t>voorportaal kleedruimte</t>
  </si>
  <si>
    <t>00</t>
  </si>
  <si>
    <t>0.00</t>
  </si>
  <si>
    <t>boog buiten</t>
  </si>
  <si>
    <t>0.01A</t>
  </si>
  <si>
    <t>raadzaal</t>
  </si>
  <si>
    <t>0.02</t>
  </si>
  <si>
    <t>entree tourniquette</t>
  </si>
  <si>
    <t>0.02a</t>
  </si>
  <si>
    <t>entree</t>
  </si>
  <si>
    <t>inloopmat</t>
  </si>
  <si>
    <t>0.03</t>
  </si>
  <si>
    <t>balie</t>
  </si>
  <si>
    <t>0.04A</t>
  </si>
  <si>
    <t>publiekshal</t>
  </si>
  <si>
    <t>0.04B</t>
  </si>
  <si>
    <t>garderobe</t>
  </si>
  <si>
    <t>0.05A</t>
  </si>
  <si>
    <t>balie lino</t>
  </si>
  <si>
    <t>0.05B</t>
  </si>
  <si>
    <t>balie steen</t>
  </si>
  <si>
    <t>0.05C</t>
  </si>
  <si>
    <t>balie tapijt</t>
  </si>
  <si>
    <t>0.06</t>
  </si>
  <si>
    <t>parket</t>
  </si>
  <si>
    <t>0.07</t>
  </si>
  <si>
    <t>kantoortuin</t>
  </si>
  <si>
    <t>0.08</t>
  </si>
  <si>
    <t>spreekkamer</t>
  </si>
  <si>
    <t>0.08a</t>
  </si>
  <si>
    <t>kantoor</t>
  </si>
  <si>
    <t>0.08b</t>
  </si>
  <si>
    <t>ophoudruimte</t>
  </si>
  <si>
    <t>0.08c</t>
  </si>
  <si>
    <t>0.09</t>
  </si>
  <si>
    <t>pvc</t>
  </si>
  <si>
    <t>0.11</t>
  </si>
  <si>
    <t>expeditieruimte</t>
  </si>
  <si>
    <t>0.15A</t>
  </si>
  <si>
    <t>0.15B</t>
  </si>
  <si>
    <t>0.19B</t>
  </si>
  <si>
    <t>portaal fietsenkelder</t>
  </si>
  <si>
    <t>0.22A</t>
  </si>
  <si>
    <t>repro</t>
  </si>
  <si>
    <t>0.22B</t>
  </si>
  <si>
    <t>pantry</t>
  </si>
  <si>
    <t>0.23</t>
  </si>
  <si>
    <t>toilet H vijverzijde</t>
  </si>
  <si>
    <t>0.26</t>
  </si>
  <si>
    <t>toilet D vijverzijde</t>
  </si>
  <si>
    <t>0.30</t>
  </si>
  <si>
    <t>lift</t>
  </si>
  <si>
    <t>0.31</t>
  </si>
  <si>
    <t>0.32</t>
  </si>
  <si>
    <t>trappenhuis midden</t>
  </si>
  <si>
    <t>0.33</t>
  </si>
  <si>
    <t>vergaderruimte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</si>
  <si>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</si>
  <si>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</si>
  <si>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</si>
  <si>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</si>
  <si>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</si>
  <si>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</si>
  <si>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</si>
  <si>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</si>
  <si>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</si>
  <si>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toilet MV</t>
  </si>
  <si>
    <t>0.43</t>
  </si>
  <si>
    <t>0.44</t>
  </si>
  <si>
    <t>0.46</t>
  </si>
  <si>
    <t>0.48</t>
  </si>
  <si>
    <t>0.50</t>
  </si>
  <si>
    <t>toilet H hal</t>
  </si>
  <si>
    <t>0.53</t>
  </si>
  <si>
    <t>toilet D hal</t>
  </si>
  <si>
    <t>0.56</t>
  </si>
  <si>
    <t>trappenhuis vijverzijde</t>
  </si>
  <si>
    <t>01</t>
  </si>
  <si>
    <t>1.01</t>
  </si>
  <si>
    <t>1.02</t>
  </si>
  <si>
    <t>1.03</t>
  </si>
  <si>
    <t>1.04</t>
  </si>
  <si>
    <t>1.05</t>
  </si>
  <si>
    <t>1.06</t>
  </si>
  <si>
    <t>kantine politie</t>
  </si>
  <si>
    <t>1.06a</t>
  </si>
  <si>
    <t>1.07</t>
  </si>
  <si>
    <t>1.08</t>
  </si>
  <si>
    <t>1.09</t>
  </si>
  <si>
    <t>1.10</t>
  </si>
  <si>
    <t>1.12</t>
  </si>
  <si>
    <t>1.15</t>
  </si>
  <si>
    <t>1.20A</t>
  </si>
  <si>
    <t>1.20B</t>
  </si>
  <si>
    <t>1.20C</t>
  </si>
  <si>
    <t>1.21</t>
  </si>
  <si>
    <t>kolfkamer</t>
  </si>
  <si>
    <t>1.22</t>
  </si>
  <si>
    <t>vergaderzaal</t>
  </si>
  <si>
    <t>1.23</t>
  </si>
  <si>
    <t>1.24</t>
  </si>
  <si>
    <t>concentratiewerkplek</t>
  </si>
  <si>
    <t>1.25</t>
  </si>
  <si>
    <t>1.26</t>
  </si>
  <si>
    <t>1.27</t>
  </si>
  <si>
    <t>1.28</t>
  </si>
  <si>
    <t>1.29</t>
  </si>
  <si>
    <t>1.30</t>
  </si>
  <si>
    <t>1.31A</t>
  </si>
  <si>
    <t>1.31B</t>
  </si>
  <si>
    <t>1.32</t>
  </si>
  <si>
    <t>1.34A</t>
  </si>
  <si>
    <t>1.34B</t>
  </si>
  <si>
    <t>1.35</t>
  </si>
  <si>
    <t>1.37</t>
  </si>
  <si>
    <t>toilet H straatzijde</t>
  </si>
  <si>
    <t>1.40</t>
  </si>
  <si>
    <t>toilet D straatzijde</t>
  </si>
  <si>
    <t>02</t>
  </si>
  <si>
    <t>2.01</t>
  </si>
  <si>
    <t>2.02</t>
  </si>
  <si>
    <t>2.03</t>
  </si>
  <si>
    <t>2.04</t>
  </si>
  <si>
    <t>2.05</t>
  </si>
  <si>
    <t>2.06</t>
  </si>
  <si>
    <t>2.07</t>
  </si>
  <si>
    <t>2.08A</t>
  </si>
  <si>
    <t>2.09</t>
  </si>
  <si>
    <t>2.10A</t>
  </si>
  <si>
    <t>2.10B</t>
  </si>
  <si>
    <t>2.11</t>
  </si>
  <si>
    <t>2.12</t>
  </si>
  <si>
    <t>2.13</t>
  </si>
  <si>
    <t>2.14</t>
  </si>
  <si>
    <t>2.15</t>
  </si>
  <si>
    <t>2.16</t>
  </si>
  <si>
    <t>2.17</t>
  </si>
  <si>
    <t>2.18</t>
  </si>
  <si>
    <t>verkeersruimte kantoortuin</t>
  </si>
  <si>
    <t>2.20</t>
  </si>
  <si>
    <t>2.25A</t>
  </si>
  <si>
    <t>2.25B</t>
  </si>
  <si>
    <t>2.25C</t>
  </si>
  <si>
    <t>2.26</t>
  </si>
  <si>
    <t>2.27</t>
  </si>
  <si>
    <t>2.28</t>
  </si>
  <si>
    <t>2.29</t>
  </si>
  <si>
    <t>2.30</t>
  </si>
  <si>
    <t>2.31</t>
  </si>
  <si>
    <t>gang liften</t>
  </si>
  <si>
    <t>2.32</t>
  </si>
  <si>
    <t>2.33</t>
  </si>
  <si>
    <t>2.34</t>
  </si>
  <si>
    <t>2.35</t>
  </si>
  <si>
    <t>2.36A</t>
  </si>
  <si>
    <t>2.36B</t>
  </si>
  <si>
    <t>2.36C</t>
  </si>
  <si>
    <t>2.38</t>
  </si>
  <si>
    <t>2.41</t>
  </si>
  <si>
    <t>2.43</t>
  </si>
  <si>
    <t>2.46</t>
  </si>
  <si>
    <t>2.49</t>
  </si>
  <si>
    <t>2.50</t>
  </si>
  <si>
    <t>2.51</t>
  </si>
  <si>
    <t>03</t>
  </si>
  <si>
    <t>3.01</t>
  </si>
  <si>
    <t>restaurant</t>
  </si>
  <si>
    <t>3.05</t>
  </si>
  <si>
    <t>spoelkeuken</t>
  </si>
  <si>
    <t>3.07</t>
  </si>
  <si>
    <t>3.08</t>
  </si>
  <si>
    <t>3.09</t>
  </si>
  <si>
    <t>3.10</t>
  </si>
  <si>
    <t>3.11</t>
  </si>
  <si>
    <t>instructieruimte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</si>
  <si>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</si>
  <si>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</si>
  <si>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</si>
  <si>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</si>
  <si>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</si>
  <si>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</si>
  <si>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</si>
  <si>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</si>
  <si>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</si>
  <si>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3.23</t>
  </si>
  <si>
    <t>3.28A</t>
  </si>
  <si>
    <t>3.28B</t>
  </si>
  <si>
    <t>3.32</t>
  </si>
  <si>
    <t>3.33</t>
  </si>
  <si>
    <t>3.34</t>
  </si>
  <si>
    <t>3.35A</t>
  </si>
  <si>
    <t>3.36</t>
  </si>
  <si>
    <t>3.37</t>
  </si>
  <si>
    <t>3.38</t>
  </si>
  <si>
    <t>3.39</t>
  </si>
  <si>
    <t>3.40</t>
  </si>
  <si>
    <t>3.43</t>
  </si>
  <si>
    <t>gang tussen branddeuren</t>
  </si>
  <si>
    <t>3.45A</t>
  </si>
  <si>
    <t>3.45B</t>
  </si>
  <si>
    <t>3.46</t>
  </si>
  <si>
    <t>3.47A</t>
  </si>
  <si>
    <t>gang tot aan branddeuren</t>
  </si>
  <si>
    <t>3.50</t>
  </si>
  <si>
    <t>trappenhuis straatkant</t>
  </si>
  <si>
    <t>3.51</t>
  </si>
  <si>
    <t>3.54</t>
  </si>
  <si>
    <t>Totaal werkdag</t>
  </si>
  <si>
    <t>002 - Havenkantoor &amp; Toiletgebouw, Westeinde 43, Meppel</t>
  </si>
  <si>
    <t>002</t>
  </si>
  <si>
    <t>H</t>
  </si>
  <si>
    <t>0.01</t>
  </si>
  <si>
    <t>wasruimte</t>
  </si>
  <si>
    <t>keuken-berging</t>
  </si>
  <si>
    <t>0.05</t>
  </si>
  <si>
    <t>balie entree</t>
  </si>
  <si>
    <t>wastafel</t>
  </si>
  <si>
    <t>0.10</t>
  </si>
  <si>
    <t>miva</t>
  </si>
  <si>
    <t>doucheruimte heren</t>
  </si>
  <si>
    <t>0.12</t>
  </si>
  <si>
    <t>doucheruimte dames</t>
  </si>
  <si>
    <t>T</t>
  </si>
  <si>
    <t>wasruimte dames</t>
  </si>
  <si>
    <t>0.04</t>
  </si>
  <si>
    <t>wasruimte heren</t>
  </si>
  <si>
    <t>urinoirs</t>
  </si>
  <si>
    <t>003 - De Werf, Eekhorstweg 16, Meppel</t>
  </si>
  <si>
    <t>003</t>
  </si>
  <si>
    <t>epoxy</t>
  </si>
  <si>
    <t>kantine</t>
  </si>
  <si>
    <t>keuken</t>
  </si>
  <si>
    <t>0.18</t>
  </si>
  <si>
    <t>0.21</t>
  </si>
  <si>
    <t>kleedruimte heren</t>
  </si>
  <si>
    <t>0.37a</t>
  </si>
  <si>
    <t>was-/doucheruimte</t>
  </si>
  <si>
    <t>toilet heren</t>
  </si>
  <si>
    <t>0.38a</t>
  </si>
  <si>
    <t>toiletten</t>
  </si>
  <si>
    <t>was-/kleedruimte dames</t>
  </si>
  <si>
    <t>004 - Beheerdersruimte Keyzerstroom, Noteboomstraat 9, Meppel</t>
  </si>
  <si>
    <t>004</t>
  </si>
  <si>
    <t>0.1</t>
  </si>
  <si>
    <t>hal</t>
  </si>
  <si>
    <t>0.3</t>
  </si>
  <si>
    <t>0.4</t>
  </si>
  <si>
    <t>beheerders ruimte</t>
  </si>
  <si>
    <t>0.5</t>
  </si>
  <si>
    <t>0.6</t>
  </si>
  <si>
    <t>005 - Schaftruimte Poortgebouw, Zomerdijk 10A, Meppel</t>
  </si>
  <si>
    <t>005</t>
  </si>
  <si>
    <t>hout</t>
  </si>
  <si>
    <t>0.2</t>
  </si>
  <si>
    <t>vinyl</t>
  </si>
  <si>
    <t>0.4a</t>
  </si>
  <si>
    <t>0.4b</t>
  </si>
  <si>
    <t>beheerdersruimte</t>
  </si>
  <si>
    <t>006 - Schouwburg Ogterop, Zuideinde 70, Meppel</t>
  </si>
  <si>
    <t>006</t>
  </si>
  <si>
    <t>extra werkzaamheden</t>
  </si>
  <si>
    <t>verbindingsruimte</t>
  </si>
  <si>
    <t>trap verbindingsruimte</t>
  </si>
  <si>
    <t>0.02b</t>
  </si>
  <si>
    <t>schouwburgzaal</t>
  </si>
  <si>
    <t>foyer</t>
  </si>
  <si>
    <t>berging</t>
  </si>
  <si>
    <t>dhgt</t>
  </si>
  <si>
    <t>miva-toilet</t>
  </si>
  <si>
    <t>toiletten heren</t>
  </si>
  <si>
    <t>0.13</t>
  </si>
  <si>
    <t>toiletten dames</t>
  </si>
  <si>
    <t>0.14</t>
  </si>
  <si>
    <t>kantoor directie</t>
  </si>
  <si>
    <t>0.15</t>
  </si>
  <si>
    <t>0.16</t>
  </si>
  <si>
    <t>time-out</t>
  </si>
  <si>
    <t>0.17</t>
  </si>
  <si>
    <t>0.19</t>
  </si>
  <si>
    <t>0.20</t>
  </si>
  <si>
    <t>0.24</t>
  </si>
  <si>
    <t>berging stoelen</t>
  </si>
  <si>
    <t>0.25</t>
  </si>
  <si>
    <t>trap foyer</t>
  </si>
  <si>
    <t>balkon</t>
  </si>
  <si>
    <t>1.11</t>
  </si>
  <si>
    <t>douche</t>
  </si>
  <si>
    <t>1.13</t>
  </si>
  <si>
    <t>1.14</t>
  </si>
  <si>
    <t>1.17</t>
  </si>
  <si>
    <t>1.18</t>
  </si>
  <si>
    <t>1.19</t>
  </si>
  <si>
    <t>1.20</t>
  </si>
  <si>
    <t>trappenhuis</t>
  </si>
  <si>
    <t>multifunctionele ruimte</t>
  </si>
  <si>
    <t>trap</t>
  </si>
  <si>
    <t>natuursteen</t>
  </si>
  <si>
    <t>007 - Sportaccommodatie Oosterboerschool, K.P. Laan 22, Meppel</t>
  </si>
  <si>
    <t>007</t>
  </si>
  <si>
    <t>lerarenkamer</t>
  </si>
  <si>
    <t>doucheruimte</t>
  </si>
  <si>
    <t>sportzaal</t>
  </si>
  <si>
    <t>descol</t>
  </si>
  <si>
    <t>toestellenberging</t>
  </si>
  <si>
    <t>EXTR</t>
  </si>
  <si>
    <t>008 - Sportaccommodatie de Eendracht, Nieuweweg 5, Nijeveen</t>
  </si>
  <si>
    <t>008</t>
  </si>
  <si>
    <t>kleedkamer 1 heren</t>
  </si>
  <si>
    <t>invalide toilet</t>
  </si>
  <si>
    <t>kleedkamer 2 dames</t>
  </si>
  <si>
    <t>scheidsrechter kleedruimte</t>
  </si>
  <si>
    <t>douche/toilet</t>
  </si>
  <si>
    <t>toilet dames</t>
  </si>
  <si>
    <t>kleedkamer 3 dames</t>
  </si>
  <si>
    <t>0.22</t>
  </si>
  <si>
    <t>kleedkamer 4 heren</t>
  </si>
  <si>
    <t>0.27</t>
  </si>
  <si>
    <t>0.28</t>
  </si>
  <si>
    <t>ehbo ruimte + natte hoek</t>
  </si>
  <si>
    <t>0.29</t>
  </si>
  <si>
    <t>gang om zaal (galerij)</t>
  </si>
  <si>
    <t>reporterruimte</t>
  </si>
  <si>
    <t>0.36A</t>
  </si>
  <si>
    <t>sportzaal 1</t>
  </si>
  <si>
    <t>sportvloer</t>
  </si>
  <si>
    <t>0.36B</t>
  </si>
  <si>
    <t>sportzaal 2</t>
  </si>
  <si>
    <t>hellingbaan</t>
  </si>
  <si>
    <t>rubber</t>
  </si>
  <si>
    <t>toestelberging</t>
  </si>
  <si>
    <t>beheerder</t>
  </si>
  <si>
    <t>009 - Sportaccommodatie de Aanloop, Woldkade 7A, Meppel</t>
  </si>
  <si>
    <t>009</t>
  </si>
  <si>
    <t>linoleum/tapijt</t>
  </si>
  <si>
    <t>toilet 2</t>
  </si>
  <si>
    <t>publieksgalerij</t>
  </si>
  <si>
    <t>docenten kleedruimte 1</t>
  </si>
  <si>
    <t>douche/toilet 1</t>
  </si>
  <si>
    <t>docenten kleedruimte 2</t>
  </si>
  <si>
    <t>douche/toilet 2</t>
  </si>
  <si>
    <t>kleedruimte 1</t>
  </si>
  <si>
    <t>douche 1</t>
  </si>
  <si>
    <t>toilet 1</t>
  </si>
  <si>
    <t>voorportaal 1</t>
  </si>
  <si>
    <t>kleedruimte 2</t>
  </si>
  <si>
    <t>douche 2</t>
  </si>
  <si>
    <t>kleedkamer 3</t>
  </si>
  <si>
    <t>douche 3</t>
  </si>
  <si>
    <t>toilet 3</t>
  </si>
  <si>
    <t>voorportaal 2</t>
  </si>
  <si>
    <t>kleedruimte 4</t>
  </si>
  <si>
    <t>douche 4</t>
  </si>
  <si>
    <t>toilet 4</t>
  </si>
  <si>
    <t>010 - Sporthaccommodatie 't Erf, Atalanta 1, Meppel</t>
  </si>
  <si>
    <t>010</t>
  </si>
  <si>
    <t>hal wanden met tapijt</t>
  </si>
  <si>
    <t>0.03A</t>
  </si>
  <si>
    <t>0.03B</t>
  </si>
  <si>
    <t>0.06A</t>
  </si>
  <si>
    <t>tribune/gang</t>
  </si>
  <si>
    <t>0.06B</t>
  </si>
  <si>
    <t>0.06C</t>
  </si>
  <si>
    <t>0.09A</t>
  </si>
  <si>
    <t>0.09B</t>
  </si>
  <si>
    <t>sportzaal 1 wanden met tapijt</t>
  </si>
  <si>
    <t>kleedruimte dames</t>
  </si>
  <si>
    <t>sportzaal 2 wanden met tapijt</t>
  </si>
  <si>
    <t>toestelberging gem. meppel</t>
  </si>
  <si>
    <t>011 - Hospice Ezinge, Hoogeveenseweg 27, Meppel</t>
  </si>
  <si>
    <t>011</t>
  </si>
  <si>
    <t>Extra werkzaamheden</t>
  </si>
  <si>
    <t>014 - Sportaccommodatie Koedijkslanden, Sportpark Koedijkslanden 14, Meppel</t>
  </si>
  <si>
    <t>014</t>
  </si>
  <si>
    <t>Ijsb</t>
  </si>
  <si>
    <t>Entree</t>
  </si>
  <si>
    <t>Toilet</t>
  </si>
  <si>
    <t>MEKO</t>
  </si>
  <si>
    <t>Verkeersruimte</t>
  </si>
  <si>
    <t>anti-slip</t>
  </si>
  <si>
    <t>Kleedruimte 1</t>
  </si>
  <si>
    <t>Kleedruimte 2</t>
  </si>
  <si>
    <t>Kleedruimte 3</t>
  </si>
  <si>
    <t>Kleedruimte 4</t>
  </si>
  <si>
    <t>015 - Sportaccommodatie Prinses Marijkestraat, Prinses Marijkestraat 2, Meppel</t>
  </si>
  <si>
    <t>015</t>
  </si>
  <si>
    <t>docenten kleedruimte</t>
  </si>
  <si>
    <t>douche docenten</t>
  </si>
  <si>
    <t>toiletruimte</t>
  </si>
  <si>
    <t>gymzaal</t>
  </si>
  <si>
    <t>0.11A</t>
  </si>
  <si>
    <t>016 - Kunsthuis Secretarie, Hoofdstraat 22, Meppel</t>
  </si>
  <si>
    <t>016</t>
  </si>
  <si>
    <t>stijlkamer</t>
  </si>
  <si>
    <t>trouwzaal</t>
  </si>
  <si>
    <t>018 - Parkeergarage De Kromme Elleboog, De Kromme Elleboog 3, Meppel</t>
  </si>
  <si>
    <t>018</t>
  </si>
  <si>
    <t>Toegang en gedeelte automaten</t>
  </si>
  <si>
    <t>beton</t>
  </si>
  <si>
    <t>Trappenhuis</t>
  </si>
  <si>
    <t>tegels</t>
  </si>
  <si>
    <t>Toiletten</t>
  </si>
  <si>
    <t>3.02</t>
  </si>
  <si>
    <t>04</t>
  </si>
  <si>
    <t>4.01</t>
  </si>
  <si>
    <t>4.02</t>
  </si>
  <si>
    <t>05</t>
  </si>
  <si>
    <t>5.01</t>
  </si>
  <si>
    <t>5.02</t>
  </si>
  <si>
    <t>06</t>
  </si>
  <si>
    <t>6.01</t>
  </si>
  <si>
    <t>6.02</t>
  </si>
  <si>
    <t>07</t>
  </si>
  <si>
    <t>7.01</t>
  </si>
  <si>
    <t>7.02</t>
  </si>
  <si>
    <t>08</t>
  </si>
  <si>
    <t>8.01</t>
  </si>
  <si>
    <t>8.02</t>
  </si>
  <si>
    <t>09</t>
  </si>
  <si>
    <t>9.01</t>
  </si>
  <si>
    <t>9.02</t>
  </si>
  <si>
    <t>019 - MensA, Witte de Withstraat 2a, Meppel</t>
  </si>
  <si>
    <t>019</t>
  </si>
  <si>
    <t>klein taallokaal</t>
  </si>
  <si>
    <t>sprekkamer</t>
  </si>
  <si>
    <t>0.17a</t>
  </si>
  <si>
    <t>Gang</t>
  </si>
  <si>
    <t>Algemeen kantoor</t>
  </si>
  <si>
    <t>toiletbok</t>
  </si>
  <si>
    <t>Activiteiten lokaaal</t>
  </si>
  <si>
    <t>keuekn</t>
  </si>
  <si>
    <t>0.27a</t>
  </si>
  <si>
    <t>bar or</t>
  </si>
  <si>
    <t>OR</t>
  </si>
  <si>
    <t>Naailokaal</t>
  </si>
  <si>
    <t>taallokaal</t>
  </si>
  <si>
    <t>kantoor coaches</t>
  </si>
  <si>
    <t>toiletblok</t>
  </si>
  <si>
    <t>Lokaal 8</t>
  </si>
  <si>
    <t>Pianolokaal</t>
  </si>
  <si>
    <t>Miva</t>
  </si>
  <si>
    <t>Totaal werkdag vakantie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</si>
  <si>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</si>
  <si>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</si>
  <si>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</si>
  <si>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</si>
  <si>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</si>
  <si>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</si>
  <si>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</si>
  <si>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</si>
  <si>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</si>
  <si>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001</t>
  </si>
  <si>
    <t xml:space="preserve">     002</t>
  </si>
  <si>
    <t xml:space="preserve">     003</t>
  </si>
  <si>
    <t xml:space="preserve">     004</t>
  </si>
  <si>
    <t xml:space="preserve">     005</t>
  </si>
  <si>
    <t xml:space="preserve">     006</t>
  </si>
  <si>
    <t xml:space="preserve">     007</t>
  </si>
  <si>
    <t xml:space="preserve">     008</t>
  </si>
  <si>
    <t xml:space="preserve">     009</t>
  </si>
  <si>
    <t xml:space="preserve">     010</t>
  </si>
  <si>
    <t xml:space="preserve">     011</t>
  </si>
  <si>
    <t xml:space="preserve">     013</t>
  </si>
  <si>
    <t xml:space="preserve">     014</t>
  </si>
  <si>
    <t xml:space="preserve">     015</t>
  </si>
  <si>
    <t xml:space="preserve">     016</t>
  </si>
  <si>
    <t xml:space="preserve">     018</t>
  </si>
  <si>
    <t xml:space="preserve">     019</t>
  </si>
  <si>
    <t>werkdag</t>
  </si>
  <si>
    <t>werkdag vakantie</t>
  </si>
  <si>
    <t>weekenddag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</si>
  <si>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</si>
  <si>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</si>
  <si>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</si>
  <si>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</si>
  <si>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</si>
  <si>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</si>
  <si>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</si>
  <si>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</si>
  <si>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</si>
  <si>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</si>
  <si>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</si>
  <si>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</si>
  <si>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</si>
  <si>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Stadhuis</t>
  </si>
  <si>
    <t>Grote Oever 26</t>
  </si>
  <si>
    <t>Meppel</t>
  </si>
  <si>
    <t>Havenkantoor &amp; Toiletgebouw</t>
  </si>
  <si>
    <t>Westeinde 43</t>
  </si>
  <si>
    <t>De Werf</t>
  </si>
  <si>
    <t>Eekhorstweg 16</t>
  </si>
  <si>
    <t>Beheerdersruimte Keyzerstroom</t>
  </si>
  <si>
    <t>Noteboomstraat 9</t>
  </si>
  <si>
    <t>Schaftruimte Poortgebouw</t>
  </si>
  <si>
    <t>Zomerdijk 10A</t>
  </si>
  <si>
    <t>Schouwburg Ogterop</t>
  </si>
  <si>
    <t>Zuideinde 70</t>
  </si>
  <si>
    <t>Sportaccommodatie Oosterboerschool</t>
  </si>
  <si>
    <t>K.P. Laan 22</t>
  </si>
  <si>
    <t>Sportaccommodatie de Eendracht</t>
  </si>
  <si>
    <t>Nieuweweg 5</t>
  </si>
  <si>
    <t>Nijeveen</t>
  </si>
  <si>
    <t>Sportaccommodatie de Aanloop</t>
  </si>
  <si>
    <t>Woldkade 7A</t>
  </si>
  <si>
    <t>Sporthaccommodatie 't Erf</t>
  </si>
  <si>
    <t>Atalanta 1</t>
  </si>
  <si>
    <t>Hospice Ezinge</t>
  </si>
  <si>
    <t>Hoogeveenseweg 27</t>
  </si>
  <si>
    <t>Sportaccommodatie Koedijkslanden</t>
  </si>
  <si>
    <t>Sportpark Koedijkslanden 14</t>
  </si>
  <si>
    <t>Sportaccommodatie Prinses Marijkestraat</t>
  </si>
  <si>
    <t>Prinses Marijkestraat 2</t>
  </si>
  <si>
    <t>Kunsthuis Secretarie</t>
  </si>
  <si>
    <t>Hoofdstraat 22</t>
  </si>
  <si>
    <t>Parkeergarage De Kromme Elleboog</t>
  </si>
  <si>
    <t>De Kromme Elleboog 3</t>
  </si>
  <si>
    <t>MensA</t>
  </si>
  <si>
    <t>Witte de Withstraat 2a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</si>
  <si>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</si>
  <si>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</si>
  <si>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</si>
  <si>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</si>
  <si>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</si>
  <si>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</si>
  <si>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</si>
  <si>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</si>
  <si>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</si>
  <si>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</si>
  <si>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1000</t>
  </si>
  <si>
    <t>Niet-meewerkende objectleiding</t>
  </si>
  <si>
    <t>&lt;invullen functie afh. van uren uitvoering per jaar&gt;</t>
  </si>
  <si>
    <t>&lt;invullen functie met vaste uren per dag&gt;</t>
  </si>
  <si>
    <t>Totaal 001 - Stadhuis, Grote Oever 26, Meppel</t>
  </si>
  <si>
    <t>Totaal 002 - Havenkantoor &amp; Toiletgebouw, Westeinde 43, Meppel</t>
  </si>
  <si>
    <t>Totaal 003 - De Werf, Eekhorstweg 16, Meppel</t>
  </si>
  <si>
    <t>Totaal 004 - Beheerdersruimte Keyzerstroom, Noteboomstraat 9, Meppel</t>
  </si>
  <si>
    <t>Totaal 005 - Schaftruimte Poortgebouw, Zomerdijk 10A, Meppel</t>
  </si>
  <si>
    <t>Totaal 006 - Schouwburg Ogterop, Zuideinde 70, Meppel</t>
  </si>
  <si>
    <t>Totaal 007 - Sportaccommodatie Oosterboerschool, K.P. Laan 22, Meppel</t>
  </si>
  <si>
    <t>Totaal 008 - Sportaccommodatie de Eendracht, Nieuweweg 5, Nijeveen</t>
  </si>
  <si>
    <t>Totaal 009 - Sportaccommodatie de Aanloop, Woldkade 7A, Meppel</t>
  </si>
  <si>
    <t>Totaal 010 - Sporthaccommodatie 't Erf, Atalanta 1, Meppel</t>
  </si>
  <si>
    <t>Totaal 011 - Hospice Ezinge, Hoogeveenseweg 27, Meppel</t>
  </si>
  <si>
    <t>Totaal 014 - Sportaccommodatie Koedijkslanden, Sportpark Koedijkslanden 14, Meppel</t>
  </si>
  <si>
    <t>Totaal 015 - Sportaccommodatie Prinses Marijkestraat, Prinses Marijkestraat 2, Meppel</t>
  </si>
  <si>
    <t>Totaal 016 - Kunsthuis Secretarie, Hoofdstraat 22, Meppel</t>
  </si>
  <si>
    <t>Totaal 018 - Parkeergarage De Kromme Elleboog, De Kromme Elleboog 3, Meppel</t>
  </si>
  <si>
    <t>Totaal 019 - MensA, Witte de Withstraat 2a, Meppel</t>
  </si>
  <si>
    <t>V1002</t>
  </si>
  <si>
    <t>Niet meewerkende objectleiding</t>
  </si>
  <si>
    <t>W1000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</si>
  <si>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</si>
  <si>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</si>
  <si>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</si>
  <si>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</si>
  <si>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</si>
  <si>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</si>
  <si>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013</t>
  </si>
  <si>
    <t>Begraafplaats</t>
  </si>
  <si>
    <t>Edison 1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</si>
  <si>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</si>
  <si>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</si>
  <si>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</si>
  <si>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</si>
  <si>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</si>
  <si>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</si>
  <si>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</si>
  <si>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</si>
  <si>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1030</t>
  </si>
  <si>
    <t>Evenementenschoonmaak gem. Meppel</t>
  </si>
  <si>
    <t>prijs per uur</t>
  </si>
  <si>
    <t>1040</t>
  </si>
  <si>
    <t>Kleine beurt Stadsschouwburg Ogterop</t>
  </si>
  <si>
    <t>1050</t>
  </si>
  <si>
    <t>Grote beurt Stadsschouwburg Ogterop</t>
  </si>
  <si>
    <t>W1030</t>
  </si>
  <si>
    <t>Evenementen schoonmaak gem. Meppel</t>
  </si>
  <si>
    <t>W1040</t>
  </si>
  <si>
    <t>Kleine beurt Ogterop weekend</t>
  </si>
  <si>
    <t>W1050</t>
  </si>
  <si>
    <t>Grote beurt Ogterop weekend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</si>
  <si>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</si>
  <si>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</si>
  <si>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</si>
  <si>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</si>
  <si>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</si>
  <si>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</si>
  <si>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</si>
  <si>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</si>
  <si>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</si>
  <si>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</si>
  <si>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</si>
  <si>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</si>
  <si>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</si>
  <si>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</si>
  <si>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</si>
  <si>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</si>
  <si>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</si>
  <si>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</si>
  <si>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</si>
  <si>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</si>
  <si>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</si>
  <si>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</si>
  <si>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</si>
  <si>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</si>
  <si>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</si>
  <si>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</si>
  <si>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</si>
  <si>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</si>
  <si>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</si>
  <si>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</si>
  <si>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</si>
  <si>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</si>
  <si>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</si>
  <si>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</si>
  <si>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</si>
  <si>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</si>
  <si>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</si>
  <si>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</si>
  <si>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</si>
  <si>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</si>
  <si>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</si>
  <si>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</si>
  <si>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</si>
  <si>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</si>
  <si>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</si>
  <si>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</si>
  <si>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</si>
  <si>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</si>
  <si>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</si>
  <si>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</si>
  <si>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</si>
  <si>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</si>
  <si>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</si>
  <si>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</si>
  <si>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</si>
  <si>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</si>
  <si>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</si>
  <si>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</si>
  <si>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</si>
  <si>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</si>
  <si>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</si>
  <si>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</si>
  <si>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</si>
  <si>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</si>
  <si>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</si>
  <si>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</si>
  <si>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</si>
  <si>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</si>
  <si>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</si>
  <si>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</si>
  <si>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</si>
  <si>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</si>
  <si>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</si>
  <si>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</si>
  <si>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</si>
  <si>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</si>
  <si>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</si>
  <si>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</si>
  <si>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</si>
  <si>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</si>
  <si>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</si>
  <si>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</si>
  <si>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</si>
  <si>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</si>
  <si>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</si>
  <si>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</si>
  <si>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</si>
  <si>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</si>
  <si>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</si>
  <si>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</si>
  <si>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</si>
  <si>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</si>
  <si>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koolzuurbasis</t>
  </si>
  <si>
    <t>4050B</t>
  </si>
  <si>
    <t>4050C</t>
  </si>
  <si>
    <t>4050D</t>
  </si>
  <si>
    <t>4060A</t>
  </si>
  <si>
    <t>Tapijt reinigen sproei-/extractiemethode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</si>
  <si>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</si>
  <si>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</si>
  <si>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</si>
  <si>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</si>
  <si>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</si>
  <si>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</si>
  <si>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</si>
  <si>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</si>
  <si>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</si>
  <si>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</si>
  <si>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</si>
  <si>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</si>
  <si>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</si>
  <si>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</si>
  <si>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</si>
  <si>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</si>
  <si>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</si>
  <si>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</si>
  <si>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</si>
  <si>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</si>
  <si>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</si>
  <si>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</si>
  <si>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regiewerkzaamheden (specialistisch)</t>
  </si>
  <si>
    <t>9200</t>
  </si>
  <si>
    <t>Medewerker graffiti verwijdering (specialistisch)</t>
  </si>
  <si>
    <t>W9000</t>
  </si>
  <si>
    <t>Medewerker regiewerkzaamheden weekend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</si>
  <si>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</si>
  <si>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</si>
  <si>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</si>
  <si>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</si>
  <si>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</si>
  <si>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</si>
  <si>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</si>
  <si>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</si>
  <si>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Divers glas</t>
  </si>
  <si>
    <t>8100</t>
  </si>
  <si>
    <t>Inzet hoogwerker stadhuis Meppel</t>
  </si>
  <si>
    <t>totaalprijs</t>
  </si>
  <si>
    <t>8200</t>
  </si>
  <si>
    <t>Inzet kraan stadhuis Meppel</t>
  </si>
  <si>
    <t>Totaal glas excl. BTW</t>
  </si>
  <si>
    <t>013 - Begraafplaats, Edison 1, Meppel</t>
  </si>
  <si>
    <t>Totaal 013 - Begraafplaats, Edison 1, Meppel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</si>
  <si>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</si>
  <si>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</si>
  <si>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</si>
  <si>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</si>
  <si>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</si>
  <si>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 xml:space="preserve">Regulier werk </t>
  </si>
  <si>
    <t xml:space="preserve">Objectleiding 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</si>
  <si>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</si>
  <si>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</si>
  <si>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</si>
  <si>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</si>
  <si>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</si>
  <si>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E (NIET HOGER DAN BUDGET)</t>
  </si>
  <si>
    <t>VERGELIJKINGSBEDRAG ADITIONEEL/AFROEP/REGIE/GLASBEWASSING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</si>
</sst>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4" xfId="0" applyNumberFormat="1" applyFill="1" applyBorder="1"/>
    <xf numFmtId="49" fontId="0" fillId="2" borderId="9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164" fontId="0" fillId="2" borderId="9" xfId="0" applyNumberFormat="1" applyFill="1" applyBorder="1"/>
    <xf numFmtId="164" fontId="0" fillId="2" borderId="5" xfId="0" applyNumberFormat="1" applyFill="1" applyBorder="1"/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9" xfId="0" applyNumberFormat="1" applyFill="1" applyBorder="1" applyAlignment="1">
      <alignment wrapText="1"/>
    </xf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2" xfId="0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3" borderId="6" xfId="0" applyNumberFormat="1" applyFill="1" applyBorder="1" applyProtection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164" fontId="0" fillId="2" borderId="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78EC6E5A-100C-49B5-AEAE-08829CDC6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61E6-858B-4063-BCEC-10C3BF9707EE}">
  <dimension ref="A1"/>
  <sheetViews>
    <sheetView workbookViewId="0"/>
  </sheetViews>
  <sheetFormatPr defaultRowHeight="12.75" x14ac:dyDescent="0.2"/>
  <sheetData>
    <row r="1" spans="1:1" x14ac:dyDescent="0.2">
      <c r="A1" s="1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811D-7240-48A8-BCB2-07B3ADAB39DB}">
  <dimension ref="A1:K18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I.1.7: ",tabeltype," niet-meewerkende objectleiding")</f>
        <v>Bijlage I.1.7: Invultabel niet-meewerkende objectleiding</v>
      </c>
    </row>
    <row r="3" spans="1:11" ht="38.25" x14ac:dyDescent="0.2">
      <c r="A3" s="8" t="s">
        <v>847</v>
      </c>
      <c r="B3" s="8" t="s">
        <v>8</v>
      </c>
      <c r="C3" s="8" t="s">
        <v>848</v>
      </c>
      <c r="D3" s="8" t="s">
        <v>849</v>
      </c>
      <c r="E3" s="8" t="s">
        <v>850</v>
      </c>
      <c r="F3" s="8" t="s">
        <v>851</v>
      </c>
      <c r="G3" s="8" t="s">
        <v>852</v>
      </c>
      <c r="H3" s="8" t="s">
        <v>184</v>
      </c>
      <c r="I3" s="8" t="s">
        <v>853</v>
      </c>
      <c r="J3" s="8" t="s">
        <v>854</v>
      </c>
      <c r="K3" s="8" t="s">
        <v>855</v>
      </c>
    </row>
    <row r="4" spans="1:11" x14ac:dyDescent="0.2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10"/>
    </row>
    <row r="5" spans="1:11" x14ac:dyDescent="0.2">
      <c r="A5" s="12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111" t="s">
        <v>298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7" t="s">
        <v>856</v>
      </c>
      <c r="B8" s="17" t="s">
        <v>10</v>
      </c>
      <c r="C8" s="18">
        <f>IF(ISBLANK(B8),0,IF(ISERROR(VALUE(B8)),VLOOKUP(B8,dagsoorttabel1,2,FALSE)*dagenperjaar1,VALUE(B8)))</f>
        <v>255</v>
      </c>
      <c r="D8" s="17" t="s">
        <v>857</v>
      </c>
      <c r="E8" s="21"/>
      <c r="F8" s="20"/>
      <c r="G8" s="112"/>
      <c r="H8" s="37">
        <f>IF(ISBLANK(G8),0,G8*C8)+IF(ISBLANK(F8),0,F8*objecturen1_1)</f>
        <v>0</v>
      </c>
      <c r="I8" s="37">
        <f>IF(C8=0,0,H8/C8)</f>
        <v>0</v>
      </c>
      <c r="J8" s="40">
        <f>IF(ISBLANK(E8),0,ROUND(E8,2)*H8)</f>
        <v>0</v>
      </c>
      <c r="K8" s="40">
        <f>J8/12</f>
        <v>0</v>
      </c>
    </row>
    <row r="9" spans="1:11" x14ac:dyDescent="0.2">
      <c r="A9" s="22"/>
      <c r="B9" s="22"/>
      <c r="C9" s="113">
        <f>dagenperjaar1</f>
        <v>255</v>
      </c>
      <c r="D9" s="114" t="s">
        <v>858</v>
      </c>
      <c r="E9" s="26"/>
      <c r="F9" s="25"/>
      <c r="G9" s="115"/>
      <c r="H9" s="41">
        <f>IF(ISBLANK(G9),0,G9*C9)+IF(ISBLANK(F9),0,F9*objecturen1_1)</f>
        <v>0</v>
      </c>
      <c r="I9" s="41">
        <f>IF(C9=0,0,H9/C9)</f>
        <v>0</v>
      </c>
      <c r="J9" s="44">
        <f>IF(ISBLANK(E9),0,ROUND(E9,2)*H9)</f>
        <v>0</v>
      </c>
      <c r="K9" s="44">
        <f>J9/12</f>
        <v>0</v>
      </c>
    </row>
    <row r="10" spans="1:11" x14ac:dyDescent="0.2">
      <c r="A10" s="22"/>
      <c r="B10" s="22"/>
      <c r="C10" s="113">
        <f>dagenperjaar1</f>
        <v>255</v>
      </c>
      <c r="D10" s="114" t="s">
        <v>858</v>
      </c>
      <c r="E10" s="26"/>
      <c r="F10" s="25"/>
      <c r="G10" s="115"/>
      <c r="H10" s="41">
        <f>IF(ISBLANK(G10),0,G10*C10)+IF(ISBLANK(F10),0,F10*objecturen1_1)</f>
        <v>0</v>
      </c>
      <c r="I10" s="41">
        <f>IF(C10=0,0,H10/C10)</f>
        <v>0</v>
      </c>
      <c r="J10" s="44">
        <f>IF(ISBLANK(E10),0,ROUND(E10,2)*H10)</f>
        <v>0</v>
      </c>
      <c r="K10" s="44">
        <f>J10/12</f>
        <v>0</v>
      </c>
    </row>
    <row r="11" spans="1:11" x14ac:dyDescent="0.2">
      <c r="A11" s="22"/>
      <c r="B11" s="22"/>
      <c r="C11" s="113">
        <f>dagenperjaar1</f>
        <v>255</v>
      </c>
      <c r="D11" s="114" t="s">
        <v>859</v>
      </c>
      <c r="E11" s="26"/>
      <c r="F11" s="116"/>
      <c r="G11" s="24"/>
      <c r="H11" s="41">
        <f>IF(ISBLANK(G11),0,G11*C11)+IF(ISBLANK(F11),0,F11*objecturen1_1)</f>
        <v>0</v>
      </c>
      <c r="I11" s="41">
        <f>IF(C11=0,0,H11/C11)</f>
        <v>0</v>
      </c>
      <c r="J11" s="44">
        <f>IF(ISBLANK(E11),0,ROUND(E11,2)*H11)</f>
        <v>0</v>
      </c>
      <c r="K11" s="44">
        <f>J11/12</f>
        <v>0</v>
      </c>
    </row>
    <row r="12" spans="1:11" x14ac:dyDescent="0.2">
      <c r="A12" s="27"/>
      <c r="B12" s="27"/>
      <c r="C12" s="117">
        <f>dagenperjaar1</f>
        <v>255</v>
      </c>
      <c r="D12" s="118" t="s">
        <v>859</v>
      </c>
      <c r="E12" s="31"/>
      <c r="F12" s="119"/>
      <c r="G12" s="29"/>
      <c r="H12" s="46">
        <f>IF(ISBLANK(G12),0,G12*C12)+IF(ISBLANK(F12),0,F12*objecturen1_1)</f>
        <v>0</v>
      </c>
      <c r="I12" s="46">
        <f>IF(C12=0,0,H12/C12)</f>
        <v>0</v>
      </c>
      <c r="J12" s="48">
        <f>IF(ISBLANK(E12),0,ROUND(E12,2)*H12)</f>
        <v>0</v>
      </c>
      <c r="K12" s="48">
        <f>J12/12</f>
        <v>0</v>
      </c>
    </row>
    <row r="13" spans="1:11" x14ac:dyDescent="0.2">
      <c r="A13" s="120" t="s">
        <v>860</v>
      </c>
      <c r="B13" s="51"/>
      <c r="C13" s="51"/>
      <c r="D13" s="51"/>
      <c r="E13" s="51"/>
      <c r="F13" s="51"/>
      <c r="G13" s="51"/>
      <c r="H13" s="52">
        <f>SUM(H8:H12)</f>
        <v>0</v>
      </c>
      <c r="I13" s="51"/>
      <c r="J13" s="53">
        <f>SUM(J8:J12)</f>
        <v>0</v>
      </c>
      <c r="K13" s="54">
        <f>SUM(K8:K12)</f>
        <v>0</v>
      </c>
    </row>
    <row r="14" spans="1:11" x14ac:dyDescent="0.2">
      <c r="A14" s="55"/>
      <c r="B14" s="51"/>
      <c r="C14" s="51"/>
      <c r="D14" s="51"/>
      <c r="E14" s="51"/>
      <c r="F14" s="51"/>
      <c r="G14" s="51"/>
      <c r="H14" s="51"/>
      <c r="I14" s="51"/>
      <c r="J14" s="51"/>
      <c r="K14" s="56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111" t="s">
        <v>537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7" t="s">
        <v>856</v>
      </c>
      <c r="B17" s="17" t="s">
        <v>31</v>
      </c>
      <c r="C17" s="18">
        <f>IF(ISBLANK(B17),0,IF(ISERROR(VALUE(B17)),VLOOKUP(B17,dagsoorttabel1,2,FALSE)*dagenperjaar1,VALUE(B17)))</f>
        <v>19</v>
      </c>
      <c r="D17" s="17" t="s">
        <v>857</v>
      </c>
      <c r="E17" s="21"/>
      <c r="F17" s="20"/>
      <c r="G17" s="112"/>
      <c r="H17" s="37">
        <f>IF(ISBLANK(G17),0,G17*C17)+IF(ISBLANK(F17),0,F17*objecturen2_1)</f>
        <v>0</v>
      </c>
      <c r="I17" s="37">
        <f>IF(C17=0,0,H17/C17)</f>
        <v>0</v>
      </c>
      <c r="J17" s="40">
        <f>IF(ISBLANK(E17),0,ROUND(E17,2)*H17)</f>
        <v>0</v>
      </c>
      <c r="K17" s="40">
        <f>J17/12</f>
        <v>0</v>
      </c>
    </row>
    <row r="18" spans="1:11" x14ac:dyDescent="0.2">
      <c r="A18" s="22"/>
      <c r="B18" s="22"/>
      <c r="C18" s="113">
        <f>dagenperjaar1</f>
        <v>255</v>
      </c>
      <c r="D18" s="114" t="s">
        <v>858</v>
      </c>
      <c r="E18" s="26"/>
      <c r="F18" s="25"/>
      <c r="G18" s="115"/>
      <c r="H18" s="41">
        <f>IF(ISBLANK(G18),0,G18*C18)+IF(ISBLANK(F18),0,F18*objecturen2_1)</f>
        <v>0</v>
      </c>
      <c r="I18" s="41">
        <f>IF(C18=0,0,H18/C18)</f>
        <v>0</v>
      </c>
      <c r="J18" s="44">
        <f>IF(ISBLANK(E18),0,ROUND(E18,2)*H18)</f>
        <v>0</v>
      </c>
      <c r="K18" s="44">
        <f>J18/12</f>
        <v>0</v>
      </c>
    </row>
    <row r="19" spans="1:11" x14ac:dyDescent="0.2">
      <c r="A19" s="22"/>
      <c r="B19" s="22"/>
      <c r="C19" s="113">
        <f>dagenperjaar1</f>
        <v>255</v>
      </c>
      <c r="D19" s="114" t="s">
        <v>858</v>
      </c>
      <c r="E19" s="26"/>
      <c r="F19" s="25"/>
      <c r="G19" s="115"/>
      <c r="H19" s="41">
        <f>IF(ISBLANK(G19),0,G19*C19)+IF(ISBLANK(F19),0,F19*objecturen2_1)</f>
        <v>0</v>
      </c>
      <c r="I19" s="41">
        <f>IF(C19=0,0,H19/C19)</f>
        <v>0</v>
      </c>
      <c r="J19" s="44">
        <f>IF(ISBLANK(E19),0,ROUND(E19,2)*H19)</f>
        <v>0</v>
      </c>
      <c r="K19" s="44">
        <f>J19/12</f>
        <v>0</v>
      </c>
    </row>
    <row r="20" spans="1:11" x14ac:dyDescent="0.2">
      <c r="A20" s="22"/>
      <c r="B20" s="22"/>
      <c r="C20" s="113">
        <f>dagenperjaar1</f>
        <v>255</v>
      </c>
      <c r="D20" s="114" t="s">
        <v>859</v>
      </c>
      <c r="E20" s="26"/>
      <c r="F20" s="116"/>
      <c r="G20" s="24"/>
      <c r="H20" s="41">
        <f>IF(ISBLANK(G20),0,G20*C20)+IF(ISBLANK(F20),0,F20*objecturen2_1)</f>
        <v>0</v>
      </c>
      <c r="I20" s="41">
        <f>IF(C20=0,0,H20/C20)</f>
        <v>0</v>
      </c>
      <c r="J20" s="44">
        <f>IF(ISBLANK(E20),0,ROUND(E20,2)*H20)</f>
        <v>0</v>
      </c>
      <c r="K20" s="44">
        <f>J20/12</f>
        <v>0</v>
      </c>
    </row>
    <row r="21" spans="1:11" x14ac:dyDescent="0.2">
      <c r="A21" s="27"/>
      <c r="B21" s="27"/>
      <c r="C21" s="117">
        <f>dagenperjaar1</f>
        <v>255</v>
      </c>
      <c r="D21" s="118" t="s">
        <v>859</v>
      </c>
      <c r="E21" s="31"/>
      <c r="F21" s="119"/>
      <c r="G21" s="29"/>
      <c r="H21" s="46">
        <f>IF(ISBLANK(G21),0,G21*C21)+IF(ISBLANK(F21),0,F21*objecturen2_1)</f>
        <v>0</v>
      </c>
      <c r="I21" s="46">
        <f>IF(C21=0,0,H21/C21)</f>
        <v>0</v>
      </c>
      <c r="J21" s="48">
        <f>IF(ISBLANK(E21),0,ROUND(E21,2)*H21)</f>
        <v>0</v>
      </c>
      <c r="K21" s="48">
        <f>J21/12</f>
        <v>0</v>
      </c>
    </row>
    <row r="22" spans="1:11" x14ac:dyDescent="0.2">
      <c r="A22" s="120" t="s">
        <v>861</v>
      </c>
      <c r="B22" s="51"/>
      <c r="C22" s="51"/>
      <c r="D22" s="51"/>
      <c r="E22" s="51"/>
      <c r="F22" s="51"/>
      <c r="G22" s="51"/>
      <c r="H22" s="52">
        <f>SUM(H17:H21)</f>
        <v>0</v>
      </c>
      <c r="I22" s="51"/>
      <c r="J22" s="53">
        <f>SUM(J17:J21)</f>
        <v>0</v>
      </c>
      <c r="K22" s="54">
        <f>SUM(K17:K21)</f>
        <v>0</v>
      </c>
    </row>
    <row r="23" spans="1:11" x14ac:dyDescent="0.2">
      <c r="A23" s="55"/>
      <c r="B23" s="51"/>
      <c r="C23" s="51"/>
      <c r="D23" s="51"/>
      <c r="E23" s="51"/>
      <c r="F23" s="51"/>
      <c r="G23" s="51"/>
      <c r="H23" s="51"/>
      <c r="I23" s="51"/>
      <c r="J23" s="51"/>
      <c r="K23" s="56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111" t="s">
        <v>556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7" t="s">
        <v>856</v>
      </c>
      <c r="B26" s="17" t="s">
        <v>10</v>
      </c>
      <c r="C26" s="18">
        <f>IF(ISBLANK(B26),0,IF(ISERROR(VALUE(B26)),VLOOKUP(B26,dagsoorttabel1,2,FALSE)*dagenperjaar1,VALUE(B26)))</f>
        <v>255</v>
      </c>
      <c r="D26" s="17" t="s">
        <v>857</v>
      </c>
      <c r="E26" s="21"/>
      <c r="F26" s="20"/>
      <c r="G26" s="112"/>
      <c r="H26" s="37">
        <f>IF(ISBLANK(G26),0,G26*C26)+IF(ISBLANK(F26),0,F26*objecturen3_1)</f>
        <v>0</v>
      </c>
      <c r="I26" s="37">
        <f>IF(C26=0,0,H26/C26)</f>
        <v>0</v>
      </c>
      <c r="J26" s="40">
        <f>IF(ISBLANK(E26),0,ROUND(E26,2)*H26)</f>
        <v>0</v>
      </c>
      <c r="K26" s="40">
        <f>J26/12</f>
        <v>0</v>
      </c>
    </row>
    <row r="27" spans="1:11" x14ac:dyDescent="0.2">
      <c r="A27" s="22"/>
      <c r="B27" s="22"/>
      <c r="C27" s="113">
        <f>dagenperjaar1</f>
        <v>255</v>
      </c>
      <c r="D27" s="114" t="s">
        <v>858</v>
      </c>
      <c r="E27" s="26"/>
      <c r="F27" s="25"/>
      <c r="G27" s="115"/>
      <c r="H27" s="41">
        <f>IF(ISBLANK(G27),0,G27*C27)+IF(ISBLANK(F27),0,F27*objecturen3_1)</f>
        <v>0</v>
      </c>
      <c r="I27" s="41">
        <f>IF(C27=0,0,H27/C27)</f>
        <v>0</v>
      </c>
      <c r="J27" s="44">
        <f>IF(ISBLANK(E27),0,ROUND(E27,2)*H27)</f>
        <v>0</v>
      </c>
      <c r="K27" s="44">
        <f>J27/12</f>
        <v>0</v>
      </c>
    </row>
    <row r="28" spans="1:11" x14ac:dyDescent="0.2">
      <c r="A28" s="22"/>
      <c r="B28" s="22"/>
      <c r="C28" s="113">
        <f>dagenperjaar1</f>
        <v>255</v>
      </c>
      <c r="D28" s="114" t="s">
        <v>858</v>
      </c>
      <c r="E28" s="26"/>
      <c r="F28" s="25"/>
      <c r="G28" s="115"/>
      <c r="H28" s="41">
        <f>IF(ISBLANK(G28),0,G28*C28)+IF(ISBLANK(F28),0,F28*objecturen3_1)</f>
        <v>0</v>
      </c>
      <c r="I28" s="41">
        <f>IF(C28=0,0,H28/C28)</f>
        <v>0</v>
      </c>
      <c r="J28" s="44">
        <f>IF(ISBLANK(E28),0,ROUND(E28,2)*H28)</f>
        <v>0</v>
      </c>
      <c r="K28" s="44">
        <f>J28/12</f>
        <v>0</v>
      </c>
    </row>
    <row r="29" spans="1:11" x14ac:dyDescent="0.2">
      <c r="A29" s="22"/>
      <c r="B29" s="22"/>
      <c r="C29" s="113">
        <f>dagenperjaar1</f>
        <v>255</v>
      </c>
      <c r="D29" s="114" t="s">
        <v>859</v>
      </c>
      <c r="E29" s="26"/>
      <c r="F29" s="116"/>
      <c r="G29" s="24"/>
      <c r="H29" s="41">
        <f>IF(ISBLANK(G29),0,G29*C29)+IF(ISBLANK(F29),0,F29*objecturen3_1)</f>
        <v>0</v>
      </c>
      <c r="I29" s="41">
        <f>IF(C29=0,0,H29/C29)</f>
        <v>0</v>
      </c>
      <c r="J29" s="44">
        <f>IF(ISBLANK(E29),0,ROUND(E29,2)*H29)</f>
        <v>0</v>
      </c>
      <c r="K29" s="44">
        <f>J29/12</f>
        <v>0</v>
      </c>
    </row>
    <row r="30" spans="1:11" x14ac:dyDescent="0.2">
      <c r="A30" s="27"/>
      <c r="B30" s="27"/>
      <c r="C30" s="117">
        <f>dagenperjaar1</f>
        <v>255</v>
      </c>
      <c r="D30" s="118" t="s">
        <v>859</v>
      </c>
      <c r="E30" s="31"/>
      <c r="F30" s="119"/>
      <c r="G30" s="29"/>
      <c r="H30" s="46">
        <f>IF(ISBLANK(G30),0,G30*C30)+IF(ISBLANK(F30),0,F30*objecturen3_1)</f>
        <v>0</v>
      </c>
      <c r="I30" s="46">
        <f>IF(C30=0,0,H30/C30)</f>
        <v>0</v>
      </c>
      <c r="J30" s="48">
        <f>IF(ISBLANK(E30),0,ROUND(E30,2)*H30)</f>
        <v>0</v>
      </c>
      <c r="K30" s="48">
        <f>J30/12</f>
        <v>0</v>
      </c>
    </row>
    <row r="31" spans="1:11" x14ac:dyDescent="0.2">
      <c r="A31" s="120" t="s">
        <v>862</v>
      </c>
      <c r="B31" s="51"/>
      <c r="C31" s="51"/>
      <c r="D31" s="51"/>
      <c r="E31" s="51"/>
      <c r="F31" s="51"/>
      <c r="G31" s="51"/>
      <c r="H31" s="52">
        <f>SUM(H26:H30)</f>
        <v>0</v>
      </c>
      <c r="I31" s="51"/>
      <c r="J31" s="53">
        <f>SUM(J26:J30)</f>
        <v>0</v>
      </c>
      <c r="K31" s="54">
        <f>SUM(K26:K30)</f>
        <v>0</v>
      </c>
    </row>
    <row r="32" spans="1:11" x14ac:dyDescent="0.2">
      <c r="A32" s="55"/>
      <c r="B32" s="51"/>
      <c r="C32" s="51"/>
      <c r="D32" s="51"/>
      <c r="E32" s="51"/>
      <c r="F32" s="51"/>
      <c r="G32" s="51"/>
      <c r="H32" s="51"/>
      <c r="I32" s="51"/>
      <c r="J32" s="51"/>
      <c r="K32" s="56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111" t="s">
        <v>570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7" t="s">
        <v>856</v>
      </c>
      <c r="B35" s="17" t="s">
        <v>24</v>
      </c>
      <c r="C35" s="18">
        <f>IF(ISBLANK(B35),0,IF(ISERROR(VALUE(B35)),VLOOKUP(B35,dagsoorttabel1,2,FALSE)*dagenperjaar1,VALUE(B35)))</f>
        <v>51</v>
      </c>
      <c r="D35" s="17" t="s">
        <v>857</v>
      </c>
      <c r="E35" s="21"/>
      <c r="F35" s="20"/>
      <c r="G35" s="112"/>
      <c r="H35" s="37">
        <f>IF(ISBLANK(G35),0,G35*C35)+IF(ISBLANK(F35),0,F35*objecturen4_1)</f>
        <v>0</v>
      </c>
      <c r="I35" s="37">
        <f>IF(C35=0,0,H35/C35)</f>
        <v>0</v>
      </c>
      <c r="J35" s="40">
        <f>IF(ISBLANK(E35),0,ROUND(E35,2)*H35)</f>
        <v>0</v>
      </c>
      <c r="K35" s="40">
        <f>J35/12</f>
        <v>0</v>
      </c>
    </row>
    <row r="36" spans="1:11" x14ac:dyDescent="0.2">
      <c r="A36" s="22"/>
      <c r="B36" s="22"/>
      <c r="C36" s="113">
        <f>dagenperjaar1</f>
        <v>255</v>
      </c>
      <c r="D36" s="114" t="s">
        <v>858</v>
      </c>
      <c r="E36" s="26"/>
      <c r="F36" s="25"/>
      <c r="G36" s="115"/>
      <c r="H36" s="41">
        <f>IF(ISBLANK(G36),0,G36*C36)+IF(ISBLANK(F36),0,F36*objecturen4_1)</f>
        <v>0</v>
      </c>
      <c r="I36" s="41">
        <f>IF(C36=0,0,H36/C36)</f>
        <v>0</v>
      </c>
      <c r="J36" s="44">
        <f>IF(ISBLANK(E36),0,ROUND(E36,2)*H36)</f>
        <v>0</v>
      </c>
      <c r="K36" s="44">
        <f>J36/12</f>
        <v>0</v>
      </c>
    </row>
    <row r="37" spans="1:11" x14ac:dyDescent="0.2">
      <c r="A37" s="22"/>
      <c r="B37" s="22"/>
      <c r="C37" s="113">
        <f>dagenperjaar1</f>
        <v>255</v>
      </c>
      <c r="D37" s="114" t="s">
        <v>858</v>
      </c>
      <c r="E37" s="26"/>
      <c r="F37" s="25"/>
      <c r="G37" s="115"/>
      <c r="H37" s="41">
        <f>IF(ISBLANK(G37),0,G37*C37)+IF(ISBLANK(F37),0,F37*objecturen4_1)</f>
        <v>0</v>
      </c>
      <c r="I37" s="41">
        <f>IF(C37=0,0,H37/C37)</f>
        <v>0</v>
      </c>
      <c r="J37" s="44">
        <f>IF(ISBLANK(E37),0,ROUND(E37,2)*H37)</f>
        <v>0</v>
      </c>
      <c r="K37" s="44">
        <f>J37/12</f>
        <v>0</v>
      </c>
    </row>
    <row r="38" spans="1:11" x14ac:dyDescent="0.2">
      <c r="A38" s="22"/>
      <c r="B38" s="22"/>
      <c r="C38" s="113">
        <f>dagenperjaar1</f>
        <v>255</v>
      </c>
      <c r="D38" s="114" t="s">
        <v>859</v>
      </c>
      <c r="E38" s="26"/>
      <c r="F38" s="116"/>
      <c r="G38" s="24"/>
      <c r="H38" s="41">
        <f>IF(ISBLANK(G38),0,G38*C38)+IF(ISBLANK(F38),0,F38*objecturen4_1)</f>
        <v>0</v>
      </c>
      <c r="I38" s="41">
        <f>IF(C38=0,0,H38/C38)</f>
        <v>0</v>
      </c>
      <c r="J38" s="44">
        <f>IF(ISBLANK(E38),0,ROUND(E38,2)*H38)</f>
        <v>0</v>
      </c>
      <c r="K38" s="44">
        <f>J38/12</f>
        <v>0</v>
      </c>
    </row>
    <row r="39" spans="1:11" x14ac:dyDescent="0.2">
      <c r="A39" s="27"/>
      <c r="B39" s="27"/>
      <c r="C39" s="117">
        <f>dagenperjaar1</f>
        <v>255</v>
      </c>
      <c r="D39" s="118" t="s">
        <v>859</v>
      </c>
      <c r="E39" s="31"/>
      <c r="F39" s="119"/>
      <c r="G39" s="29"/>
      <c r="H39" s="46">
        <f>IF(ISBLANK(G39),0,G39*C39)+IF(ISBLANK(F39),0,F39*objecturen4_1)</f>
        <v>0</v>
      </c>
      <c r="I39" s="46">
        <f>IF(C39=0,0,H39/C39)</f>
        <v>0</v>
      </c>
      <c r="J39" s="48">
        <f>IF(ISBLANK(E39),0,ROUND(E39,2)*H39)</f>
        <v>0</v>
      </c>
      <c r="K39" s="48">
        <f>J39/12</f>
        <v>0</v>
      </c>
    </row>
    <row r="40" spans="1:11" x14ac:dyDescent="0.2">
      <c r="A40" s="120" t="s">
        <v>863</v>
      </c>
      <c r="B40" s="51"/>
      <c r="C40" s="51"/>
      <c r="D40" s="51"/>
      <c r="E40" s="51"/>
      <c r="F40" s="51"/>
      <c r="G40" s="51"/>
      <c r="H40" s="52">
        <f>SUM(H35:H39)</f>
        <v>0</v>
      </c>
      <c r="I40" s="51"/>
      <c r="J40" s="53">
        <f>SUM(J35:J39)</f>
        <v>0</v>
      </c>
      <c r="K40" s="54">
        <f>SUM(K35:K39)</f>
        <v>0</v>
      </c>
    </row>
    <row r="41" spans="1:11" x14ac:dyDescent="0.2">
      <c r="A41" s="55"/>
      <c r="B41" s="51"/>
      <c r="C41" s="51"/>
      <c r="D41" s="51"/>
      <c r="E41" s="51"/>
      <c r="F41" s="51"/>
      <c r="G41" s="51"/>
      <c r="H41" s="51"/>
      <c r="I41" s="51"/>
      <c r="J41" s="51"/>
      <c r="K41" s="56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111" t="s">
        <v>579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7" t="s">
        <v>856</v>
      </c>
      <c r="B44" s="17" t="s">
        <v>24</v>
      </c>
      <c r="C44" s="18">
        <f>IF(ISBLANK(B44),0,IF(ISERROR(VALUE(B44)),VLOOKUP(B44,dagsoorttabel1,2,FALSE)*dagenperjaar1,VALUE(B44)))</f>
        <v>51</v>
      </c>
      <c r="D44" s="17" t="s">
        <v>857</v>
      </c>
      <c r="E44" s="21"/>
      <c r="F44" s="20"/>
      <c r="G44" s="112"/>
      <c r="H44" s="37">
        <f>IF(ISBLANK(G44),0,G44*C44)+IF(ISBLANK(F44),0,F44*objecturen5_1)</f>
        <v>0</v>
      </c>
      <c r="I44" s="37">
        <f>IF(C44=0,0,H44/C44)</f>
        <v>0</v>
      </c>
      <c r="J44" s="40">
        <f>IF(ISBLANK(E44),0,ROUND(E44,2)*H44)</f>
        <v>0</v>
      </c>
      <c r="K44" s="40">
        <f>J44/12</f>
        <v>0</v>
      </c>
    </row>
    <row r="45" spans="1:11" x14ac:dyDescent="0.2">
      <c r="A45" s="22"/>
      <c r="B45" s="22"/>
      <c r="C45" s="113">
        <f>dagenperjaar1</f>
        <v>255</v>
      </c>
      <c r="D45" s="114" t="s">
        <v>858</v>
      </c>
      <c r="E45" s="26"/>
      <c r="F45" s="25"/>
      <c r="G45" s="115"/>
      <c r="H45" s="41">
        <f>IF(ISBLANK(G45),0,G45*C45)+IF(ISBLANK(F45),0,F45*objecturen5_1)</f>
        <v>0</v>
      </c>
      <c r="I45" s="41">
        <f>IF(C45=0,0,H45/C45)</f>
        <v>0</v>
      </c>
      <c r="J45" s="44">
        <f>IF(ISBLANK(E45),0,ROUND(E45,2)*H45)</f>
        <v>0</v>
      </c>
      <c r="K45" s="44">
        <f>J45/12</f>
        <v>0</v>
      </c>
    </row>
    <row r="46" spans="1:11" x14ac:dyDescent="0.2">
      <c r="A46" s="22"/>
      <c r="B46" s="22"/>
      <c r="C46" s="113">
        <f>dagenperjaar1</f>
        <v>255</v>
      </c>
      <c r="D46" s="114" t="s">
        <v>858</v>
      </c>
      <c r="E46" s="26"/>
      <c r="F46" s="25"/>
      <c r="G46" s="115"/>
      <c r="H46" s="41">
        <f>IF(ISBLANK(G46),0,G46*C46)+IF(ISBLANK(F46),0,F46*objecturen5_1)</f>
        <v>0</v>
      </c>
      <c r="I46" s="41">
        <f>IF(C46=0,0,H46/C46)</f>
        <v>0</v>
      </c>
      <c r="J46" s="44">
        <f>IF(ISBLANK(E46),0,ROUND(E46,2)*H46)</f>
        <v>0</v>
      </c>
      <c r="K46" s="44">
        <f>J46/12</f>
        <v>0</v>
      </c>
    </row>
    <row r="47" spans="1:11" x14ac:dyDescent="0.2">
      <c r="A47" s="22"/>
      <c r="B47" s="22"/>
      <c r="C47" s="113">
        <f>dagenperjaar1</f>
        <v>255</v>
      </c>
      <c r="D47" s="114" t="s">
        <v>859</v>
      </c>
      <c r="E47" s="26"/>
      <c r="F47" s="116"/>
      <c r="G47" s="24"/>
      <c r="H47" s="41">
        <f>IF(ISBLANK(G47),0,G47*C47)+IF(ISBLANK(F47),0,F47*objecturen5_1)</f>
        <v>0</v>
      </c>
      <c r="I47" s="41">
        <f>IF(C47=0,0,H47/C47)</f>
        <v>0</v>
      </c>
      <c r="J47" s="44">
        <f>IF(ISBLANK(E47),0,ROUND(E47,2)*H47)</f>
        <v>0</v>
      </c>
      <c r="K47" s="44">
        <f>J47/12</f>
        <v>0</v>
      </c>
    </row>
    <row r="48" spans="1:11" x14ac:dyDescent="0.2">
      <c r="A48" s="27"/>
      <c r="B48" s="27"/>
      <c r="C48" s="117">
        <f>dagenperjaar1</f>
        <v>255</v>
      </c>
      <c r="D48" s="118" t="s">
        <v>859</v>
      </c>
      <c r="E48" s="31"/>
      <c r="F48" s="119"/>
      <c r="G48" s="29"/>
      <c r="H48" s="46">
        <f>IF(ISBLANK(G48),0,G48*C48)+IF(ISBLANK(F48),0,F48*objecturen5_1)</f>
        <v>0</v>
      </c>
      <c r="I48" s="46">
        <f>IF(C48=0,0,H48/C48)</f>
        <v>0</v>
      </c>
      <c r="J48" s="48">
        <f>IF(ISBLANK(E48),0,ROUND(E48,2)*H48)</f>
        <v>0</v>
      </c>
      <c r="K48" s="48">
        <f>J48/12</f>
        <v>0</v>
      </c>
    </row>
    <row r="49" spans="1:11" x14ac:dyDescent="0.2">
      <c r="A49" s="120" t="s">
        <v>864</v>
      </c>
      <c r="B49" s="51"/>
      <c r="C49" s="51"/>
      <c r="D49" s="51"/>
      <c r="E49" s="51"/>
      <c r="F49" s="51"/>
      <c r="G49" s="51"/>
      <c r="H49" s="52">
        <f>SUM(H44:H48)</f>
        <v>0</v>
      </c>
      <c r="I49" s="51"/>
      <c r="J49" s="53">
        <f>SUM(J44:J48)</f>
        <v>0</v>
      </c>
      <c r="K49" s="54">
        <f>SUM(K44:K48)</f>
        <v>0</v>
      </c>
    </row>
    <row r="50" spans="1:11" x14ac:dyDescent="0.2">
      <c r="A50" s="55"/>
      <c r="B50" s="51"/>
      <c r="C50" s="51"/>
      <c r="D50" s="51"/>
      <c r="E50" s="51"/>
      <c r="F50" s="51"/>
      <c r="G50" s="51"/>
      <c r="H50" s="51"/>
      <c r="I50" s="51"/>
      <c r="J50" s="51"/>
      <c r="K50" s="56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111" t="s">
        <v>587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7" t="s">
        <v>856</v>
      </c>
      <c r="B53" s="17" t="s">
        <v>14</v>
      </c>
      <c r="C53" s="18">
        <f>IF(ISBLANK(B53),0,IF(ISERROR(VALUE(B53)),VLOOKUP(B53,dagsoorttabel1,2,FALSE)*dagenperjaar1,VALUE(B53)))</f>
        <v>200</v>
      </c>
      <c r="D53" s="17" t="s">
        <v>857</v>
      </c>
      <c r="E53" s="21"/>
      <c r="F53" s="20"/>
      <c r="G53" s="112"/>
      <c r="H53" s="37">
        <f>IF(ISBLANK(G53),0,G53*C53)+IF(ISBLANK(F53),0,F53*objecturen6_1)</f>
        <v>0</v>
      </c>
      <c r="I53" s="37">
        <f>IF(C53=0,0,H53/C53)</f>
        <v>0</v>
      </c>
      <c r="J53" s="40">
        <f>IF(ISBLANK(E53),0,ROUND(E53,2)*H53)</f>
        <v>0</v>
      </c>
      <c r="K53" s="40">
        <f>J53/12</f>
        <v>0</v>
      </c>
    </row>
    <row r="54" spans="1:11" x14ac:dyDescent="0.2">
      <c r="A54" s="22"/>
      <c r="B54" s="22"/>
      <c r="C54" s="113">
        <f>dagenperjaar1</f>
        <v>255</v>
      </c>
      <c r="D54" s="114" t="s">
        <v>858</v>
      </c>
      <c r="E54" s="26"/>
      <c r="F54" s="25"/>
      <c r="G54" s="115"/>
      <c r="H54" s="41">
        <f>IF(ISBLANK(G54),0,G54*C54)+IF(ISBLANK(F54),0,F54*objecturen6_1)</f>
        <v>0</v>
      </c>
      <c r="I54" s="41">
        <f>IF(C54=0,0,H54/C54)</f>
        <v>0</v>
      </c>
      <c r="J54" s="44">
        <f>IF(ISBLANK(E54),0,ROUND(E54,2)*H54)</f>
        <v>0</v>
      </c>
      <c r="K54" s="44">
        <f>J54/12</f>
        <v>0</v>
      </c>
    </row>
    <row r="55" spans="1:11" x14ac:dyDescent="0.2">
      <c r="A55" s="22"/>
      <c r="B55" s="22"/>
      <c r="C55" s="113">
        <f>dagenperjaar1</f>
        <v>255</v>
      </c>
      <c r="D55" s="114" t="s">
        <v>858</v>
      </c>
      <c r="E55" s="26"/>
      <c r="F55" s="25"/>
      <c r="G55" s="115"/>
      <c r="H55" s="41">
        <f>IF(ISBLANK(G55),0,G55*C55)+IF(ISBLANK(F55),0,F55*objecturen6_1)</f>
        <v>0</v>
      </c>
      <c r="I55" s="41">
        <f>IF(C55=0,0,H55/C55)</f>
        <v>0</v>
      </c>
      <c r="J55" s="44">
        <f>IF(ISBLANK(E55),0,ROUND(E55,2)*H55)</f>
        <v>0</v>
      </c>
      <c r="K55" s="44">
        <f>J55/12</f>
        <v>0</v>
      </c>
    </row>
    <row r="56" spans="1:11" x14ac:dyDescent="0.2">
      <c r="A56" s="22"/>
      <c r="B56" s="22"/>
      <c r="C56" s="113">
        <f>dagenperjaar1</f>
        <v>255</v>
      </c>
      <c r="D56" s="114" t="s">
        <v>859</v>
      </c>
      <c r="E56" s="26"/>
      <c r="F56" s="116"/>
      <c r="G56" s="24"/>
      <c r="H56" s="41">
        <f>IF(ISBLANK(G56),0,G56*C56)+IF(ISBLANK(F56),0,F56*objecturen6_1)</f>
        <v>0</v>
      </c>
      <c r="I56" s="41">
        <f>IF(C56=0,0,H56/C56)</f>
        <v>0</v>
      </c>
      <c r="J56" s="44">
        <f>IF(ISBLANK(E56),0,ROUND(E56,2)*H56)</f>
        <v>0</v>
      </c>
      <c r="K56" s="44">
        <f>J56/12</f>
        <v>0</v>
      </c>
    </row>
    <row r="57" spans="1:11" x14ac:dyDescent="0.2">
      <c r="A57" s="27"/>
      <c r="B57" s="27"/>
      <c r="C57" s="117">
        <f>dagenperjaar1</f>
        <v>255</v>
      </c>
      <c r="D57" s="118" t="s">
        <v>859</v>
      </c>
      <c r="E57" s="31"/>
      <c r="F57" s="119"/>
      <c r="G57" s="29"/>
      <c r="H57" s="46">
        <f>IF(ISBLANK(G57),0,G57*C57)+IF(ISBLANK(F57),0,F57*objecturen6_1)</f>
        <v>0</v>
      </c>
      <c r="I57" s="46">
        <f>IF(C57=0,0,H57/C57)</f>
        <v>0</v>
      </c>
      <c r="J57" s="48">
        <f>IF(ISBLANK(E57),0,ROUND(E57,2)*H57)</f>
        <v>0</v>
      </c>
      <c r="K57" s="48">
        <f>J57/12</f>
        <v>0</v>
      </c>
    </row>
    <row r="58" spans="1:11" x14ac:dyDescent="0.2">
      <c r="A58" s="120" t="s">
        <v>865</v>
      </c>
      <c r="B58" s="51"/>
      <c r="C58" s="51"/>
      <c r="D58" s="51"/>
      <c r="E58" s="51"/>
      <c r="F58" s="51"/>
      <c r="G58" s="51"/>
      <c r="H58" s="52">
        <f>SUM(H53:H57)</f>
        <v>0</v>
      </c>
      <c r="I58" s="51"/>
      <c r="J58" s="53">
        <f>SUM(J53:J57)</f>
        <v>0</v>
      </c>
      <c r="K58" s="54">
        <f>SUM(K53:K57)</f>
        <v>0</v>
      </c>
    </row>
    <row r="59" spans="1:11" x14ac:dyDescent="0.2">
      <c r="A59" s="55"/>
      <c r="B59" s="51"/>
      <c r="C59" s="51"/>
      <c r="D59" s="51"/>
      <c r="E59" s="51"/>
      <c r="F59" s="51"/>
      <c r="G59" s="51"/>
      <c r="H59" s="51"/>
      <c r="I59" s="51"/>
      <c r="J59" s="51"/>
      <c r="K59" s="56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111" t="s">
        <v>626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7" t="s">
        <v>856</v>
      </c>
      <c r="B62" s="17" t="s">
        <v>12</v>
      </c>
      <c r="C62" s="18">
        <f>IF(ISBLANK(B62),0,IF(ISERROR(VALUE(B62)),VLOOKUP(B62,dagsoorttabel1,2,FALSE)*dagenperjaar1,VALUE(B62)))</f>
        <v>225</v>
      </c>
      <c r="D62" s="17" t="s">
        <v>857</v>
      </c>
      <c r="E62" s="21"/>
      <c r="F62" s="20"/>
      <c r="G62" s="112"/>
      <c r="H62" s="37">
        <f>IF(ISBLANK(G62),0,G62*C62)+IF(ISBLANK(F62),0,F62*objecturen7_1)</f>
        <v>0</v>
      </c>
      <c r="I62" s="37">
        <f>IF(C62=0,0,H62/C62)</f>
        <v>0</v>
      </c>
      <c r="J62" s="40">
        <f>IF(ISBLANK(E62),0,ROUND(E62,2)*H62)</f>
        <v>0</v>
      </c>
      <c r="K62" s="40">
        <f>J62/12</f>
        <v>0</v>
      </c>
    </row>
    <row r="63" spans="1:11" x14ac:dyDescent="0.2">
      <c r="A63" s="22"/>
      <c r="B63" s="22"/>
      <c r="C63" s="113">
        <f>dagenperjaar1</f>
        <v>255</v>
      </c>
      <c r="D63" s="114" t="s">
        <v>858</v>
      </c>
      <c r="E63" s="26"/>
      <c r="F63" s="25"/>
      <c r="G63" s="115"/>
      <c r="H63" s="41">
        <f>IF(ISBLANK(G63),0,G63*C63)+IF(ISBLANK(F63),0,F63*objecturen7_1)</f>
        <v>0</v>
      </c>
      <c r="I63" s="41">
        <f>IF(C63=0,0,H63/C63)</f>
        <v>0</v>
      </c>
      <c r="J63" s="44">
        <f>IF(ISBLANK(E63),0,ROUND(E63,2)*H63)</f>
        <v>0</v>
      </c>
      <c r="K63" s="44">
        <f>J63/12</f>
        <v>0</v>
      </c>
    </row>
    <row r="64" spans="1:11" x14ac:dyDescent="0.2">
      <c r="A64" s="22"/>
      <c r="B64" s="22"/>
      <c r="C64" s="113">
        <f>dagenperjaar1</f>
        <v>255</v>
      </c>
      <c r="D64" s="114" t="s">
        <v>858</v>
      </c>
      <c r="E64" s="26"/>
      <c r="F64" s="25"/>
      <c r="G64" s="115"/>
      <c r="H64" s="41">
        <f>IF(ISBLANK(G64),0,G64*C64)+IF(ISBLANK(F64),0,F64*objecturen7_1)</f>
        <v>0</v>
      </c>
      <c r="I64" s="41">
        <f>IF(C64=0,0,H64/C64)</f>
        <v>0</v>
      </c>
      <c r="J64" s="44">
        <f>IF(ISBLANK(E64),0,ROUND(E64,2)*H64)</f>
        <v>0</v>
      </c>
      <c r="K64" s="44">
        <f>J64/12</f>
        <v>0</v>
      </c>
    </row>
    <row r="65" spans="1:11" x14ac:dyDescent="0.2">
      <c r="A65" s="22"/>
      <c r="B65" s="22"/>
      <c r="C65" s="113">
        <f>dagenperjaar1</f>
        <v>255</v>
      </c>
      <c r="D65" s="114" t="s">
        <v>859</v>
      </c>
      <c r="E65" s="26"/>
      <c r="F65" s="116"/>
      <c r="G65" s="24"/>
      <c r="H65" s="41">
        <f>IF(ISBLANK(G65),0,G65*C65)+IF(ISBLANK(F65),0,F65*objecturen7_1)</f>
        <v>0</v>
      </c>
      <c r="I65" s="41">
        <f>IF(C65=0,0,H65/C65)</f>
        <v>0</v>
      </c>
      <c r="J65" s="44">
        <f>IF(ISBLANK(E65),0,ROUND(E65,2)*H65)</f>
        <v>0</v>
      </c>
      <c r="K65" s="44">
        <f>J65/12</f>
        <v>0</v>
      </c>
    </row>
    <row r="66" spans="1:11" x14ac:dyDescent="0.2">
      <c r="A66" s="27"/>
      <c r="B66" s="27"/>
      <c r="C66" s="117">
        <f>dagenperjaar1</f>
        <v>255</v>
      </c>
      <c r="D66" s="118" t="s">
        <v>859</v>
      </c>
      <c r="E66" s="31"/>
      <c r="F66" s="119"/>
      <c r="G66" s="29"/>
      <c r="H66" s="46">
        <f>IF(ISBLANK(G66),0,G66*C66)+IF(ISBLANK(F66),0,F66*objecturen7_1)</f>
        <v>0</v>
      </c>
      <c r="I66" s="46">
        <f>IF(C66=0,0,H66/C66)</f>
        <v>0</v>
      </c>
      <c r="J66" s="48">
        <f>IF(ISBLANK(E66),0,ROUND(E66,2)*H66)</f>
        <v>0</v>
      </c>
      <c r="K66" s="48">
        <f>J66/12</f>
        <v>0</v>
      </c>
    </row>
    <row r="67" spans="1:11" x14ac:dyDescent="0.2">
      <c r="A67" s="120" t="s">
        <v>866</v>
      </c>
      <c r="B67" s="51"/>
      <c r="C67" s="51"/>
      <c r="D67" s="51"/>
      <c r="E67" s="51"/>
      <c r="F67" s="51"/>
      <c r="G67" s="51"/>
      <c r="H67" s="52">
        <f>SUM(H62:H66)</f>
        <v>0</v>
      </c>
      <c r="I67" s="51"/>
      <c r="J67" s="53">
        <f>SUM(J62:J66)</f>
        <v>0</v>
      </c>
      <c r="K67" s="54">
        <f>SUM(K62:K66)</f>
        <v>0</v>
      </c>
    </row>
    <row r="68" spans="1:11" x14ac:dyDescent="0.2">
      <c r="A68" s="55"/>
      <c r="B68" s="51"/>
      <c r="C68" s="51"/>
      <c r="D68" s="51"/>
      <c r="E68" s="51"/>
      <c r="F68" s="51"/>
      <c r="G68" s="51"/>
      <c r="H68" s="51"/>
      <c r="I68" s="51"/>
      <c r="J68" s="51"/>
      <c r="K68" s="56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111" t="s">
        <v>634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7" t="s">
        <v>856</v>
      </c>
      <c r="B71" s="17" t="s">
        <v>12</v>
      </c>
      <c r="C71" s="18">
        <f>IF(ISBLANK(B71),0,IF(ISERROR(VALUE(B71)),VLOOKUP(B71,dagsoorttabel1,2,FALSE)*dagenperjaar1,VALUE(B71)))</f>
        <v>225</v>
      </c>
      <c r="D71" s="17" t="s">
        <v>857</v>
      </c>
      <c r="E71" s="21"/>
      <c r="F71" s="20"/>
      <c r="G71" s="112"/>
      <c r="H71" s="37">
        <f>IF(ISBLANK(G71),0,G71*C71)+IF(ISBLANK(F71),0,F71*objecturen8_1)</f>
        <v>0</v>
      </c>
      <c r="I71" s="37">
        <f>IF(C71=0,0,H71/C71)</f>
        <v>0</v>
      </c>
      <c r="J71" s="40">
        <f>IF(ISBLANK(E71),0,ROUND(E71,2)*H71)</f>
        <v>0</v>
      </c>
      <c r="K71" s="40">
        <f>J71/12</f>
        <v>0</v>
      </c>
    </row>
    <row r="72" spans="1:11" x14ac:dyDescent="0.2">
      <c r="A72" s="22"/>
      <c r="B72" s="22"/>
      <c r="C72" s="113">
        <f>dagenperjaar1</f>
        <v>255</v>
      </c>
      <c r="D72" s="114" t="s">
        <v>858</v>
      </c>
      <c r="E72" s="26"/>
      <c r="F72" s="25"/>
      <c r="G72" s="115"/>
      <c r="H72" s="41">
        <f>IF(ISBLANK(G72),0,G72*C72)+IF(ISBLANK(F72),0,F72*objecturen8_1)</f>
        <v>0</v>
      </c>
      <c r="I72" s="41">
        <f>IF(C72=0,0,H72/C72)</f>
        <v>0</v>
      </c>
      <c r="J72" s="44">
        <f>IF(ISBLANK(E72),0,ROUND(E72,2)*H72)</f>
        <v>0</v>
      </c>
      <c r="K72" s="44">
        <f>J72/12</f>
        <v>0</v>
      </c>
    </row>
    <row r="73" spans="1:11" x14ac:dyDescent="0.2">
      <c r="A73" s="22"/>
      <c r="B73" s="22"/>
      <c r="C73" s="113">
        <f>dagenperjaar1</f>
        <v>255</v>
      </c>
      <c r="D73" s="114" t="s">
        <v>858</v>
      </c>
      <c r="E73" s="26"/>
      <c r="F73" s="25"/>
      <c r="G73" s="115"/>
      <c r="H73" s="41">
        <f>IF(ISBLANK(G73),0,G73*C73)+IF(ISBLANK(F73),0,F73*objecturen8_1)</f>
        <v>0</v>
      </c>
      <c r="I73" s="41">
        <f>IF(C73=0,0,H73/C73)</f>
        <v>0</v>
      </c>
      <c r="J73" s="44">
        <f>IF(ISBLANK(E73),0,ROUND(E73,2)*H73)</f>
        <v>0</v>
      </c>
      <c r="K73" s="44">
        <f>J73/12</f>
        <v>0</v>
      </c>
    </row>
    <row r="74" spans="1:11" x14ac:dyDescent="0.2">
      <c r="A74" s="22"/>
      <c r="B74" s="22"/>
      <c r="C74" s="113">
        <f>dagenperjaar1</f>
        <v>255</v>
      </c>
      <c r="D74" s="114" t="s">
        <v>859</v>
      </c>
      <c r="E74" s="26"/>
      <c r="F74" s="116"/>
      <c r="G74" s="24"/>
      <c r="H74" s="41">
        <f>IF(ISBLANK(G74),0,G74*C74)+IF(ISBLANK(F74),0,F74*objecturen8_1)</f>
        <v>0</v>
      </c>
      <c r="I74" s="41">
        <f>IF(C74=0,0,H74/C74)</f>
        <v>0</v>
      </c>
      <c r="J74" s="44">
        <f>IF(ISBLANK(E74),0,ROUND(E74,2)*H74)</f>
        <v>0</v>
      </c>
      <c r="K74" s="44">
        <f>J74/12</f>
        <v>0</v>
      </c>
    </row>
    <row r="75" spans="1:11" x14ac:dyDescent="0.2">
      <c r="A75" s="27"/>
      <c r="B75" s="27"/>
      <c r="C75" s="117">
        <f>dagenperjaar1</f>
        <v>255</v>
      </c>
      <c r="D75" s="118" t="s">
        <v>859</v>
      </c>
      <c r="E75" s="31"/>
      <c r="F75" s="119"/>
      <c r="G75" s="29"/>
      <c r="H75" s="46">
        <f>IF(ISBLANK(G75),0,G75*C75)+IF(ISBLANK(F75),0,F75*objecturen8_1)</f>
        <v>0</v>
      </c>
      <c r="I75" s="46">
        <f>IF(C75=0,0,H75/C75)</f>
        <v>0</v>
      </c>
      <c r="J75" s="48">
        <f>IF(ISBLANK(E75),0,ROUND(E75,2)*H75)</f>
        <v>0</v>
      </c>
      <c r="K75" s="48">
        <f>J75/12</f>
        <v>0</v>
      </c>
    </row>
    <row r="76" spans="1:11" x14ac:dyDescent="0.2">
      <c r="A76" s="120" t="s">
        <v>867</v>
      </c>
      <c r="B76" s="51"/>
      <c r="C76" s="51"/>
      <c r="D76" s="51"/>
      <c r="E76" s="51"/>
      <c r="F76" s="51"/>
      <c r="G76" s="51"/>
      <c r="H76" s="52">
        <f>SUM(H71:H75)</f>
        <v>0</v>
      </c>
      <c r="I76" s="51"/>
      <c r="J76" s="53">
        <f>SUM(J71:J75)</f>
        <v>0</v>
      </c>
      <c r="K76" s="54">
        <f>SUM(K71:K75)</f>
        <v>0</v>
      </c>
    </row>
    <row r="77" spans="1:11" x14ac:dyDescent="0.2">
      <c r="A77" s="55"/>
      <c r="B77" s="51"/>
      <c r="C77" s="51"/>
      <c r="D77" s="51"/>
      <c r="E77" s="51"/>
      <c r="F77" s="51"/>
      <c r="G77" s="51"/>
      <c r="H77" s="51"/>
      <c r="I77" s="51"/>
      <c r="J77" s="51"/>
      <c r="K77" s="56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111" t="s">
        <v>660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7" t="s">
        <v>856</v>
      </c>
      <c r="B80" s="17" t="s">
        <v>12</v>
      </c>
      <c r="C80" s="18">
        <f>IF(ISBLANK(B80),0,IF(ISERROR(VALUE(B80)),VLOOKUP(B80,dagsoorttabel1,2,FALSE)*dagenperjaar1,VALUE(B80)))</f>
        <v>225</v>
      </c>
      <c r="D80" s="17" t="s">
        <v>857</v>
      </c>
      <c r="E80" s="21"/>
      <c r="F80" s="20"/>
      <c r="G80" s="112"/>
      <c r="H80" s="37">
        <f>IF(ISBLANK(G80),0,G80*C80)+IF(ISBLANK(F80),0,F80*objecturen9_1)</f>
        <v>0</v>
      </c>
      <c r="I80" s="37">
        <f>IF(C80=0,0,H80/C80)</f>
        <v>0</v>
      </c>
      <c r="J80" s="40">
        <f>IF(ISBLANK(E80),0,ROUND(E80,2)*H80)</f>
        <v>0</v>
      </c>
      <c r="K80" s="40">
        <f>J80/12</f>
        <v>0</v>
      </c>
    </row>
    <row r="81" spans="1:11" x14ac:dyDescent="0.2">
      <c r="A81" s="22"/>
      <c r="B81" s="22"/>
      <c r="C81" s="113">
        <f>dagenperjaar1</f>
        <v>255</v>
      </c>
      <c r="D81" s="114" t="s">
        <v>858</v>
      </c>
      <c r="E81" s="26"/>
      <c r="F81" s="25"/>
      <c r="G81" s="115"/>
      <c r="H81" s="41">
        <f>IF(ISBLANK(G81),0,G81*C81)+IF(ISBLANK(F81),0,F81*objecturen9_1)</f>
        <v>0</v>
      </c>
      <c r="I81" s="41">
        <f>IF(C81=0,0,H81/C81)</f>
        <v>0</v>
      </c>
      <c r="J81" s="44">
        <f>IF(ISBLANK(E81),0,ROUND(E81,2)*H81)</f>
        <v>0</v>
      </c>
      <c r="K81" s="44">
        <f>J81/12</f>
        <v>0</v>
      </c>
    </row>
    <row r="82" spans="1:11" x14ac:dyDescent="0.2">
      <c r="A82" s="22"/>
      <c r="B82" s="22"/>
      <c r="C82" s="113">
        <f>dagenperjaar1</f>
        <v>255</v>
      </c>
      <c r="D82" s="114" t="s">
        <v>858</v>
      </c>
      <c r="E82" s="26"/>
      <c r="F82" s="25"/>
      <c r="G82" s="115"/>
      <c r="H82" s="41">
        <f>IF(ISBLANK(G82),0,G82*C82)+IF(ISBLANK(F82),0,F82*objecturen9_1)</f>
        <v>0</v>
      </c>
      <c r="I82" s="41">
        <f>IF(C82=0,0,H82/C82)</f>
        <v>0</v>
      </c>
      <c r="J82" s="44">
        <f>IF(ISBLANK(E82),0,ROUND(E82,2)*H82)</f>
        <v>0</v>
      </c>
      <c r="K82" s="44">
        <f>J82/12</f>
        <v>0</v>
      </c>
    </row>
    <row r="83" spans="1:11" x14ac:dyDescent="0.2">
      <c r="A83" s="22"/>
      <c r="B83" s="22"/>
      <c r="C83" s="113">
        <f>dagenperjaar1</f>
        <v>255</v>
      </c>
      <c r="D83" s="114" t="s">
        <v>859</v>
      </c>
      <c r="E83" s="26"/>
      <c r="F83" s="116"/>
      <c r="G83" s="24"/>
      <c r="H83" s="41">
        <f>IF(ISBLANK(G83),0,G83*C83)+IF(ISBLANK(F83),0,F83*objecturen9_1)</f>
        <v>0</v>
      </c>
      <c r="I83" s="41">
        <f>IF(C83=0,0,H83/C83)</f>
        <v>0</v>
      </c>
      <c r="J83" s="44">
        <f>IF(ISBLANK(E83),0,ROUND(E83,2)*H83)</f>
        <v>0</v>
      </c>
      <c r="K83" s="44">
        <f>J83/12</f>
        <v>0</v>
      </c>
    </row>
    <row r="84" spans="1:11" x14ac:dyDescent="0.2">
      <c r="A84" s="27"/>
      <c r="B84" s="27"/>
      <c r="C84" s="117">
        <f>dagenperjaar1</f>
        <v>255</v>
      </c>
      <c r="D84" s="118" t="s">
        <v>859</v>
      </c>
      <c r="E84" s="31"/>
      <c r="F84" s="119"/>
      <c r="G84" s="29"/>
      <c r="H84" s="46">
        <f>IF(ISBLANK(G84),0,G84*C84)+IF(ISBLANK(F84),0,F84*objecturen9_1)</f>
        <v>0</v>
      </c>
      <c r="I84" s="46">
        <f>IF(C84=0,0,H84/C84)</f>
        <v>0</v>
      </c>
      <c r="J84" s="48">
        <f>IF(ISBLANK(E84),0,ROUND(E84,2)*H84)</f>
        <v>0</v>
      </c>
      <c r="K84" s="48">
        <f>J84/12</f>
        <v>0</v>
      </c>
    </row>
    <row r="85" spans="1:11" x14ac:dyDescent="0.2">
      <c r="A85" s="120" t="s">
        <v>868</v>
      </c>
      <c r="B85" s="51"/>
      <c r="C85" s="51"/>
      <c r="D85" s="51"/>
      <c r="E85" s="51"/>
      <c r="F85" s="51"/>
      <c r="G85" s="51"/>
      <c r="H85" s="52">
        <f>SUM(H80:H84)</f>
        <v>0</v>
      </c>
      <c r="I85" s="51"/>
      <c r="J85" s="53">
        <f>SUM(J80:J84)</f>
        <v>0</v>
      </c>
      <c r="K85" s="54">
        <f>SUM(K80:K84)</f>
        <v>0</v>
      </c>
    </row>
    <row r="86" spans="1:11" x14ac:dyDescent="0.2">
      <c r="A86" s="55"/>
      <c r="B86" s="51"/>
      <c r="C86" s="51"/>
      <c r="D86" s="51"/>
      <c r="E86" s="51"/>
      <c r="F86" s="51"/>
      <c r="G86" s="51"/>
      <c r="H86" s="51"/>
      <c r="I86" s="51"/>
      <c r="J86" s="51"/>
      <c r="K86" s="56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111" t="s">
        <v>682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7" t="s">
        <v>856</v>
      </c>
      <c r="B89" s="17" t="s">
        <v>11</v>
      </c>
      <c r="C89" s="18">
        <f>IF(ISBLANK(B89),0,IF(ISERROR(VALUE(B89)),VLOOKUP(B89,dagsoorttabel1,2,FALSE)*dagenperjaar1,VALUE(B89)))</f>
        <v>237</v>
      </c>
      <c r="D89" s="17" t="s">
        <v>857</v>
      </c>
      <c r="E89" s="21"/>
      <c r="F89" s="20"/>
      <c r="G89" s="112"/>
      <c r="H89" s="37">
        <f>IF(ISBLANK(G89),0,G89*C89)+IF(ISBLANK(F89),0,F89*objecturen10_1)</f>
        <v>0</v>
      </c>
      <c r="I89" s="37">
        <f>IF(C89=0,0,H89/C89)</f>
        <v>0</v>
      </c>
      <c r="J89" s="40">
        <f>IF(ISBLANK(E89),0,ROUND(E89,2)*H89)</f>
        <v>0</v>
      </c>
      <c r="K89" s="40">
        <f>J89/12</f>
        <v>0</v>
      </c>
    </row>
    <row r="90" spans="1:11" x14ac:dyDescent="0.2">
      <c r="A90" s="22"/>
      <c r="B90" s="22"/>
      <c r="C90" s="113">
        <f>dagenperjaar1</f>
        <v>255</v>
      </c>
      <c r="D90" s="114" t="s">
        <v>858</v>
      </c>
      <c r="E90" s="26"/>
      <c r="F90" s="25"/>
      <c r="G90" s="115"/>
      <c r="H90" s="41">
        <f>IF(ISBLANK(G90),0,G90*C90)+IF(ISBLANK(F90),0,F90*objecturen10_1)</f>
        <v>0</v>
      </c>
      <c r="I90" s="41">
        <f>IF(C90=0,0,H90/C90)</f>
        <v>0</v>
      </c>
      <c r="J90" s="44">
        <f>IF(ISBLANK(E90),0,ROUND(E90,2)*H90)</f>
        <v>0</v>
      </c>
      <c r="K90" s="44">
        <f>J90/12</f>
        <v>0</v>
      </c>
    </row>
    <row r="91" spans="1:11" x14ac:dyDescent="0.2">
      <c r="A91" s="22"/>
      <c r="B91" s="22"/>
      <c r="C91" s="113">
        <f>dagenperjaar1</f>
        <v>255</v>
      </c>
      <c r="D91" s="114" t="s">
        <v>858</v>
      </c>
      <c r="E91" s="26"/>
      <c r="F91" s="25"/>
      <c r="G91" s="115"/>
      <c r="H91" s="41">
        <f>IF(ISBLANK(G91),0,G91*C91)+IF(ISBLANK(F91),0,F91*objecturen10_1)</f>
        <v>0</v>
      </c>
      <c r="I91" s="41">
        <f>IF(C91=0,0,H91/C91)</f>
        <v>0</v>
      </c>
      <c r="J91" s="44">
        <f>IF(ISBLANK(E91),0,ROUND(E91,2)*H91)</f>
        <v>0</v>
      </c>
      <c r="K91" s="44">
        <f>J91/12</f>
        <v>0</v>
      </c>
    </row>
    <row r="92" spans="1:11" x14ac:dyDescent="0.2">
      <c r="A92" s="22"/>
      <c r="B92" s="22"/>
      <c r="C92" s="113">
        <f>dagenperjaar1</f>
        <v>255</v>
      </c>
      <c r="D92" s="114" t="s">
        <v>859</v>
      </c>
      <c r="E92" s="26"/>
      <c r="F92" s="116"/>
      <c r="G92" s="24"/>
      <c r="H92" s="41">
        <f>IF(ISBLANK(G92),0,G92*C92)+IF(ISBLANK(F92),0,F92*objecturen10_1)</f>
        <v>0</v>
      </c>
      <c r="I92" s="41">
        <f>IF(C92=0,0,H92/C92)</f>
        <v>0</v>
      </c>
      <c r="J92" s="44">
        <f>IF(ISBLANK(E92),0,ROUND(E92,2)*H92)</f>
        <v>0</v>
      </c>
      <c r="K92" s="44">
        <f>J92/12</f>
        <v>0</v>
      </c>
    </row>
    <row r="93" spans="1:11" x14ac:dyDescent="0.2">
      <c r="A93" s="27"/>
      <c r="B93" s="27"/>
      <c r="C93" s="117">
        <f>dagenperjaar1</f>
        <v>255</v>
      </c>
      <c r="D93" s="118" t="s">
        <v>859</v>
      </c>
      <c r="E93" s="31"/>
      <c r="F93" s="119"/>
      <c r="G93" s="29"/>
      <c r="H93" s="46">
        <f>IF(ISBLANK(G93),0,G93*C93)+IF(ISBLANK(F93),0,F93*objecturen10_1)</f>
        <v>0</v>
      </c>
      <c r="I93" s="46">
        <f>IF(C93=0,0,H93/C93)</f>
        <v>0</v>
      </c>
      <c r="J93" s="48">
        <f>IF(ISBLANK(E93),0,ROUND(E93,2)*H93)</f>
        <v>0</v>
      </c>
      <c r="K93" s="48">
        <f>J93/12</f>
        <v>0</v>
      </c>
    </row>
    <row r="94" spans="1:11" x14ac:dyDescent="0.2">
      <c r="A94" s="120" t="s">
        <v>869</v>
      </c>
      <c r="B94" s="51"/>
      <c r="C94" s="51"/>
      <c r="D94" s="51"/>
      <c r="E94" s="51"/>
      <c r="F94" s="51"/>
      <c r="G94" s="51"/>
      <c r="H94" s="52">
        <f>SUM(H89:H93)</f>
        <v>0</v>
      </c>
      <c r="I94" s="51"/>
      <c r="J94" s="53">
        <f>SUM(J89:J93)</f>
        <v>0</v>
      </c>
      <c r="K94" s="54">
        <f>SUM(K89:K93)</f>
        <v>0</v>
      </c>
    </row>
    <row r="95" spans="1:11" x14ac:dyDescent="0.2">
      <c r="A95" s="55"/>
      <c r="B95" s="51"/>
      <c r="C95" s="51"/>
      <c r="D95" s="51"/>
      <c r="E95" s="51"/>
      <c r="F95" s="51"/>
      <c r="G95" s="51"/>
      <c r="H95" s="51"/>
      <c r="I95" s="51"/>
      <c r="J95" s="51"/>
      <c r="K95" s="56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111" t="s">
        <v>697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7" t="s">
        <v>856</v>
      </c>
      <c r="B98" s="17" t="s">
        <v>10</v>
      </c>
      <c r="C98" s="18">
        <f>IF(ISBLANK(B98),0,IF(ISERROR(VALUE(B98)),VLOOKUP(B98,dagsoorttabel1,2,FALSE)*dagenperjaar1,VALUE(B98)))</f>
        <v>255</v>
      </c>
      <c r="D98" s="17" t="s">
        <v>857</v>
      </c>
      <c r="E98" s="21"/>
      <c r="F98" s="20"/>
      <c r="G98" s="112"/>
      <c r="H98" s="37">
        <f>IF(ISBLANK(G98),0,G98*C98)+IF(ISBLANK(F98),0,F98*objecturen11_1)</f>
        <v>0</v>
      </c>
      <c r="I98" s="37">
        <f>IF(C98=0,0,H98/C98)</f>
        <v>0</v>
      </c>
      <c r="J98" s="40">
        <f>IF(ISBLANK(E98),0,ROUND(E98,2)*H98)</f>
        <v>0</v>
      </c>
      <c r="K98" s="40">
        <f>J98/12</f>
        <v>0</v>
      </c>
    </row>
    <row r="99" spans="1:11" x14ac:dyDescent="0.2">
      <c r="A99" s="22"/>
      <c r="B99" s="22"/>
      <c r="C99" s="113">
        <f>dagenperjaar1</f>
        <v>255</v>
      </c>
      <c r="D99" s="114" t="s">
        <v>858</v>
      </c>
      <c r="E99" s="26"/>
      <c r="F99" s="25"/>
      <c r="G99" s="115"/>
      <c r="H99" s="41">
        <f>IF(ISBLANK(G99),0,G99*C99)+IF(ISBLANK(F99),0,F99*objecturen11_1)</f>
        <v>0</v>
      </c>
      <c r="I99" s="41">
        <f>IF(C99=0,0,H99/C99)</f>
        <v>0</v>
      </c>
      <c r="J99" s="44">
        <f>IF(ISBLANK(E99),0,ROUND(E99,2)*H99)</f>
        <v>0</v>
      </c>
      <c r="K99" s="44">
        <f>J99/12</f>
        <v>0</v>
      </c>
    </row>
    <row r="100" spans="1:11" x14ac:dyDescent="0.2">
      <c r="A100" s="22"/>
      <c r="B100" s="22"/>
      <c r="C100" s="113">
        <f>dagenperjaar1</f>
        <v>255</v>
      </c>
      <c r="D100" s="114" t="s">
        <v>858</v>
      </c>
      <c r="E100" s="26"/>
      <c r="F100" s="25"/>
      <c r="G100" s="115"/>
      <c r="H100" s="41">
        <f>IF(ISBLANK(G100),0,G100*C100)+IF(ISBLANK(F100),0,F100*objecturen11_1)</f>
        <v>0</v>
      </c>
      <c r="I100" s="41">
        <f>IF(C100=0,0,H100/C100)</f>
        <v>0</v>
      </c>
      <c r="J100" s="44">
        <f>IF(ISBLANK(E100),0,ROUND(E100,2)*H100)</f>
        <v>0</v>
      </c>
      <c r="K100" s="44">
        <f>J100/12</f>
        <v>0</v>
      </c>
    </row>
    <row r="101" spans="1:11" x14ac:dyDescent="0.2">
      <c r="A101" s="22"/>
      <c r="B101" s="22"/>
      <c r="C101" s="113">
        <f>dagenperjaar1</f>
        <v>255</v>
      </c>
      <c r="D101" s="114" t="s">
        <v>859</v>
      </c>
      <c r="E101" s="26"/>
      <c r="F101" s="116"/>
      <c r="G101" s="24"/>
      <c r="H101" s="41">
        <f>IF(ISBLANK(G101),0,G101*C101)+IF(ISBLANK(F101),0,F101*objecturen11_1)</f>
        <v>0</v>
      </c>
      <c r="I101" s="41">
        <f>IF(C101=0,0,H101/C101)</f>
        <v>0</v>
      </c>
      <c r="J101" s="44">
        <f>IF(ISBLANK(E101),0,ROUND(E101,2)*H101)</f>
        <v>0</v>
      </c>
      <c r="K101" s="44">
        <f>J101/12</f>
        <v>0</v>
      </c>
    </row>
    <row r="102" spans="1:11" x14ac:dyDescent="0.2">
      <c r="A102" s="27"/>
      <c r="B102" s="27"/>
      <c r="C102" s="117">
        <f>dagenperjaar1</f>
        <v>255</v>
      </c>
      <c r="D102" s="118" t="s">
        <v>859</v>
      </c>
      <c r="E102" s="31"/>
      <c r="F102" s="119"/>
      <c r="G102" s="29"/>
      <c r="H102" s="46">
        <f>IF(ISBLANK(G102),0,G102*C102)+IF(ISBLANK(F102),0,F102*objecturen11_1)</f>
        <v>0</v>
      </c>
      <c r="I102" s="46">
        <f>IF(C102=0,0,H102/C102)</f>
        <v>0</v>
      </c>
      <c r="J102" s="48">
        <f>IF(ISBLANK(E102),0,ROUND(E102,2)*H102)</f>
        <v>0</v>
      </c>
      <c r="K102" s="48">
        <f>J102/12</f>
        <v>0</v>
      </c>
    </row>
    <row r="103" spans="1:11" x14ac:dyDescent="0.2">
      <c r="A103" s="120" t="s">
        <v>870</v>
      </c>
      <c r="B103" s="51"/>
      <c r="C103" s="51"/>
      <c r="D103" s="51"/>
      <c r="E103" s="51"/>
      <c r="F103" s="51"/>
      <c r="G103" s="51"/>
      <c r="H103" s="52">
        <f>SUM(H98:H102)</f>
        <v>0</v>
      </c>
      <c r="I103" s="51"/>
      <c r="J103" s="53">
        <f>SUM(J98:J102)</f>
        <v>0</v>
      </c>
      <c r="K103" s="54">
        <f>SUM(K98:K102)</f>
        <v>0</v>
      </c>
    </row>
    <row r="104" spans="1:11" x14ac:dyDescent="0.2">
      <c r="A104" s="55"/>
      <c r="B104" s="51"/>
      <c r="C104" s="51"/>
      <c r="D104" s="51"/>
      <c r="E104" s="51"/>
      <c r="F104" s="51"/>
      <c r="G104" s="51"/>
      <c r="H104" s="51"/>
      <c r="I104" s="51"/>
      <c r="J104" s="51"/>
      <c r="K104" s="56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111" t="s">
        <v>700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7" t="s">
        <v>856</v>
      </c>
      <c r="B107" s="17" t="s">
        <v>21</v>
      </c>
      <c r="C107" s="18">
        <f>IF(ISBLANK(B107),0,IF(ISERROR(VALUE(B107)),VLOOKUP(B107,dagsoorttabel1,2,FALSE)*dagenperjaar1,VALUE(B107)))</f>
        <v>85</v>
      </c>
      <c r="D107" s="17" t="s">
        <v>857</v>
      </c>
      <c r="E107" s="21"/>
      <c r="F107" s="20"/>
      <c r="G107" s="112"/>
      <c r="H107" s="37">
        <f>IF(ISBLANK(G107),0,G107*C107)+IF(ISBLANK(F107),0,F107*objecturen13_1)</f>
        <v>0</v>
      </c>
      <c r="I107" s="37">
        <f>IF(C107=0,0,H107/C107)</f>
        <v>0</v>
      </c>
      <c r="J107" s="40">
        <f>IF(ISBLANK(E107),0,ROUND(E107,2)*H107)</f>
        <v>0</v>
      </c>
      <c r="K107" s="40">
        <f>J107/12</f>
        <v>0</v>
      </c>
    </row>
    <row r="108" spans="1:11" x14ac:dyDescent="0.2">
      <c r="A108" s="22"/>
      <c r="B108" s="22"/>
      <c r="C108" s="113">
        <f>dagenperjaar1</f>
        <v>255</v>
      </c>
      <c r="D108" s="114" t="s">
        <v>858</v>
      </c>
      <c r="E108" s="26"/>
      <c r="F108" s="25"/>
      <c r="G108" s="115"/>
      <c r="H108" s="41">
        <f>IF(ISBLANK(G108),0,G108*C108)+IF(ISBLANK(F108),0,F108*objecturen13_1)</f>
        <v>0</v>
      </c>
      <c r="I108" s="41">
        <f>IF(C108=0,0,H108/C108)</f>
        <v>0</v>
      </c>
      <c r="J108" s="44">
        <f>IF(ISBLANK(E108),0,ROUND(E108,2)*H108)</f>
        <v>0</v>
      </c>
      <c r="K108" s="44">
        <f>J108/12</f>
        <v>0</v>
      </c>
    </row>
    <row r="109" spans="1:11" x14ac:dyDescent="0.2">
      <c r="A109" s="22"/>
      <c r="B109" s="22"/>
      <c r="C109" s="113">
        <f>dagenperjaar1</f>
        <v>255</v>
      </c>
      <c r="D109" s="114" t="s">
        <v>858</v>
      </c>
      <c r="E109" s="26"/>
      <c r="F109" s="25"/>
      <c r="G109" s="115"/>
      <c r="H109" s="41">
        <f>IF(ISBLANK(G109),0,G109*C109)+IF(ISBLANK(F109),0,F109*objecturen13_1)</f>
        <v>0</v>
      </c>
      <c r="I109" s="41">
        <f>IF(C109=0,0,H109/C109)</f>
        <v>0</v>
      </c>
      <c r="J109" s="44">
        <f>IF(ISBLANK(E109),0,ROUND(E109,2)*H109)</f>
        <v>0</v>
      </c>
      <c r="K109" s="44">
        <f>J109/12</f>
        <v>0</v>
      </c>
    </row>
    <row r="110" spans="1:11" x14ac:dyDescent="0.2">
      <c r="A110" s="22"/>
      <c r="B110" s="22"/>
      <c r="C110" s="113">
        <f>dagenperjaar1</f>
        <v>255</v>
      </c>
      <c r="D110" s="114" t="s">
        <v>859</v>
      </c>
      <c r="E110" s="26"/>
      <c r="F110" s="116"/>
      <c r="G110" s="24"/>
      <c r="H110" s="41">
        <f>IF(ISBLANK(G110),0,G110*C110)+IF(ISBLANK(F110),0,F110*objecturen13_1)</f>
        <v>0</v>
      </c>
      <c r="I110" s="41">
        <f>IF(C110=0,0,H110/C110)</f>
        <v>0</v>
      </c>
      <c r="J110" s="44">
        <f>IF(ISBLANK(E110),0,ROUND(E110,2)*H110)</f>
        <v>0</v>
      </c>
      <c r="K110" s="44">
        <f>J110/12</f>
        <v>0</v>
      </c>
    </row>
    <row r="111" spans="1:11" x14ac:dyDescent="0.2">
      <c r="A111" s="27"/>
      <c r="B111" s="27"/>
      <c r="C111" s="117">
        <f>dagenperjaar1</f>
        <v>255</v>
      </c>
      <c r="D111" s="118" t="s">
        <v>859</v>
      </c>
      <c r="E111" s="31"/>
      <c r="F111" s="119"/>
      <c r="G111" s="29"/>
      <c r="H111" s="46">
        <f>IF(ISBLANK(G111),0,G111*C111)+IF(ISBLANK(F111),0,F111*objecturen13_1)</f>
        <v>0</v>
      </c>
      <c r="I111" s="46">
        <f>IF(C111=0,0,H111/C111)</f>
        <v>0</v>
      </c>
      <c r="J111" s="48">
        <f>IF(ISBLANK(E111),0,ROUND(E111,2)*H111)</f>
        <v>0</v>
      </c>
      <c r="K111" s="48">
        <f>J111/12</f>
        <v>0</v>
      </c>
    </row>
    <row r="112" spans="1:11" x14ac:dyDescent="0.2">
      <c r="A112" s="120" t="s">
        <v>871</v>
      </c>
      <c r="B112" s="51"/>
      <c r="C112" s="51"/>
      <c r="D112" s="51"/>
      <c r="E112" s="51"/>
      <c r="F112" s="51"/>
      <c r="G112" s="51"/>
      <c r="H112" s="52">
        <f>SUM(H107:H111)</f>
        <v>0</v>
      </c>
      <c r="I112" s="51"/>
      <c r="J112" s="53">
        <f>SUM(J107:J111)</f>
        <v>0</v>
      </c>
      <c r="K112" s="54">
        <f>SUM(K107:K111)</f>
        <v>0</v>
      </c>
    </row>
    <row r="113" spans="1:11" x14ac:dyDescent="0.2">
      <c r="A113" s="55"/>
      <c r="B113" s="51"/>
      <c r="C113" s="51"/>
      <c r="D113" s="51"/>
      <c r="E113" s="51"/>
      <c r="F113" s="51"/>
      <c r="G113" s="51"/>
      <c r="H113" s="51"/>
      <c r="I113" s="51"/>
      <c r="J113" s="51"/>
      <c r="K113" s="56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111" t="s">
        <v>712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7" t="s">
        <v>856</v>
      </c>
      <c r="B116" s="17" t="s">
        <v>12</v>
      </c>
      <c r="C116" s="18">
        <f>IF(ISBLANK(B116),0,IF(ISERROR(VALUE(B116)),VLOOKUP(B116,dagsoorttabel1,2,FALSE)*dagenperjaar1,VALUE(B116)))</f>
        <v>225</v>
      </c>
      <c r="D116" s="17" t="s">
        <v>857</v>
      </c>
      <c r="E116" s="21"/>
      <c r="F116" s="20"/>
      <c r="G116" s="112"/>
      <c r="H116" s="37">
        <f>IF(ISBLANK(G116),0,G116*C116)+IF(ISBLANK(F116),0,F116*objecturen14_1)</f>
        <v>0</v>
      </c>
      <c r="I116" s="37">
        <f>IF(C116=0,0,H116/C116)</f>
        <v>0</v>
      </c>
      <c r="J116" s="40">
        <f>IF(ISBLANK(E116),0,ROUND(E116,2)*H116)</f>
        <v>0</v>
      </c>
      <c r="K116" s="40">
        <f>J116/12</f>
        <v>0</v>
      </c>
    </row>
    <row r="117" spans="1:11" x14ac:dyDescent="0.2">
      <c r="A117" s="22"/>
      <c r="B117" s="22"/>
      <c r="C117" s="113">
        <f>dagenperjaar1</f>
        <v>255</v>
      </c>
      <c r="D117" s="114" t="s">
        <v>858</v>
      </c>
      <c r="E117" s="26"/>
      <c r="F117" s="25"/>
      <c r="G117" s="115"/>
      <c r="H117" s="41">
        <f>IF(ISBLANK(G117),0,G117*C117)+IF(ISBLANK(F117),0,F117*objecturen14_1)</f>
        <v>0</v>
      </c>
      <c r="I117" s="41">
        <f>IF(C117=0,0,H117/C117)</f>
        <v>0</v>
      </c>
      <c r="J117" s="44">
        <f>IF(ISBLANK(E117),0,ROUND(E117,2)*H117)</f>
        <v>0</v>
      </c>
      <c r="K117" s="44">
        <f>J117/12</f>
        <v>0</v>
      </c>
    </row>
    <row r="118" spans="1:11" x14ac:dyDescent="0.2">
      <c r="A118" s="22"/>
      <c r="B118" s="22"/>
      <c r="C118" s="113">
        <f>dagenperjaar1</f>
        <v>255</v>
      </c>
      <c r="D118" s="114" t="s">
        <v>858</v>
      </c>
      <c r="E118" s="26"/>
      <c r="F118" s="25"/>
      <c r="G118" s="115"/>
      <c r="H118" s="41">
        <f>IF(ISBLANK(G118),0,G118*C118)+IF(ISBLANK(F118),0,F118*objecturen14_1)</f>
        <v>0</v>
      </c>
      <c r="I118" s="41">
        <f>IF(C118=0,0,H118/C118)</f>
        <v>0</v>
      </c>
      <c r="J118" s="44">
        <f>IF(ISBLANK(E118),0,ROUND(E118,2)*H118)</f>
        <v>0</v>
      </c>
      <c r="K118" s="44">
        <f>J118/12</f>
        <v>0</v>
      </c>
    </row>
    <row r="119" spans="1:11" x14ac:dyDescent="0.2">
      <c r="A119" s="22"/>
      <c r="B119" s="22"/>
      <c r="C119" s="113">
        <f>dagenperjaar1</f>
        <v>255</v>
      </c>
      <c r="D119" s="114" t="s">
        <v>859</v>
      </c>
      <c r="E119" s="26"/>
      <c r="F119" s="116"/>
      <c r="G119" s="24"/>
      <c r="H119" s="41">
        <f>IF(ISBLANK(G119),0,G119*C119)+IF(ISBLANK(F119),0,F119*objecturen14_1)</f>
        <v>0</v>
      </c>
      <c r="I119" s="41">
        <f>IF(C119=0,0,H119/C119)</f>
        <v>0</v>
      </c>
      <c r="J119" s="44">
        <f>IF(ISBLANK(E119),0,ROUND(E119,2)*H119)</f>
        <v>0</v>
      </c>
      <c r="K119" s="44">
        <f>J119/12</f>
        <v>0</v>
      </c>
    </row>
    <row r="120" spans="1:11" x14ac:dyDescent="0.2">
      <c r="A120" s="27"/>
      <c r="B120" s="27"/>
      <c r="C120" s="117">
        <f>dagenperjaar1</f>
        <v>255</v>
      </c>
      <c r="D120" s="118" t="s">
        <v>859</v>
      </c>
      <c r="E120" s="31"/>
      <c r="F120" s="119"/>
      <c r="G120" s="29"/>
      <c r="H120" s="46">
        <f>IF(ISBLANK(G120),0,G120*C120)+IF(ISBLANK(F120),0,F120*objecturen14_1)</f>
        <v>0</v>
      </c>
      <c r="I120" s="46">
        <f>IF(C120=0,0,H120/C120)</f>
        <v>0</v>
      </c>
      <c r="J120" s="48">
        <f>IF(ISBLANK(E120),0,ROUND(E120,2)*H120)</f>
        <v>0</v>
      </c>
      <c r="K120" s="48">
        <f>J120/12</f>
        <v>0</v>
      </c>
    </row>
    <row r="121" spans="1:11" x14ac:dyDescent="0.2">
      <c r="A121" s="120" t="s">
        <v>872</v>
      </c>
      <c r="B121" s="51"/>
      <c r="C121" s="51"/>
      <c r="D121" s="51"/>
      <c r="E121" s="51"/>
      <c r="F121" s="51"/>
      <c r="G121" s="51"/>
      <c r="H121" s="52">
        <f>SUM(H116:H120)</f>
        <v>0</v>
      </c>
      <c r="I121" s="51"/>
      <c r="J121" s="53">
        <f>SUM(J116:J120)</f>
        <v>0</v>
      </c>
      <c r="K121" s="54">
        <f>SUM(K116:K120)</f>
        <v>0</v>
      </c>
    </row>
    <row r="122" spans="1:11" x14ac:dyDescent="0.2">
      <c r="A122" s="55"/>
      <c r="B122" s="51"/>
      <c r="C122" s="51"/>
      <c r="D122" s="51"/>
      <c r="E122" s="51"/>
      <c r="F122" s="51"/>
      <c r="G122" s="51"/>
      <c r="H122" s="51"/>
      <c r="I122" s="51"/>
      <c r="J122" s="51"/>
      <c r="K122" s="56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111" t="s">
        <v>719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7" t="s">
        <v>856</v>
      </c>
      <c r="B125" s="17" t="s">
        <v>19</v>
      </c>
      <c r="C125" s="18">
        <f>IF(ISBLANK(B125),0,IF(ISERROR(VALUE(B125)),VLOOKUP(B125,dagsoorttabel1,2,FALSE)*dagenperjaar1,VALUE(B125)))</f>
        <v>102</v>
      </c>
      <c r="D125" s="17" t="s">
        <v>857</v>
      </c>
      <c r="E125" s="21"/>
      <c r="F125" s="20"/>
      <c r="G125" s="112"/>
      <c r="H125" s="37">
        <f>IF(ISBLANK(G125),0,G125*C125)+IF(ISBLANK(F125),0,F125*objecturen15_1)</f>
        <v>0</v>
      </c>
      <c r="I125" s="37">
        <f>IF(C125=0,0,H125/C125)</f>
        <v>0</v>
      </c>
      <c r="J125" s="40">
        <f>IF(ISBLANK(E125),0,ROUND(E125,2)*H125)</f>
        <v>0</v>
      </c>
      <c r="K125" s="40">
        <f>J125/12</f>
        <v>0</v>
      </c>
    </row>
    <row r="126" spans="1:11" x14ac:dyDescent="0.2">
      <c r="A126" s="22"/>
      <c r="B126" s="22"/>
      <c r="C126" s="113">
        <f>dagenperjaar1</f>
        <v>255</v>
      </c>
      <c r="D126" s="114" t="s">
        <v>858</v>
      </c>
      <c r="E126" s="26"/>
      <c r="F126" s="25"/>
      <c r="G126" s="115"/>
      <c r="H126" s="41">
        <f>IF(ISBLANK(G126),0,G126*C126)+IF(ISBLANK(F126),0,F126*objecturen15_1)</f>
        <v>0</v>
      </c>
      <c r="I126" s="41">
        <f>IF(C126=0,0,H126/C126)</f>
        <v>0</v>
      </c>
      <c r="J126" s="44">
        <f>IF(ISBLANK(E126),0,ROUND(E126,2)*H126)</f>
        <v>0</v>
      </c>
      <c r="K126" s="44">
        <f>J126/12</f>
        <v>0</v>
      </c>
    </row>
    <row r="127" spans="1:11" x14ac:dyDescent="0.2">
      <c r="A127" s="22"/>
      <c r="B127" s="22"/>
      <c r="C127" s="113">
        <f>dagenperjaar1</f>
        <v>255</v>
      </c>
      <c r="D127" s="114" t="s">
        <v>858</v>
      </c>
      <c r="E127" s="26"/>
      <c r="F127" s="25"/>
      <c r="G127" s="115"/>
      <c r="H127" s="41">
        <f>IF(ISBLANK(G127),0,G127*C127)+IF(ISBLANK(F127),0,F127*objecturen15_1)</f>
        <v>0</v>
      </c>
      <c r="I127" s="41">
        <f>IF(C127=0,0,H127/C127)</f>
        <v>0</v>
      </c>
      <c r="J127" s="44">
        <f>IF(ISBLANK(E127),0,ROUND(E127,2)*H127)</f>
        <v>0</v>
      </c>
      <c r="K127" s="44">
        <f>J127/12</f>
        <v>0</v>
      </c>
    </row>
    <row r="128" spans="1:11" x14ac:dyDescent="0.2">
      <c r="A128" s="22"/>
      <c r="B128" s="22"/>
      <c r="C128" s="113">
        <f>dagenperjaar1</f>
        <v>255</v>
      </c>
      <c r="D128" s="114" t="s">
        <v>859</v>
      </c>
      <c r="E128" s="26"/>
      <c r="F128" s="116"/>
      <c r="G128" s="24"/>
      <c r="H128" s="41">
        <f>IF(ISBLANK(G128),0,G128*C128)+IF(ISBLANK(F128),0,F128*objecturen15_1)</f>
        <v>0</v>
      </c>
      <c r="I128" s="41">
        <f>IF(C128=0,0,H128/C128)</f>
        <v>0</v>
      </c>
      <c r="J128" s="44">
        <f>IF(ISBLANK(E128),0,ROUND(E128,2)*H128)</f>
        <v>0</v>
      </c>
      <c r="K128" s="44">
        <f>J128/12</f>
        <v>0</v>
      </c>
    </row>
    <row r="129" spans="1:11" x14ac:dyDescent="0.2">
      <c r="A129" s="27"/>
      <c r="B129" s="27"/>
      <c r="C129" s="117">
        <f>dagenperjaar1</f>
        <v>255</v>
      </c>
      <c r="D129" s="118" t="s">
        <v>859</v>
      </c>
      <c r="E129" s="31"/>
      <c r="F129" s="119"/>
      <c r="G129" s="29"/>
      <c r="H129" s="46">
        <f>IF(ISBLANK(G129),0,G129*C129)+IF(ISBLANK(F129),0,F129*objecturen15_1)</f>
        <v>0</v>
      </c>
      <c r="I129" s="46">
        <f>IF(C129=0,0,H129/C129)</f>
        <v>0</v>
      </c>
      <c r="J129" s="48">
        <f>IF(ISBLANK(E129),0,ROUND(E129,2)*H129)</f>
        <v>0</v>
      </c>
      <c r="K129" s="48">
        <f>J129/12</f>
        <v>0</v>
      </c>
    </row>
    <row r="130" spans="1:11" x14ac:dyDescent="0.2">
      <c r="A130" s="120" t="s">
        <v>873</v>
      </c>
      <c r="B130" s="51"/>
      <c r="C130" s="51"/>
      <c r="D130" s="51"/>
      <c r="E130" s="51"/>
      <c r="F130" s="51"/>
      <c r="G130" s="51"/>
      <c r="H130" s="52">
        <f>SUM(H125:H129)</f>
        <v>0</v>
      </c>
      <c r="I130" s="51"/>
      <c r="J130" s="53">
        <f>SUM(J125:J129)</f>
        <v>0</v>
      </c>
      <c r="K130" s="54">
        <f>SUM(K125:K129)</f>
        <v>0</v>
      </c>
    </row>
    <row r="131" spans="1:11" x14ac:dyDescent="0.2">
      <c r="A131" s="55"/>
      <c r="B131" s="51"/>
      <c r="C131" s="51"/>
      <c r="D131" s="51"/>
      <c r="E131" s="51"/>
      <c r="F131" s="51"/>
      <c r="G131" s="51"/>
      <c r="H131" s="51"/>
      <c r="I131" s="51"/>
      <c r="J131" s="51"/>
      <c r="K131" s="56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111" t="s">
        <v>723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7" t="s">
        <v>856</v>
      </c>
      <c r="B134" s="17" t="s">
        <v>24</v>
      </c>
      <c r="C134" s="18">
        <f>IF(ISBLANK(B134),0,IF(ISERROR(VALUE(B134)),VLOOKUP(B134,dagsoorttabel1,2,FALSE)*dagenperjaar1,VALUE(B134)))</f>
        <v>51</v>
      </c>
      <c r="D134" s="17" t="s">
        <v>857</v>
      </c>
      <c r="E134" s="21"/>
      <c r="F134" s="20"/>
      <c r="G134" s="112"/>
      <c r="H134" s="37">
        <f>IF(ISBLANK(G134),0,G134*C134)+IF(ISBLANK(F134),0,F134*objecturen16_1)</f>
        <v>0</v>
      </c>
      <c r="I134" s="37">
        <f>IF(C134=0,0,H134/C134)</f>
        <v>0</v>
      </c>
      <c r="J134" s="40">
        <f>IF(ISBLANK(E134),0,ROUND(E134,2)*H134)</f>
        <v>0</v>
      </c>
      <c r="K134" s="40">
        <f>J134/12</f>
        <v>0</v>
      </c>
    </row>
    <row r="135" spans="1:11" x14ac:dyDescent="0.2">
      <c r="A135" s="22"/>
      <c r="B135" s="22"/>
      <c r="C135" s="113">
        <f>dagenperjaar1</f>
        <v>255</v>
      </c>
      <c r="D135" s="114" t="s">
        <v>858</v>
      </c>
      <c r="E135" s="26"/>
      <c r="F135" s="25"/>
      <c r="G135" s="115"/>
      <c r="H135" s="41">
        <f>IF(ISBLANK(G135),0,G135*C135)+IF(ISBLANK(F135),0,F135*objecturen16_1)</f>
        <v>0</v>
      </c>
      <c r="I135" s="41">
        <f>IF(C135=0,0,H135/C135)</f>
        <v>0</v>
      </c>
      <c r="J135" s="44">
        <f>IF(ISBLANK(E135),0,ROUND(E135,2)*H135)</f>
        <v>0</v>
      </c>
      <c r="K135" s="44">
        <f>J135/12</f>
        <v>0</v>
      </c>
    </row>
    <row r="136" spans="1:11" x14ac:dyDescent="0.2">
      <c r="A136" s="22"/>
      <c r="B136" s="22"/>
      <c r="C136" s="113">
        <f>dagenperjaar1</f>
        <v>255</v>
      </c>
      <c r="D136" s="114" t="s">
        <v>858</v>
      </c>
      <c r="E136" s="26"/>
      <c r="F136" s="25"/>
      <c r="G136" s="115"/>
      <c r="H136" s="41">
        <f>IF(ISBLANK(G136),0,G136*C136)+IF(ISBLANK(F136),0,F136*objecturen16_1)</f>
        <v>0</v>
      </c>
      <c r="I136" s="41">
        <f>IF(C136=0,0,H136/C136)</f>
        <v>0</v>
      </c>
      <c r="J136" s="44">
        <f>IF(ISBLANK(E136),0,ROUND(E136,2)*H136)</f>
        <v>0</v>
      </c>
      <c r="K136" s="44">
        <f>J136/12</f>
        <v>0</v>
      </c>
    </row>
    <row r="137" spans="1:11" x14ac:dyDescent="0.2">
      <c r="A137" s="22"/>
      <c r="B137" s="22"/>
      <c r="C137" s="113">
        <f>dagenperjaar1</f>
        <v>255</v>
      </c>
      <c r="D137" s="114" t="s">
        <v>859</v>
      </c>
      <c r="E137" s="26"/>
      <c r="F137" s="116"/>
      <c r="G137" s="24"/>
      <c r="H137" s="41">
        <f>IF(ISBLANK(G137),0,G137*C137)+IF(ISBLANK(F137),0,F137*objecturen16_1)</f>
        <v>0</v>
      </c>
      <c r="I137" s="41">
        <f>IF(C137=0,0,H137/C137)</f>
        <v>0</v>
      </c>
      <c r="J137" s="44">
        <f>IF(ISBLANK(E137),0,ROUND(E137,2)*H137)</f>
        <v>0</v>
      </c>
      <c r="K137" s="44">
        <f>J137/12</f>
        <v>0</v>
      </c>
    </row>
    <row r="138" spans="1:11" x14ac:dyDescent="0.2">
      <c r="A138" s="27"/>
      <c r="B138" s="27"/>
      <c r="C138" s="117">
        <f>dagenperjaar1</f>
        <v>255</v>
      </c>
      <c r="D138" s="118" t="s">
        <v>859</v>
      </c>
      <c r="E138" s="31"/>
      <c r="F138" s="119"/>
      <c r="G138" s="29"/>
      <c r="H138" s="46">
        <f>IF(ISBLANK(G138),0,G138*C138)+IF(ISBLANK(F138),0,F138*objecturen16_1)</f>
        <v>0</v>
      </c>
      <c r="I138" s="46">
        <f>IF(C138=0,0,H138/C138)</f>
        <v>0</v>
      </c>
      <c r="J138" s="48">
        <f>IF(ISBLANK(E138),0,ROUND(E138,2)*H138)</f>
        <v>0</v>
      </c>
      <c r="K138" s="48">
        <f>J138/12</f>
        <v>0</v>
      </c>
    </row>
    <row r="139" spans="1:11" x14ac:dyDescent="0.2">
      <c r="A139" s="120" t="s">
        <v>874</v>
      </c>
      <c r="B139" s="51"/>
      <c r="C139" s="51"/>
      <c r="D139" s="51"/>
      <c r="E139" s="51"/>
      <c r="F139" s="51"/>
      <c r="G139" s="51"/>
      <c r="H139" s="52">
        <f>SUM(H134:H138)</f>
        <v>0</v>
      </c>
      <c r="I139" s="51"/>
      <c r="J139" s="53">
        <f>SUM(J134:J138)</f>
        <v>0</v>
      </c>
      <c r="K139" s="54">
        <f>SUM(K134:K138)</f>
        <v>0</v>
      </c>
    </row>
    <row r="140" spans="1:11" x14ac:dyDescent="0.2">
      <c r="A140" s="55"/>
      <c r="B140" s="51"/>
      <c r="C140" s="51"/>
      <c r="D140" s="51"/>
      <c r="E140" s="51"/>
      <c r="F140" s="51"/>
      <c r="G140" s="51"/>
      <c r="H140" s="51"/>
      <c r="I140" s="51"/>
      <c r="J140" s="51"/>
      <c r="K140" s="56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111" t="s">
        <v>749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7" t="s">
        <v>856</v>
      </c>
      <c r="B143" s="17" t="s">
        <v>14</v>
      </c>
      <c r="C143" s="18">
        <f>IF(ISBLANK(B143),0,IF(ISERROR(VALUE(B143)),VLOOKUP(B143,dagsoorttabel1,2,FALSE)*dagenperjaar1,VALUE(B143)))</f>
        <v>200</v>
      </c>
      <c r="D143" s="17" t="s">
        <v>857</v>
      </c>
      <c r="E143" s="21"/>
      <c r="F143" s="20"/>
      <c r="G143" s="112"/>
      <c r="H143" s="37">
        <f>IF(ISBLANK(G143),0,G143*C143)+IF(ISBLANK(F143),0,F143*objecturen17_1)</f>
        <v>0</v>
      </c>
      <c r="I143" s="37">
        <f>IF(C143=0,0,H143/C143)</f>
        <v>0</v>
      </c>
      <c r="J143" s="40">
        <f>IF(ISBLANK(E143),0,ROUND(E143,2)*H143)</f>
        <v>0</v>
      </c>
      <c r="K143" s="40">
        <f>J143/12</f>
        <v>0</v>
      </c>
    </row>
    <row r="144" spans="1:11" x14ac:dyDescent="0.2">
      <c r="A144" s="22"/>
      <c r="B144" s="22"/>
      <c r="C144" s="113">
        <f>dagenperjaar1</f>
        <v>255</v>
      </c>
      <c r="D144" s="114" t="s">
        <v>858</v>
      </c>
      <c r="E144" s="26"/>
      <c r="F144" s="25"/>
      <c r="G144" s="115"/>
      <c r="H144" s="41">
        <f>IF(ISBLANK(G144),0,G144*C144)+IF(ISBLANK(F144),0,F144*objecturen17_1)</f>
        <v>0</v>
      </c>
      <c r="I144" s="41">
        <f>IF(C144=0,0,H144/C144)</f>
        <v>0</v>
      </c>
      <c r="J144" s="44">
        <f>IF(ISBLANK(E144),0,ROUND(E144,2)*H144)</f>
        <v>0</v>
      </c>
      <c r="K144" s="44">
        <f>J144/12</f>
        <v>0</v>
      </c>
    </row>
    <row r="145" spans="1:11" x14ac:dyDescent="0.2">
      <c r="A145" s="22"/>
      <c r="B145" s="22"/>
      <c r="C145" s="113">
        <f>dagenperjaar1</f>
        <v>255</v>
      </c>
      <c r="D145" s="114" t="s">
        <v>858</v>
      </c>
      <c r="E145" s="26"/>
      <c r="F145" s="25"/>
      <c r="G145" s="115"/>
      <c r="H145" s="41">
        <f>IF(ISBLANK(G145),0,G145*C145)+IF(ISBLANK(F145),0,F145*objecturen17_1)</f>
        <v>0</v>
      </c>
      <c r="I145" s="41">
        <f>IF(C145=0,0,H145/C145)</f>
        <v>0</v>
      </c>
      <c r="J145" s="44">
        <f>IF(ISBLANK(E145),0,ROUND(E145,2)*H145)</f>
        <v>0</v>
      </c>
      <c r="K145" s="44">
        <f>J145/12</f>
        <v>0</v>
      </c>
    </row>
    <row r="146" spans="1:11" x14ac:dyDescent="0.2">
      <c r="A146" s="22"/>
      <c r="B146" s="22"/>
      <c r="C146" s="113">
        <f>dagenperjaar1</f>
        <v>255</v>
      </c>
      <c r="D146" s="114" t="s">
        <v>859</v>
      </c>
      <c r="E146" s="26"/>
      <c r="F146" s="116"/>
      <c r="G146" s="24"/>
      <c r="H146" s="41">
        <f>IF(ISBLANK(G146),0,G146*C146)+IF(ISBLANK(F146),0,F146*objecturen17_1)</f>
        <v>0</v>
      </c>
      <c r="I146" s="41">
        <f>IF(C146=0,0,H146/C146)</f>
        <v>0</v>
      </c>
      <c r="J146" s="44">
        <f>IF(ISBLANK(E146),0,ROUND(E146,2)*H146)</f>
        <v>0</v>
      </c>
      <c r="K146" s="44">
        <f>J146/12</f>
        <v>0</v>
      </c>
    </row>
    <row r="147" spans="1:11" x14ac:dyDescent="0.2">
      <c r="A147" s="27"/>
      <c r="B147" s="27"/>
      <c r="C147" s="117">
        <f>dagenperjaar1</f>
        <v>255</v>
      </c>
      <c r="D147" s="118" t="s">
        <v>859</v>
      </c>
      <c r="E147" s="31"/>
      <c r="F147" s="119"/>
      <c r="G147" s="29"/>
      <c r="H147" s="46">
        <f>IF(ISBLANK(G147),0,G147*C147)+IF(ISBLANK(F147),0,F147*objecturen17_1)</f>
        <v>0</v>
      </c>
      <c r="I147" s="46">
        <f>IF(C147=0,0,H147/C147)</f>
        <v>0</v>
      </c>
      <c r="J147" s="48">
        <f>IF(ISBLANK(E147),0,ROUND(E147,2)*H147)</f>
        <v>0</v>
      </c>
      <c r="K147" s="48">
        <f>J147/12</f>
        <v>0</v>
      </c>
    </row>
    <row r="148" spans="1:11" x14ac:dyDescent="0.2">
      <c r="A148" s="120" t="s">
        <v>875</v>
      </c>
      <c r="B148" s="51"/>
      <c r="C148" s="51"/>
      <c r="D148" s="51"/>
      <c r="E148" s="51"/>
      <c r="F148" s="51"/>
      <c r="G148" s="51"/>
      <c r="H148" s="52">
        <f>SUM(H143:H147)</f>
        <v>0</v>
      </c>
      <c r="I148" s="51"/>
      <c r="J148" s="53">
        <f>SUM(J143:J147)</f>
        <v>0</v>
      </c>
      <c r="K148" s="54">
        <f>SUM(K143:K147)</f>
        <v>0</v>
      </c>
    </row>
    <row r="149" spans="1:11" x14ac:dyDescent="0.2">
      <c r="A149" s="55"/>
      <c r="B149" s="51"/>
      <c r="C149" s="51"/>
      <c r="D149" s="51"/>
      <c r="E149" s="51"/>
      <c r="F149" s="51"/>
      <c r="G149" s="51"/>
      <c r="H149" s="51"/>
      <c r="I149" s="51"/>
      <c r="J149" s="51"/>
      <c r="K149" s="56"/>
    </row>
    <row r="150" spans="1:11" x14ac:dyDescent="0.2">
      <c r="A150" s="50" t="s">
        <v>264</v>
      </c>
      <c r="B150" s="51"/>
      <c r="C150" s="51"/>
      <c r="D150" s="51"/>
      <c r="E150" s="51"/>
      <c r="F150" s="51"/>
      <c r="G150" s="51"/>
      <c r="H150" s="52">
        <f>tzujt1_1+tzujt2_1+tzujt3_1+tzujt4_1+tzujt5_1+tzujt6_1+tzujt7_1+tzujt8_1+tzujt9_1+tzujt10_1+tzujt11_1+tzujt13_1+tzujt14_1+tzujt15_1+tzujt16_1+tzujt17_1</f>
        <v>0</v>
      </c>
      <c r="I150" s="51"/>
      <c r="J150" s="53">
        <f>tzpjt1_1+tzpjt2_1+tzpjt3_1+tzpjt4_1+tzpjt5_1+tzpjt6_1+tzpjt7_1+tzpjt8_1+tzpjt9_1+tzpjt10_1+tzpjt11_1+tzpjt13_1+tzpjt14_1+tzpjt15_1+tzpjt16_1+tzpjt17_1</f>
        <v>0</v>
      </c>
      <c r="K150" s="54">
        <f>tzpmt1_1+tzpmt2_1+tzpmt3_1+tzpmt4_1+tzpmt5_1+tzpmt6_1+tzpmt7_1+tzpmt8_1+tzpmt9_1+tzpmt10_1+tzpmt11_1+tzpmt13_1+tzpmt14_1+tzpmt15_1+tzpmt16_1+tzpmt17_1</f>
        <v>0</v>
      </c>
    </row>
    <row r="151" spans="1:11" x14ac:dyDescent="0.2">
      <c r="A151" s="55"/>
      <c r="B151" s="51"/>
      <c r="C151" s="51"/>
      <c r="D151" s="51"/>
      <c r="E151" s="51"/>
      <c r="F151" s="51"/>
      <c r="G151" s="51"/>
      <c r="H151" s="51"/>
      <c r="I151" s="51"/>
      <c r="J151" s="51"/>
      <c r="K151" s="56"/>
    </row>
    <row r="152" spans="1:11" x14ac:dyDescent="0.2">
      <c r="A152" s="108"/>
      <c r="B152" s="109"/>
      <c r="C152" s="109"/>
      <c r="D152" s="109"/>
      <c r="E152" s="109"/>
      <c r="F152" s="109"/>
      <c r="G152" s="109"/>
      <c r="H152" s="109"/>
      <c r="I152" s="109"/>
      <c r="J152" s="109"/>
      <c r="K152" s="110"/>
    </row>
    <row r="153" spans="1:11" x14ac:dyDescent="0.2">
      <c r="A153" s="12" t="s">
        <v>154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4"/>
    </row>
    <row r="154" spans="1:11" x14ac:dyDescent="0.2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1"/>
    </row>
    <row r="155" spans="1:11" x14ac:dyDescent="0.2">
      <c r="A155" s="111" t="s">
        <v>587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4"/>
    </row>
    <row r="156" spans="1:11" x14ac:dyDescent="0.2">
      <c r="A156" s="17" t="s">
        <v>876</v>
      </c>
      <c r="B156" s="17" t="s">
        <v>35</v>
      </c>
      <c r="C156" s="18">
        <f>IF(ISBLANK(B156),0,IF(ISERROR(VALUE(B156)),VLOOKUP(B156,dagsoorttabel1,2,FALSE)*dagenperjaar1,VALUE(B156)))</f>
        <v>12</v>
      </c>
      <c r="D156" s="17" t="s">
        <v>877</v>
      </c>
      <c r="E156" s="21"/>
      <c r="F156" s="20"/>
      <c r="G156" s="112"/>
      <c r="H156" s="37">
        <f>IF(ISBLANK(G156),0,G156*C156)+IF(ISBLANK(F156),0,F156*objecturen6_3)</f>
        <v>0</v>
      </c>
      <c r="I156" s="37">
        <f>IF(C156=0,0,H156/C156)</f>
        <v>0</v>
      </c>
      <c r="J156" s="40">
        <f>IF(ISBLANK(E156),0,ROUND(E156,2)*H156)</f>
        <v>0</v>
      </c>
      <c r="K156" s="40">
        <f>J156/12</f>
        <v>0</v>
      </c>
    </row>
    <row r="157" spans="1:11" x14ac:dyDescent="0.2">
      <c r="A157" s="22"/>
      <c r="B157" s="22"/>
      <c r="C157" s="113">
        <f>dagenperjaar1</f>
        <v>255</v>
      </c>
      <c r="D157" s="114" t="s">
        <v>858</v>
      </c>
      <c r="E157" s="26"/>
      <c r="F157" s="25"/>
      <c r="G157" s="115"/>
      <c r="H157" s="41">
        <f>IF(ISBLANK(G157),0,G157*C157)+IF(ISBLANK(F157),0,F157*objecturen6_3)</f>
        <v>0</v>
      </c>
      <c r="I157" s="41">
        <f>IF(C157=0,0,H157/C157)</f>
        <v>0</v>
      </c>
      <c r="J157" s="44">
        <f>IF(ISBLANK(E157),0,ROUND(E157,2)*H157)</f>
        <v>0</v>
      </c>
      <c r="K157" s="44">
        <f>J157/12</f>
        <v>0</v>
      </c>
    </row>
    <row r="158" spans="1:11" x14ac:dyDescent="0.2">
      <c r="A158" s="22"/>
      <c r="B158" s="22"/>
      <c r="C158" s="113">
        <f>dagenperjaar1</f>
        <v>255</v>
      </c>
      <c r="D158" s="114" t="s">
        <v>858</v>
      </c>
      <c r="E158" s="26"/>
      <c r="F158" s="25"/>
      <c r="G158" s="115"/>
      <c r="H158" s="41">
        <f>IF(ISBLANK(G158),0,G158*C158)+IF(ISBLANK(F158),0,F158*objecturen6_3)</f>
        <v>0</v>
      </c>
      <c r="I158" s="41">
        <f>IF(C158=0,0,H158/C158)</f>
        <v>0</v>
      </c>
      <c r="J158" s="44">
        <f>IF(ISBLANK(E158),0,ROUND(E158,2)*H158)</f>
        <v>0</v>
      </c>
      <c r="K158" s="44">
        <f>J158/12</f>
        <v>0</v>
      </c>
    </row>
    <row r="159" spans="1:11" x14ac:dyDescent="0.2">
      <c r="A159" s="22"/>
      <c r="B159" s="22"/>
      <c r="C159" s="113">
        <f>dagenperjaar1</f>
        <v>255</v>
      </c>
      <c r="D159" s="114" t="s">
        <v>859</v>
      </c>
      <c r="E159" s="26"/>
      <c r="F159" s="116"/>
      <c r="G159" s="24"/>
      <c r="H159" s="41">
        <f>IF(ISBLANK(G159),0,G159*C159)+IF(ISBLANK(F159),0,F159*objecturen6_3)</f>
        <v>0</v>
      </c>
      <c r="I159" s="41">
        <f>IF(C159=0,0,H159/C159)</f>
        <v>0</v>
      </c>
      <c r="J159" s="44">
        <f>IF(ISBLANK(E159),0,ROUND(E159,2)*H159)</f>
        <v>0</v>
      </c>
      <c r="K159" s="44">
        <f>J159/12</f>
        <v>0</v>
      </c>
    </row>
    <row r="160" spans="1:11" x14ac:dyDescent="0.2">
      <c r="A160" s="27"/>
      <c r="B160" s="27"/>
      <c r="C160" s="117">
        <f>dagenperjaar1</f>
        <v>255</v>
      </c>
      <c r="D160" s="118" t="s">
        <v>859</v>
      </c>
      <c r="E160" s="31"/>
      <c r="F160" s="119"/>
      <c r="G160" s="29"/>
      <c r="H160" s="46">
        <f>IF(ISBLANK(G160),0,G160*C160)+IF(ISBLANK(F160),0,F160*objecturen6_3)</f>
        <v>0</v>
      </c>
      <c r="I160" s="46">
        <f>IF(C160=0,0,H160/C160)</f>
        <v>0</v>
      </c>
      <c r="J160" s="48">
        <f>IF(ISBLANK(E160),0,ROUND(E160,2)*H160)</f>
        <v>0</v>
      </c>
      <c r="K160" s="48">
        <f>J160/12</f>
        <v>0</v>
      </c>
    </row>
    <row r="161" spans="1:11" x14ac:dyDescent="0.2">
      <c r="A161" s="120" t="s">
        <v>865</v>
      </c>
      <c r="B161" s="51"/>
      <c r="C161" s="51"/>
      <c r="D161" s="51"/>
      <c r="E161" s="51"/>
      <c r="F161" s="51"/>
      <c r="G161" s="51"/>
      <c r="H161" s="52">
        <f>SUM(H156:H160)</f>
        <v>0</v>
      </c>
      <c r="I161" s="51"/>
      <c r="J161" s="53">
        <f>SUM(J156:J160)</f>
        <v>0</v>
      </c>
      <c r="K161" s="54">
        <f>SUM(K156:K160)</f>
        <v>0</v>
      </c>
    </row>
    <row r="162" spans="1:11" x14ac:dyDescent="0.2">
      <c r="A162" s="55"/>
      <c r="B162" s="51"/>
      <c r="C162" s="51"/>
      <c r="D162" s="51"/>
      <c r="E162" s="51"/>
      <c r="F162" s="51"/>
      <c r="G162" s="51"/>
      <c r="H162" s="51"/>
      <c r="I162" s="51"/>
      <c r="J162" s="51"/>
      <c r="K162" s="56"/>
    </row>
    <row r="163" spans="1:11" x14ac:dyDescent="0.2">
      <c r="A163" s="50" t="s">
        <v>275</v>
      </c>
      <c r="B163" s="51"/>
      <c r="C163" s="51"/>
      <c r="D163" s="51"/>
      <c r="E163" s="51"/>
      <c r="F163" s="51"/>
      <c r="G163" s="51"/>
      <c r="H163" s="52">
        <f>tzujt6_3</f>
        <v>0</v>
      </c>
      <c r="I163" s="51"/>
      <c r="J163" s="53">
        <f>tzpjt6_3</f>
        <v>0</v>
      </c>
      <c r="K163" s="54">
        <f>tzpmt6_3</f>
        <v>0</v>
      </c>
    </row>
    <row r="164" spans="1:11" x14ac:dyDescent="0.2">
      <c r="A164" s="55"/>
      <c r="B164" s="51"/>
      <c r="C164" s="51"/>
      <c r="D164" s="51"/>
      <c r="E164" s="51"/>
      <c r="F164" s="51"/>
      <c r="G164" s="51"/>
      <c r="H164" s="51"/>
      <c r="I164" s="51"/>
      <c r="J164" s="51"/>
      <c r="K164" s="56"/>
    </row>
    <row r="165" spans="1:11" x14ac:dyDescent="0.2">
      <c r="A165" s="108"/>
      <c r="B165" s="109"/>
      <c r="C165" s="109"/>
      <c r="D165" s="109"/>
      <c r="E165" s="109"/>
      <c r="F165" s="109"/>
      <c r="G165" s="109"/>
      <c r="H165" s="109"/>
      <c r="I165" s="109"/>
      <c r="J165" s="109"/>
      <c r="K165" s="110"/>
    </row>
    <row r="166" spans="1:11" x14ac:dyDescent="0.2">
      <c r="A166" s="12" t="s">
        <v>171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4"/>
    </row>
    <row r="167" spans="1:11" x14ac:dyDescent="0.2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1"/>
    </row>
    <row r="168" spans="1:11" x14ac:dyDescent="0.2">
      <c r="A168" s="111" t="s">
        <v>537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4"/>
    </row>
    <row r="169" spans="1:11" x14ac:dyDescent="0.2">
      <c r="A169" s="17" t="s">
        <v>878</v>
      </c>
      <c r="B169" s="17" t="s">
        <v>27</v>
      </c>
      <c r="C169" s="18">
        <f>IF(ISBLANK(B169),0,IF(ISERROR(VALUE(B169)),VLOOKUP(B169,dagsoorttabel1,2,FALSE)*dagenperjaar1,VALUE(B169)))</f>
        <v>26</v>
      </c>
      <c r="D169" s="17" t="s">
        <v>857</v>
      </c>
      <c r="E169" s="21"/>
      <c r="F169" s="20"/>
      <c r="G169" s="112"/>
      <c r="H169" s="37">
        <f>IF(ISBLANK(G169),0,G169*C169)+IF(ISBLANK(F169),0,F169*objecturen2_4)</f>
        <v>0</v>
      </c>
      <c r="I169" s="37">
        <f>IF(C169=0,0,H169/C169)</f>
        <v>0</v>
      </c>
      <c r="J169" s="40">
        <f>IF(ISBLANK(E169),0,ROUND(E169,2)*H169)</f>
        <v>0</v>
      </c>
      <c r="K169" s="40">
        <f>J169/12</f>
        <v>0</v>
      </c>
    </row>
    <row r="170" spans="1:11" x14ac:dyDescent="0.2">
      <c r="A170" s="22"/>
      <c r="B170" s="22"/>
      <c r="C170" s="113">
        <f>dagenperjaar1</f>
        <v>255</v>
      </c>
      <c r="D170" s="114" t="s">
        <v>858</v>
      </c>
      <c r="E170" s="26"/>
      <c r="F170" s="25"/>
      <c r="G170" s="115"/>
      <c r="H170" s="41">
        <f>IF(ISBLANK(G170),0,G170*C170)+IF(ISBLANK(F170),0,F170*objecturen2_4)</f>
        <v>0</v>
      </c>
      <c r="I170" s="41">
        <f>IF(C170=0,0,H170/C170)</f>
        <v>0</v>
      </c>
      <c r="J170" s="44">
        <f>IF(ISBLANK(E170),0,ROUND(E170,2)*H170)</f>
        <v>0</v>
      </c>
      <c r="K170" s="44">
        <f>J170/12</f>
        <v>0</v>
      </c>
    </row>
    <row r="171" spans="1:11" x14ac:dyDescent="0.2">
      <c r="A171" s="22"/>
      <c r="B171" s="22"/>
      <c r="C171" s="113">
        <f>dagenperjaar1</f>
        <v>255</v>
      </c>
      <c r="D171" s="114" t="s">
        <v>858</v>
      </c>
      <c r="E171" s="26"/>
      <c r="F171" s="25"/>
      <c r="G171" s="115"/>
      <c r="H171" s="41">
        <f>IF(ISBLANK(G171),0,G171*C171)+IF(ISBLANK(F171),0,F171*objecturen2_4)</f>
        <v>0</v>
      </c>
      <c r="I171" s="41">
        <f>IF(C171=0,0,H171/C171)</f>
        <v>0</v>
      </c>
      <c r="J171" s="44">
        <f>IF(ISBLANK(E171),0,ROUND(E171,2)*H171)</f>
        <v>0</v>
      </c>
      <c r="K171" s="44">
        <f>J171/12</f>
        <v>0</v>
      </c>
    </row>
    <row r="172" spans="1:11" x14ac:dyDescent="0.2">
      <c r="A172" s="22"/>
      <c r="B172" s="22"/>
      <c r="C172" s="113">
        <f>dagenperjaar1</f>
        <v>255</v>
      </c>
      <c r="D172" s="114" t="s">
        <v>859</v>
      </c>
      <c r="E172" s="26"/>
      <c r="F172" s="116"/>
      <c r="G172" s="24"/>
      <c r="H172" s="41">
        <f>IF(ISBLANK(G172),0,G172*C172)+IF(ISBLANK(F172),0,F172*objecturen2_4)</f>
        <v>0</v>
      </c>
      <c r="I172" s="41">
        <f>IF(C172=0,0,H172/C172)</f>
        <v>0</v>
      </c>
      <c r="J172" s="44">
        <f>IF(ISBLANK(E172),0,ROUND(E172,2)*H172)</f>
        <v>0</v>
      </c>
      <c r="K172" s="44">
        <f>J172/12</f>
        <v>0</v>
      </c>
    </row>
    <row r="173" spans="1:11" x14ac:dyDescent="0.2">
      <c r="A173" s="27"/>
      <c r="B173" s="27"/>
      <c r="C173" s="117">
        <f>dagenperjaar1</f>
        <v>255</v>
      </c>
      <c r="D173" s="118" t="s">
        <v>859</v>
      </c>
      <c r="E173" s="31"/>
      <c r="F173" s="119"/>
      <c r="G173" s="29"/>
      <c r="H173" s="46">
        <f>IF(ISBLANK(G173),0,G173*C173)+IF(ISBLANK(F173),0,F173*objecturen2_4)</f>
        <v>0</v>
      </c>
      <c r="I173" s="46">
        <f>IF(C173=0,0,H173/C173)</f>
        <v>0</v>
      </c>
      <c r="J173" s="48">
        <f>IF(ISBLANK(E173),0,ROUND(E173,2)*H173)</f>
        <v>0</v>
      </c>
      <c r="K173" s="48">
        <f>J173/12</f>
        <v>0</v>
      </c>
    </row>
    <row r="174" spans="1:11" x14ac:dyDescent="0.2">
      <c r="A174" s="120" t="s">
        <v>861</v>
      </c>
      <c r="B174" s="51"/>
      <c r="C174" s="51"/>
      <c r="D174" s="51"/>
      <c r="E174" s="51"/>
      <c r="F174" s="51"/>
      <c r="G174" s="51"/>
      <c r="H174" s="52">
        <f>SUM(H169:H173)</f>
        <v>0</v>
      </c>
      <c r="I174" s="51"/>
      <c r="J174" s="53">
        <f>SUM(J169:J173)</f>
        <v>0</v>
      </c>
      <c r="K174" s="54">
        <f>SUM(K169:K173)</f>
        <v>0</v>
      </c>
    </row>
    <row r="175" spans="1:11" x14ac:dyDescent="0.2">
      <c r="A175" s="55"/>
      <c r="B175" s="51"/>
      <c r="C175" s="51"/>
      <c r="D175" s="51"/>
      <c r="E175" s="51"/>
      <c r="F175" s="51"/>
      <c r="G175" s="51"/>
      <c r="H175" s="51"/>
      <c r="I175" s="51"/>
      <c r="J175" s="51"/>
      <c r="K175" s="56"/>
    </row>
    <row r="176" spans="1:11" x14ac:dyDescent="0.2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1"/>
    </row>
    <row r="177" spans="1:11" x14ac:dyDescent="0.2">
      <c r="A177" s="111" t="s">
        <v>587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4"/>
    </row>
    <row r="178" spans="1:11" x14ac:dyDescent="0.2">
      <c r="A178" s="17" t="s">
        <v>878</v>
      </c>
      <c r="B178" s="17" t="s">
        <v>29</v>
      </c>
      <c r="C178" s="18">
        <f>IF(ISBLANK(B178),0,IF(ISERROR(VALUE(B178)),VLOOKUP(B178,dagsoorttabel1,2,FALSE)*dagenperjaar1,VALUE(B178)))</f>
        <v>24</v>
      </c>
      <c r="D178" s="17" t="s">
        <v>857</v>
      </c>
      <c r="E178" s="21"/>
      <c r="F178" s="20"/>
      <c r="G178" s="112"/>
      <c r="H178" s="37">
        <f>IF(ISBLANK(G178),0,G178*C178)+IF(ISBLANK(F178),0,F178*objecturen6_4)</f>
        <v>0</v>
      </c>
      <c r="I178" s="37">
        <f>IF(C178=0,0,H178/C178)</f>
        <v>0</v>
      </c>
      <c r="J178" s="40">
        <f>IF(ISBLANK(E178),0,ROUND(E178,2)*H178)</f>
        <v>0</v>
      </c>
      <c r="K178" s="40">
        <f>J178/12</f>
        <v>0</v>
      </c>
    </row>
    <row r="179" spans="1:11" x14ac:dyDescent="0.2">
      <c r="A179" s="22"/>
      <c r="B179" s="22"/>
      <c r="C179" s="113">
        <f>dagenperjaar1</f>
        <v>255</v>
      </c>
      <c r="D179" s="114" t="s">
        <v>858</v>
      </c>
      <c r="E179" s="26"/>
      <c r="F179" s="25"/>
      <c r="G179" s="115"/>
      <c r="H179" s="41">
        <f>IF(ISBLANK(G179),0,G179*C179)+IF(ISBLANK(F179),0,F179*objecturen6_4)</f>
        <v>0</v>
      </c>
      <c r="I179" s="41">
        <f>IF(C179=0,0,H179/C179)</f>
        <v>0</v>
      </c>
      <c r="J179" s="44">
        <f>IF(ISBLANK(E179),0,ROUND(E179,2)*H179)</f>
        <v>0</v>
      </c>
      <c r="K179" s="44">
        <f>J179/12</f>
        <v>0</v>
      </c>
    </row>
    <row r="180" spans="1:11" x14ac:dyDescent="0.2">
      <c r="A180" s="22"/>
      <c r="B180" s="22"/>
      <c r="C180" s="113">
        <f>dagenperjaar1</f>
        <v>255</v>
      </c>
      <c r="D180" s="114" t="s">
        <v>858</v>
      </c>
      <c r="E180" s="26"/>
      <c r="F180" s="25"/>
      <c r="G180" s="115"/>
      <c r="H180" s="41">
        <f>IF(ISBLANK(G180),0,G180*C180)+IF(ISBLANK(F180),0,F180*objecturen6_4)</f>
        <v>0</v>
      </c>
      <c r="I180" s="41">
        <f>IF(C180=0,0,H180/C180)</f>
        <v>0</v>
      </c>
      <c r="J180" s="44">
        <f>IF(ISBLANK(E180),0,ROUND(E180,2)*H180)</f>
        <v>0</v>
      </c>
      <c r="K180" s="44">
        <f>J180/12</f>
        <v>0</v>
      </c>
    </row>
    <row r="181" spans="1:11" x14ac:dyDescent="0.2">
      <c r="A181" s="22"/>
      <c r="B181" s="22"/>
      <c r="C181" s="113">
        <f>dagenperjaar1</f>
        <v>255</v>
      </c>
      <c r="D181" s="114" t="s">
        <v>859</v>
      </c>
      <c r="E181" s="26"/>
      <c r="F181" s="116"/>
      <c r="G181" s="24"/>
      <c r="H181" s="41">
        <f>IF(ISBLANK(G181),0,G181*C181)+IF(ISBLANK(F181),0,F181*objecturen6_4)</f>
        <v>0</v>
      </c>
      <c r="I181" s="41">
        <f>IF(C181=0,0,H181/C181)</f>
        <v>0</v>
      </c>
      <c r="J181" s="44">
        <f>IF(ISBLANK(E181),0,ROUND(E181,2)*H181)</f>
        <v>0</v>
      </c>
      <c r="K181" s="44">
        <f>J181/12</f>
        <v>0</v>
      </c>
    </row>
    <row r="182" spans="1:11" x14ac:dyDescent="0.2">
      <c r="A182" s="27"/>
      <c r="B182" s="27"/>
      <c r="C182" s="117">
        <f>dagenperjaar1</f>
        <v>255</v>
      </c>
      <c r="D182" s="118" t="s">
        <v>859</v>
      </c>
      <c r="E182" s="31"/>
      <c r="F182" s="119"/>
      <c r="G182" s="29"/>
      <c r="H182" s="46">
        <f>IF(ISBLANK(G182),0,G182*C182)+IF(ISBLANK(F182),0,F182*objecturen6_4)</f>
        <v>0</v>
      </c>
      <c r="I182" s="46">
        <f>IF(C182=0,0,H182/C182)</f>
        <v>0</v>
      </c>
      <c r="J182" s="48">
        <f>IF(ISBLANK(E182),0,ROUND(E182,2)*H182)</f>
        <v>0</v>
      </c>
      <c r="K182" s="48">
        <f>J182/12</f>
        <v>0</v>
      </c>
    </row>
    <row r="183" spans="1:11" x14ac:dyDescent="0.2">
      <c r="A183" s="120" t="s">
        <v>865</v>
      </c>
      <c r="B183" s="51"/>
      <c r="C183" s="51"/>
      <c r="D183" s="51"/>
      <c r="E183" s="51"/>
      <c r="F183" s="51"/>
      <c r="G183" s="51"/>
      <c r="H183" s="52">
        <f>SUM(H178:H182)</f>
        <v>0</v>
      </c>
      <c r="I183" s="51"/>
      <c r="J183" s="53">
        <f>SUM(J178:J182)</f>
        <v>0</v>
      </c>
      <c r="K183" s="54">
        <f>SUM(K178:K182)</f>
        <v>0</v>
      </c>
    </row>
    <row r="184" spans="1:11" x14ac:dyDescent="0.2">
      <c r="A184" s="55"/>
      <c r="B184" s="51"/>
      <c r="C184" s="51"/>
      <c r="D184" s="51"/>
      <c r="E184" s="51"/>
      <c r="F184" s="51"/>
      <c r="G184" s="51"/>
      <c r="H184" s="51"/>
      <c r="I184" s="51"/>
      <c r="J184" s="51"/>
      <c r="K184" s="56"/>
    </row>
    <row r="185" spans="1:11" x14ac:dyDescent="0.2">
      <c r="A185" s="50" t="s">
        <v>286</v>
      </c>
      <c r="B185" s="51"/>
      <c r="C185" s="51"/>
      <c r="D185" s="51"/>
      <c r="E185" s="51"/>
      <c r="F185" s="51"/>
      <c r="G185" s="51"/>
      <c r="H185" s="52">
        <f>tzujt2_4+tzujt6_4</f>
        <v>0</v>
      </c>
      <c r="I185" s="51"/>
      <c r="J185" s="53">
        <f>tzpjt2_4+tzpjt6_4</f>
        <v>0</v>
      </c>
      <c r="K185" s="54">
        <f>tzpmt2_4+tzpmt6_4</f>
        <v>0</v>
      </c>
    </row>
    <row r="186" spans="1:11" x14ac:dyDescent="0.2">
      <c r="A186" s="55"/>
      <c r="B186" s="51"/>
      <c r="C186" s="51"/>
      <c r="D186" s="51"/>
      <c r="E186" s="51"/>
      <c r="F186" s="51"/>
      <c r="G186" s="51"/>
      <c r="H186" s="51"/>
      <c r="I186" s="51"/>
      <c r="J186" s="51"/>
      <c r="K186" s="56"/>
    </row>
    <row r="188" spans="1:11" x14ac:dyDescent="0.2">
      <c r="A188" s="50" t="s">
        <v>879</v>
      </c>
      <c r="B188" s="51"/>
      <c r="C188" s="51"/>
      <c r="D188" s="51"/>
      <c r="E188" s="51"/>
      <c r="F188" s="51"/>
      <c r="G188" s="51"/>
      <c r="H188" s="52">
        <f>tzujt1+tzujt3+tzujt4</f>
        <v>0</v>
      </c>
      <c r="I188" s="51"/>
      <c r="J188" s="53">
        <f>tzpjt1+tzpjt3+tzpjt4</f>
        <v>0</v>
      </c>
      <c r="K188" s="53">
        <f>tzpmt1+tzpmt3+tzpmt4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7617-D8D0-496D-85A5-E3A0DCB7CE1A}">
  <dimension ref="A1:K22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I.1.8: ",tabeltype," totaalblad objecten")</f>
        <v>Bijlage I.1.8: Invultabel totaalblad objecten</v>
      </c>
    </row>
    <row r="3" spans="1:11" ht="38.25" x14ac:dyDescent="0.2">
      <c r="A3" s="8" t="s">
        <v>289</v>
      </c>
      <c r="B3" s="8" t="s">
        <v>799</v>
      </c>
      <c r="C3" s="8" t="s">
        <v>800</v>
      </c>
      <c r="D3" s="8" t="s">
        <v>801</v>
      </c>
      <c r="E3" s="8" t="s">
        <v>810</v>
      </c>
      <c r="F3" s="8" t="s">
        <v>184</v>
      </c>
      <c r="G3" s="8" t="s">
        <v>880</v>
      </c>
      <c r="H3" s="8" t="s">
        <v>881</v>
      </c>
      <c r="I3" s="8" t="s">
        <v>882</v>
      </c>
      <c r="J3" s="8" t="s">
        <v>883</v>
      </c>
      <c r="K3" s="8" t="s">
        <v>884</v>
      </c>
    </row>
    <row r="4" spans="1:11" x14ac:dyDescent="0.2">
      <c r="A4" s="17" t="s">
        <v>299</v>
      </c>
      <c r="B4" s="17" t="s">
        <v>812</v>
      </c>
      <c r="C4" s="17" t="s">
        <v>813</v>
      </c>
      <c r="D4" s="17" t="s">
        <v>814</v>
      </c>
      <c r="E4" s="37">
        <f>objecturenhf1_1</f>
        <v>0</v>
      </c>
      <c r="F4" s="37">
        <f>objecturen1_1</f>
        <v>0</v>
      </c>
      <c r="G4" s="40">
        <f>objectprijs1_1</f>
        <v>0</v>
      </c>
      <c r="H4" s="37">
        <f>tzujt1_1</f>
        <v>0</v>
      </c>
      <c r="I4" s="40">
        <f>tzpjt1_1</f>
        <v>0</v>
      </c>
      <c r="J4" s="40">
        <f t="shared" ref="J4:J20" si="0">G4+I4</f>
        <v>0</v>
      </c>
      <c r="K4" s="40">
        <f t="shared" ref="K4:K20" si="1">J4/12</f>
        <v>0</v>
      </c>
    </row>
    <row r="5" spans="1:11" x14ac:dyDescent="0.2">
      <c r="A5" s="22" t="s">
        <v>538</v>
      </c>
      <c r="B5" s="22" t="s">
        <v>815</v>
      </c>
      <c r="C5" s="22" t="s">
        <v>816</v>
      </c>
      <c r="D5" s="22" t="s">
        <v>814</v>
      </c>
      <c r="E5" s="41">
        <f>objecturenhf2_1+objecturenhf2_4</f>
        <v>0</v>
      </c>
      <c r="F5" s="41">
        <f>objecturen2_1+objecturen2_4</f>
        <v>0</v>
      </c>
      <c r="G5" s="44">
        <f>objectprijs2_1+objectprijs2_4</f>
        <v>0</v>
      </c>
      <c r="H5" s="41">
        <f>tzujt2_1+tzujt2_4</f>
        <v>0</v>
      </c>
      <c r="I5" s="44">
        <f>tzpjt2_1+tzpjt2_4</f>
        <v>0</v>
      </c>
      <c r="J5" s="44">
        <f t="shared" si="0"/>
        <v>0</v>
      </c>
      <c r="K5" s="44">
        <f t="shared" si="1"/>
        <v>0</v>
      </c>
    </row>
    <row r="6" spans="1:11" x14ac:dyDescent="0.2">
      <c r="A6" s="22" t="s">
        <v>557</v>
      </c>
      <c r="B6" s="22" t="s">
        <v>817</v>
      </c>
      <c r="C6" s="22" t="s">
        <v>818</v>
      </c>
      <c r="D6" s="22" t="s">
        <v>814</v>
      </c>
      <c r="E6" s="41">
        <f>objecturenhf3_1</f>
        <v>0</v>
      </c>
      <c r="F6" s="41">
        <f>objecturen3_1</f>
        <v>0</v>
      </c>
      <c r="G6" s="44">
        <f>objectprijs3_1</f>
        <v>0</v>
      </c>
      <c r="H6" s="41">
        <f>tzujt3_1</f>
        <v>0</v>
      </c>
      <c r="I6" s="44">
        <f>tzpjt3_1</f>
        <v>0</v>
      </c>
      <c r="J6" s="44">
        <f t="shared" si="0"/>
        <v>0</v>
      </c>
      <c r="K6" s="44">
        <f t="shared" si="1"/>
        <v>0</v>
      </c>
    </row>
    <row r="7" spans="1:11" x14ac:dyDescent="0.2">
      <c r="A7" s="22" t="s">
        <v>571</v>
      </c>
      <c r="B7" s="22" t="s">
        <v>819</v>
      </c>
      <c r="C7" s="22" t="s">
        <v>820</v>
      </c>
      <c r="D7" s="22" t="s">
        <v>814</v>
      </c>
      <c r="E7" s="41">
        <f>objecturenhf4_1</f>
        <v>0</v>
      </c>
      <c r="F7" s="41">
        <f>objecturen4_1</f>
        <v>0</v>
      </c>
      <c r="G7" s="44">
        <f>objectprijs4_1</f>
        <v>0</v>
      </c>
      <c r="H7" s="41">
        <f>tzujt4_1</f>
        <v>0</v>
      </c>
      <c r="I7" s="44">
        <f>tzpjt4_1</f>
        <v>0</v>
      </c>
      <c r="J7" s="44">
        <f t="shared" si="0"/>
        <v>0</v>
      </c>
      <c r="K7" s="44">
        <f t="shared" si="1"/>
        <v>0</v>
      </c>
    </row>
    <row r="8" spans="1:11" x14ac:dyDescent="0.2">
      <c r="A8" s="22" t="s">
        <v>580</v>
      </c>
      <c r="B8" s="22" t="s">
        <v>821</v>
      </c>
      <c r="C8" s="22" t="s">
        <v>822</v>
      </c>
      <c r="D8" s="22" t="s">
        <v>814</v>
      </c>
      <c r="E8" s="41">
        <f>objecturenhf5_1</f>
        <v>0</v>
      </c>
      <c r="F8" s="41">
        <f>objecturen5_1</f>
        <v>0</v>
      </c>
      <c r="G8" s="44">
        <f>objectprijs5_1</f>
        <v>0</v>
      </c>
      <c r="H8" s="41">
        <f>tzujt5_1</f>
        <v>0</v>
      </c>
      <c r="I8" s="44">
        <f>tzpjt5_1</f>
        <v>0</v>
      </c>
      <c r="J8" s="44">
        <f t="shared" si="0"/>
        <v>0</v>
      </c>
      <c r="K8" s="44">
        <f t="shared" si="1"/>
        <v>0</v>
      </c>
    </row>
    <row r="9" spans="1:11" x14ac:dyDescent="0.2">
      <c r="A9" s="22" t="s">
        <v>588</v>
      </c>
      <c r="B9" s="22" t="s">
        <v>823</v>
      </c>
      <c r="C9" s="22" t="s">
        <v>824</v>
      </c>
      <c r="D9" s="22" t="s">
        <v>814</v>
      </c>
      <c r="E9" s="41">
        <f>objecturenhf6_1+objecturenhf6_3+objecturenhf6_4</f>
        <v>0</v>
      </c>
      <c r="F9" s="41">
        <f>objecturen6_1+objecturen6_3+objecturen6_4</f>
        <v>0</v>
      </c>
      <c r="G9" s="44">
        <f>objectprijs6_1+objectprijs6_3+objectprijs6_4</f>
        <v>0</v>
      </c>
      <c r="H9" s="41">
        <f>tzujt6_1+tzujt6_3+tzujt6_4</f>
        <v>0</v>
      </c>
      <c r="I9" s="44">
        <f>tzpjt6_1+tzpjt6_3+tzpjt6_4</f>
        <v>0</v>
      </c>
      <c r="J9" s="44">
        <f t="shared" si="0"/>
        <v>0</v>
      </c>
      <c r="K9" s="44">
        <f t="shared" si="1"/>
        <v>0</v>
      </c>
    </row>
    <row r="10" spans="1:11" x14ac:dyDescent="0.2">
      <c r="A10" s="22" t="s">
        <v>627</v>
      </c>
      <c r="B10" s="22" t="s">
        <v>825</v>
      </c>
      <c r="C10" s="22" t="s">
        <v>826</v>
      </c>
      <c r="D10" s="22" t="s">
        <v>814</v>
      </c>
      <c r="E10" s="41">
        <f>objecturenhf7_1</f>
        <v>0</v>
      </c>
      <c r="F10" s="41">
        <f>objecturen7_1</f>
        <v>0</v>
      </c>
      <c r="G10" s="44">
        <f>objectprijs7_1</f>
        <v>0</v>
      </c>
      <c r="H10" s="41">
        <f>tzujt7_1</f>
        <v>0</v>
      </c>
      <c r="I10" s="44">
        <f>tzpjt7_1</f>
        <v>0</v>
      </c>
      <c r="J10" s="44">
        <f t="shared" si="0"/>
        <v>0</v>
      </c>
      <c r="K10" s="44">
        <f t="shared" si="1"/>
        <v>0</v>
      </c>
    </row>
    <row r="11" spans="1:11" x14ac:dyDescent="0.2">
      <c r="A11" s="22" t="s">
        <v>635</v>
      </c>
      <c r="B11" s="22" t="s">
        <v>827</v>
      </c>
      <c r="C11" s="22" t="s">
        <v>828</v>
      </c>
      <c r="D11" s="22" t="s">
        <v>829</v>
      </c>
      <c r="E11" s="41">
        <f>objecturenhf8_1</f>
        <v>0</v>
      </c>
      <c r="F11" s="41">
        <f>objecturen8_1</f>
        <v>0</v>
      </c>
      <c r="G11" s="44">
        <f>objectprijs8_1</f>
        <v>0</v>
      </c>
      <c r="H11" s="41">
        <f>tzujt8_1</f>
        <v>0</v>
      </c>
      <c r="I11" s="44">
        <f>tzpjt8_1</f>
        <v>0</v>
      </c>
      <c r="J11" s="44">
        <f t="shared" si="0"/>
        <v>0</v>
      </c>
      <c r="K11" s="44">
        <f t="shared" si="1"/>
        <v>0</v>
      </c>
    </row>
    <row r="12" spans="1:11" x14ac:dyDescent="0.2">
      <c r="A12" s="22" t="s">
        <v>661</v>
      </c>
      <c r="B12" s="22" t="s">
        <v>830</v>
      </c>
      <c r="C12" s="22" t="s">
        <v>831</v>
      </c>
      <c r="D12" s="22" t="s">
        <v>814</v>
      </c>
      <c r="E12" s="41">
        <f>objecturenhf9_1</f>
        <v>0</v>
      </c>
      <c r="F12" s="41">
        <f>objecturen9_1</f>
        <v>0</v>
      </c>
      <c r="G12" s="44">
        <f>objectprijs9_1</f>
        <v>0</v>
      </c>
      <c r="H12" s="41">
        <f>tzujt9_1</f>
        <v>0</v>
      </c>
      <c r="I12" s="44">
        <f>tzpjt9_1</f>
        <v>0</v>
      </c>
      <c r="J12" s="44">
        <f t="shared" si="0"/>
        <v>0</v>
      </c>
      <c r="K12" s="44">
        <f t="shared" si="1"/>
        <v>0</v>
      </c>
    </row>
    <row r="13" spans="1:11" x14ac:dyDescent="0.2">
      <c r="A13" s="22" t="s">
        <v>683</v>
      </c>
      <c r="B13" s="22" t="s">
        <v>832</v>
      </c>
      <c r="C13" s="22" t="s">
        <v>833</v>
      </c>
      <c r="D13" s="22" t="s">
        <v>814</v>
      </c>
      <c r="E13" s="41">
        <f>objecturenhf10_1</f>
        <v>0</v>
      </c>
      <c r="F13" s="41">
        <f>objecturen10_1</f>
        <v>0</v>
      </c>
      <c r="G13" s="44">
        <f>objectprijs10_1</f>
        <v>0</v>
      </c>
      <c r="H13" s="41">
        <f>tzujt10_1</f>
        <v>0</v>
      </c>
      <c r="I13" s="44">
        <f>tzpjt10_1</f>
        <v>0</v>
      </c>
      <c r="J13" s="44">
        <f t="shared" si="0"/>
        <v>0</v>
      </c>
      <c r="K13" s="44">
        <f t="shared" si="1"/>
        <v>0</v>
      </c>
    </row>
    <row r="14" spans="1:11" x14ac:dyDescent="0.2">
      <c r="A14" s="22" t="s">
        <v>698</v>
      </c>
      <c r="B14" s="22" t="s">
        <v>834</v>
      </c>
      <c r="C14" s="22" t="s">
        <v>835</v>
      </c>
      <c r="D14" s="22" t="s">
        <v>814</v>
      </c>
      <c r="E14" s="41">
        <f>objecturenhf11_1</f>
        <v>0</v>
      </c>
      <c r="F14" s="41">
        <f>objecturen11_1</f>
        <v>0</v>
      </c>
      <c r="G14" s="44">
        <f>objectprijs11_1</f>
        <v>0</v>
      </c>
      <c r="H14" s="41">
        <f>tzujt11_1</f>
        <v>0</v>
      </c>
      <c r="I14" s="44">
        <f>tzpjt11_1</f>
        <v>0</v>
      </c>
      <c r="J14" s="44">
        <f t="shared" si="0"/>
        <v>0</v>
      </c>
      <c r="K14" s="44">
        <f t="shared" si="1"/>
        <v>0</v>
      </c>
    </row>
    <row r="15" spans="1:11" x14ac:dyDescent="0.2">
      <c r="A15" s="22" t="s">
        <v>885</v>
      </c>
      <c r="B15" s="22" t="s">
        <v>886</v>
      </c>
      <c r="C15" s="22" t="s">
        <v>887</v>
      </c>
      <c r="D15" s="22" t="s">
        <v>814</v>
      </c>
      <c r="E15" s="41"/>
      <c r="F15" s="41"/>
      <c r="G15" s="44"/>
      <c r="H15" s="41"/>
      <c r="I15" s="44"/>
      <c r="J15" s="44">
        <f t="shared" si="0"/>
        <v>0</v>
      </c>
      <c r="K15" s="44">
        <f t="shared" si="1"/>
        <v>0</v>
      </c>
    </row>
    <row r="16" spans="1:11" x14ac:dyDescent="0.2">
      <c r="A16" s="22" t="s">
        <v>701</v>
      </c>
      <c r="B16" s="22" t="s">
        <v>836</v>
      </c>
      <c r="C16" s="22" t="s">
        <v>837</v>
      </c>
      <c r="D16" s="22" t="s">
        <v>814</v>
      </c>
      <c r="E16" s="41">
        <f>objecturenhf13_1</f>
        <v>0</v>
      </c>
      <c r="F16" s="41">
        <f>objecturen13_1</f>
        <v>0</v>
      </c>
      <c r="G16" s="44">
        <f>objectprijs13_1</f>
        <v>0</v>
      </c>
      <c r="H16" s="41">
        <f>tzujt13_1</f>
        <v>0</v>
      </c>
      <c r="I16" s="44">
        <f>tzpjt13_1</f>
        <v>0</v>
      </c>
      <c r="J16" s="44">
        <f t="shared" si="0"/>
        <v>0</v>
      </c>
      <c r="K16" s="44">
        <f t="shared" si="1"/>
        <v>0</v>
      </c>
    </row>
    <row r="17" spans="1:11" x14ac:dyDescent="0.2">
      <c r="A17" s="22" t="s">
        <v>713</v>
      </c>
      <c r="B17" s="22" t="s">
        <v>838</v>
      </c>
      <c r="C17" s="22" t="s">
        <v>839</v>
      </c>
      <c r="D17" s="22" t="s">
        <v>814</v>
      </c>
      <c r="E17" s="41">
        <f>objecturenhf14_1</f>
        <v>0</v>
      </c>
      <c r="F17" s="41">
        <f>objecturen14_1</f>
        <v>0</v>
      </c>
      <c r="G17" s="44">
        <f>objectprijs14_1</f>
        <v>0</v>
      </c>
      <c r="H17" s="41">
        <f>tzujt14_1</f>
        <v>0</v>
      </c>
      <c r="I17" s="44">
        <f>tzpjt14_1</f>
        <v>0</v>
      </c>
      <c r="J17" s="44">
        <f t="shared" si="0"/>
        <v>0</v>
      </c>
      <c r="K17" s="44">
        <f t="shared" si="1"/>
        <v>0</v>
      </c>
    </row>
    <row r="18" spans="1:11" x14ac:dyDescent="0.2">
      <c r="A18" s="22" t="s">
        <v>720</v>
      </c>
      <c r="B18" s="22" t="s">
        <v>840</v>
      </c>
      <c r="C18" s="22" t="s">
        <v>841</v>
      </c>
      <c r="D18" s="22" t="s">
        <v>814</v>
      </c>
      <c r="E18" s="41">
        <f>objecturenhf15_1</f>
        <v>0</v>
      </c>
      <c r="F18" s="41">
        <f>objecturen15_1</f>
        <v>0</v>
      </c>
      <c r="G18" s="44">
        <f>objectprijs15_1</f>
        <v>0</v>
      </c>
      <c r="H18" s="41">
        <f>tzujt15_1</f>
        <v>0</v>
      </c>
      <c r="I18" s="44">
        <f>tzpjt15_1</f>
        <v>0</v>
      </c>
      <c r="J18" s="44">
        <f t="shared" si="0"/>
        <v>0</v>
      </c>
      <c r="K18" s="44">
        <f t="shared" si="1"/>
        <v>0</v>
      </c>
    </row>
    <row r="19" spans="1:11" x14ac:dyDescent="0.2">
      <c r="A19" s="22" t="s">
        <v>724</v>
      </c>
      <c r="B19" s="22" t="s">
        <v>842</v>
      </c>
      <c r="C19" s="22" t="s">
        <v>843</v>
      </c>
      <c r="D19" s="22" t="s">
        <v>814</v>
      </c>
      <c r="E19" s="41">
        <f>objecturenhf16_1</f>
        <v>0</v>
      </c>
      <c r="F19" s="41">
        <f>objecturen16_1</f>
        <v>0</v>
      </c>
      <c r="G19" s="44">
        <f>objectprijs16_1</f>
        <v>0</v>
      </c>
      <c r="H19" s="41">
        <f>tzujt16_1</f>
        <v>0</v>
      </c>
      <c r="I19" s="44">
        <f>tzpjt16_1</f>
        <v>0</v>
      </c>
      <c r="J19" s="44">
        <f t="shared" si="0"/>
        <v>0</v>
      </c>
      <c r="K19" s="44">
        <f t="shared" si="1"/>
        <v>0</v>
      </c>
    </row>
    <row r="20" spans="1:11" x14ac:dyDescent="0.2">
      <c r="A20" s="27" t="s">
        <v>750</v>
      </c>
      <c r="B20" s="27" t="s">
        <v>844</v>
      </c>
      <c r="C20" s="27" t="s">
        <v>845</v>
      </c>
      <c r="D20" s="27" t="s">
        <v>814</v>
      </c>
      <c r="E20" s="46">
        <f>objecturenhf17_1</f>
        <v>0</v>
      </c>
      <c r="F20" s="46">
        <f>objecturen17_1</f>
        <v>0</v>
      </c>
      <c r="G20" s="48">
        <f>objectprijs17_1</f>
        <v>0</v>
      </c>
      <c r="H20" s="46">
        <f>tzujt17_1</f>
        <v>0</v>
      </c>
      <c r="I20" s="48">
        <f>tzpjt17_1</f>
        <v>0</v>
      </c>
      <c r="J20" s="48">
        <f t="shared" si="0"/>
        <v>0</v>
      </c>
      <c r="K20" s="48">
        <f t="shared" si="1"/>
        <v>0</v>
      </c>
    </row>
    <row r="22" spans="1:11" x14ac:dyDescent="0.2">
      <c r="A22" s="50" t="s">
        <v>888</v>
      </c>
      <c r="B22" s="51"/>
      <c r="C22" s="51"/>
      <c r="D22" s="51"/>
      <c r="E22" s="52">
        <f t="shared" ref="E22:K22" si="2">SUM(E4:E20)</f>
        <v>0</v>
      </c>
      <c r="F22" s="52">
        <f t="shared" si="2"/>
        <v>0</v>
      </c>
      <c r="G22" s="53">
        <f t="shared" si="2"/>
        <v>0</v>
      </c>
      <c r="H22" s="52">
        <f t="shared" si="2"/>
        <v>0</v>
      </c>
      <c r="I22" s="53">
        <f t="shared" si="2"/>
        <v>0</v>
      </c>
      <c r="J22" s="53">
        <f t="shared" si="2"/>
        <v>0</v>
      </c>
      <c r="K22" s="53">
        <f t="shared" si="2"/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E18C-44FA-406E-BDDA-A648696AF960}">
  <dimension ref="A1:L1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I.1.9: ",tabeltype," afroep")</f>
        <v>Bijlage I.1.9: Invultabel afroep</v>
      </c>
    </row>
    <row r="3" spans="1:12" ht="38.25" x14ac:dyDescent="0.2">
      <c r="A3" s="8" t="s">
        <v>889</v>
      </c>
      <c r="B3" s="8" t="s">
        <v>8</v>
      </c>
      <c r="C3" s="8" t="s">
        <v>890</v>
      </c>
      <c r="D3" s="8" t="s">
        <v>45</v>
      </c>
      <c r="E3" s="8" t="s">
        <v>48</v>
      </c>
      <c r="F3" s="8" t="s">
        <v>891</v>
      </c>
      <c r="G3" s="8" t="s">
        <v>892</v>
      </c>
      <c r="H3" s="8" t="s">
        <v>893</v>
      </c>
      <c r="I3" s="8" t="s">
        <v>894</v>
      </c>
      <c r="J3" s="8" t="s">
        <v>895</v>
      </c>
      <c r="K3" s="8" t="s">
        <v>185</v>
      </c>
      <c r="L3" s="8" t="s">
        <v>811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7" t="s">
        <v>896</v>
      </c>
      <c r="B6" s="17" t="s">
        <v>33</v>
      </c>
      <c r="C6" s="18">
        <f>IF(ISBLANK(B6),0,IF(ISERROR(VALUE(B6)),VLOOKUP(B6,dagsoorttabel1,2,FALSE)*dagenperjaar1,VALUE(B6)))</f>
        <v>16</v>
      </c>
      <c r="D6" s="17" t="s">
        <v>897</v>
      </c>
      <c r="E6" s="17" t="s">
        <v>898</v>
      </c>
      <c r="F6" s="121">
        <v>2.5</v>
      </c>
      <c r="G6" s="21"/>
      <c r="H6" s="122"/>
      <c r="I6" s="21"/>
      <c r="J6" s="40">
        <f>IF(ISBLANK(F6),0,F6)*I6</f>
        <v>0</v>
      </c>
      <c r="K6" s="40">
        <f>C6*J6</f>
        <v>0</v>
      </c>
      <c r="L6" s="40">
        <f>K6/12</f>
        <v>0</v>
      </c>
    </row>
    <row r="7" spans="1:12" x14ac:dyDescent="0.2">
      <c r="A7" s="22" t="s">
        <v>899</v>
      </c>
      <c r="B7" s="22" t="s">
        <v>20</v>
      </c>
      <c r="C7" s="23">
        <f>IF(ISBLANK(B7),0,IF(ISERROR(VALUE(B7)),VLOOKUP(B7,dagsoorttabel1,2,FALSE)*dagenperjaar1,VALUE(B7)))</f>
        <v>100</v>
      </c>
      <c r="D7" s="22" t="s">
        <v>900</v>
      </c>
      <c r="E7" s="22" t="s">
        <v>898</v>
      </c>
      <c r="F7" s="123">
        <v>2</v>
      </c>
      <c r="G7" s="26"/>
      <c r="H7" s="124"/>
      <c r="I7" s="26"/>
      <c r="J7" s="44">
        <f>IF(ISBLANK(F7),0,F7)*I7</f>
        <v>0</v>
      </c>
      <c r="K7" s="44">
        <f>C7*J7</f>
        <v>0</v>
      </c>
      <c r="L7" s="44">
        <f>K7/12</f>
        <v>0</v>
      </c>
    </row>
    <row r="8" spans="1:12" x14ac:dyDescent="0.2">
      <c r="A8" s="27" t="s">
        <v>901</v>
      </c>
      <c r="B8" s="27" t="s">
        <v>20</v>
      </c>
      <c r="C8" s="28">
        <f>IF(ISBLANK(B8),0,IF(ISERROR(VALUE(B8)),VLOOKUP(B8,dagsoorttabel1,2,FALSE)*dagenperjaar1,VALUE(B8)))</f>
        <v>100</v>
      </c>
      <c r="D8" s="27" t="s">
        <v>902</v>
      </c>
      <c r="E8" s="27" t="s">
        <v>898</v>
      </c>
      <c r="F8" s="125">
        <v>4</v>
      </c>
      <c r="G8" s="31"/>
      <c r="H8" s="126"/>
      <c r="I8" s="31"/>
      <c r="J8" s="48">
        <f>IF(ISBLANK(F8),0,F8)*I8</f>
        <v>0</v>
      </c>
      <c r="K8" s="48">
        <f>C8*J8</f>
        <v>0</v>
      </c>
      <c r="L8" s="48">
        <f>K8/12</f>
        <v>0</v>
      </c>
    </row>
    <row r="9" spans="1:12" x14ac:dyDescent="0.2">
      <c r="A9" s="50" t="s">
        <v>264</v>
      </c>
      <c r="B9" s="51"/>
      <c r="C9" s="51"/>
      <c r="D9" s="51"/>
      <c r="E9" s="51"/>
      <c r="F9" s="51"/>
      <c r="G9" s="51"/>
      <c r="H9" s="51"/>
      <c r="I9" s="51"/>
      <c r="J9" s="51"/>
      <c r="K9" s="53">
        <f>SUM(K6:K8)</f>
        <v>0</v>
      </c>
      <c r="L9" s="127">
        <f>K9/12</f>
        <v>0</v>
      </c>
    </row>
    <row r="10" spans="1:12" x14ac:dyDescent="0.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spans="1:12" x14ac:dyDescent="0.2">
      <c r="A11" s="12" t="s">
        <v>171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x14ac:dyDescent="0.2">
      <c r="A12" s="17" t="s">
        <v>903</v>
      </c>
      <c r="B12" s="17" t="s">
        <v>38</v>
      </c>
      <c r="C12" s="18">
        <f>IF(ISBLANK(B12),0,IF(ISERROR(VALUE(B12)),VLOOKUP(B12,dagsoorttabel1,2,FALSE)*dagenperjaar1,VALUE(B12)))</f>
        <v>4</v>
      </c>
      <c r="D12" s="17" t="s">
        <v>904</v>
      </c>
      <c r="E12" s="17" t="s">
        <v>898</v>
      </c>
      <c r="F12" s="121">
        <v>4</v>
      </c>
      <c r="G12" s="21"/>
      <c r="H12" s="122"/>
      <c r="I12" s="21"/>
      <c r="J12" s="40">
        <f>IF(ISBLANK(F12),0,F12)*I12</f>
        <v>0</v>
      </c>
      <c r="K12" s="40">
        <f>C12*J12</f>
        <v>0</v>
      </c>
      <c r="L12" s="40">
        <f>K12/12</f>
        <v>0</v>
      </c>
    </row>
    <row r="13" spans="1:12" x14ac:dyDescent="0.2">
      <c r="A13" s="22" t="s">
        <v>905</v>
      </c>
      <c r="B13" s="22" t="s">
        <v>38</v>
      </c>
      <c r="C13" s="23">
        <f>IF(ISBLANK(B13),0,IF(ISERROR(VALUE(B13)),VLOOKUP(B13,dagsoorttabel1,2,FALSE)*dagenperjaar1,VALUE(B13)))</f>
        <v>4</v>
      </c>
      <c r="D13" s="22" t="s">
        <v>906</v>
      </c>
      <c r="E13" s="22" t="s">
        <v>898</v>
      </c>
      <c r="F13" s="123">
        <v>2</v>
      </c>
      <c r="G13" s="26"/>
      <c r="H13" s="124"/>
      <c r="I13" s="26"/>
      <c r="J13" s="44">
        <f>IF(ISBLANK(F13),0,F13)*I13</f>
        <v>0</v>
      </c>
      <c r="K13" s="44">
        <f>C13*J13</f>
        <v>0</v>
      </c>
      <c r="L13" s="44">
        <f>K13/12</f>
        <v>0</v>
      </c>
    </row>
    <row r="14" spans="1:12" x14ac:dyDescent="0.2">
      <c r="A14" s="27" t="s">
        <v>907</v>
      </c>
      <c r="B14" s="27" t="s">
        <v>38</v>
      </c>
      <c r="C14" s="28">
        <f>IF(ISBLANK(B14),0,IF(ISERROR(VALUE(B14)),VLOOKUP(B14,dagsoorttabel1,2,FALSE)*dagenperjaar1,VALUE(B14)))</f>
        <v>4</v>
      </c>
      <c r="D14" s="27" t="s">
        <v>908</v>
      </c>
      <c r="E14" s="27" t="s">
        <v>898</v>
      </c>
      <c r="F14" s="125">
        <v>4</v>
      </c>
      <c r="G14" s="31"/>
      <c r="H14" s="126"/>
      <c r="I14" s="31"/>
      <c r="J14" s="48">
        <f>IF(ISBLANK(F14),0,F14)*I14</f>
        <v>0</v>
      </c>
      <c r="K14" s="48">
        <f>C14*J14</f>
        <v>0</v>
      </c>
      <c r="L14" s="48">
        <f>K14/12</f>
        <v>0</v>
      </c>
    </row>
    <row r="15" spans="1:12" x14ac:dyDescent="0.2">
      <c r="A15" s="50" t="s">
        <v>286</v>
      </c>
      <c r="B15" s="51"/>
      <c r="C15" s="51"/>
      <c r="D15" s="51"/>
      <c r="E15" s="51"/>
      <c r="F15" s="51"/>
      <c r="G15" s="51"/>
      <c r="H15" s="51"/>
      <c r="I15" s="51"/>
      <c r="J15" s="51"/>
      <c r="K15" s="53">
        <f>SUM(K12:K14)</f>
        <v>0</v>
      </c>
      <c r="L15" s="127">
        <f>K15/12</f>
        <v>0</v>
      </c>
    </row>
    <row r="17" spans="1:12" x14ac:dyDescent="0.2">
      <c r="A17" s="50" t="s">
        <v>909</v>
      </c>
      <c r="B17" s="51"/>
      <c r="C17" s="51"/>
      <c r="D17" s="51"/>
      <c r="E17" s="51"/>
      <c r="F17" s="51"/>
      <c r="G17" s="51"/>
      <c r="H17" s="51"/>
      <c r="I17" s="51"/>
      <c r="J17" s="51"/>
      <c r="K17" s="53">
        <f>prijsjaarafroep1+prijsjaarafroep4</f>
        <v>0</v>
      </c>
      <c r="L17" s="127">
        <f>K17/12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FBD0-C130-4958-A742-2C9C3845A04D}">
  <dimension ref="A1:E8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I.1.10: ",tabeltype," afroep incidenteel")</f>
        <v>Bijlage I.1.10: Invultabel afroep incidenteel</v>
      </c>
    </row>
    <row r="3" spans="1:5" ht="38.25" x14ac:dyDescent="0.2">
      <c r="A3" s="8" t="s">
        <v>889</v>
      </c>
      <c r="B3" s="8" t="s">
        <v>45</v>
      </c>
      <c r="C3" s="8" t="s">
        <v>48</v>
      </c>
      <c r="D3" s="8" t="s">
        <v>910</v>
      </c>
      <c r="E3" s="8" t="s">
        <v>894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50</v>
      </c>
      <c r="B5" s="13"/>
      <c r="C5" s="13"/>
      <c r="D5" s="13"/>
      <c r="E5" s="14"/>
    </row>
    <row r="6" spans="1:5" x14ac:dyDescent="0.2">
      <c r="A6" s="17" t="s">
        <v>911</v>
      </c>
      <c r="B6" s="17" t="s">
        <v>912</v>
      </c>
      <c r="C6" s="17" t="s">
        <v>913</v>
      </c>
      <c r="D6" s="17" t="s">
        <v>914</v>
      </c>
      <c r="E6" s="21"/>
    </row>
    <row r="7" spans="1:5" x14ac:dyDescent="0.2">
      <c r="A7" s="22" t="s">
        <v>915</v>
      </c>
      <c r="B7" s="22" t="s">
        <v>912</v>
      </c>
      <c r="C7" s="22" t="s">
        <v>913</v>
      </c>
      <c r="D7" s="22" t="s">
        <v>916</v>
      </c>
      <c r="E7" s="26"/>
    </row>
    <row r="8" spans="1:5" x14ac:dyDescent="0.2">
      <c r="A8" s="22" t="s">
        <v>917</v>
      </c>
      <c r="B8" s="22" t="s">
        <v>912</v>
      </c>
      <c r="C8" s="22" t="s">
        <v>913</v>
      </c>
      <c r="D8" s="22" t="s">
        <v>918</v>
      </c>
      <c r="E8" s="26"/>
    </row>
    <row r="9" spans="1:5" x14ac:dyDescent="0.2">
      <c r="A9" s="22" t="s">
        <v>919</v>
      </c>
      <c r="B9" s="22" t="s">
        <v>912</v>
      </c>
      <c r="C9" s="22" t="s">
        <v>913</v>
      </c>
      <c r="D9" s="22" t="s">
        <v>920</v>
      </c>
      <c r="E9" s="26"/>
    </row>
    <row r="10" spans="1:5" x14ac:dyDescent="0.2">
      <c r="A10" s="22" t="s">
        <v>921</v>
      </c>
      <c r="B10" s="22" t="s">
        <v>922</v>
      </c>
      <c r="C10" s="22" t="s">
        <v>913</v>
      </c>
      <c r="D10" s="22" t="s">
        <v>914</v>
      </c>
      <c r="E10" s="26"/>
    </row>
    <row r="11" spans="1:5" x14ac:dyDescent="0.2">
      <c r="A11" s="22" t="s">
        <v>923</v>
      </c>
      <c r="B11" s="22" t="s">
        <v>922</v>
      </c>
      <c r="C11" s="22" t="s">
        <v>913</v>
      </c>
      <c r="D11" s="22" t="s">
        <v>916</v>
      </c>
      <c r="E11" s="26"/>
    </row>
    <row r="12" spans="1:5" x14ac:dyDescent="0.2">
      <c r="A12" s="22" t="s">
        <v>924</v>
      </c>
      <c r="B12" s="22" t="s">
        <v>922</v>
      </c>
      <c r="C12" s="22" t="s">
        <v>913</v>
      </c>
      <c r="D12" s="22" t="s">
        <v>918</v>
      </c>
      <c r="E12" s="26"/>
    </row>
    <row r="13" spans="1:5" x14ac:dyDescent="0.2">
      <c r="A13" s="22" t="s">
        <v>925</v>
      </c>
      <c r="B13" s="22" t="s">
        <v>922</v>
      </c>
      <c r="C13" s="22" t="s">
        <v>913</v>
      </c>
      <c r="D13" s="22" t="s">
        <v>920</v>
      </c>
      <c r="E13" s="26"/>
    </row>
    <row r="14" spans="1:5" x14ac:dyDescent="0.2">
      <c r="A14" s="22" t="s">
        <v>926</v>
      </c>
      <c r="B14" s="22" t="s">
        <v>927</v>
      </c>
      <c r="C14" s="22" t="s">
        <v>913</v>
      </c>
      <c r="D14" s="22" t="s">
        <v>914</v>
      </c>
      <c r="E14" s="26"/>
    </row>
    <row r="15" spans="1:5" x14ac:dyDescent="0.2">
      <c r="A15" s="22" t="s">
        <v>928</v>
      </c>
      <c r="B15" s="22" t="s">
        <v>927</v>
      </c>
      <c r="C15" s="22" t="s">
        <v>913</v>
      </c>
      <c r="D15" s="22" t="s">
        <v>916</v>
      </c>
      <c r="E15" s="26"/>
    </row>
    <row r="16" spans="1:5" x14ac:dyDescent="0.2">
      <c r="A16" s="22" t="s">
        <v>929</v>
      </c>
      <c r="B16" s="22" t="s">
        <v>927</v>
      </c>
      <c r="C16" s="22" t="s">
        <v>913</v>
      </c>
      <c r="D16" s="22" t="s">
        <v>918</v>
      </c>
      <c r="E16" s="26"/>
    </row>
    <row r="17" spans="1:5" x14ac:dyDescent="0.2">
      <c r="A17" s="22" t="s">
        <v>930</v>
      </c>
      <c r="B17" s="22" t="s">
        <v>927</v>
      </c>
      <c r="C17" s="22" t="s">
        <v>913</v>
      </c>
      <c r="D17" s="22" t="s">
        <v>920</v>
      </c>
      <c r="E17" s="26"/>
    </row>
    <row r="18" spans="1:5" x14ac:dyDescent="0.2">
      <c r="A18" s="22" t="s">
        <v>931</v>
      </c>
      <c r="B18" s="22" t="s">
        <v>932</v>
      </c>
      <c r="C18" s="22" t="s">
        <v>933</v>
      </c>
      <c r="D18" s="22" t="s">
        <v>934</v>
      </c>
      <c r="E18" s="26"/>
    </row>
    <row r="19" spans="1:5" x14ac:dyDescent="0.2">
      <c r="A19" s="22" t="s">
        <v>935</v>
      </c>
      <c r="B19" s="22" t="s">
        <v>932</v>
      </c>
      <c r="C19" s="22" t="s">
        <v>933</v>
      </c>
      <c r="D19" s="22" t="s">
        <v>936</v>
      </c>
      <c r="E19" s="26"/>
    </row>
    <row r="20" spans="1:5" x14ac:dyDescent="0.2">
      <c r="A20" s="22" t="s">
        <v>937</v>
      </c>
      <c r="B20" s="22" t="s">
        <v>932</v>
      </c>
      <c r="C20" s="22" t="s">
        <v>933</v>
      </c>
      <c r="D20" s="22" t="s">
        <v>938</v>
      </c>
      <c r="E20" s="26"/>
    </row>
    <row r="21" spans="1:5" x14ac:dyDescent="0.2">
      <c r="A21" s="22" t="s">
        <v>939</v>
      </c>
      <c r="B21" s="22" t="s">
        <v>932</v>
      </c>
      <c r="C21" s="22" t="s">
        <v>933</v>
      </c>
      <c r="D21" s="22" t="s">
        <v>940</v>
      </c>
      <c r="E21" s="26"/>
    </row>
    <row r="22" spans="1:5" x14ac:dyDescent="0.2">
      <c r="A22" s="22" t="s">
        <v>941</v>
      </c>
      <c r="B22" s="22" t="s">
        <v>942</v>
      </c>
      <c r="C22" s="22" t="s">
        <v>933</v>
      </c>
      <c r="D22" s="22" t="s">
        <v>934</v>
      </c>
      <c r="E22" s="26"/>
    </row>
    <row r="23" spans="1:5" x14ac:dyDescent="0.2">
      <c r="A23" s="22" t="s">
        <v>943</v>
      </c>
      <c r="B23" s="22" t="s">
        <v>942</v>
      </c>
      <c r="C23" s="22" t="s">
        <v>933</v>
      </c>
      <c r="D23" s="22" t="s">
        <v>936</v>
      </c>
      <c r="E23" s="26"/>
    </row>
    <row r="24" spans="1:5" x14ac:dyDescent="0.2">
      <c r="A24" s="22" t="s">
        <v>944</v>
      </c>
      <c r="B24" s="22" t="s">
        <v>942</v>
      </c>
      <c r="C24" s="22" t="s">
        <v>933</v>
      </c>
      <c r="D24" s="22" t="s">
        <v>938</v>
      </c>
      <c r="E24" s="26"/>
    </row>
    <row r="25" spans="1:5" x14ac:dyDescent="0.2">
      <c r="A25" s="22" t="s">
        <v>945</v>
      </c>
      <c r="B25" s="22" t="s">
        <v>942</v>
      </c>
      <c r="C25" s="22" t="s">
        <v>933</v>
      </c>
      <c r="D25" s="22" t="s">
        <v>940</v>
      </c>
      <c r="E25" s="26"/>
    </row>
    <row r="26" spans="1:5" x14ac:dyDescent="0.2">
      <c r="A26" s="22" t="s">
        <v>946</v>
      </c>
      <c r="B26" s="22" t="s">
        <v>947</v>
      </c>
      <c r="C26" s="22" t="s">
        <v>933</v>
      </c>
      <c r="D26" s="22" t="s">
        <v>934</v>
      </c>
      <c r="E26" s="26"/>
    </row>
    <row r="27" spans="1:5" x14ac:dyDescent="0.2">
      <c r="A27" s="22" t="s">
        <v>948</v>
      </c>
      <c r="B27" s="22" t="s">
        <v>947</v>
      </c>
      <c r="C27" s="22" t="s">
        <v>933</v>
      </c>
      <c r="D27" s="22" t="s">
        <v>936</v>
      </c>
      <c r="E27" s="26"/>
    </row>
    <row r="28" spans="1:5" x14ac:dyDescent="0.2">
      <c r="A28" s="22" t="s">
        <v>949</v>
      </c>
      <c r="B28" s="22" t="s">
        <v>947</v>
      </c>
      <c r="C28" s="22" t="s">
        <v>933</v>
      </c>
      <c r="D28" s="22" t="s">
        <v>938</v>
      </c>
      <c r="E28" s="26"/>
    </row>
    <row r="29" spans="1:5" x14ac:dyDescent="0.2">
      <c r="A29" s="22" t="s">
        <v>950</v>
      </c>
      <c r="B29" s="22" t="s">
        <v>947</v>
      </c>
      <c r="C29" s="22" t="s">
        <v>933</v>
      </c>
      <c r="D29" s="22" t="s">
        <v>940</v>
      </c>
      <c r="E29" s="26"/>
    </row>
    <row r="30" spans="1:5" x14ac:dyDescent="0.2">
      <c r="A30" s="22" t="s">
        <v>951</v>
      </c>
      <c r="B30" s="22" t="s">
        <v>952</v>
      </c>
      <c r="C30" s="22" t="s">
        <v>933</v>
      </c>
      <c r="D30" s="22" t="s">
        <v>934</v>
      </c>
      <c r="E30" s="26"/>
    </row>
    <row r="31" spans="1:5" x14ac:dyDescent="0.2">
      <c r="A31" s="22" t="s">
        <v>953</v>
      </c>
      <c r="B31" s="22" t="s">
        <v>952</v>
      </c>
      <c r="C31" s="22" t="s">
        <v>933</v>
      </c>
      <c r="D31" s="22" t="s">
        <v>936</v>
      </c>
      <c r="E31" s="26"/>
    </row>
    <row r="32" spans="1:5" x14ac:dyDescent="0.2">
      <c r="A32" s="22" t="s">
        <v>954</v>
      </c>
      <c r="B32" s="22" t="s">
        <v>952</v>
      </c>
      <c r="C32" s="22" t="s">
        <v>933</v>
      </c>
      <c r="D32" s="22" t="s">
        <v>938</v>
      </c>
      <c r="E32" s="26"/>
    </row>
    <row r="33" spans="1:5" x14ac:dyDescent="0.2">
      <c r="A33" s="22" t="s">
        <v>955</v>
      </c>
      <c r="B33" s="22" t="s">
        <v>952</v>
      </c>
      <c r="C33" s="22" t="s">
        <v>933</v>
      </c>
      <c r="D33" s="22" t="s">
        <v>940</v>
      </c>
      <c r="E33" s="26"/>
    </row>
    <row r="34" spans="1:5" x14ac:dyDescent="0.2">
      <c r="A34" s="22" t="s">
        <v>956</v>
      </c>
      <c r="B34" s="22" t="s">
        <v>957</v>
      </c>
      <c r="C34" s="22" t="s">
        <v>933</v>
      </c>
      <c r="D34" s="22" t="s">
        <v>934</v>
      </c>
      <c r="E34" s="26"/>
    </row>
    <row r="35" spans="1:5" x14ac:dyDescent="0.2">
      <c r="A35" s="22" t="s">
        <v>958</v>
      </c>
      <c r="B35" s="22" t="s">
        <v>957</v>
      </c>
      <c r="C35" s="22" t="s">
        <v>933</v>
      </c>
      <c r="D35" s="22" t="s">
        <v>936</v>
      </c>
      <c r="E35" s="26"/>
    </row>
    <row r="36" spans="1:5" x14ac:dyDescent="0.2">
      <c r="A36" s="22" t="s">
        <v>959</v>
      </c>
      <c r="B36" s="22" t="s">
        <v>957</v>
      </c>
      <c r="C36" s="22" t="s">
        <v>933</v>
      </c>
      <c r="D36" s="22" t="s">
        <v>938</v>
      </c>
      <c r="E36" s="26"/>
    </row>
    <row r="37" spans="1:5" x14ac:dyDescent="0.2">
      <c r="A37" s="22" t="s">
        <v>960</v>
      </c>
      <c r="B37" s="22" t="s">
        <v>957</v>
      </c>
      <c r="C37" s="22" t="s">
        <v>933</v>
      </c>
      <c r="D37" s="22" t="s">
        <v>940</v>
      </c>
      <c r="E37" s="26"/>
    </row>
    <row r="38" spans="1:5" x14ac:dyDescent="0.2">
      <c r="A38" s="22" t="s">
        <v>961</v>
      </c>
      <c r="B38" s="22" t="s">
        <v>962</v>
      </c>
      <c r="C38" s="22" t="s">
        <v>933</v>
      </c>
      <c r="D38" s="22" t="s">
        <v>934</v>
      </c>
      <c r="E38" s="26"/>
    </row>
    <row r="39" spans="1:5" x14ac:dyDescent="0.2">
      <c r="A39" s="22" t="s">
        <v>963</v>
      </c>
      <c r="B39" s="22" t="s">
        <v>962</v>
      </c>
      <c r="C39" s="22" t="s">
        <v>933</v>
      </c>
      <c r="D39" s="22" t="s">
        <v>936</v>
      </c>
      <c r="E39" s="26"/>
    </row>
    <row r="40" spans="1:5" x14ac:dyDescent="0.2">
      <c r="A40" s="22" t="s">
        <v>964</v>
      </c>
      <c r="B40" s="22" t="s">
        <v>962</v>
      </c>
      <c r="C40" s="22" t="s">
        <v>933</v>
      </c>
      <c r="D40" s="22" t="s">
        <v>938</v>
      </c>
      <c r="E40" s="26"/>
    </row>
    <row r="41" spans="1:5" x14ac:dyDescent="0.2">
      <c r="A41" s="22" t="s">
        <v>965</v>
      </c>
      <c r="B41" s="22" t="s">
        <v>962</v>
      </c>
      <c r="C41" s="22" t="s">
        <v>933</v>
      </c>
      <c r="D41" s="22" t="s">
        <v>940</v>
      </c>
      <c r="E41" s="26"/>
    </row>
    <row r="42" spans="1:5" x14ac:dyDescent="0.2">
      <c r="A42" s="22" t="s">
        <v>966</v>
      </c>
      <c r="B42" s="22" t="s">
        <v>967</v>
      </c>
      <c r="C42" s="22" t="s">
        <v>933</v>
      </c>
      <c r="D42" s="22" t="s">
        <v>934</v>
      </c>
      <c r="E42" s="26"/>
    </row>
    <row r="43" spans="1:5" x14ac:dyDescent="0.2">
      <c r="A43" s="22" t="s">
        <v>968</v>
      </c>
      <c r="B43" s="22" t="s">
        <v>967</v>
      </c>
      <c r="C43" s="22" t="s">
        <v>933</v>
      </c>
      <c r="D43" s="22" t="s">
        <v>936</v>
      </c>
      <c r="E43" s="26"/>
    </row>
    <row r="44" spans="1:5" x14ac:dyDescent="0.2">
      <c r="A44" s="22" t="s">
        <v>969</v>
      </c>
      <c r="B44" s="22" t="s">
        <v>967</v>
      </c>
      <c r="C44" s="22" t="s">
        <v>933</v>
      </c>
      <c r="D44" s="22" t="s">
        <v>938</v>
      </c>
      <c r="E44" s="26"/>
    </row>
    <row r="45" spans="1:5" x14ac:dyDescent="0.2">
      <c r="A45" s="22" t="s">
        <v>970</v>
      </c>
      <c r="B45" s="22" t="s">
        <v>967</v>
      </c>
      <c r="C45" s="22" t="s">
        <v>933</v>
      </c>
      <c r="D45" s="22" t="s">
        <v>940</v>
      </c>
      <c r="E45" s="26"/>
    </row>
    <row r="46" spans="1:5" x14ac:dyDescent="0.2">
      <c r="A46" s="22" t="s">
        <v>971</v>
      </c>
      <c r="B46" s="22" t="s">
        <v>972</v>
      </c>
      <c r="C46" s="22" t="s">
        <v>933</v>
      </c>
      <c r="D46" s="22" t="s">
        <v>973</v>
      </c>
      <c r="E46" s="26"/>
    </row>
    <row r="47" spans="1:5" x14ac:dyDescent="0.2">
      <c r="A47" s="22" t="s">
        <v>974</v>
      </c>
      <c r="B47" s="22" t="s">
        <v>972</v>
      </c>
      <c r="C47" s="22" t="s">
        <v>933</v>
      </c>
      <c r="D47" s="22" t="s">
        <v>975</v>
      </c>
      <c r="E47" s="26"/>
    </row>
    <row r="48" spans="1:5" x14ac:dyDescent="0.2">
      <c r="A48" s="22" t="s">
        <v>976</v>
      </c>
      <c r="B48" s="22" t="s">
        <v>972</v>
      </c>
      <c r="C48" s="22" t="s">
        <v>933</v>
      </c>
      <c r="D48" s="22" t="s">
        <v>977</v>
      </c>
      <c r="E48" s="26"/>
    </row>
    <row r="49" spans="1:5" x14ac:dyDescent="0.2">
      <c r="A49" s="22" t="s">
        <v>978</v>
      </c>
      <c r="B49" s="22" t="s">
        <v>972</v>
      </c>
      <c r="C49" s="22" t="s">
        <v>933</v>
      </c>
      <c r="D49" s="22" t="s">
        <v>979</v>
      </c>
      <c r="E49" s="26"/>
    </row>
    <row r="50" spans="1:5" x14ac:dyDescent="0.2">
      <c r="A50" s="22" t="s">
        <v>980</v>
      </c>
      <c r="B50" s="22" t="s">
        <v>981</v>
      </c>
      <c r="C50" s="22" t="s">
        <v>933</v>
      </c>
      <c r="D50" s="22" t="s">
        <v>973</v>
      </c>
      <c r="E50" s="26"/>
    </row>
    <row r="51" spans="1:5" x14ac:dyDescent="0.2">
      <c r="A51" s="22" t="s">
        <v>982</v>
      </c>
      <c r="B51" s="22" t="s">
        <v>981</v>
      </c>
      <c r="C51" s="22" t="s">
        <v>933</v>
      </c>
      <c r="D51" s="22" t="s">
        <v>975</v>
      </c>
      <c r="E51" s="26"/>
    </row>
    <row r="52" spans="1:5" x14ac:dyDescent="0.2">
      <c r="A52" s="22" t="s">
        <v>983</v>
      </c>
      <c r="B52" s="22" t="s">
        <v>981</v>
      </c>
      <c r="C52" s="22" t="s">
        <v>933</v>
      </c>
      <c r="D52" s="22" t="s">
        <v>977</v>
      </c>
      <c r="E52" s="26"/>
    </row>
    <row r="53" spans="1:5" x14ac:dyDescent="0.2">
      <c r="A53" s="22" t="s">
        <v>984</v>
      </c>
      <c r="B53" s="22" t="s">
        <v>981</v>
      </c>
      <c r="C53" s="22" t="s">
        <v>933</v>
      </c>
      <c r="D53" s="22" t="s">
        <v>979</v>
      </c>
      <c r="E53" s="26"/>
    </row>
    <row r="54" spans="1:5" x14ac:dyDescent="0.2">
      <c r="A54" s="22" t="s">
        <v>985</v>
      </c>
      <c r="B54" s="22" t="s">
        <v>986</v>
      </c>
      <c r="C54" s="22" t="s">
        <v>933</v>
      </c>
      <c r="D54" s="22" t="s">
        <v>973</v>
      </c>
      <c r="E54" s="26"/>
    </row>
    <row r="55" spans="1:5" x14ac:dyDescent="0.2">
      <c r="A55" s="22" t="s">
        <v>987</v>
      </c>
      <c r="B55" s="22" t="s">
        <v>986</v>
      </c>
      <c r="C55" s="22" t="s">
        <v>933</v>
      </c>
      <c r="D55" s="22" t="s">
        <v>975</v>
      </c>
      <c r="E55" s="26"/>
    </row>
    <row r="56" spans="1:5" x14ac:dyDescent="0.2">
      <c r="A56" s="22" t="s">
        <v>988</v>
      </c>
      <c r="B56" s="22" t="s">
        <v>986</v>
      </c>
      <c r="C56" s="22" t="s">
        <v>933</v>
      </c>
      <c r="D56" s="22" t="s">
        <v>977</v>
      </c>
      <c r="E56" s="26"/>
    </row>
    <row r="57" spans="1:5" x14ac:dyDescent="0.2">
      <c r="A57" s="22" t="s">
        <v>989</v>
      </c>
      <c r="B57" s="22" t="s">
        <v>986</v>
      </c>
      <c r="C57" s="22" t="s">
        <v>933</v>
      </c>
      <c r="D57" s="22" t="s">
        <v>979</v>
      </c>
      <c r="E57" s="26"/>
    </row>
    <row r="58" spans="1:5" x14ac:dyDescent="0.2">
      <c r="A58" s="22" t="s">
        <v>990</v>
      </c>
      <c r="B58" s="22" t="s">
        <v>991</v>
      </c>
      <c r="C58" s="22" t="s">
        <v>933</v>
      </c>
      <c r="D58" s="22" t="s">
        <v>973</v>
      </c>
      <c r="E58" s="26"/>
    </row>
    <row r="59" spans="1:5" x14ac:dyDescent="0.2">
      <c r="A59" s="22" t="s">
        <v>992</v>
      </c>
      <c r="B59" s="22" t="s">
        <v>991</v>
      </c>
      <c r="C59" s="22" t="s">
        <v>933</v>
      </c>
      <c r="D59" s="22" t="s">
        <v>975</v>
      </c>
      <c r="E59" s="26"/>
    </row>
    <row r="60" spans="1:5" x14ac:dyDescent="0.2">
      <c r="A60" s="22" t="s">
        <v>993</v>
      </c>
      <c r="B60" s="22" t="s">
        <v>991</v>
      </c>
      <c r="C60" s="22" t="s">
        <v>933</v>
      </c>
      <c r="D60" s="22" t="s">
        <v>977</v>
      </c>
      <c r="E60" s="26"/>
    </row>
    <row r="61" spans="1:5" x14ac:dyDescent="0.2">
      <c r="A61" s="22" t="s">
        <v>994</v>
      </c>
      <c r="B61" s="22" t="s">
        <v>991</v>
      </c>
      <c r="C61" s="22" t="s">
        <v>933</v>
      </c>
      <c r="D61" s="22" t="s">
        <v>979</v>
      </c>
      <c r="E61" s="26"/>
    </row>
    <row r="62" spans="1:5" x14ac:dyDescent="0.2">
      <c r="A62" s="22" t="s">
        <v>995</v>
      </c>
      <c r="B62" s="22" t="s">
        <v>996</v>
      </c>
      <c r="C62" s="22" t="s">
        <v>933</v>
      </c>
      <c r="D62" s="22" t="s">
        <v>973</v>
      </c>
      <c r="E62" s="26"/>
    </row>
    <row r="63" spans="1:5" x14ac:dyDescent="0.2">
      <c r="A63" s="22" t="s">
        <v>997</v>
      </c>
      <c r="B63" s="22" t="s">
        <v>996</v>
      </c>
      <c r="C63" s="22" t="s">
        <v>933</v>
      </c>
      <c r="D63" s="22" t="s">
        <v>975</v>
      </c>
      <c r="E63" s="26"/>
    </row>
    <row r="64" spans="1:5" x14ac:dyDescent="0.2">
      <c r="A64" s="22" t="s">
        <v>998</v>
      </c>
      <c r="B64" s="22" t="s">
        <v>996</v>
      </c>
      <c r="C64" s="22" t="s">
        <v>933</v>
      </c>
      <c r="D64" s="22" t="s">
        <v>977</v>
      </c>
      <c r="E64" s="26"/>
    </row>
    <row r="65" spans="1:5" x14ac:dyDescent="0.2">
      <c r="A65" s="22" t="s">
        <v>999</v>
      </c>
      <c r="B65" s="22" t="s">
        <v>996</v>
      </c>
      <c r="C65" s="22" t="s">
        <v>933</v>
      </c>
      <c r="D65" s="22" t="s">
        <v>979</v>
      </c>
      <c r="E65" s="26"/>
    </row>
    <row r="66" spans="1:5" x14ac:dyDescent="0.2">
      <c r="A66" s="22" t="s">
        <v>1000</v>
      </c>
      <c r="B66" s="22" t="s">
        <v>1001</v>
      </c>
      <c r="C66" s="22" t="s">
        <v>933</v>
      </c>
      <c r="D66" s="22" t="s">
        <v>973</v>
      </c>
      <c r="E66" s="26"/>
    </row>
    <row r="67" spans="1:5" x14ac:dyDescent="0.2">
      <c r="A67" s="22" t="s">
        <v>1002</v>
      </c>
      <c r="B67" s="22" t="s">
        <v>1001</v>
      </c>
      <c r="C67" s="22" t="s">
        <v>933</v>
      </c>
      <c r="D67" s="22" t="s">
        <v>975</v>
      </c>
      <c r="E67" s="26"/>
    </row>
    <row r="68" spans="1:5" x14ac:dyDescent="0.2">
      <c r="A68" s="22" t="s">
        <v>1003</v>
      </c>
      <c r="B68" s="22" t="s">
        <v>1001</v>
      </c>
      <c r="C68" s="22" t="s">
        <v>933</v>
      </c>
      <c r="D68" s="22" t="s">
        <v>977</v>
      </c>
      <c r="E68" s="26"/>
    </row>
    <row r="69" spans="1:5" x14ac:dyDescent="0.2">
      <c r="A69" s="22" t="s">
        <v>1004</v>
      </c>
      <c r="B69" s="22" t="s">
        <v>1001</v>
      </c>
      <c r="C69" s="22" t="s">
        <v>933</v>
      </c>
      <c r="D69" s="22" t="s">
        <v>979</v>
      </c>
      <c r="E69" s="26"/>
    </row>
    <row r="70" spans="1:5" x14ac:dyDescent="0.2">
      <c r="A70" s="22" t="s">
        <v>1005</v>
      </c>
      <c r="B70" s="22" t="s">
        <v>1006</v>
      </c>
      <c r="C70" s="22" t="s">
        <v>933</v>
      </c>
      <c r="D70" s="22" t="s">
        <v>973</v>
      </c>
      <c r="E70" s="26"/>
    </row>
    <row r="71" spans="1:5" x14ac:dyDescent="0.2">
      <c r="A71" s="22" t="s">
        <v>1007</v>
      </c>
      <c r="B71" s="22" t="s">
        <v>1006</v>
      </c>
      <c r="C71" s="22" t="s">
        <v>933</v>
      </c>
      <c r="D71" s="22" t="s">
        <v>975</v>
      </c>
      <c r="E71" s="26"/>
    </row>
    <row r="72" spans="1:5" x14ac:dyDescent="0.2">
      <c r="A72" s="22" t="s">
        <v>1008</v>
      </c>
      <c r="B72" s="22" t="s">
        <v>1006</v>
      </c>
      <c r="C72" s="22" t="s">
        <v>933</v>
      </c>
      <c r="D72" s="22" t="s">
        <v>977</v>
      </c>
      <c r="E72" s="26"/>
    </row>
    <row r="73" spans="1:5" x14ac:dyDescent="0.2">
      <c r="A73" s="22" t="s">
        <v>1009</v>
      </c>
      <c r="B73" s="22" t="s">
        <v>1006</v>
      </c>
      <c r="C73" s="22" t="s">
        <v>933</v>
      </c>
      <c r="D73" s="22" t="s">
        <v>979</v>
      </c>
      <c r="E73" s="26"/>
    </row>
    <row r="74" spans="1:5" x14ac:dyDescent="0.2">
      <c r="A74" s="22" t="s">
        <v>1010</v>
      </c>
      <c r="B74" s="22" t="s">
        <v>1011</v>
      </c>
      <c r="C74" s="22" t="s">
        <v>933</v>
      </c>
      <c r="D74" s="22" t="s">
        <v>973</v>
      </c>
      <c r="E74" s="26"/>
    </row>
    <row r="75" spans="1:5" x14ac:dyDescent="0.2">
      <c r="A75" s="22" t="s">
        <v>1012</v>
      </c>
      <c r="B75" s="22" t="s">
        <v>1011</v>
      </c>
      <c r="C75" s="22" t="s">
        <v>933</v>
      </c>
      <c r="D75" s="22" t="s">
        <v>975</v>
      </c>
      <c r="E75" s="26"/>
    </row>
    <row r="76" spans="1:5" x14ac:dyDescent="0.2">
      <c r="A76" s="22" t="s">
        <v>1013</v>
      </c>
      <c r="B76" s="22" t="s">
        <v>1011</v>
      </c>
      <c r="C76" s="22" t="s">
        <v>933</v>
      </c>
      <c r="D76" s="22" t="s">
        <v>977</v>
      </c>
      <c r="E76" s="26"/>
    </row>
    <row r="77" spans="1:5" x14ac:dyDescent="0.2">
      <c r="A77" s="22" t="s">
        <v>1014</v>
      </c>
      <c r="B77" s="22" t="s">
        <v>1011</v>
      </c>
      <c r="C77" s="22" t="s">
        <v>933</v>
      </c>
      <c r="D77" s="22" t="s">
        <v>979</v>
      </c>
      <c r="E77" s="26"/>
    </row>
    <row r="78" spans="1:5" x14ac:dyDescent="0.2">
      <c r="A78" s="22" t="s">
        <v>1015</v>
      </c>
      <c r="B78" s="22" t="s">
        <v>1016</v>
      </c>
      <c r="C78" s="22" t="s">
        <v>933</v>
      </c>
      <c r="D78" s="22" t="s">
        <v>973</v>
      </c>
      <c r="E78" s="26"/>
    </row>
    <row r="79" spans="1:5" x14ac:dyDescent="0.2">
      <c r="A79" s="22" t="s">
        <v>1017</v>
      </c>
      <c r="B79" s="22" t="s">
        <v>1016</v>
      </c>
      <c r="C79" s="22" t="s">
        <v>933</v>
      </c>
      <c r="D79" s="22" t="s">
        <v>975</v>
      </c>
      <c r="E79" s="26"/>
    </row>
    <row r="80" spans="1:5" x14ac:dyDescent="0.2">
      <c r="A80" s="22" t="s">
        <v>1018</v>
      </c>
      <c r="B80" s="22" t="s">
        <v>1016</v>
      </c>
      <c r="C80" s="22" t="s">
        <v>933</v>
      </c>
      <c r="D80" s="22" t="s">
        <v>977</v>
      </c>
      <c r="E80" s="26"/>
    </row>
    <row r="81" spans="1:5" x14ac:dyDescent="0.2">
      <c r="A81" s="22" t="s">
        <v>1019</v>
      </c>
      <c r="B81" s="22" t="s">
        <v>1016</v>
      </c>
      <c r="C81" s="22" t="s">
        <v>933</v>
      </c>
      <c r="D81" s="22" t="s">
        <v>979</v>
      </c>
      <c r="E81" s="26"/>
    </row>
    <row r="82" spans="1:5" x14ac:dyDescent="0.2">
      <c r="A82" s="22" t="s">
        <v>1020</v>
      </c>
      <c r="B82" s="22" t="s">
        <v>1021</v>
      </c>
      <c r="C82" s="22" t="s">
        <v>913</v>
      </c>
      <c r="D82" s="22" t="s">
        <v>914</v>
      </c>
      <c r="E82" s="26"/>
    </row>
    <row r="83" spans="1:5" x14ac:dyDescent="0.2">
      <c r="A83" s="22" t="s">
        <v>1022</v>
      </c>
      <c r="B83" s="22" t="s">
        <v>1021</v>
      </c>
      <c r="C83" s="22" t="s">
        <v>913</v>
      </c>
      <c r="D83" s="22" t="s">
        <v>916</v>
      </c>
      <c r="E83" s="26"/>
    </row>
    <row r="84" spans="1:5" x14ac:dyDescent="0.2">
      <c r="A84" s="22" t="s">
        <v>1023</v>
      </c>
      <c r="B84" s="22" t="s">
        <v>1021</v>
      </c>
      <c r="C84" s="22" t="s">
        <v>913</v>
      </c>
      <c r="D84" s="22" t="s">
        <v>918</v>
      </c>
      <c r="E84" s="26"/>
    </row>
    <row r="85" spans="1:5" x14ac:dyDescent="0.2">
      <c r="A85" s="27" t="s">
        <v>1024</v>
      </c>
      <c r="B85" s="27" t="s">
        <v>1021</v>
      </c>
      <c r="C85" s="27" t="s">
        <v>913</v>
      </c>
      <c r="D85" s="27" t="s">
        <v>920</v>
      </c>
      <c r="E85" s="31"/>
    </row>
    <row r="86" spans="1:5" x14ac:dyDescent="0.2">
      <c r="A86" s="50" t="s">
        <v>264</v>
      </c>
      <c r="B86" s="51"/>
      <c r="C86" s="51"/>
      <c r="D86" s="51"/>
      <c r="E86" s="128"/>
    </row>
    <row r="88" spans="1:5" x14ac:dyDescent="0.2">
      <c r="A88" s="50" t="s">
        <v>1025</v>
      </c>
      <c r="B88" s="51"/>
      <c r="C88" s="51"/>
      <c r="D88" s="51"/>
      <c r="E88" s="128"/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8243-24EA-48D0-B75B-51C5F43331E8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I.1.11: ",tabeltype," regiewerk")</f>
        <v>Bijlage I.1.11: Invultabel regiewerk</v>
      </c>
    </row>
    <row r="3" spans="1:12" ht="38.25" x14ac:dyDescent="0.2">
      <c r="A3" s="8" t="s">
        <v>889</v>
      </c>
      <c r="B3" s="8" t="s">
        <v>8</v>
      </c>
      <c r="C3" s="8" t="s">
        <v>890</v>
      </c>
      <c r="D3" s="8" t="s">
        <v>45</v>
      </c>
      <c r="E3" s="8" t="s">
        <v>48</v>
      </c>
      <c r="F3" s="8" t="s">
        <v>891</v>
      </c>
      <c r="G3" s="8" t="s">
        <v>892</v>
      </c>
      <c r="H3" s="8" t="s">
        <v>893</v>
      </c>
      <c r="I3" s="8" t="s">
        <v>894</v>
      </c>
      <c r="J3" s="8" t="s">
        <v>895</v>
      </c>
      <c r="K3" s="8" t="s">
        <v>185</v>
      </c>
      <c r="L3" s="8" t="s">
        <v>811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7" t="s">
        <v>1026</v>
      </c>
      <c r="B6" s="17" t="s">
        <v>35</v>
      </c>
      <c r="C6" s="18">
        <f>IF(ISBLANK(B6),0,IF(ISERROR(VALUE(B6)),VLOOKUP(B6,dagsoorttabel1,2,FALSE)*dagenperjaar1,VALUE(B6)))</f>
        <v>12</v>
      </c>
      <c r="D6" s="17" t="s">
        <v>1027</v>
      </c>
      <c r="E6" s="17" t="s">
        <v>898</v>
      </c>
      <c r="F6" s="121">
        <v>20</v>
      </c>
      <c r="G6" s="21"/>
      <c r="H6" s="122"/>
      <c r="I6" s="21"/>
      <c r="J6" s="40">
        <f>IF(ISBLANK(F6),0,F6)*I6</f>
        <v>0</v>
      </c>
      <c r="K6" s="40">
        <f>C6*J6</f>
        <v>0</v>
      </c>
      <c r="L6" s="40">
        <f>K6/12</f>
        <v>0</v>
      </c>
    </row>
    <row r="7" spans="1:12" x14ac:dyDescent="0.2">
      <c r="A7" s="22" t="s">
        <v>1028</v>
      </c>
      <c r="B7" s="22" t="s">
        <v>35</v>
      </c>
      <c r="C7" s="23">
        <f>IF(ISBLANK(B7),0,IF(ISERROR(VALUE(B7)),VLOOKUP(B7,dagsoorttabel1,2,FALSE)*dagenperjaar1,VALUE(B7)))</f>
        <v>12</v>
      </c>
      <c r="D7" s="22" t="s">
        <v>1029</v>
      </c>
      <c r="E7" s="22" t="s">
        <v>898</v>
      </c>
      <c r="F7" s="123">
        <v>4</v>
      </c>
      <c r="G7" s="26"/>
      <c r="H7" s="124"/>
      <c r="I7" s="26"/>
      <c r="J7" s="44">
        <f>IF(ISBLANK(F7),0,F7)*I7</f>
        <v>0</v>
      </c>
      <c r="K7" s="44">
        <f>C7*J7</f>
        <v>0</v>
      </c>
      <c r="L7" s="44">
        <f>K7/12</f>
        <v>0</v>
      </c>
    </row>
    <row r="8" spans="1:12" x14ac:dyDescent="0.2">
      <c r="A8" s="27" t="s">
        <v>1030</v>
      </c>
      <c r="B8" s="27" t="s">
        <v>35</v>
      </c>
      <c r="C8" s="28">
        <f>IF(ISBLANK(B8),0,IF(ISERROR(VALUE(B8)),VLOOKUP(B8,dagsoorttabel1,2,FALSE)*dagenperjaar1,VALUE(B8)))</f>
        <v>12</v>
      </c>
      <c r="D8" s="27" t="s">
        <v>1031</v>
      </c>
      <c r="E8" s="27" t="s">
        <v>898</v>
      </c>
      <c r="F8" s="125">
        <v>2</v>
      </c>
      <c r="G8" s="31"/>
      <c r="H8" s="126"/>
      <c r="I8" s="31"/>
      <c r="J8" s="48">
        <f>IF(ISBLANK(F8),0,F8)*I8</f>
        <v>0</v>
      </c>
      <c r="K8" s="48">
        <f>C8*J8</f>
        <v>0</v>
      </c>
      <c r="L8" s="48">
        <f>K8/12</f>
        <v>0</v>
      </c>
    </row>
    <row r="9" spans="1:12" x14ac:dyDescent="0.2">
      <c r="A9" s="50" t="s">
        <v>264</v>
      </c>
      <c r="B9" s="51"/>
      <c r="C9" s="51"/>
      <c r="D9" s="51"/>
      <c r="E9" s="51"/>
      <c r="F9" s="51"/>
      <c r="G9" s="51"/>
      <c r="H9" s="51"/>
      <c r="I9" s="51"/>
      <c r="J9" s="51"/>
      <c r="K9" s="53">
        <f>SUM(K6:K8)</f>
        <v>0</v>
      </c>
      <c r="L9" s="127">
        <f>K9/12</f>
        <v>0</v>
      </c>
    </row>
    <row r="10" spans="1:12" x14ac:dyDescent="0.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spans="1:12" x14ac:dyDescent="0.2">
      <c r="A11" s="12" t="s">
        <v>171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x14ac:dyDescent="0.2">
      <c r="A12" s="102" t="s">
        <v>1032</v>
      </c>
      <c r="B12" s="102" t="s">
        <v>38</v>
      </c>
      <c r="C12" s="129">
        <f>IF(ISBLANK(B12),0,IF(ISERROR(VALUE(B12)),VLOOKUP(B12,dagsoorttabel1,2,FALSE)*dagenperjaar1,VALUE(B12)))</f>
        <v>4</v>
      </c>
      <c r="D12" s="102" t="s">
        <v>1033</v>
      </c>
      <c r="E12" s="102" t="s">
        <v>898</v>
      </c>
      <c r="F12" s="130">
        <v>10</v>
      </c>
      <c r="G12" s="131"/>
      <c r="H12" s="132"/>
      <c r="I12" s="131"/>
      <c r="J12" s="107">
        <f>IF(ISBLANK(F12),0,F12)*I12</f>
        <v>0</v>
      </c>
      <c r="K12" s="107">
        <f>C12*J12</f>
        <v>0</v>
      </c>
      <c r="L12" s="107">
        <f>K12/12</f>
        <v>0</v>
      </c>
    </row>
    <row r="13" spans="1:12" x14ac:dyDescent="0.2">
      <c r="A13" s="50" t="s">
        <v>286</v>
      </c>
      <c r="B13" s="51"/>
      <c r="C13" s="51"/>
      <c r="D13" s="51"/>
      <c r="E13" s="51"/>
      <c r="F13" s="51"/>
      <c r="G13" s="51"/>
      <c r="H13" s="51"/>
      <c r="I13" s="51"/>
      <c r="J13" s="51"/>
      <c r="K13" s="53">
        <f>SUM(K12:K12)</f>
        <v>0</v>
      </c>
      <c r="L13" s="127">
        <f>K13/12</f>
        <v>0</v>
      </c>
    </row>
    <row r="15" spans="1:12" x14ac:dyDescent="0.2">
      <c r="A15" s="50" t="s">
        <v>1034</v>
      </c>
      <c r="B15" s="51"/>
      <c r="C15" s="51"/>
      <c r="D15" s="51"/>
      <c r="E15" s="51"/>
      <c r="F15" s="51"/>
      <c r="G15" s="51"/>
      <c r="H15" s="51"/>
      <c r="I15" s="51"/>
      <c r="J15" s="51"/>
      <c r="K15" s="53">
        <f>prijsjaarregie1+prijsjaarregie4</f>
        <v>0</v>
      </c>
      <c r="L15" s="127">
        <f>K15/12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BBB7-BCAE-41ED-B141-6C0BC563EB2D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I.1.12: ",tabeltype," glas")</f>
        <v>Bijlage I.1.12: Invultabel glas</v>
      </c>
    </row>
    <row r="3" spans="1:12" ht="38.25" x14ac:dyDescent="0.2">
      <c r="A3" s="8" t="s">
        <v>889</v>
      </c>
      <c r="B3" s="8" t="s">
        <v>8</v>
      </c>
      <c r="C3" s="8" t="s">
        <v>890</v>
      </c>
      <c r="D3" s="8" t="s">
        <v>45</v>
      </c>
      <c r="E3" s="8" t="s">
        <v>48</v>
      </c>
      <c r="F3" s="8" t="s">
        <v>891</v>
      </c>
      <c r="G3" s="8" t="s">
        <v>892</v>
      </c>
      <c r="H3" s="8" t="s">
        <v>893</v>
      </c>
      <c r="I3" s="8" t="s">
        <v>894</v>
      </c>
      <c r="J3" s="8" t="s">
        <v>895</v>
      </c>
      <c r="K3" s="8" t="s">
        <v>185</v>
      </c>
      <c r="L3" s="8" t="s">
        <v>811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7" t="s">
        <v>1035</v>
      </c>
      <c r="B6" s="17" t="s">
        <v>40</v>
      </c>
      <c r="C6" s="18">
        <f t="shared" ref="C6:C12" si="0">IF(ISBLANK(B6),0,IF(ISERROR(VALUE(B6)),VLOOKUP(B6,dagsoorttabel1,2,FALSE)*dagenperjaar1,VALUE(B6)))</f>
        <v>2</v>
      </c>
      <c r="D6" s="17" t="s">
        <v>1036</v>
      </c>
      <c r="E6" s="17" t="s">
        <v>933</v>
      </c>
      <c r="F6" s="121">
        <v>2032</v>
      </c>
      <c r="G6" s="21"/>
      <c r="H6" s="122"/>
      <c r="I6" s="21"/>
      <c r="J6" s="40">
        <f>IF(ISBLANK(F6),0,F6)*I6</f>
        <v>0</v>
      </c>
      <c r="K6" s="40">
        <f t="shared" ref="K6:K12" si="1">C6*J6</f>
        <v>0</v>
      </c>
      <c r="L6" s="40">
        <f t="shared" ref="L6:L13" si="2">K6/12</f>
        <v>0</v>
      </c>
    </row>
    <row r="7" spans="1:12" x14ac:dyDescent="0.2">
      <c r="A7" s="22" t="s">
        <v>1035</v>
      </c>
      <c r="B7" s="22" t="s">
        <v>38</v>
      </c>
      <c r="C7" s="23">
        <f t="shared" si="0"/>
        <v>4</v>
      </c>
      <c r="D7" s="22" t="s">
        <v>1036</v>
      </c>
      <c r="E7" s="22" t="s">
        <v>933</v>
      </c>
      <c r="F7" s="123">
        <v>600</v>
      </c>
      <c r="G7" s="26"/>
      <c r="H7" s="124"/>
      <c r="I7" s="26"/>
      <c r="J7" s="44">
        <f>IF(ISBLANK(F7),0,F7)*I7</f>
        <v>0</v>
      </c>
      <c r="K7" s="44">
        <f t="shared" si="1"/>
        <v>0</v>
      </c>
      <c r="L7" s="44">
        <f t="shared" si="2"/>
        <v>0</v>
      </c>
    </row>
    <row r="8" spans="1:12" x14ac:dyDescent="0.2">
      <c r="A8" s="22" t="s">
        <v>1037</v>
      </c>
      <c r="B8" s="22" t="s">
        <v>40</v>
      </c>
      <c r="C8" s="23">
        <f t="shared" si="0"/>
        <v>2</v>
      </c>
      <c r="D8" s="22" t="s">
        <v>1038</v>
      </c>
      <c r="E8" s="22" t="s">
        <v>933</v>
      </c>
      <c r="F8" s="123">
        <v>2632</v>
      </c>
      <c r="G8" s="26"/>
      <c r="H8" s="124"/>
      <c r="I8" s="26"/>
      <c r="J8" s="44">
        <f>IF(ISBLANK(F8),0,F8)*I8</f>
        <v>0</v>
      </c>
      <c r="K8" s="44">
        <f t="shared" si="1"/>
        <v>0</v>
      </c>
      <c r="L8" s="44">
        <f t="shared" si="2"/>
        <v>0</v>
      </c>
    </row>
    <row r="9" spans="1:12" x14ac:dyDescent="0.2">
      <c r="A9" s="22" t="s">
        <v>1039</v>
      </c>
      <c r="B9" s="22" t="s">
        <v>40</v>
      </c>
      <c r="C9" s="23">
        <f t="shared" si="0"/>
        <v>2</v>
      </c>
      <c r="D9" s="22" t="s">
        <v>1040</v>
      </c>
      <c r="E9" s="22" t="s">
        <v>933</v>
      </c>
      <c r="F9" s="123">
        <v>819</v>
      </c>
      <c r="G9" s="26"/>
      <c r="H9" s="124"/>
      <c r="I9" s="26"/>
      <c r="J9" s="44">
        <f>IF(ISBLANK(F9),0,F9)*I9</f>
        <v>0</v>
      </c>
      <c r="K9" s="44">
        <f t="shared" si="1"/>
        <v>0</v>
      </c>
      <c r="L9" s="44">
        <f t="shared" si="2"/>
        <v>0</v>
      </c>
    </row>
    <row r="10" spans="1:12" x14ac:dyDescent="0.2">
      <c r="A10" s="22" t="s">
        <v>1041</v>
      </c>
      <c r="B10" s="22" t="s">
        <v>40</v>
      </c>
      <c r="C10" s="23">
        <f t="shared" si="0"/>
        <v>2</v>
      </c>
      <c r="D10" s="22" t="s">
        <v>1042</v>
      </c>
      <c r="E10" s="22" t="s">
        <v>933</v>
      </c>
      <c r="F10" s="123">
        <v>354.5</v>
      </c>
      <c r="G10" s="26"/>
      <c r="H10" s="124"/>
      <c r="I10" s="26"/>
      <c r="J10" s="44">
        <f>IF(ISBLANK(F10),0,F10)*I10</f>
        <v>0</v>
      </c>
      <c r="K10" s="44">
        <f t="shared" si="1"/>
        <v>0</v>
      </c>
      <c r="L10" s="44">
        <f t="shared" si="2"/>
        <v>0</v>
      </c>
    </row>
    <row r="11" spans="1:12" x14ac:dyDescent="0.2">
      <c r="A11" s="22" t="s">
        <v>1043</v>
      </c>
      <c r="B11" s="22" t="s">
        <v>41</v>
      </c>
      <c r="C11" s="23">
        <f t="shared" si="0"/>
        <v>1</v>
      </c>
      <c r="D11" s="22" t="s">
        <v>1044</v>
      </c>
      <c r="E11" s="22" t="s">
        <v>1045</v>
      </c>
      <c r="F11" s="123">
        <v>1</v>
      </c>
      <c r="G11" s="26"/>
      <c r="H11" s="124"/>
      <c r="I11" s="26"/>
      <c r="J11" s="44">
        <f>IF(ISBLANK(F11),1,F11)*I11</f>
        <v>0</v>
      </c>
      <c r="K11" s="44">
        <f t="shared" si="1"/>
        <v>0</v>
      </c>
      <c r="L11" s="44">
        <f t="shared" si="2"/>
        <v>0</v>
      </c>
    </row>
    <row r="12" spans="1:12" x14ac:dyDescent="0.2">
      <c r="A12" s="27" t="s">
        <v>1046</v>
      </c>
      <c r="B12" s="27" t="s">
        <v>41</v>
      </c>
      <c r="C12" s="28">
        <f t="shared" si="0"/>
        <v>1</v>
      </c>
      <c r="D12" s="27" t="s">
        <v>1047</v>
      </c>
      <c r="E12" s="27" t="s">
        <v>1045</v>
      </c>
      <c r="F12" s="125">
        <v>1</v>
      </c>
      <c r="G12" s="31"/>
      <c r="H12" s="126"/>
      <c r="I12" s="31"/>
      <c r="J12" s="48">
        <f>IF(ISBLANK(F12),1,F12)*I12</f>
        <v>0</v>
      </c>
      <c r="K12" s="48">
        <f t="shared" si="1"/>
        <v>0</v>
      </c>
      <c r="L12" s="48">
        <f t="shared" si="2"/>
        <v>0</v>
      </c>
    </row>
    <row r="13" spans="1:12" x14ac:dyDescent="0.2">
      <c r="A13" s="50" t="s">
        <v>264</v>
      </c>
      <c r="B13" s="51"/>
      <c r="C13" s="51"/>
      <c r="D13" s="51"/>
      <c r="E13" s="51"/>
      <c r="F13" s="51"/>
      <c r="G13" s="51"/>
      <c r="H13" s="51"/>
      <c r="I13" s="51"/>
      <c r="J13" s="51"/>
      <c r="K13" s="53">
        <f>SUM(K6:K12)</f>
        <v>0</v>
      </c>
      <c r="L13" s="127">
        <f t="shared" si="2"/>
        <v>0</v>
      </c>
    </row>
    <row r="15" spans="1:12" x14ac:dyDescent="0.2">
      <c r="A15" s="50" t="s">
        <v>1048</v>
      </c>
      <c r="B15" s="51"/>
      <c r="C15" s="51"/>
      <c r="D15" s="51"/>
      <c r="E15" s="51"/>
      <c r="F15" s="51"/>
      <c r="G15" s="51"/>
      <c r="H15" s="51"/>
      <c r="I15" s="51"/>
      <c r="J15" s="51"/>
      <c r="K15" s="53">
        <f>prijsjaarglas1</f>
        <v>0</v>
      </c>
      <c r="L15" s="127">
        <f>K15/12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5274-6831-418D-9D2F-1F3697D42103}">
  <dimension ref="A1:M8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I.1.13: ",tabeltype," glas per locatie")</f>
        <v>Bijlage I.1.13: Invultabel glas per locatie</v>
      </c>
    </row>
    <row r="3" spans="1:13" ht="38.25" x14ac:dyDescent="0.2">
      <c r="A3" s="8" t="s">
        <v>889</v>
      </c>
      <c r="B3" s="8" t="s">
        <v>8</v>
      </c>
      <c r="C3" s="8" t="s">
        <v>890</v>
      </c>
      <c r="D3" s="8" t="s">
        <v>772</v>
      </c>
      <c r="E3" s="8" t="s">
        <v>45</v>
      </c>
      <c r="F3" s="8" t="s">
        <v>48</v>
      </c>
      <c r="G3" s="8" t="s">
        <v>891</v>
      </c>
      <c r="H3" s="8" t="s">
        <v>892</v>
      </c>
      <c r="I3" s="8" t="s">
        <v>893</v>
      </c>
      <c r="J3" s="8" t="s">
        <v>894</v>
      </c>
      <c r="K3" s="8" t="s">
        <v>895</v>
      </c>
      <c r="L3" s="8" t="s">
        <v>185</v>
      </c>
      <c r="M3" s="8" t="s">
        <v>811</v>
      </c>
    </row>
    <row r="5" spans="1:13" x14ac:dyDescent="0.2">
      <c r="A5" s="133" t="s">
        <v>298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128"/>
    </row>
    <row r="6" spans="1:13" x14ac:dyDescent="0.2">
      <c r="A6" s="17" t="s">
        <v>1035</v>
      </c>
      <c r="B6" s="17" t="s">
        <v>40</v>
      </c>
      <c r="C6" s="18">
        <f t="shared" ref="C6:C11" si="0">IF(ISBLANK(B6),0,IF(ISERROR(VALUE(B6)),VLOOKUP(B6,dagsoorttabel1,2,FALSE)*dagenperjaar1,VALUE(B6)))</f>
        <v>2</v>
      </c>
      <c r="D6" s="17" t="s">
        <v>796</v>
      </c>
      <c r="E6" s="17" t="s">
        <v>1036</v>
      </c>
      <c r="F6" s="17" t="s">
        <v>933</v>
      </c>
      <c r="G6" s="121">
        <v>1610</v>
      </c>
      <c r="H6" s="134">
        <f>Glas!G6</f>
        <v>0</v>
      </c>
      <c r="I6" s="122"/>
      <c r="J6" s="134">
        <f>Glas!I6</f>
        <v>0</v>
      </c>
      <c r="K6" s="40">
        <f>IF(ISBLANK(G6),0,G6)*J6</f>
        <v>0</v>
      </c>
      <c r="L6" s="40">
        <f t="shared" ref="L6:L11" si="1">C6*K6</f>
        <v>0</v>
      </c>
      <c r="M6" s="40">
        <f t="shared" ref="M6:M12" si="2">L6/12</f>
        <v>0</v>
      </c>
    </row>
    <row r="7" spans="1:13" x14ac:dyDescent="0.2">
      <c r="A7" s="22" t="s">
        <v>1035</v>
      </c>
      <c r="B7" s="22" t="s">
        <v>38</v>
      </c>
      <c r="C7" s="23">
        <f t="shared" si="0"/>
        <v>4</v>
      </c>
      <c r="D7" s="22" t="s">
        <v>796</v>
      </c>
      <c r="E7" s="22" t="s">
        <v>1036</v>
      </c>
      <c r="F7" s="22" t="s">
        <v>933</v>
      </c>
      <c r="G7" s="123">
        <v>600</v>
      </c>
      <c r="H7" s="135">
        <f>Glas!G7</f>
        <v>0</v>
      </c>
      <c r="I7" s="124"/>
      <c r="J7" s="135">
        <f>Glas!I7</f>
        <v>0</v>
      </c>
      <c r="K7" s="44">
        <f>IF(ISBLANK(G7),0,G7)*J7</f>
        <v>0</v>
      </c>
      <c r="L7" s="44">
        <f t="shared" si="1"/>
        <v>0</v>
      </c>
      <c r="M7" s="44">
        <f t="shared" si="2"/>
        <v>0</v>
      </c>
    </row>
    <row r="8" spans="1:13" x14ac:dyDescent="0.2">
      <c r="A8" s="22" t="s">
        <v>1037</v>
      </c>
      <c r="B8" s="22" t="s">
        <v>40</v>
      </c>
      <c r="C8" s="23">
        <f t="shared" si="0"/>
        <v>2</v>
      </c>
      <c r="D8" s="22" t="s">
        <v>796</v>
      </c>
      <c r="E8" s="22" t="s">
        <v>1038</v>
      </c>
      <c r="F8" s="22" t="s">
        <v>933</v>
      </c>
      <c r="G8" s="123">
        <v>2210</v>
      </c>
      <c r="H8" s="135">
        <f>Glas!G8</f>
        <v>0</v>
      </c>
      <c r="I8" s="124"/>
      <c r="J8" s="135">
        <f>Glas!I8</f>
        <v>0</v>
      </c>
      <c r="K8" s="44">
        <f>IF(ISBLANK(G8),0,G8)*J8</f>
        <v>0</v>
      </c>
      <c r="L8" s="44">
        <f t="shared" si="1"/>
        <v>0</v>
      </c>
      <c r="M8" s="44">
        <f t="shared" si="2"/>
        <v>0</v>
      </c>
    </row>
    <row r="9" spans="1:13" x14ac:dyDescent="0.2">
      <c r="A9" s="22" t="s">
        <v>1039</v>
      </c>
      <c r="B9" s="22" t="s">
        <v>40</v>
      </c>
      <c r="C9" s="23">
        <f t="shared" si="0"/>
        <v>2</v>
      </c>
      <c r="D9" s="22" t="s">
        <v>796</v>
      </c>
      <c r="E9" s="22" t="s">
        <v>1040</v>
      </c>
      <c r="F9" s="22" t="s">
        <v>933</v>
      </c>
      <c r="G9" s="123">
        <v>447</v>
      </c>
      <c r="H9" s="135">
        <f>Glas!G9</f>
        <v>0</v>
      </c>
      <c r="I9" s="124"/>
      <c r="J9" s="135">
        <f>Glas!I9</f>
        <v>0</v>
      </c>
      <c r="K9" s="44">
        <f>IF(ISBLANK(G9),0,G9)*J9</f>
        <v>0</v>
      </c>
      <c r="L9" s="44">
        <f t="shared" si="1"/>
        <v>0</v>
      </c>
      <c r="M9" s="44">
        <f t="shared" si="2"/>
        <v>0</v>
      </c>
    </row>
    <row r="10" spans="1:13" x14ac:dyDescent="0.2">
      <c r="A10" s="22" t="s">
        <v>1043</v>
      </c>
      <c r="B10" s="22" t="s">
        <v>41</v>
      </c>
      <c r="C10" s="23">
        <f t="shared" si="0"/>
        <v>1</v>
      </c>
      <c r="D10" s="22" t="s">
        <v>796</v>
      </c>
      <c r="E10" s="22" t="s">
        <v>1044</v>
      </c>
      <c r="F10" s="22" t="s">
        <v>1045</v>
      </c>
      <c r="G10" s="123">
        <v>1</v>
      </c>
      <c r="H10" s="135">
        <f>Glas!G11</f>
        <v>0</v>
      </c>
      <c r="I10" s="124"/>
      <c r="J10" s="135">
        <f>Glas!I11</f>
        <v>0</v>
      </c>
      <c r="K10" s="44">
        <f>IF(ISBLANK(G10),1,G10)*J10</f>
        <v>0</v>
      </c>
      <c r="L10" s="44">
        <f t="shared" si="1"/>
        <v>0</v>
      </c>
      <c r="M10" s="44">
        <f t="shared" si="2"/>
        <v>0</v>
      </c>
    </row>
    <row r="11" spans="1:13" x14ac:dyDescent="0.2">
      <c r="A11" s="27" t="s">
        <v>1046</v>
      </c>
      <c r="B11" s="27" t="s">
        <v>41</v>
      </c>
      <c r="C11" s="28">
        <f t="shared" si="0"/>
        <v>1</v>
      </c>
      <c r="D11" s="27" t="s">
        <v>796</v>
      </c>
      <c r="E11" s="27" t="s">
        <v>1047</v>
      </c>
      <c r="F11" s="27" t="s">
        <v>1045</v>
      </c>
      <c r="G11" s="125">
        <v>1</v>
      </c>
      <c r="H11" s="136">
        <f>Glas!G12</f>
        <v>0</v>
      </c>
      <c r="I11" s="126"/>
      <c r="J11" s="136">
        <f>Glas!I12</f>
        <v>0</v>
      </c>
      <c r="K11" s="48">
        <f>IF(ISBLANK(G11),1,G11)*J11</f>
        <v>0</v>
      </c>
      <c r="L11" s="48">
        <f t="shared" si="1"/>
        <v>0</v>
      </c>
      <c r="M11" s="48">
        <f t="shared" si="2"/>
        <v>0</v>
      </c>
    </row>
    <row r="12" spans="1:13" x14ac:dyDescent="0.2">
      <c r="A12" s="120" t="s">
        <v>860</v>
      </c>
      <c r="B12" s="51"/>
      <c r="C12" s="51"/>
      <c r="D12" s="51"/>
      <c r="E12" s="51"/>
      <c r="F12" s="51"/>
      <c r="G12" s="51"/>
      <c r="H12" s="51"/>
      <c r="I12" s="51"/>
      <c r="J12" s="51"/>
      <c r="K12" s="53">
        <f>SUM(K6:K11)</f>
        <v>0</v>
      </c>
      <c r="L12" s="53">
        <f>SUM(L6:L11)</f>
        <v>0</v>
      </c>
      <c r="M12" s="127">
        <f t="shared" si="2"/>
        <v>0</v>
      </c>
    </row>
    <row r="14" spans="1:13" x14ac:dyDescent="0.2">
      <c r="A14" s="133" t="s">
        <v>537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128"/>
    </row>
    <row r="15" spans="1:13" x14ac:dyDescent="0.2">
      <c r="A15" s="17" t="s">
        <v>1035</v>
      </c>
      <c r="B15" s="17" t="s">
        <v>40</v>
      </c>
      <c r="C15" s="18">
        <f>IF(ISBLANK(B15),0,IF(ISERROR(VALUE(B15)),VLOOKUP(B15,dagsoorttabel1,2,FALSE)*dagenperjaar1,VALUE(B15)))</f>
        <v>2</v>
      </c>
      <c r="D15" s="17" t="s">
        <v>796</v>
      </c>
      <c r="E15" s="17" t="s">
        <v>1036</v>
      </c>
      <c r="F15" s="17" t="s">
        <v>933</v>
      </c>
      <c r="G15" s="121">
        <v>12</v>
      </c>
      <c r="H15" s="134">
        <f>Glas!G6</f>
        <v>0</v>
      </c>
      <c r="I15" s="122"/>
      <c r="J15" s="134">
        <f>Glas!I6</f>
        <v>0</v>
      </c>
      <c r="K15" s="40">
        <f>IF(ISBLANK(G15),0,G15)*J15</f>
        <v>0</v>
      </c>
      <c r="L15" s="40">
        <f>C15*K15</f>
        <v>0</v>
      </c>
      <c r="M15" s="40">
        <f>L15/12</f>
        <v>0</v>
      </c>
    </row>
    <row r="16" spans="1:13" x14ac:dyDescent="0.2">
      <c r="A16" s="22" t="s">
        <v>1037</v>
      </c>
      <c r="B16" s="22" t="s">
        <v>40</v>
      </c>
      <c r="C16" s="23">
        <f>IF(ISBLANK(B16),0,IF(ISERROR(VALUE(B16)),VLOOKUP(B16,dagsoorttabel1,2,FALSE)*dagenperjaar1,VALUE(B16)))</f>
        <v>2</v>
      </c>
      <c r="D16" s="22" t="s">
        <v>796</v>
      </c>
      <c r="E16" s="22" t="s">
        <v>1038</v>
      </c>
      <c r="F16" s="22" t="s">
        <v>933</v>
      </c>
      <c r="G16" s="123">
        <v>12</v>
      </c>
      <c r="H16" s="135">
        <f>Glas!G8</f>
        <v>0</v>
      </c>
      <c r="I16" s="124"/>
      <c r="J16" s="135">
        <f>Glas!I8</f>
        <v>0</v>
      </c>
      <c r="K16" s="44">
        <f>IF(ISBLANK(G16),0,G16)*J16</f>
        <v>0</v>
      </c>
      <c r="L16" s="44">
        <f>C16*K16</f>
        <v>0</v>
      </c>
      <c r="M16" s="44">
        <f>L16/12</f>
        <v>0</v>
      </c>
    </row>
    <row r="17" spans="1:13" x14ac:dyDescent="0.2">
      <c r="A17" s="27" t="s">
        <v>1039</v>
      </c>
      <c r="B17" s="27" t="s">
        <v>40</v>
      </c>
      <c r="C17" s="28">
        <f>IF(ISBLANK(B17),0,IF(ISERROR(VALUE(B17)),VLOOKUP(B17,dagsoorttabel1,2,FALSE)*dagenperjaar1,VALUE(B17)))</f>
        <v>2</v>
      </c>
      <c r="D17" s="27" t="s">
        <v>796</v>
      </c>
      <c r="E17" s="27" t="s">
        <v>1040</v>
      </c>
      <c r="F17" s="27" t="s">
        <v>933</v>
      </c>
      <c r="G17" s="125">
        <v>9</v>
      </c>
      <c r="H17" s="136">
        <f>Glas!G9</f>
        <v>0</v>
      </c>
      <c r="I17" s="126"/>
      <c r="J17" s="136">
        <f>Glas!I9</f>
        <v>0</v>
      </c>
      <c r="K17" s="48">
        <f>IF(ISBLANK(G17),0,G17)*J17</f>
        <v>0</v>
      </c>
      <c r="L17" s="48">
        <f>C17*K17</f>
        <v>0</v>
      </c>
      <c r="M17" s="48">
        <f>L17/12</f>
        <v>0</v>
      </c>
    </row>
    <row r="18" spans="1:13" x14ac:dyDescent="0.2">
      <c r="A18" s="120" t="s">
        <v>861</v>
      </c>
      <c r="B18" s="51"/>
      <c r="C18" s="51"/>
      <c r="D18" s="51"/>
      <c r="E18" s="51"/>
      <c r="F18" s="51"/>
      <c r="G18" s="51"/>
      <c r="H18" s="51"/>
      <c r="I18" s="51"/>
      <c r="J18" s="51"/>
      <c r="K18" s="53">
        <f>SUM(K15:K17)</f>
        <v>0</v>
      </c>
      <c r="L18" s="53">
        <f>SUM(L15:L17)</f>
        <v>0</v>
      </c>
      <c r="M18" s="127">
        <f>L18/12</f>
        <v>0</v>
      </c>
    </row>
    <row r="20" spans="1:13" x14ac:dyDescent="0.2">
      <c r="A20" s="133" t="s">
        <v>556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128"/>
    </row>
    <row r="21" spans="1:13" x14ac:dyDescent="0.2">
      <c r="A21" s="17" t="s">
        <v>1035</v>
      </c>
      <c r="B21" s="17" t="s">
        <v>40</v>
      </c>
      <c r="C21" s="18">
        <f>IF(ISBLANK(B21),0,IF(ISERROR(VALUE(B21)),VLOOKUP(B21,dagsoorttabel1,2,FALSE)*dagenperjaar1,VALUE(B21)))</f>
        <v>2</v>
      </c>
      <c r="D21" s="17" t="s">
        <v>796</v>
      </c>
      <c r="E21" s="17" t="s">
        <v>1036</v>
      </c>
      <c r="F21" s="17" t="s">
        <v>933</v>
      </c>
      <c r="G21" s="121">
        <v>69</v>
      </c>
      <c r="H21" s="134">
        <f>Glas!G6</f>
        <v>0</v>
      </c>
      <c r="I21" s="122"/>
      <c r="J21" s="134">
        <f>Glas!I6</f>
        <v>0</v>
      </c>
      <c r="K21" s="40">
        <f>IF(ISBLANK(G21),0,G21)*J21</f>
        <v>0</v>
      </c>
      <c r="L21" s="40">
        <f>C21*K21</f>
        <v>0</v>
      </c>
      <c r="M21" s="40">
        <f>L21/12</f>
        <v>0</v>
      </c>
    </row>
    <row r="22" spans="1:13" x14ac:dyDescent="0.2">
      <c r="A22" s="22" t="s">
        <v>1037</v>
      </c>
      <c r="B22" s="22" t="s">
        <v>40</v>
      </c>
      <c r="C22" s="23">
        <f>IF(ISBLANK(B22),0,IF(ISERROR(VALUE(B22)),VLOOKUP(B22,dagsoorttabel1,2,FALSE)*dagenperjaar1,VALUE(B22)))</f>
        <v>2</v>
      </c>
      <c r="D22" s="22" t="s">
        <v>796</v>
      </c>
      <c r="E22" s="22" t="s">
        <v>1038</v>
      </c>
      <c r="F22" s="22" t="s">
        <v>933</v>
      </c>
      <c r="G22" s="123">
        <v>69</v>
      </c>
      <c r="H22" s="135">
        <f>Glas!G8</f>
        <v>0</v>
      </c>
      <c r="I22" s="124"/>
      <c r="J22" s="135">
        <f>Glas!I8</f>
        <v>0</v>
      </c>
      <c r="K22" s="44">
        <f>IF(ISBLANK(G22),0,G22)*J22</f>
        <v>0</v>
      </c>
      <c r="L22" s="44">
        <f>C22*K22</f>
        <v>0</v>
      </c>
      <c r="M22" s="44">
        <f>L22/12</f>
        <v>0</v>
      </c>
    </row>
    <row r="23" spans="1:13" x14ac:dyDescent="0.2">
      <c r="A23" s="22" t="s">
        <v>1039</v>
      </c>
      <c r="B23" s="22" t="s">
        <v>40</v>
      </c>
      <c r="C23" s="23">
        <f>IF(ISBLANK(B23),0,IF(ISERROR(VALUE(B23)),VLOOKUP(B23,dagsoorttabel1,2,FALSE)*dagenperjaar1,VALUE(B23)))</f>
        <v>2</v>
      </c>
      <c r="D23" s="22" t="s">
        <v>796</v>
      </c>
      <c r="E23" s="22" t="s">
        <v>1040</v>
      </c>
      <c r="F23" s="22" t="s">
        <v>933</v>
      </c>
      <c r="G23" s="123">
        <v>24</v>
      </c>
      <c r="H23" s="135">
        <f>Glas!G9</f>
        <v>0</v>
      </c>
      <c r="I23" s="124"/>
      <c r="J23" s="135">
        <f>Glas!I9</f>
        <v>0</v>
      </c>
      <c r="K23" s="44">
        <f>IF(ISBLANK(G23),0,G23)*J23</f>
        <v>0</v>
      </c>
      <c r="L23" s="44">
        <f>C23*K23</f>
        <v>0</v>
      </c>
      <c r="M23" s="44">
        <f>L23/12</f>
        <v>0</v>
      </c>
    </row>
    <row r="24" spans="1:13" x14ac:dyDescent="0.2">
      <c r="A24" s="27" t="s">
        <v>1041</v>
      </c>
      <c r="B24" s="27" t="s">
        <v>40</v>
      </c>
      <c r="C24" s="28">
        <f>IF(ISBLANK(B24),0,IF(ISERROR(VALUE(B24)),VLOOKUP(B24,dagsoorttabel1,2,FALSE)*dagenperjaar1,VALUE(B24)))</f>
        <v>2</v>
      </c>
      <c r="D24" s="27" t="s">
        <v>796</v>
      </c>
      <c r="E24" s="27" t="s">
        <v>1042</v>
      </c>
      <c r="F24" s="27" t="s">
        <v>933</v>
      </c>
      <c r="G24" s="125">
        <v>219</v>
      </c>
      <c r="H24" s="136">
        <f>Glas!G10</f>
        <v>0</v>
      </c>
      <c r="I24" s="126"/>
      <c r="J24" s="136">
        <f>Glas!I10</f>
        <v>0</v>
      </c>
      <c r="K24" s="48">
        <f>IF(ISBLANK(G24),0,G24)*J24</f>
        <v>0</v>
      </c>
      <c r="L24" s="48">
        <f>C24*K24</f>
        <v>0</v>
      </c>
      <c r="M24" s="48">
        <f>L24/12</f>
        <v>0</v>
      </c>
    </row>
    <row r="25" spans="1:13" x14ac:dyDescent="0.2">
      <c r="A25" s="120" t="s">
        <v>862</v>
      </c>
      <c r="B25" s="51"/>
      <c r="C25" s="51"/>
      <c r="D25" s="51"/>
      <c r="E25" s="51"/>
      <c r="F25" s="51"/>
      <c r="G25" s="51"/>
      <c r="H25" s="51"/>
      <c r="I25" s="51"/>
      <c r="J25" s="51"/>
      <c r="K25" s="53">
        <f>SUM(K21:K24)</f>
        <v>0</v>
      </c>
      <c r="L25" s="53">
        <f>SUM(L21:L24)</f>
        <v>0</v>
      </c>
      <c r="M25" s="127">
        <f>L25/12</f>
        <v>0</v>
      </c>
    </row>
    <row r="27" spans="1:13" x14ac:dyDescent="0.2">
      <c r="A27" s="133" t="s">
        <v>570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128"/>
    </row>
    <row r="28" spans="1:13" x14ac:dyDescent="0.2">
      <c r="A28" s="17" t="s">
        <v>1035</v>
      </c>
      <c r="B28" s="17" t="s">
        <v>40</v>
      </c>
      <c r="C28" s="18">
        <f>IF(ISBLANK(B28),0,IF(ISERROR(VALUE(B28)),VLOOKUP(B28,dagsoorttabel1,2,FALSE)*dagenperjaar1,VALUE(B28)))</f>
        <v>2</v>
      </c>
      <c r="D28" s="17" t="s">
        <v>796</v>
      </c>
      <c r="E28" s="17" t="s">
        <v>1036</v>
      </c>
      <c r="F28" s="17" t="s">
        <v>933</v>
      </c>
      <c r="G28" s="121">
        <v>3</v>
      </c>
      <c r="H28" s="134">
        <f>Glas!G6</f>
        <v>0</v>
      </c>
      <c r="I28" s="122"/>
      <c r="J28" s="134">
        <f>Glas!I6</f>
        <v>0</v>
      </c>
      <c r="K28" s="40">
        <f>IF(ISBLANK(G28),0,G28)*J28</f>
        <v>0</v>
      </c>
      <c r="L28" s="40">
        <f>C28*K28</f>
        <v>0</v>
      </c>
      <c r="M28" s="40">
        <f>L28/12</f>
        <v>0</v>
      </c>
    </row>
    <row r="29" spans="1:13" x14ac:dyDescent="0.2">
      <c r="A29" s="27" t="s">
        <v>1037</v>
      </c>
      <c r="B29" s="27" t="s">
        <v>40</v>
      </c>
      <c r="C29" s="28">
        <f>IF(ISBLANK(B29),0,IF(ISERROR(VALUE(B29)),VLOOKUP(B29,dagsoorttabel1,2,FALSE)*dagenperjaar1,VALUE(B29)))</f>
        <v>2</v>
      </c>
      <c r="D29" s="27" t="s">
        <v>796</v>
      </c>
      <c r="E29" s="27" t="s">
        <v>1038</v>
      </c>
      <c r="F29" s="27" t="s">
        <v>933</v>
      </c>
      <c r="G29" s="125">
        <v>3</v>
      </c>
      <c r="H29" s="136">
        <f>Glas!G8</f>
        <v>0</v>
      </c>
      <c r="I29" s="126"/>
      <c r="J29" s="136">
        <f>Glas!I8</f>
        <v>0</v>
      </c>
      <c r="K29" s="48">
        <f>IF(ISBLANK(G29),0,G29)*J29</f>
        <v>0</v>
      </c>
      <c r="L29" s="48">
        <f>C29*K29</f>
        <v>0</v>
      </c>
      <c r="M29" s="48">
        <f>L29/12</f>
        <v>0</v>
      </c>
    </row>
    <row r="30" spans="1:13" x14ac:dyDescent="0.2">
      <c r="A30" s="120" t="s">
        <v>863</v>
      </c>
      <c r="B30" s="51"/>
      <c r="C30" s="51"/>
      <c r="D30" s="51"/>
      <c r="E30" s="51"/>
      <c r="F30" s="51"/>
      <c r="G30" s="51"/>
      <c r="H30" s="51"/>
      <c r="I30" s="51"/>
      <c r="J30" s="51"/>
      <c r="K30" s="53">
        <f>SUM(K28:K29)</f>
        <v>0</v>
      </c>
      <c r="L30" s="53">
        <f>SUM(L28:L29)</f>
        <v>0</v>
      </c>
      <c r="M30" s="127">
        <f>L30/12</f>
        <v>0</v>
      </c>
    </row>
    <row r="32" spans="1:13" x14ac:dyDescent="0.2">
      <c r="A32" s="133" t="s">
        <v>587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128"/>
    </row>
    <row r="33" spans="1:13" x14ac:dyDescent="0.2">
      <c r="A33" s="17" t="s">
        <v>1035</v>
      </c>
      <c r="B33" s="17" t="s">
        <v>40</v>
      </c>
      <c r="C33" s="18">
        <f>IF(ISBLANK(B33),0,IF(ISERROR(VALUE(B33)),VLOOKUP(B33,dagsoorttabel1,2,FALSE)*dagenperjaar1,VALUE(B33)))</f>
        <v>2</v>
      </c>
      <c r="D33" s="17" t="s">
        <v>796</v>
      </c>
      <c r="E33" s="17" t="s">
        <v>1036</v>
      </c>
      <c r="F33" s="17" t="s">
        <v>933</v>
      </c>
      <c r="G33" s="121">
        <v>133</v>
      </c>
      <c r="H33" s="134">
        <f>Glas!G6</f>
        <v>0</v>
      </c>
      <c r="I33" s="122"/>
      <c r="J33" s="134">
        <f>Glas!I6</f>
        <v>0</v>
      </c>
      <c r="K33" s="40">
        <f>IF(ISBLANK(G33),0,G33)*J33</f>
        <v>0</v>
      </c>
      <c r="L33" s="40">
        <f>C33*K33</f>
        <v>0</v>
      </c>
      <c r="M33" s="40">
        <f>L33/12</f>
        <v>0</v>
      </c>
    </row>
    <row r="34" spans="1:13" x14ac:dyDescent="0.2">
      <c r="A34" s="22" t="s">
        <v>1037</v>
      </c>
      <c r="B34" s="22" t="s">
        <v>40</v>
      </c>
      <c r="C34" s="23">
        <f>IF(ISBLANK(B34),0,IF(ISERROR(VALUE(B34)),VLOOKUP(B34,dagsoorttabel1,2,FALSE)*dagenperjaar1,VALUE(B34)))</f>
        <v>2</v>
      </c>
      <c r="D34" s="22" t="s">
        <v>796</v>
      </c>
      <c r="E34" s="22" t="s">
        <v>1038</v>
      </c>
      <c r="F34" s="22" t="s">
        <v>933</v>
      </c>
      <c r="G34" s="123">
        <v>133</v>
      </c>
      <c r="H34" s="135">
        <f>Glas!G8</f>
        <v>0</v>
      </c>
      <c r="I34" s="124"/>
      <c r="J34" s="135">
        <f>Glas!I8</f>
        <v>0</v>
      </c>
      <c r="K34" s="44">
        <f>IF(ISBLANK(G34),0,G34)*J34</f>
        <v>0</v>
      </c>
      <c r="L34" s="44">
        <f>C34*K34</f>
        <v>0</v>
      </c>
      <c r="M34" s="44">
        <f>L34/12</f>
        <v>0</v>
      </c>
    </row>
    <row r="35" spans="1:13" x14ac:dyDescent="0.2">
      <c r="A35" s="22" t="s">
        <v>1039</v>
      </c>
      <c r="B35" s="22" t="s">
        <v>40</v>
      </c>
      <c r="C35" s="23">
        <f>IF(ISBLANK(B35),0,IF(ISERROR(VALUE(B35)),VLOOKUP(B35,dagsoorttabel1,2,FALSE)*dagenperjaar1,VALUE(B35)))</f>
        <v>2</v>
      </c>
      <c r="D35" s="22" t="s">
        <v>796</v>
      </c>
      <c r="E35" s="22" t="s">
        <v>1040</v>
      </c>
      <c r="F35" s="22" t="s">
        <v>933</v>
      </c>
      <c r="G35" s="123">
        <v>37</v>
      </c>
      <c r="H35" s="135">
        <f>Glas!G9</f>
        <v>0</v>
      </c>
      <c r="I35" s="124"/>
      <c r="J35" s="135">
        <f>Glas!I9</f>
        <v>0</v>
      </c>
      <c r="K35" s="44">
        <f>IF(ISBLANK(G35),0,G35)*J35</f>
        <v>0</v>
      </c>
      <c r="L35" s="44">
        <f>C35*K35</f>
        <v>0</v>
      </c>
      <c r="M35" s="44">
        <f>L35/12</f>
        <v>0</v>
      </c>
    </row>
    <row r="36" spans="1:13" x14ac:dyDescent="0.2">
      <c r="A36" s="27" t="s">
        <v>1041</v>
      </c>
      <c r="B36" s="27" t="s">
        <v>40</v>
      </c>
      <c r="C36" s="28">
        <f>IF(ISBLANK(B36),0,IF(ISERROR(VALUE(B36)),VLOOKUP(B36,dagsoorttabel1,2,FALSE)*dagenperjaar1,VALUE(B36)))</f>
        <v>2</v>
      </c>
      <c r="D36" s="27" t="s">
        <v>796</v>
      </c>
      <c r="E36" s="27" t="s">
        <v>1042</v>
      </c>
      <c r="F36" s="27" t="s">
        <v>933</v>
      </c>
      <c r="G36" s="125">
        <v>43.5</v>
      </c>
      <c r="H36" s="136">
        <f>Glas!G10</f>
        <v>0</v>
      </c>
      <c r="I36" s="126"/>
      <c r="J36" s="136">
        <f>Glas!I10</f>
        <v>0</v>
      </c>
      <c r="K36" s="48">
        <f>IF(ISBLANK(G36),0,G36)*J36</f>
        <v>0</v>
      </c>
      <c r="L36" s="48">
        <f>C36*K36</f>
        <v>0</v>
      </c>
      <c r="M36" s="48">
        <f>L36/12</f>
        <v>0</v>
      </c>
    </row>
    <row r="37" spans="1:13" x14ac:dyDescent="0.2">
      <c r="A37" s="120" t="s">
        <v>865</v>
      </c>
      <c r="B37" s="51"/>
      <c r="C37" s="51"/>
      <c r="D37" s="51"/>
      <c r="E37" s="51"/>
      <c r="F37" s="51"/>
      <c r="G37" s="51"/>
      <c r="H37" s="51"/>
      <c r="I37" s="51"/>
      <c r="J37" s="51"/>
      <c r="K37" s="53">
        <f>SUM(K33:K36)</f>
        <v>0</v>
      </c>
      <c r="L37" s="53">
        <f>SUM(L33:L36)</f>
        <v>0</v>
      </c>
      <c r="M37" s="127">
        <f>L37/12</f>
        <v>0</v>
      </c>
    </row>
    <row r="39" spans="1:13" x14ac:dyDescent="0.2">
      <c r="A39" s="133" t="s">
        <v>626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128"/>
    </row>
    <row r="40" spans="1:13" x14ac:dyDescent="0.2">
      <c r="A40" s="17" t="s">
        <v>1035</v>
      </c>
      <c r="B40" s="17" t="s">
        <v>40</v>
      </c>
      <c r="C40" s="18">
        <f>IF(ISBLANK(B40),0,IF(ISERROR(VALUE(B40)),VLOOKUP(B40,dagsoorttabel1,2,FALSE)*dagenperjaar1,VALUE(B40)))</f>
        <v>2</v>
      </c>
      <c r="D40" s="17" t="s">
        <v>796</v>
      </c>
      <c r="E40" s="17" t="s">
        <v>1036</v>
      </c>
      <c r="F40" s="17" t="s">
        <v>933</v>
      </c>
      <c r="G40" s="121">
        <v>85</v>
      </c>
      <c r="H40" s="134">
        <f>Glas!G6</f>
        <v>0</v>
      </c>
      <c r="I40" s="122"/>
      <c r="J40" s="134">
        <f>Glas!I6</f>
        <v>0</v>
      </c>
      <c r="K40" s="40">
        <f>IF(ISBLANK(G40),0,G40)*J40</f>
        <v>0</v>
      </c>
      <c r="L40" s="40">
        <f>C40*K40</f>
        <v>0</v>
      </c>
      <c r="M40" s="40">
        <f>L40/12</f>
        <v>0</v>
      </c>
    </row>
    <row r="41" spans="1:13" x14ac:dyDescent="0.2">
      <c r="A41" s="22" t="s">
        <v>1037</v>
      </c>
      <c r="B41" s="22" t="s">
        <v>40</v>
      </c>
      <c r="C41" s="23">
        <f>IF(ISBLANK(B41),0,IF(ISERROR(VALUE(B41)),VLOOKUP(B41,dagsoorttabel1,2,FALSE)*dagenperjaar1,VALUE(B41)))</f>
        <v>2</v>
      </c>
      <c r="D41" s="22" t="s">
        <v>796</v>
      </c>
      <c r="E41" s="22" t="s">
        <v>1038</v>
      </c>
      <c r="F41" s="22" t="s">
        <v>933</v>
      </c>
      <c r="G41" s="123">
        <v>85</v>
      </c>
      <c r="H41" s="135">
        <f>Glas!G8</f>
        <v>0</v>
      </c>
      <c r="I41" s="124"/>
      <c r="J41" s="135">
        <f>Glas!I8</f>
        <v>0</v>
      </c>
      <c r="K41" s="44">
        <f>IF(ISBLANK(G41),0,G41)*J41</f>
        <v>0</v>
      </c>
      <c r="L41" s="44">
        <f>C41*K41</f>
        <v>0</v>
      </c>
      <c r="M41" s="44">
        <f>L41/12</f>
        <v>0</v>
      </c>
    </row>
    <row r="42" spans="1:13" x14ac:dyDescent="0.2">
      <c r="A42" s="22" t="s">
        <v>1039</v>
      </c>
      <c r="B42" s="22" t="s">
        <v>40</v>
      </c>
      <c r="C42" s="23">
        <f>IF(ISBLANK(B42),0,IF(ISERROR(VALUE(B42)),VLOOKUP(B42,dagsoorttabel1,2,FALSE)*dagenperjaar1,VALUE(B42)))</f>
        <v>2</v>
      </c>
      <c r="D42" s="22" t="s">
        <v>796</v>
      </c>
      <c r="E42" s="22" t="s">
        <v>1040</v>
      </c>
      <c r="F42" s="22" t="s">
        <v>933</v>
      </c>
      <c r="G42" s="123">
        <v>5</v>
      </c>
      <c r="H42" s="135">
        <f>Glas!G9</f>
        <v>0</v>
      </c>
      <c r="I42" s="124"/>
      <c r="J42" s="135">
        <f>Glas!I9</f>
        <v>0</v>
      </c>
      <c r="K42" s="44">
        <f>IF(ISBLANK(G42),0,G42)*J42</f>
        <v>0</v>
      </c>
      <c r="L42" s="44">
        <f>C42*K42</f>
        <v>0</v>
      </c>
      <c r="M42" s="44">
        <f>L42/12</f>
        <v>0</v>
      </c>
    </row>
    <row r="43" spans="1:13" x14ac:dyDescent="0.2">
      <c r="A43" s="27" t="s">
        <v>1041</v>
      </c>
      <c r="B43" s="27" t="s">
        <v>40</v>
      </c>
      <c r="C43" s="28">
        <f>IF(ISBLANK(B43),0,IF(ISERROR(VALUE(B43)),VLOOKUP(B43,dagsoorttabel1,2,FALSE)*dagenperjaar1,VALUE(B43)))</f>
        <v>2</v>
      </c>
      <c r="D43" s="27" t="s">
        <v>796</v>
      </c>
      <c r="E43" s="27" t="s">
        <v>1042</v>
      </c>
      <c r="F43" s="27" t="s">
        <v>933</v>
      </c>
      <c r="G43" s="125">
        <v>40.5</v>
      </c>
      <c r="H43" s="136">
        <f>Glas!G10</f>
        <v>0</v>
      </c>
      <c r="I43" s="126"/>
      <c r="J43" s="136">
        <f>Glas!I10</f>
        <v>0</v>
      </c>
      <c r="K43" s="48">
        <f>IF(ISBLANK(G43),0,G43)*J43</f>
        <v>0</v>
      </c>
      <c r="L43" s="48">
        <f>C43*K43</f>
        <v>0</v>
      </c>
      <c r="M43" s="48">
        <f>L43/12</f>
        <v>0</v>
      </c>
    </row>
    <row r="44" spans="1:13" x14ac:dyDescent="0.2">
      <c r="A44" s="120" t="s">
        <v>866</v>
      </c>
      <c r="B44" s="51"/>
      <c r="C44" s="51"/>
      <c r="D44" s="51"/>
      <c r="E44" s="51"/>
      <c r="F44" s="51"/>
      <c r="G44" s="51"/>
      <c r="H44" s="51"/>
      <c r="I44" s="51"/>
      <c r="J44" s="51"/>
      <c r="K44" s="53">
        <f>SUM(K40:K43)</f>
        <v>0</v>
      </c>
      <c r="L44" s="53">
        <f>SUM(L40:L43)</f>
        <v>0</v>
      </c>
      <c r="M44" s="127">
        <f>L44/12</f>
        <v>0</v>
      </c>
    </row>
    <row r="46" spans="1:13" x14ac:dyDescent="0.2">
      <c r="A46" s="133" t="s">
        <v>634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128"/>
    </row>
    <row r="47" spans="1:13" x14ac:dyDescent="0.2">
      <c r="A47" s="17" t="s">
        <v>1035</v>
      </c>
      <c r="B47" s="17" t="s">
        <v>40</v>
      </c>
      <c r="C47" s="18">
        <f>IF(ISBLANK(B47),0,IF(ISERROR(VALUE(B47)),VLOOKUP(B47,dagsoorttabel1,2,FALSE)*dagenperjaar1,VALUE(B47)))</f>
        <v>2</v>
      </c>
      <c r="D47" s="17" t="s">
        <v>796</v>
      </c>
      <c r="E47" s="17" t="s">
        <v>1036</v>
      </c>
      <c r="F47" s="17" t="s">
        <v>933</v>
      </c>
      <c r="G47" s="121">
        <v>36</v>
      </c>
      <c r="H47" s="134">
        <f>Glas!G6</f>
        <v>0</v>
      </c>
      <c r="I47" s="122"/>
      <c r="J47" s="134">
        <f>Glas!I6</f>
        <v>0</v>
      </c>
      <c r="K47" s="40">
        <f>IF(ISBLANK(G47),0,G47)*J47</f>
        <v>0</v>
      </c>
      <c r="L47" s="40">
        <f>C47*K47</f>
        <v>0</v>
      </c>
      <c r="M47" s="40">
        <f>L47/12</f>
        <v>0</v>
      </c>
    </row>
    <row r="48" spans="1:13" x14ac:dyDescent="0.2">
      <c r="A48" s="22" t="s">
        <v>1037</v>
      </c>
      <c r="B48" s="22" t="s">
        <v>40</v>
      </c>
      <c r="C48" s="23">
        <f>IF(ISBLANK(B48),0,IF(ISERROR(VALUE(B48)),VLOOKUP(B48,dagsoorttabel1,2,FALSE)*dagenperjaar1,VALUE(B48)))</f>
        <v>2</v>
      </c>
      <c r="D48" s="22" t="s">
        <v>796</v>
      </c>
      <c r="E48" s="22" t="s">
        <v>1038</v>
      </c>
      <c r="F48" s="22" t="s">
        <v>933</v>
      </c>
      <c r="G48" s="123">
        <v>36</v>
      </c>
      <c r="H48" s="135">
        <f>Glas!G8</f>
        <v>0</v>
      </c>
      <c r="I48" s="124"/>
      <c r="J48" s="135">
        <f>Glas!I8</f>
        <v>0</v>
      </c>
      <c r="K48" s="44">
        <f>IF(ISBLANK(G48),0,G48)*J48</f>
        <v>0</v>
      </c>
      <c r="L48" s="44">
        <f>C48*K48</f>
        <v>0</v>
      </c>
      <c r="M48" s="44">
        <f>L48/12</f>
        <v>0</v>
      </c>
    </row>
    <row r="49" spans="1:13" x14ac:dyDescent="0.2">
      <c r="A49" s="27" t="s">
        <v>1039</v>
      </c>
      <c r="B49" s="27" t="s">
        <v>40</v>
      </c>
      <c r="C49" s="28">
        <f>IF(ISBLANK(B49),0,IF(ISERROR(VALUE(B49)),VLOOKUP(B49,dagsoorttabel1,2,FALSE)*dagenperjaar1,VALUE(B49)))</f>
        <v>2</v>
      </c>
      <c r="D49" s="27" t="s">
        <v>796</v>
      </c>
      <c r="E49" s="27" t="s">
        <v>1040</v>
      </c>
      <c r="F49" s="27" t="s">
        <v>933</v>
      </c>
      <c r="G49" s="125">
        <v>68</v>
      </c>
      <c r="H49" s="136">
        <f>Glas!G9</f>
        <v>0</v>
      </c>
      <c r="I49" s="126"/>
      <c r="J49" s="136">
        <f>Glas!I9</f>
        <v>0</v>
      </c>
      <c r="K49" s="48">
        <f>IF(ISBLANK(G49),0,G49)*J49</f>
        <v>0</v>
      </c>
      <c r="L49" s="48">
        <f>C49*K49</f>
        <v>0</v>
      </c>
      <c r="M49" s="48">
        <f>L49/12</f>
        <v>0</v>
      </c>
    </row>
    <row r="50" spans="1:13" x14ac:dyDescent="0.2">
      <c r="A50" s="120" t="s">
        <v>867</v>
      </c>
      <c r="B50" s="51"/>
      <c r="C50" s="51"/>
      <c r="D50" s="51"/>
      <c r="E50" s="51"/>
      <c r="F50" s="51"/>
      <c r="G50" s="51"/>
      <c r="H50" s="51"/>
      <c r="I50" s="51"/>
      <c r="J50" s="51"/>
      <c r="K50" s="53">
        <f>SUM(K47:K49)</f>
        <v>0</v>
      </c>
      <c r="L50" s="53">
        <f>SUM(L47:L49)</f>
        <v>0</v>
      </c>
      <c r="M50" s="127">
        <f>L50/12</f>
        <v>0</v>
      </c>
    </row>
    <row r="52" spans="1:13" x14ac:dyDescent="0.2">
      <c r="A52" s="133" t="s">
        <v>660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128"/>
    </row>
    <row r="53" spans="1:13" x14ac:dyDescent="0.2">
      <c r="A53" s="17" t="s">
        <v>1035</v>
      </c>
      <c r="B53" s="17" t="s">
        <v>40</v>
      </c>
      <c r="C53" s="18">
        <f>IF(ISBLANK(B53),0,IF(ISERROR(VALUE(B53)),VLOOKUP(B53,dagsoorttabel1,2,FALSE)*dagenperjaar1,VALUE(B53)))</f>
        <v>2</v>
      </c>
      <c r="D53" s="17" t="s">
        <v>796</v>
      </c>
      <c r="E53" s="17" t="s">
        <v>1036</v>
      </c>
      <c r="F53" s="17" t="s">
        <v>933</v>
      </c>
      <c r="G53" s="121">
        <v>40</v>
      </c>
      <c r="H53" s="134">
        <f>Glas!G6</f>
        <v>0</v>
      </c>
      <c r="I53" s="122"/>
      <c r="J53" s="134">
        <f>Glas!I6</f>
        <v>0</v>
      </c>
      <c r="K53" s="40">
        <f>IF(ISBLANK(G53),0,G53)*J53</f>
        <v>0</v>
      </c>
      <c r="L53" s="40">
        <f>C53*K53</f>
        <v>0</v>
      </c>
      <c r="M53" s="40">
        <f>L53/12</f>
        <v>0</v>
      </c>
    </row>
    <row r="54" spans="1:13" x14ac:dyDescent="0.2">
      <c r="A54" s="22" t="s">
        <v>1037</v>
      </c>
      <c r="B54" s="22" t="s">
        <v>40</v>
      </c>
      <c r="C54" s="23">
        <f>IF(ISBLANK(B54),0,IF(ISERROR(VALUE(B54)),VLOOKUP(B54,dagsoorttabel1,2,FALSE)*dagenperjaar1,VALUE(B54)))</f>
        <v>2</v>
      </c>
      <c r="D54" s="22" t="s">
        <v>796</v>
      </c>
      <c r="E54" s="22" t="s">
        <v>1038</v>
      </c>
      <c r="F54" s="22" t="s">
        <v>933</v>
      </c>
      <c r="G54" s="123">
        <v>40</v>
      </c>
      <c r="H54" s="135">
        <f>Glas!G8</f>
        <v>0</v>
      </c>
      <c r="I54" s="124"/>
      <c r="J54" s="135">
        <f>Glas!I8</f>
        <v>0</v>
      </c>
      <c r="K54" s="44">
        <f>IF(ISBLANK(G54),0,G54)*J54</f>
        <v>0</v>
      </c>
      <c r="L54" s="44">
        <f>C54*K54</f>
        <v>0</v>
      </c>
      <c r="M54" s="44">
        <f>L54/12</f>
        <v>0</v>
      </c>
    </row>
    <row r="55" spans="1:13" x14ac:dyDescent="0.2">
      <c r="A55" s="27" t="s">
        <v>1039</v>
      </c>
      <c r="B55" s="27" t="s">
        <v>40</v>
      </c>
      <c r="C55" s="28">
        <f>IF(ISBLANK(B55),0,IF(ISERROR(VALUE(B55)),VLOOKUP(B55,dagsoorttabel1,2,FALSE)*dagenperjaar1,VALUE(B55)))</f>
        <v>2</v>
      </c>
      <c r="D55" s="27" t="s">
        <v>796</v>
      </c>
      <c r="E55" s="27" t="s">
        <v>1040</v>
      </c>
      <c r="F55" s="27" t="s">
        <v>933</v>
      </c>
      <c r="G55" s="125">
        <v>86</v>
      </c>
      <c r="H55" s="136">
        <f>Glas!G9</f>
        <v>0</v>
      </c>
      <c r="I55" s="126"/>
      <c r="J55" s="136">
        <f>Glas!I9</f>
        <v>0</v>
      </c>
      <c r="K55" s="48">
        <f>IF(ISBLANK(G55),0,G55)*J55</f>
        <v>0</v>
      </c>
      <c r="L55" s="48">
        <f>C55*K55</f>
        <v>0</v>
      </c>
      <c r="M55" s="48">
        <f>L55/12</f>
        <v>0</v>
      </c>
    </row>
    <row r="56" spans="1:13" x14ac:dyDescent="0.2">
      <c r="A56" s="120" t="s">
        <v>868</v>
      </c>
      <c r="B56" s="51"/>
      <c r="C56" s="51"/>
      <c r="D56" s="51"/>
      <c r="E56" s="51"/>
      <c r="F56" s="51"/>
      <c r="G56" s="51"/>
      <c r="H56" s="51"/>
      <c r="I56" s="51"/>
      <c r="J56" s="51"/>
      <c r="K56" s="53">
        <f>SUM(K53:K55)</f>
        <v>0</v>
      </c>
      <c r="L56" s="53">
        <f>SUM(L53:L55)</f>
        <v>0</v>
      </c>
      <c r="M56" s="127">
        <f>L56/12</f>
        <v>0</v>
      </c>
    </row>
    <row r="58" spans="1:13" x14ac:dyDescent="0.2">
      <c r="A58" s="133" t="s">
        <v>682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128"/>
    </row>
    <row r="59" spans="1:13" x14ac:dyDescent="0.2">
      <c r="A59" s="17" t="s">
        <v>1035</v>
      </c>
      <c r="B59" s="17" t="s">
        <v>40</v>
      </c>
      <c r="C59" s="18">
        <f>IF(ISBLANK(B59),0,IF(ISERROR(VALUE(B59)),VLOOKUP(B59,dagsoorttabel1,2,FALSE)*dagenperjaar1,VALUE(B59)))</f>
        <v>2</v>
      </c>
      <c r="D59" s="17" t="s">
        <v>796</v>
      </c>
      <c r="E59" s="17" t="s">
        <v>1036</v>
      </c>
      <c r="F59" s="17" t="s">
        <v>933</v>
      </c>
      <c r="G59" s="121">
        <v>24</v>
      </c>
      <c r="H59" s="134">
        <f>Glas!G6</f>
        <v>0</v>
      </c>
      <c r="I59" s="122"/>
      <c r="J59" s="134">
        <f>Glas!I6</f>
        <v>0</v>
      </c>
      <c r="K59" s="40">
        <f>IF(ISBLANK(G59),0,G59)*J59</f>
        <v>0</v>
      </c>
      <c r="L59" s="40">
        <f>C59*K59</f>
        <v>0</v>
      </c>
      <c r="M59" s="40">
        <f>L59/12</f>
        <v>0</v>
      </c>
    </row>
    <row r="60" spans="1:13" x14ac:dyDescent="0.2">
      <c r="A60" s="22" t="s">
        <v>1037</v>
      </c>
      <c r="B60" s="22" t="s">
        <v>40</v>
      </c>
      <c r="C60" s="23">
        <f>IF(ISBLANK(B60),0,IF(ISERROR(VALUE(B60)),VLOOKUP(B60,dagsoorttabel1,2,FALSE)*dagenperjaar1,VALUE(B60)))</f>
        <v>2</v>
      </c>
      <c r="D60" s="22" t="s">
        <v>796</v>
      </c>
      <c r="E60" s="22" t="s">
        <v>1038</v>
      </c>
      <c r="F60" s="22" t="s">
        <v>933</v>
      </c>
      <c r="G60" s="123">
        <v>24</v>
      </c>
      <c r="H60" s="135">
        <f>Glas!G8</f>
        <v>0</v>
      </c>
      <c r="I60" s="124"/>
      <c r="J60" s="135">
        <f>Glas!I8</f>
        <v>0</v>
      </c>
      <c r="K60" s="44">
        <f>IF(ISBLANK(G60),0,G60)*J60</f>
        <v>0</v>
      </c>
      <c r="L60" s="44">
        <f>C60*K60</f>
        <v>0</v>
      </c>
      <c r="M60" s="44">
        <f>L60/12</f>
        <v>0</v>
      </c>
    </row>
    <row r="61" spans="1:13" x14ac:dyDescent="0.2">
      <c r="A61" s="22" t="s">
        <v>1039</v>
      </c>
      <c r="B61" s="22" t="s">
        <v>40</v>
      </c>
      <c r="C61" s="23">
        <f>IF(ISBLANK(B61),0,IF(ISERROR(VALUE(B61)),VLOOKUP(B61,dagsoorttabel1,2,FALSE)*dagenperjaar1,VALUE(B61)))</f>
        <v>2</v>
      </c>
      <c r="D61" s="22" t="s">
        <v>796</v>
      </c>
      <c r="E61" s="22" t="s">
        <v>1040</v>
      </c>
      <c r="F61" s="22" t="s">
        <v>933</v>
      </c>
      <c r="G61" s="123">
        <v>68</v>
      </c>
      <c r="H61" s="135">
        <f>Glas!G9</f>
        <v>0</v>
      </c>
      <c r="I61" s="124"/>
      <c r="J61" s="135">
        <f>Glas!I9</f>
        <v>0</v>
      </c>
      <c r="K61" s="44">
        <f>IF(ISBLANK(G61),0,G61)*J61</f>
        <v>0</v>
      </c>
      <c r="L61" s="44">
        <f>C61*K61</f>
        <v>0</v>
      </c>
      <c r="M61" s="44">
        <f>L61/12</f>
        <v>0</v>
      </c>
    </row>
    <row r="62" spans="1:13" x14ac:dyDescent="0.2">
      <c r="A62" s="27" t="s">
        <v>1041</v>
      </c>
      <c r="B62" s="27" t="s">
        <v>40</v>
      </c>
      <c r="C62" s="28">
        <f>IF(ISBLANK(B62),0,IF(ISERROR(VALUE(B62)),VLOOKUP(B62,dagsoorttabel1,2,FALSE)*dagenperjaar1,VALUE(B62)))</f>
        <v>2</v>
      </c>
      <c r="D62" s="27" t="s">
        <v>796</v>
      </c>
      <c r="E62" s="27" t="s">
        <v>1042</v>
      </c>
      <c r="F62" s="27" t="s">
        <v>933</v>
      </c>
      <c r="G62" s="125">
        <v>39</v>
      </c>
      <c r="H62" s="136">
        <f>Glas!G10</f>
        <v>0</v>
      </c>
      <c r="I62" s="126"/>
      <c r="J62" s="136">
        <f>Glas!I10</f>
        <v>0</v>
      </c>
      <c r="K62" s="48">
        <f>IF(ISBLANK(G62),0,G62)*J62</f>
        <v>0</v>
      </c>
      <c r="L62" s="48">
        <f>C62*K62</f>
        <v>0</v>
      </c>
      <c r="M62" s="48">
        <f>L62/12</f>
        <v>0</v>
      </c>
    </row>
    <row r="63" spans="1:13" x14ac:dyDescent="0.2">
      <c r="A63" s="120" t="s">
        <v>869</v>
      </c>
      <c r="B63" s="51"/>
      <c r="C63" s="51"/>
      <c r="D63" s="51"/>
      <c r="E63" s="51"/>
      <c r="F63" s="51"/>
      <c r="G63" s="51"/>
      <c r="H63" s="51"/>
      <c r="I63" s="51"/>
      <c r="J63" s="51"/>
      <c r="K63" s="53">
        <f>SUM(K59:K62)</f>
        <v>0</v>
      </c>
      <c r="L63" s="53">
        <f>SUM(L59:L62)</f>
        <v>0</v>
      </c>
      <c r="M63" s="127">
        <f>L63/12</f>
        <v>0</v>
      </c>
    </row>
    <row r="65" spans="1:13" x14ac:dyDescent="0.2">
      <c r="A65" s="133" t="s">
        <v>1049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128"/>
    </row>
    <row r="66" spans="1:13" x14ac:dyDescent="0.2">
      <c r="A66" s="17" t="s">
        <v>1035</v>
      </c>
      <c r="B66" s="17" t="s">
        <v>40</v>
      </c>
      <c r="C66" s="18">
        <f>IF(ISBLANK(B66),0,IF(ISERROR(VALUE(B66)),VLOOKUP(B66,dagsoorttabel1,2,FALSE)*dagenperjaar1,VALUE(B66)))</f>
        <v>2</v>
      </c>
      <c r="D66" s="17" t="s">
        <v>796</v>
      </c>
      <c r="E66" s="17" t="s">
        <v>1036</v>
      </c>
      <c r="F66" s="17" t="s">
        <v>933</v>
      </c>
      <c r="G66" s="121">
        <v>1</v>
      </c>
      <c r="H66" s="134">
        <f>Glas!G6</f>
        <v>0</v>
      </c>
      <c r="I66" s="122"/>
      <c r="J66" s="134">
        <f>Glas!I6</f>
        <v>0</v>
      </c>
      <c r="K66" s="40">
        <f>IF(ISBLANK(G66),0,G66)*J66</f>
        <v>0</v>
      </c>
      <c r="L66" s="40">
        <f>C66*K66</f>
        <v>0</v>
      </c>
      <c r="M66" s="40">
        <f>L66/12</f>
        <v>0</v>
      </c>
    </row>
    <row r="67" spans="1:13" x14ac:dyDescent="0.2">
      <c r="A67" s="22" t="s">
        <v>1037</v>
      </c>
      <c r="B67" s="22" t="s">
        <v>40</v>
      </c>
      <c r="C67" s="23">
        <f>IF(ISBLANK(B67),0,IF(ISERROR(VALUE(B67)),VLOOKUP(B67,dagsoorttabel1,2,FALSE)*dagenperjaar1,VALUE(B67)))</f>
        <v>2</v>
      </c>
      <c r="D67" s="22" t="s">
        <v>796</v>
      </c>
      <c r="E67" s="22" t="s">
        <v>1038</v>
      </c>
      <c r="F67" s="22" t="s">
        <v>933</v>
      </c>
      <c r="G67" s="123">
        <v>1</v>
      </c>
      <c r="H67" s="135">
        <f>Glas!G8</f>
        <v>0</v>
      </c>
      <c r="I67" s="124"/>
      <c r="J67" s="135">
        <f>Glas!I8</f>
        <v>0</v>
      </c>
      <c r="K67" s="44">
        <f>IF(ISBLANK(G67),0,G67)*J67</f>
        <v>0</v>
      </c>
      <c r="L67" s="44">
        <f>C67*K67</f>
        <v>0</v>
      </c>
      <c r="M67" s="44">
        <f>L67/12</f>
        <v>0</v>
      </c>
    </row>
    <row r="68" spans="1:13" x14ac:dyDescent="0.2">
      <c r="A68" s="22" t="s">
        <v>1039</v>
      </c>
      <c r="B68" s="22" t="s">
        <v>40</v>
      </c>
      <c r="C68" s="23">
        <f>IF(ISBLANK(B68),0,IF(ISERROR(VALUE(B68)),VLOOKUP(B68,dagsoorttabel1,2,FALSE)*dagenperjaar1,VALUE(B68)))</f>
        <v>2</v>
      </c>
      <c r="D68" s="22" t="s">
        <v>796</v>
      </c>
      <c r="E68" s="22" t="s">
        <v>1040</v>
      </c>
      <c r="F68" s="22" t="s">
        <v>933</v>
      </c>
      <c r="G68" s="123">
        <v>20</v>
      </c>
      <c r="H68" s="135">
        <f>Glas!G9</f>
        <v>0</v>
      </c>
      <c r="I68" s="124"/>
      <c r="J68" s="135">
        <f>Glas!I9</f>
        <v>0</v>
      </c>
      <c r="K68" s="44">
        <f>IF(ISBLANK(G68),0,G68)*J68</f>
        <v>0</v>
      </c>
      <c r="L68" s="44">
        <f>C68*K68</f>
        <v>0</v>
      </c>
      <c r="M68" s="44">
        <f>L68/12</f>
        <v>0</v>
      </c>
    </row>
    <row r="69" spans="1:13" x14ac:dyDescent="0.2">
      <c r="A69" s="27" t="s">
        <v>1041</v>
      </c>
      <c r="B69" s="27" t="s">
        <v>40</v>
      </c>
      <c r="C69" s="28">
        <f>IF(ISBLANK(B69),0,IF(ISERROR(VALUE(B69)),VLOOKUP(B69,dagsoorttabel1,2,FALSE)*dagenperjaar1,VALUE(B69)))</f>
        <v>2</v>
      </c>
      <c r="D69" s="27" t="s">
        <v>796</v>
      </c>
      <c r="E69" s="27" t="s">
        <v>1042</v>
      </c>
      <c r="F69" s="27" t="s">
        <v>933</v>
      </c>
      <c r="G69" s="125">
        <v>12.5</v>
      </c>
      <c r="H69" s="136">
        <f>Glas!G10</f>
        <v>0</v>
      </c>
      <c r="I69" s="126"/>
      <c r="J69" s="136">
        <f>Glas!I10</f>
        <v>0</v>
      </c>
      <c r="K69" s="48">
        <f>IF(ISBLANK(G69),0,G69)*J69</f>
        <v>0</v>
      </c>
      <c r="L69" s="48">
        <f>C69*K69</f>
        <v>0</v>
      </c>
      <c r="M69" s="48">
        <f>L69/12</f>
        <v>0</v>
      </c>
    </row>
    <row r="70" spans="1:13" x14ac:dyDescent="0.2">
      <c r="A70" s="120" t="s">
        <v>1050</v>
      </c>
      <c r="B70" s="51"/>
      <c r="C70" s="51"/>
      <c r="D70" s="51"/>
      <c r="E70" s="51"/>
      <c r="F70" s="51"/>
      <c r="G70" s="51"/>
      <c r="H70" s="51"/>
      <c r="I70" s="51"/>
      <c r="J70" s="51"/>
      <c r="K70" s="53">
        <f>SUM(K66:K69)</f>
        <v>0</v>
      </c>
      <c r="L70" s="53">
        <f>SUM(L66:L69)</f>
        <v>0</v>
      </c>
      <c r="M70" s="127">
        <f>L70/12</f>
        <v>0</v>
      </c>
    </row>
    <row r="72" spans="1:13" x14ac:dyDescent="0.2">
      <c r="A72" s="133" t="s">
        <v>712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128"/>
    </row>
    <row r="73" spans="1:13" x14ac:dyDescent="0.2">
      <c r="A73" s="17" t="s">
        <v>1035</v>
      </c>
      <c r="B73" s="17" t="s">
        <v>40</v>
      </c>
      <c r="C73" s="18">
        <f>IF(ISBLANK(B73),0,IF(ISERROR(VALUE(B73)),VLOOKUP(B73,dagsoorttabel1,2,FALSE)*dagenperjaar1,VALUE(B73)))</f>
        <v>2</v>
      </c>
      <c r="D73" s="17" t="s">
        <v>796</v>
      </c>
      <c r="E73" s="17" t="s">
        <v>1036</v>
      </c>
      <c r="F73" s="17" t="s">
        <v>933</v>
      </c>
      <c r="G73" s="121">
        <v>19</v>
      </c>
      <c r="H73" s="134">
        <f>Glas!G6</f>
        <v>0</v>
      </c>
      <c r="I73" s="122"/>
      <c r="J73" s="134">
        <f>Glas!I6</f>
        <v>0</v>
      </c>
      <c r="K73" s="40">
        <f>IF(ISBLANK(G73),0,G73)*J73</f>
        <v>0</v>
      </c>
      <c r="L73" s="40">
        <f>C73*K73</f>
        <v>0</v>
      </c>
      <c r="M73" s="40">
        <f>L73/12</f>
        <v>0</v>
      </c>
    </row>
    <row r="74" spans="1:13" x14ac:dyDescent="0.2">
      <c r="A74" s="22" t="s">
        <v>1037</v>
      </c>
      <c r="B74" s="22" t="s">
        <v>40</v>
      </c>
      <c r="C74" s="23">
        <f>IF(ISBLANK(B74),0,IF(ISERROR(VALUE(B74)),VLOOKUP(B74,dagsoorttabel1,2,FALSE)*dagenperjaar1,VALUE(B74)))</f>
        <v>2</v>
      </c>
      <c r="D74" s="22" t="s">
        <v>796</v>
      </c>
      <c r="E74" s="22" t="s">
        <v>1038</v>
      </c>
      <c r="F74" s="22" t="s">
        <v>933</v>
      </c>
      <c r="G74" s="123">
        <v>19</v>
      </c>
      <c r="H74" s="135">
        <f>Glas!G8</f>
        <v>0</v>
      </c>
      <c r="I74" s="124"/>
      <c r="J74" s="135">
        <f>Glas!I8</f>
        <v>0</v>
      </c>
      <c r="K74" s="44">
        <f>IF(ISBLANK(G74),0,G74)*J74</f>
        <v>0</v>
      </c>
      <c r="L74" s="44">
        <f>C74*K74</f>
        <v>0</v>
      </c>
      <c r="M74" s="44">
        <f>L74/12</f>
        <v>0</v>
      </c>
    </row>
    <row r="75" spans="1:13" x14ac:dyDescent="0.2">
      <c r="A75" s="27" t="s">
        <v>1039</v>
      </c>
      <c r="B75" s="27" t="s">
        <v>40</v>
      </c>
      <c r="C75" s="28">
        <f>IF(ISBLANK(B75),0,IF(ISERROR(VALUE(B75)),VLOOKUP(B75,dagsoorttabel1,2,FALSE)*dagenperjaar1,VALUE(B75)))</f>
        <v>2</v>
      </c>
      <c r="D75" s="27" t="s">
        <v>796</v>
      </c>
      <c r="E75" s="27" t="s">
        <v>1040</v>
      </c>
      <c r="F75" s="27" t="s">
        <v>933</v>
      </c>
      <c r="G75" s="125">
        <v>1</v>
      </c>
      <c r="H75" s="136">
        <f>Glas!G9</f>
        <v>0</v>
      </c>
      <c r="I75" s="126"/>
      <c r="J75" s="136">
        <f>Glas!I9</f>
        <v>0</v>
      </c>
      <c r="K75" s="48">
        <f>IF(ISBLANK(G75),0,G75)*J75</f>
        <v>0</v>
      </c>
      <c r="L75" s="48">
        <f>C75*K75</f>
        <v>0</v>
      </c>
      <c r="M75" s="48">
        <f>L75/12</f>
        <v>0</v>
      </c>
    </row>
    <row r="76" spans="1:13" x14ac:dyDescent="0.2">
      <c r="A76" s="120" t="s">
        <v>872</v>
      </c>
      <c r="B76" s="51"/>
      <c r="C76" s="51"/>
      <c r="D76" s="51"/>
      <c r="E76" s="51"/>
      <c r="F76" s="51"/>
      <c r="G76" s="51"/>
      <c r="H76" s="51"/>
      <c r="I76" s="51"/>
      <c r="J76" s="51"/>
      <c r="K76" s="53">
        <f>SUM(K73:K75)</f>
        <v>0</v>
      </c>
      <c r="L76" s="53">
        <f>SUM(L73:L75)</f>
        <v>0</v>
      </c>
      <c r="M76" s="127">
        <f>L76/12</f>
        <v>0</v>
      </c>
    </row>
    <row r="78" spans="1:13" x14ac:dyDescent="0.2">
      <c r="A78" s="133" t="s">
        <v>723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128"/>
    </row>
    <row r="79" spans="1:13" x14ac:dyDescent="0.2">
      <c r="A79" s="102" t="s">
        <v>1039</v>
      </c>
      <c r="B79" s="102" t="s">
        <v>40</v>
      </c>
      <c r="C79" s="129">
        <f>IF(ISBLANK(B79),0,IF(ISERROR(VALUE(B79)),VLOOKUP(B79,dagsoorttabel1,2,FALSE)*dagenperjaar1,VALUE(B79)))</f>
        <v>2</v>
      </c>
      <c r="D79" s="102" t="s">
        <v>796</v>
      </c>
      <c r="E79" s="102" t="s">
        <v>1040</v>
      </c>
      <c r="F79" s="102" t="s">
        <v>933</v>
      </c>
      <c r="G79" s="130">
        <v>54</v>
      </c>
      <c r="H79" s="137">
        <f>Glas!G9</f>
        <v>0</v>
      </c>
      <c r="I79" s="132"/>
      <c r="J79" s="137">
        <f>Glas!I9</f>
        <v>0</v>
      </c>
      <c r="K79" s="107">
        <f>IF(ISBLANK(G79),0,G79)*J79</f>
        <v>0</v>
      </c>
      <c r="L79" s="107">
        <f>C79*K79</f>
        <v>0</v>
      </c>
      <c r="M79" s="107">
        <f>L79/12</f>
        <v>0</v>
      </c>
    </row>
    <row r="80" spans="1:13" x14ac:dyDescent="0.2">
      <c r="A80" s="120" t="s">
        <v>874</v>
      </c>
      <c r="B80" s="51"/>
      <c r="C80" s="51"/>
      <c r="D80" s="51"/>
      <c r="E80" s="51"/>
      <c r="F80" s="51"/>
      <c r="G80" s="51"/>
      <c r="H80" s="51"/>
      <c r="I80" s="51"/>
      <c r="J80" s="51"/>
      <c r="K80" s="53">
        <f>SUM(K79:K79)</f>
        <v>0</v>
      </c>
      <c r="L80" s="53">
        <f>SUM(L79:L79)</f>
        <v>0</v>
      </c>
      <c r="M80" s="127">
        <f>L80/12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EA18-B1C3-48BC-8116-C2A5BB7109F7}">
  <dimension ref="A1:E19"/>
  <sheetViews>
    <sheetView tabSelected="1" workbookViewId="0">
      <selection activeCell="A17" sqref="A17:XFD20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I.1.14: ",tabeltype," totaalblad schoonmaakwerk")</f>
        <v>Bijlage I.1.14: Invultabel totaalblad schoonmaakwerk</v>
      </c>
    </row>
    <row r="3" spans="1:5" ht="25.5" x14ac:dyDescent="0.2">
      <c r="A3" s="8" t="s">
        <v>1051</v>
      </c>
      <c r="B3" s="8" t="s">
        <v>1052</v>
      </c>
      <c r="C3" s="8" t="s">
        <v>1053</v>
      </c>
      <c r="D3" s="8" t="s">
        <v>1054</v>
      </c>
      <c r="E3" s="8" t="s">
        <v>1055</v>
      </c>
    </row>
    <row r="4" spans="1:5" x14ac:dyDescent="0.2">
      <c r="A4" s="138" t="s">
        <v>1056</v>
      </c>
      <c r="B4" s="37">
        <f>urenjaartotaaloverzicht</f>
        <v>0</v>
      </c>
      <c r="C4" s="37">
        <f>urenjaartotaaloverzichthf</f>
        <v>0</v>
      </c>
      <c r="D4" s="112"/>
      <c r="E4" s="40">
        <f>prijsjaartotaaloverzicht</f>
        <v>0</v>
      </c>
    </row>
    <row r="5" spans="1:5" x14ac:dyDescent="0.2">
      <c r="A5" s="139" t="s">
        <v>1057</v>
      </c>
      <c r="B5" s="115"/>
      <c r="C5" s="115"/>
      <c r="D5" s="41">
        <f>urenjaarnietmeewerkend</f>
        <v>0</v>
      </c>
      <c r="E5" s="44">
        <f>prijsjaarnietmeewerkend</f>
        <v>0</v>
      </c>
    </row>
    <row r="6" spans="1:5" ht="25.5" x14ac:dyDescent="0.2">
      <c r="A6" s="139" t="s">
        <v>1058</v>
      </c>
      <c r="B6" s="115"/>
      <c r="C6" s="115"/>
      <c r="D6" s="115"/>
      <c r="E6" s="44">
        <f>prijsjaarafroep</f>
        <v>0</v>
      </c>
    </row>
    <row r="7" spans="1:5" x14ac:dyDescent="0.2">
      <c r="A7" s="139" t="s">
        <v>1059</v>
      </c>
      <c r="B7" s="115"/>
      <c r="C7" s="115"/>
      <c r="D7" s="115"/>
      <c r="E7" s="44">
        <f>prijsjaarregie</f>
        <v>0</v>
      </c>
    </row>
    <row r="8" spans="1:5" x14ac:dyDescent="0.2">
      <c r="A8" s="140" t="s">
        <v>1060</v>
      </c>
      <c r="B8" s="141"/>
      <c r="C8" s="141"/>
      <c r="D8" s="141"/>
      <c r="E8" s="48">
        <f>prijsjaarglas</f>
        <v>0</v>
      </c>
    </row>
    <row r="10" spans="1:5" x14ac:dyDescent="0.2">
      <c r="A10" s="8" t="s">
        <v>1061</v>
      </c>
      <c r="B10" s="52">
        <f>SUM(B4:B8)</f>
        <v>0</v>
      </c>
      <c r="C10" s="52">
        <f>SUM(C4:C8)</f>
        <v>0</v>
      </c>
      <c r="D10" s="52">
        <f>SUM(D4:D8)</f>
        <v>0</v>
      </c>
      <c r="E10" s="53">
        <f>SUM(E4:E8)</f>
        <v>0</v>
      </c>
    </row>
    <row r="12" spans="1:5" x14ac:dyDescent="0.2">
      <c r="A12" s="8" t="s">
        <v>1062</v>
      </c>
      <c r="B12" s="142">
        <f>IF(B10&gt;0,D10/B10,0)</f>
        <v>0</v>
      </c>
    </row>
    <row r="17" spans="1:5" ht="15" x14ac:dyDescent="0.25">
      <c r="A17" s="143" t="s">
        <v>1063</v>
      </c>
      <c r="B17" s="144"/>
      <c r="C17" s="144"/>
      <c r="D17" s="144"/>
      <c r="E17" s="145">
        <f>E4+E5</f>
        <v>0</v>
      </c>
    </row>
    <row r="18" spans="1:5" ht="15" x14ac:dyDescent="0.25">
      <c r="A18" s="144"/>
      <c r="B18" s="144"/>
      <c r="C18" s="144"/>
      <c r="D18" s="144"/>
      <c r="E18" s="144"/>
    </row>
    <row r="19" spans="1:5" ht="15" x14ac:dyDescent="0.25">
      <c r="A19" s="143" t="s">
        <v>1064</v>
      </c>
      <c r="B19" s="144"/>
      <c r="C19" s="144"/>
      <c r="D19" s="144"/>
      <c r="E19" s="145">
        <f>E6+E7+E8</f>
        <v>0</v>
      </c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148A-825C-4865-AFD8-9EB512867D3C}">
  <dimension ref="A1:B44"/>
  <sheetViews>
    <sheetView workbookViewId="0"/>
  </sheetViews>
  <sheetFormatPr defaultRowHeight="12.75" x14ac:dyDescent="0.2"/>
  <sheetData>
    <row r="1" spans="1:2" x14ac:dyDescent="0.2">
      <c r="A1" s="1" t="s">
        <v>1</v>
      </c>
    </row>
    <row r="3" spans="1:2" x14ac:dyDescent="0.2">
      <c r="A3" t="s">
        <v>2</v>
      </c>
    </row>
    <row r="5" spans="1:2" x14ac:dyDescent="0.2">
      <c r="A5" t="s">
        <v>3</v>
      </c>
      <c r="B5" t="s">
        <v>4</v>
      </c>
    </row>
    <row r="7" spans="1:2" x14ac:dyDescent="0.2">
      <c r="A7" s="4" t="s">
        <v>5</v>
      </c>
      <c r="B7" s="5"/>
    </row>
    <row r="8" spans="1:2" x14ac:dyDescent="0.2">
      <c r="A8" s="2"/>
      <c r="B8" s="3"/>
    </row>
    <row r="9" spans="1:2" x14ac:dyDescent="0.2">
      <c r="A9" s="2" t="s">
        <v>6</v>
      </c>
      <c r="B9" s="3">
        <v>255</v>
      </c>
    </row>
    <row r="10" spans="1:2" x14ac:dyDescent="0.2">
      <c r="A10" s="2" t="s">
        <v>7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8</v>
      </c>
      <c r="B12" s="3" t="s">
        <v>9</v>
      </c>
    </row>
    <row r="13" spans="1:2" x14ac:dyDescent="0.2">
      <c r="A13" s="2" t="s">
        <v>10</v>
      </c>
      <c r="B13" s="3">
        <f t="shared" ref="B13:B44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11</v>
      </c>
      <c r="B14" s="3">
        <f t="shared" si="0"/>
        <v>0.92941176470588238</v>
      </c>
    </row>
    <row r="15" spans="1:2" x14ac:dyDescent="0.2">
      <c r="A15" s="2" t="s">
        <v>12</v>
      </c>
      <c r="B15" s="3">
        <f t="shared" si="0"/>
        <v>0.88235294117647056</v>
      </c>
    </row>
    <row r="16" spans="1:2" x14ac:dyDescent="0.2">
      <c r="A16" s="2" t="s">
        <v>13</v>
      </c>
      <c r="B16" s="3">
        <f t="shared" si="0"/>
        <v>0.8</v>
      </c>
    </row>
    <row r="17" spans="1:2" x14ac:dyDescent="0.2">
      <c r="A17" s="2" t="s">
        <v>14</v>
      </c>
      <c r="B17" s="3">
        <f t="shared" si="0"/>
        <v>0.78431372549019607</v>
      </c>
    </row>
    <row r="18" spans="1:2" x14ac:dyDescent="0.2">
      <c r="A18" s="2" t="s">
        <v>15</v>
      </c>
      <c r="B18" s="3">
        <f t="shared" si="0"/>
        <v>0.68627450980392157</v>
      </c>
    </row>
    <row r="19" spans="1:2" x14ac:dyDescent="0.2">
      <c r="A19" s="2" t="s">
        <v>16</v>
      </c>
      <c r="B19" s="3">
        <f t="shared" si="0"/>
        <v>0.6</v>
      </c>
    </row>
    <row r="20" spans="1:2" x14ac:dyDescent="0.2">
      <c r="A20" s="2" t="s">
        <v>17</v>
      </c>
      <c r="B20" s="3">
        <f t="shared" si="0"/>
        <v>0.5</v>
      </c>
    </row>
    <row r="21" spans="1:2" x14ac:dyDescent="0.2">
      <c r="A21" s="2" t="s">
        <v>18</v>
      </c>
      <c r="B21" s="3">
        <f t="shared" si="0"/>
        <v>0.44705882352941179</v>
      </c>
    </row>
    <row r="22" spans="1:2" x14ac:dyDescent="0.2">
      <c r="A22" s="2" t="s">
        <v>19</v>
      </c>
      <c r="B22" s="3">
        <f t="shared" si="0"/>
        <v>0.4</v>
      </c>
    </row>
    <row r="23" spans="1:2" x14ac:dyDescent="0.2">
      <c r="A23" s="2" t="s">
        <v>20</v>
      </c>
      <c r="B23" s="3">
        <f t="shared" si="0"/>
        <v>0.39215686274509803</v>
      </c>
    </row>
    <row r="24" spans="1:2" x14ac:dyDescent="0.2">
      <c r="A24" s="2" t="s">
        <v>21</v>
      </c>
      <c r="B24" s="3">
        <f t="shared" si="0"/>
        <v>0.33333333333333331</v>
      </c>
    </row>
    <row r="25" spans="1:2" x14ac:dyDescent="0.2">
      <c r="A25" s="2" t="s">
        <v>22</v>
      </c>
      <c r="B25" s="3">
        <f t="shared" si="0"/>
        <v>0.27450980392156865</v>
      </c>
    </row>
    <row r="26" spans="1:2" x14ac:dyDescent="0.2">
      <c r="A26" s="2" t="s">
        <v>23</v>
      </c>
      <c r="B26" s="3">
        <f t="shared" si="0"/>
        <v>0.25490196078431371</v>
      </c>
    </row>
    <row r="27" spans="1:2" x14ac:dyDescent="0.2">
      <c r="A27" s="2" t="s">
        <v>24</v>
      </c>
      <c r="B27" s="3">
        <f t="shared" si="0"/>
        <v>0.2</v>
      </c>
    </row>
    <row r="28" spans="1:2" x14ac:dyDescent="0.2">
      <c r="A28" s="2" t="s">
        <v>25</v>
      </c>
      <c r="B28" s="3">
        <f t="shared" si="0"/>
        <v>0.17647058823529413</v>
      </c>
    </row>
    <row r="29" spans="1:2" x14ac:dyDescent="0.2">
      <c r="A29" s="2" t="s">
        <v>26</v>
      </c>
      <c r="B29" s="3">
        <f t="shared" si="0"/>
        <v>0.14117647058823529</v>
      </c>
    </row>
    <row r="30" spans="1:2" x14ac:dyDescent="0.2">
      <c r="A30" s="2" t="s">
        <v>27</v>
      </c>
      <c r="B30" s="3">
        <f t="shared" si="0"/>
        <v>0.10196078431372549</v>
      </c>
    </row>
    <row r="31" spans="1:2" x14ac:dyDescent="0.2">
      <c r="A31" s="2" t="s">
        <v>28</v>
      </c>
      <c r="B31" s="3">
        <f t="shared" si="0"/>
        <v>9.8039215686274508E-2</v>
      </c>
    </row>
    <row r="32" spans="1:2" x14ac:dyDescent="0.2">
      <c r="A32" s="2" t="s">
        <v>29</v>
      </c>
      <c r="B32" s="3">
        <f t="shared" si="0"/>
        <v>9.4117647058823528E-2</v>
      </c>
    </row>
    <row r="33" spans="1:2" x14ac:dyDescent="0.2">
      <c r="A33" s="2" t="s">
        <v>30</v>
      </c>
      <c r="B33" s="3">
        <f t="shared" si="0"/>
        <v>7.8431372549019607E-2</v>
      </c>
    </row>
    <row r="34" spans="1:2" x14ac:dyDescent="0.2">
      <c r="A34" s="2" t="s">
        <v>31</v>
      </c>
      <c r="B34" s="3">
        <f t="shared" si="0"/>
        <v>7.4509803921568626E-2</v>
      </c>
    </row>
    <row r="35" spans="1:2" x14ac:dyDescent="0.2">
      <c r="A35" s="2" t="s">
        <v>32</v>
      </c>
      <c r="B35" s="3">
        <f t="shared" si="0"/>
        <v>6.6666666666666666E-2</v>
      </c>
    </row>
    <row r="36" spans="1:2" x14ac:dyDescent="0.2">
      <c r="A36" s="2" t="s">
        <v>33</v>
      </c>
      <c r="B36" s="3">
        <f t="shared" si="0"/>
        <v>6.2745098039215685E-2</v>
      </c>
    </row>
    <row r="37" spans="1:2" x14ac:dyDescent="0.2">
      <c r="A37" s="2" t="s">
        <v>34</v>
      </c>
      <c r="B37" s="3">
        <f t="shared" si="0"/>
        <v>5.4901960784313725E-2</v>
      </c>
    </row>
    <row r="38" spans="1:2" x14ac:dyDescent="0.2">
      <c r="A38" s="2" t="s">
        <v>35</v>
      </c>
      <c r="B38" s="3">
        <f t="shared" si="0"/>
        <v>4.7058823529411764E-2</v>
      </c>
    </row>
    <row r="39" spans="1:2" x14ac:dyDescent="0.2">
      <c r="A39" s="2" t="s">
        <v>36</v>
      </c>
      <c r="B39" s="3">
        <f t="shared" si="0"/>
        <v>3.1372549019607843E-2</v>
      </c>
    </row>
    <row r="40" spans="1:2" x14ac:dyDescent="0.2">
      <c r="A40" s="2" t="s">
        <v>37</v>
      </c>
      <c r="B40" s="3">
        <f t="shared" si="0"/>
        <v>2.3529411764705882E-2</v>
      </c>
    </row>
    <row r="41" spans="1:2" x14ac:dyDescent="0.2">
      <c r="A41" s="2" t="s">
        <v>38</v>
      </c>
      <c r="B41" s="3">
        <f t="shared" si="0"/>
        <v>1.5686274509803921E-2</v>
      </c>
    </row>
    <row r="42" spans="1:2" x14ac:dyDescent="0.2">
      <c r="A42" s="2" t="s">
        <v>39</v>
      </c>
      <c r="B42" s="3">
        <f t="shared" si="0"/>
        <v>1.1764705882352941E-2</v>
      </c>
    </row>
    <row r="43" spans="1:2" x14ac:dyDescent="0.2">
      <c r="A43" s="2" t="s">
        <v>40</v>
      </c>
      <c r="B43" s="3">
        <f t="shared" si="0"/>
        <v>7.8431372549019607E-3</v>
      </c>
    </row>
    <row r="44" spans="1:2" x14ac:dyDescent="0.2">
      <c r="A44" s="6" t="s">
        <v>41</v>
      </c>
      <c r="B44" s="7">
        <f t="shared" si="0"/>
        <v>3.9215686274509803E-3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CFDB-6F64-406D-ACB9-8759FB473426}">
  <dimension ref="A1:H118"/>
  <sheetViews>
    <sheetView workbookViewId="0">
      <selection activeCell="D21" sqref="D21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I.1.1: ",tabeltype," categorienormen")</f>
        <v>Bijlage I.1.1: Invultabel categorienormen</v>
      </c>
    </row>
    <row r="3" spans="1:8" ht="38.25" x14ac:dyDescent="0.2">
      <c r="A3" s="8" t="s">
        <v>42</v>
      </c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  <c r="G3" s="8" t="s">
        <v>48</v>
      </c>
      <c r="H3" s="8" t="s">
        <v>49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50</v>
      </c>
      <c r="B5" s="13"/>
      <c r="C5" s="13"/>
      <c r="D5" s="13"/>
      <c r="E5" s="13"/>
      <c r="F5" s="13"/>
      <c r="G5" s="13"/>
      <c r="H5" s="14"/>
    </row>
    <row r="6" spans="1:8" x14ac:dyDescent="0.2">
      <c r="A6" s="17" t="s">
        <v>51</v>
      </c>
      <c r="B6" s="18" t="s">
        <v>52</v>
      </c>
      <c r="C6" s="17">
        <v>1</v>
      </c>
      <c r="D6" s="17" t="s">
        <v>53</v>
      </c>
      <c r="E6" s="19"/>
      <c r="F6" s="20"/>
      <c r="G6" s="17" t="s">
        <v>54</v>
      </c>
      <c r="H6" s="21"/>
    </row>
    <row r="7" spans="1:8" x14ac:dyDescent="0.2">
      <c r="A7" s="22" t="s">
        <v>55</v>
      </c>
      <c r="B7" s="23" t="s">
        <v>52</v>
      </c>
      <c r="C7" s="22">
        <v>12</v>
      </c>
      <c r="D7" s="22" t="s">
        <v>56</v>
      </c>
      <c r="E7" s="24"/>
      <c r="F7" s="25"/>
      <c r="G7" s="22" t="s">
        <v>54</v>
      </c>
      <c r="H7" s="26"/>
    </row>
    <row r="8" spans="1:8" x14ac:dyDescent="0.2">
      <c r="A8" s="22" t="s">
        <v>55</v>
      </c>
      <c r="B8" s="23" t="s">
        <v>52</v>
      </c>
      <c r="C8" s="22">
        <v>14</v>
      </c>
      <c r="D8" s="22" t="s">
        <v>56</v>
      </c>
      <c r="E8" s="24"/>
      <c r="F8" s="25"/>
      <c r="G8" s="22" t="s">
        <v>54</v>
      </c>
      <c r="H8" s="26"/>
    </row>
    <row r="9" spans="1:8" x14ac:dyDescent="0.2">
      <c r="A9" s="22" t="s">
        <v>55</v>
      </c>
      <c r="B9" s="23" t="s">
        <v>52</v>
      </c>
      <c r="C9" s="22">
        <v>19</v>
      </c>
      <c r="D9" s="22" t="s">
        <v>56</v>
      </c>
      <c r="E9" s="24"/>
      <c r="F9" s="25"/>
      <c r="G9" s="22" t="s">
        <v>54</v>
      </c>
      <c r="H9" s="26"/>
    </row>
    <row r="10" spans="1:8" x14ac:dyDescent="0.2">
      <c r="A10" s="22" t="s">
        <v>55</v>
      </c>
      <c r="B10" s="23" t="s">
        <v>52</v>
      </c>
      <c r="C10" s="22">
        <v>40</v>
      </c>
      <c r="D10" s="22" t="s">
        <v>56</v>
      </c>
      <c r="E10" s="24"/>
      <c r="F10" s="25"/>
      <c r="G10" s="22" t="s">
        <v>54</v>
      </c>
      <c r="H10" s="26"/>
    </row>
    <row r="11" spans="1:8" x14ac:dyDescent="0.2">
      <c r="A11" s="22" t="s">
        <v>55</v>
      </c>
      <c r="B11" s="23" t="s">
        <v>52</v>
      </c>
      <c r="C11" s="22">
        <v>51</v>
      </c>
      <c r="D11" s="22" t="s">
        <v>56</v>
      </c>
      <c r="E11" s="24"/>
      <c r="F11" s="25"/>
      <c r="G11" s="22" t="s">
        <v>54</v>
      </c>
      <c r="H11" s="26"/>
    </row>
    <row r="12" spans="1:8" x14ac:dyDescent="0.2">
      <c r="A12" s="22" t="s">
        <v>57</v>
      </c>
      <c r="B12" s="23" t="s">
        <v>52</v>
      </c>
      <c r="C12" s="22">
        <v>1</v>
      </c>
      <c r="D12" s="22" t="s">
        <v>58</v>
      </c>
      <c r="E12" s="24"/>
      <c r="F12" s="25"/>
      <c r="G12" s="22" t="s">
        <v>54</v>
      </c>
      <c r="H12" s="26"/>
    </row>
    <row r="13" spans="1:8" x14ac:dyDescent="0.2">
      <c r="A13" s="22" t="s">
        <v>59</v>
      </c>
      <c r="B13" s="23" t="s">
        <v>52</v>
      </c>
      <c r="C13" s="22">
        <v>40</v>
      </c>
      <c r="D13" s="22" t="s">
        <v>60</v>
      </c>
      <c r="E13" s="24"/>
      <c r="F13" s="25"/>
      <c r="G13" s="22" t="s">
        <v>54</v>
      </c>
      <c r="H13" s="26"/>
    </row>
    <row r="14" spans="1:8" x14ac:dyDescent="0.2">
      <c r="A14" s="22" t="s">
        <v>59</v>
      </c>
      <c r="B14" s="23" t="s">
        <v>52</v>
      </c>
      <c r="C14" s="22">
        <v>51</v>
      </c>
      <c r="D14" s="22" t="s">
        <v>60</v>
      </c>
      <c r="E14" s="24"/>
      <c r="F14" s="25"/>
      <c r="G14" s="22" t="s">
        <v>54</v>
      </c>
      <c r="H14" s="26"/>
    </row>
    <row r="15" spans="1:8" x14ac:dyDescent="0.2">
      <c r="A15" s="22" t="s">
        <v>61</v>
      </c>
      <c r="B15" s="23" t="s">
        <v>52</v>
      </c>
      <c r="C15" s="22">
        <v>1</v>
      </c>
      <c r="D15" s="22" t="s">
        <v>62</v>
      </c>
      <c r="E15" s="24"/>
      <c r="F15" s="25"/>
      <c r="G15" s="22" t="s">
        <v>54</v>
      </c>
      <c r="H15" s="26"/>
    </row>
    <row r="16" spans="1:8" x14ac:dyDescent="0.2">
      <c r="A16" s="22" t="s">
        <v>63</v>
      </c>
      <c r="B16" s="23" t="s">
        <v>52</v>
      </c>
      <c r="C16" s="22">
        <v>51</v>
      </c>
      <c r="D16" s="22" t="s">
        <v>64</v>
      </c>
      <c r="E16" s="24"/>
      <c r="F16" s="25"/>
      <c r="G16" s="22" t="s">
        <v>54</v>
      </c>
      <c r="H16" s="26"/>
    </row>
    <row r="17" spans="1:8" x14ac:dyDescent="0.2">
      <c r="A17" s="22" t="s">
        <v>65</v>
      </c>
      <c r="B17" s="23" t="s">
        <v>52</v>
      </c>
      <c r="C17" s="22">
        <v>1</v>
      </c>
      <c r="D17" s="22" t="s">
        <v>66</v>
      </c>
      <c r="E17" s="24"/>
      <c r="F17" s="25"/>
      <c r="G17" s="22" t="s">
        <v>54</v>
      </c>
      <c r="H17" s="26"/>
    </row>
    <row r="18" spans="1:8" x14ac:dyDescent="0.2">
      <c r="A18" s="22" t="s">
        <v>67</v>
      </c>
      <c r="B18" s="23" t="s">
        <v>52</v>
      </c>
      <c r="C18" s="22">
        <v>40</v>
      </c>
      <c r="D18" s="22" t="s">
        <v>68</v>
      </c>
      <c r="E18" s="24"/>
      <c r="F18" s="25"/>
      <c r="G18" s="22" t="s">
        <v>54</v>
      </c>
      <c r="H18" s="26"/>
    </row>
    <row r="19" spans="1:8" x14ac:dyDescent="0.2">
      <c r="A19" s="22" t="s">
        <v>67</v>
      </c>
      <c r="B19" s="23" t="s">
        <v>52</v>
      </c>
      <c r="C19" s="22">
        <v>51</v>
      </c>
      <c r="D19" s="22" t="s">
        <v>68</v>
      </c>
      <c r="E19" s="24"/>
      <c r="F19" s="25"/>
      <c r="G19" s="22" t="s">
        <v>54</v>
      </c>
      <c r="H19" s="26"/>
    </row>
    <row r="20" spans="1:8" x14ac:dyDescent="0.2">
      <c r="A20" s="22" t="s">
        <v>69</v>
      </c>
      <c r="B20" s="23" t="s">
        <v>52</v>
      </c>
      <c r="C20" s="22">
        <v>1</v>
      </c>
      <c r="D20" s="22" t="s">
        <v>70</v>
      </c>
      <c r="E20" s="24"/>
      <c r="F20" s="25"/>
      <c r="G20" s="22" t="s">
        <v>54</v>
      </c>
      <c r="H20" s="26"/>
    </row>
    <row r="21" spans="1:8" x14ac:dyDescent="0.2">
      <c r="A21" s="22" t="s">
        <v>71</v>
      </c>
      <c r="B21" s="23" t="s">
        <v>52</v>
      </c>
      <c r="C21" s="22">
        <v>14</v>
      </c>
      <c r="D21" s="22" t="s">
        <v>72</v>
      </c>
      <c r="E21" s="24"/>
      <c r="F21" s="25"/>
      <c r="G21" s="22" t="s">
        <v>54</v>
      </c>
      <c r="H21" s="26"/>
    </row>
    <row r="22" spans="1:8" x14ac:dyDescent="0.2">
      <c r="A22" s="22" t="s">
        <v>71</v>
      </c>
      <c r="B22" s="23" t="s">
        <v>52</v>
      </c>
      <c r="C22" s="22">
        <v>19</v>
      </c>
      <c r="D22" s="22" t="s">
        <v>72</v>
      </c>
      <c r="E22" s="24"/>
      <c r="F22" s="25"/>
      <c r="G22" s="22" t="s">
        <v>54</v>
      </c>
      <c r="H22" s="26"/>
    </row>
    <row r="23" spans="1:8" x14ac:dyDescent="0.2">
      <c r="A23" s="22" t="s">
        <v>71</v>
      </c>
      <c r="B23" s="23" t="s">
        <v>52</v>
      </c>
      <c r="C23" s="22">
        <v>51</v>
      </c>
      <c r="D23" s="22" t="s">
        <v>72</v>
      </c>
      <c r="E23" s="24"/>
      <c r="F23" s="25"/>
      <c r="G23" s="22" t="s">
        <v>54</v>
      </c>
      <c r="H23" s="26"/>
    </row>
    <row r="24" spans="1:8" x14ac:dyDescent="0.2">
      <c r="A24" s="22" t="s">
        <v>73</v>
      </c>
      <c r="B24" s="23" t="s">
        <v>52</v>
      </c>
      <c r="C24" s="22">
        <v>1</v>
      </c>
      <c r="D24" s="22" t="s">
        <v>74</v>
      </c>
      <c r="E24" s="24"/>
      <c r="F24" s="25"/>
      <c r="G24" s="22" t="s">
        <v>54</v>
      </c>
      <c r="H24" s="26"/>
    </row>
    <row r="25" spans="1:8" x14ac:dyDescent="0.2">
      <c r="A25" s="22" t="s">
        <v>75</v>
      </c>
      <c r="B25" s="23" t="s">
        <v>52</v>
      </c>
      <c r="C25" s="22">
        <v>51</v>
      </c>
      <c r="D25" s="22" t="s">
        <v>76</v>
      </c>
      <c r="E25" s="24"/>
      <c r="F25" s="25"/>
      <c r="G25" s="22" t="s">
        <v>54</v>
      </c>
      <c r="H25" s="26"/>
    </row>
    <row r="26" spans="1:8" x14ac:dyDescent="0.2">
      <c r="A26" s="22" t="s">
        <v>77</v>
      </c>
      <c r="B26" s="23" t="s">
        <v>78</v>
      </c>
      <c r="C26" s="22">
        <v>1</v>
      </c>
      <c r="D26" s="22" t="s">
        <v>79</v>
      </c>
      <c r="E26" s="24"/>
      <c r="F26" s="25"/>
      <c r="G26" s="22" t="s">
        <v>54</v>
      </c>
      <c r="H26" s="26"/>
    </row>
    <row r="27" spans="1:8" x14ac:dyDescent="0.2">
      <c r="A27" s="22" t="s">
        <v>80</v>
      </c>
      <c r="B27" s="23" t="s">
        <v>78</v>
      </c>
      <c r="C27" s="22">
        <v>51</v>
      </c>
      <c r="D27" s="22" t="s">
        <v>81</v>
      </c>
      <c r="E27" s="24"/>
      <c r="F27" s="25"/>
      <c r="G27" s="22" t="s">
        <v>54</v>
      </c>
      <c r="H27" s="26"/>
    </row>
    <row r="28" spans="1:8" x14ac:dyDescent="0.2">
      <c r="A28" s="22" t="s">
        <v>82</v>
      </c>
      <c r="B28" s="23" t="s">
        <v>83</v>
      </c>
      <c r="C28" s="22">
        <v>1</v>
      </c>
      <c r="D28" s="22" t="s">
        <v>84</v>
      </c>
      <c r="E28" s="24"/>
      <c r="F28" s="25"/>
      <c r="G28" s="22" t="s">
        <v>54</v>
      </c>
      <c r="H28" s="26"/>
    </row>
    <row r="29" spans="1:8" x14ac:dyDescent="0.2">
      <c r="A29" s="22" t="s">
        <v>85</v>
      </c>
      <c r="B29" s="23" t="s">
        <v>83</v>
      </c>
      <c r="C29" s="22">
        <v>14</v>
      </c>
      <c r="D29" s="22" t="s">
        <v>86</v>
      </c>
      <c r="E29" s="24"/>
      <c r="F29" s="25"/>
      <c r="G29" s="22" t="s">
        <v>54</v>
      </c>
      <c r="H29" s="26"/>
    </row>
    <row r="30" spans="1:8" x14ac:dyDescent="0.2">
      <c r="A30" s="22" t="s">
        <v>85</v>
      </c>
      <c r="B30" s="23" t="s">
        <v>83</v>
      </c>
      <c r="C30" s="22">
        <v>18</v>
      </c>
      <c r="D30" s="22" t="s">
        <v>86</v>
      </c>
      <c r="E30" s="24"/>
      <c r="F30" s="25"/>
      <c r="G30" s="22" t="s">
        <v>54</v>
      </c>
      <c r="H30" s="26"/>
    </row>
    <row r="31" spans="1:8" x14ac:dyDescent="0.2">
      <c r="A31" s="22" t="s">
        <v>85</v>
      </c>
      <c r="B31" s="23" t="s">
        <v>83</v>
      </c>
      <c r="C31" s="22">
        <v>19</v>
      </c>
      <c r="D31" s="22" t="s">
        <v>86</v>
      </c>
      <c r="E31" s="24"/>
      <c r="F31" s="25"/>
      <c r="G31" s="22" t="s">
        <v>54</v>
      </c>
      <c r="H31" s="26"/>
    </row>
    <row r="32" spans="1:8" x14ac:dyDescent="0.2">
      <c r="A32" s="22" t="s">
        <v>85</v>
      </c>
      <c r="B32" s="23" t="s">
        <v>83</v>
      </c>
      <c r="C32" s="22">
        <v>35</v>
      </c>
      <c r="D32" s="22" t="s">
        <v>86</v>
      </c>
      <c r="E32" s="24"/>
      <c r="F32" s="25"/>
      <c r="G32" s="22" t="s">
        <v>54</v>
      </c>
      <c r="H32" s="26"/>
    </row>
    <row r="33" spans="1:8" x14ac:dyDescent="0.2">
      <c r="A33" s="22" t="s">
        <v>85</v>
      </c>
      <c r="B33" s="23" t="s">
        <v>83</v>
      </c>
      <c r="C33" s="22">
        <v>40</v>
      </c>
      <c r="D33" s="22" t="s">
        <v>86</v>
      </c>
      <c r="E33" s="24"/>
      <c r="F33" s="25"/>
      <c r="G33" s="22" t="s">
        <v>54</v>
      </c>
      <c r="H33" s="26"/>
    </row>
    <row r="34" spans="1:8" x14ac:dyDescent="0.2">
      <c r="A34" s="22" t="s">
        <v>85</v>
      </c>
      <c r="B34" s="23" t="s">
        <v>83</v>
      </c>
      <c r="C34" s="22">
        <v>45</v>
      </c>
      <c r="D34" s="22" t="s">
        <v>86</v>
      </c>
      <c r="E34" s="24"/>
      <c r="F34" s="25"/>
      <c r="G34" s="22" t="s">
        <v>54</v>
      </c>
      <c r="H34" s="26"/>
    </row>
    <row r="35" spans="1:8" x14ac:dyDescent="0.2">
      <c r="A35" s="22" t="s">
        <v>85</v>
      </c>
      <c r="B35" s="23" t="s">
        <v>83</v>
      </c>
      <c r="C35" s="22">
        <v>51</v>
      </c>
      <c r="D35" s="22" t="s">
        <v>86</v>
      </c>
      <c r="E35" s="24"/>
      <c r="F35" s="25"/>
      <c r="G35" s="22" t="s">
        <v>54</v>
      </c>
      <c r="H35" s="26"/>
    </row>
    <row r="36" spans="1:8" x14ac:dyDescent="0.2">
      <c r="A36" s="22" t="s">
        <v>85</v>
      </c>
      <c r="B36" s="23" t="s">
        <v>83</v>
      </c>
      <c r="C36" s="22">
        <v>65</v>
      </c>
      <c r="D36" s="22" t="s">
        <v>86</v>
      </c>
      <c r="E36" s="24"/>
      <c r="F36" s="25"/>
      <c r="G36" s="22" t="s">
        <v>54</v>
      </c>
      <c r="H36" s="26"/>
    </row>
    <row r="37" spans="1:8" x14ac:dyDescent="0.2">
      <c r="A37" s="22" t="s">
        <v>87</v>
      </c>
      <c r="B37" s="23" t="s">
        <v>83</v>
      </c>
      <c r="C37" s="22">
        <v>1</v>
      </c>
      <c r="D37" s="22" t="s">
        <v>88</v>
      </c>
      <c r="E37" s="24"/>
      <c r="F37" s="25"/>
      <c r="G37" s="22" t="s">
        <v>54</v>
      </c>
      <c r="H37" s="26"/>
    </row>
    <row r="38" spans="1:8" x14ac:dyDescent="0.2">
      <c r="A38" s="22" t="s">
        <v>89</v>
      </c>
      <c r="B38" s="23" t="s">
        <v>83</v>
      </c>
      <c r="C38" s="22">
        <v>51</v>
      </c>
      <c r="D38" s="22" t="s">
        <v>90</v>
      </c>
      <c r="E38" s="24"/>
      <c r="F38" s="25"/>
      <c r="G38" s="22" t="s">
        <v>54</v>
      </c>
      <c r="H38" s="26"/>
    </row>
    <row r="39" spans="1:8" x14ac:dyDescent="0.2">
      <c r="A39" s="22" t="s">
        <v>91</v>
      </c>
      <c r="B39" s="23" t="s">
        <v>83</v>
      </c>
      <c r="C39" s="22">
        <v>1</v>
      </c>
      <c r="D39" s="22" t="s">
        <v>92</v>
      </c>
      <c r="E39" s="24"/>
      <c r="F39" s="25"/>
      <c r="G39" s="22" t="s">
        <v>54</v>
      </c>
      <c r="H39" s="26"/>
    </row>
    <row r="40" spans="1:8" x14ac:dyDescent="0.2">
      <c r="A40" s="22" t="s">
        <v>93</v>
      </c>
      <c r="B40" s="23" t="s">
        <v>83</v>
      </c>
      <c r="C40" s="22">
        <v>14</v>
      </c>
      <c r="D40" s="22" t="s">
        <v>94</v>
      </c>
      <c r="E40" s="24"/>
      <c r="F40" s="25"/>
      <c r="G40" s="22" t="s">
        <v>54</v>
      </c>
      <c r="H40" s="26"/>
    </row>
    <row r="41" spans="1:8" x14ac:dyDescent="0.2">
      <c r="A41" s="22" t="s">
        <v>93</v>
      </c>
      <c r="B41" s="23" t="s">
        <v>83</v>
      </c>
      <c r="C41" s="22">
        <v>17</v>
      </c>
      <c r="D41" s="22" t="s">
        <v>94</v>
      </c>
      <c r="E41" s="24"/>
      <c r="F41" s="25"/>
      <c r="G41" s="22" t="s">
        <v>54</v>
      </c>
      <c r="H41" s="26"/>
    </row>
    <row r="42" spans="1:8" x14ac:dyDescent="0.2">
      <c r="A42" s="22" t="s">
        <v>93</v>
      </c>
      <c r="B42" s="23" t="s">
        <v>83</v>
      </c>
      <c r="C42" s="22">
        <v>18</v>
      </c>
      <c r="D42" s="22" t="s">
        <v>94</v>
      </c>
      <c r="E42" s="24"/>
      <c r="F42" s="25"/>
      <c r="G42" s="22" t="s">
        <v>54</v>
      </c>
      <c r="H42" s="26"/>
    </row>
    <row r="43" spans="1:8" x14ac:dyDescent="0.2">
      <c r="A43" s="22" t="s">
        <v>93</v>
      </c>
      <c r="B43" s="23" t="s">
        <v>83</v>
      </c>
      <c r="C43" s="22">
        <v>19</v>
      </c>
      <c r="D43" s="22" t="s">
        <v>94</v>
      </c>
      <c r="E43" s="24"/>
      <c r="F43" s="25"/>
      <c r="G43" s="22" t="s">
        <v>54</v>
      </c>
      <c r="H43" s="26"/>
    </row>
    <row r="44" spans="1:8" x14ac:dyDescent="0.2">
      <c r="A44" s="22" t="s">
        <v>93</v>
      </c>
      <c r="B44" s="23" t="s">
        <v>83</v>
      </c>
      <c r="C44" s="22">
        <v>35</v>
      </c>
      <c r="D44" s="22" t="s">
        <v>94</v>
      </c>
      <c r="E44" s="24"/>
      <c r="F44" s="25"/>
      <c r="G44" s="22" t="s">
        <v>54</v>
      </c>
      <c r="H44" s="26"/>
    </row>
    <row r="45" spans="1:8" x14ac:dyDescent="0.2">
      <c r="A45" s="22" t="s">
        <v>93</v>
      </c>
      <c r="B45" s="23" t="s">
        <v>83</v>
      </c>
      <c r="C45" s="22">
        <v>38</v>
      </c>
      <c r="D45" s="22" t="s">
        <v>94</v>
      </c>
      <c r="E45" s="24"/>
      <c r="F45" s="25"/>
      <c r="G45" s="22" t="s">
        <v>54</v>
      </c>
      <c r="H45" s="26"/>
    </row>
    <row r="46" spans="1:8" x14ac:dyDescent="0.2">
      <c r="A46" s="22" t="s">
        <v>93</v>
      </c>
      <c r="B46" s="23" t="s">
        <v>83</v>
      </c>
      <c r="C46" s="22">
        <v>40</v>
      </c>
      <c r="D46" s="22" t="s">
        <v>94</v>
      </c>
      <c r="E46" s="24"/>
      <c r="F46" s="25"/>
      <c r="G46" s="22" t="s">
        <v>54</v>
      </c>
      <c r="H46" s="26"/>
    </row>
    <row r="47" spans="1:8" x14ac:dyDescent="0.2">
      <c r="A47" s="22" t="s">
        <v>93</v>
      </c>
      <c r="B47" s="23" t="s">
        <v>83</v>
      </c>
      <c r="C47" s="22">
        <v>45</v>
      </c>
      <c r="D47" s="22" t="s">
        <v>94</v>
      </c>
      <c r="E47" s="24"/>
      <c r="F47" s="25"/>
      <c r="G47" s="22" t="s">
        <v>54</v>
      </c>
      <c r="H47" s="26"/>
    </row>
    <row r="48" spans="1:8" x14ac:dyDescent="0.2">
      <c r="A48" s="22" t="s">
        <v>93</v>
      </c>
      <c r="B48" s="23" t="s">
        <v>83</v>
      </c>
      <c r="C48" s="22">
        <v>51</v>
      </c>
      <c r="D48" s="22" t="s">
        <v>94</v>
      </c>
      <c r="E48" s="24"/>
      <c r="F48" s="25"/>
      <c r="G48" s="22" t="s">
        <v>54</v>
      </c>
      <c r="H48" s="26"/>
    </row>
    <row r="49" spans="1:8" x14ac:dyDescent="0.2">
      <c r="A49" s="22" t="s">
        <v>93</v>
      </c>
      <c r="B49" s="23" t="s">
        <v>83</v>
      </c>
      <c r="C49" s="22">
        <v>65</v>
      </c>
      <c r="D49" s="22" t="s">
        <v>94</v>
      </c>
      <c r="E49" s="24"/>
      <c r="F49" s="25"/>
      <c r="G49" s="22" t="s">
        <v>54</v>
      </c>
      <c r="H49" s="26"/>
    </row>
    <row r="50" spans="1:8" x14ac:dyDescent="0.2">
      <c r="A50" s="22" t="s">
        <v>93</v>
      </c>
      <c r="B50" s="23" t="s">
        <v>83</v>
      </c>
      <c r="C50" s="22">
        <v>85</v>
      </c>
      <c r="D50" s="22" t="s">
        <v>94</v>
      </c>
      <c r="E50" s="24"/>
      <c r="F50" s="25"/>
      <c r="G50" s="22" t="s">
        <v>54</v>
      </c>
      <c r="H50" s="26"/>
    </row>
    <row r="51" spans="1:8" x14ac:dyDescent="0.2">
      <c r="A51" s="22" t="s">
        <v>95</v>
      </c>
      <c r="B51" s="23" t="s">
        <v>96</v>
      </c>
      <c r="C51" s="22">
        <v>1</v>
      </c>
      <c r="D51" s="22" t="s">
        <v>97</v>
      </c>
      <c r="E51" s="24"/>
      <c r="F51" s="25"/>
      <c r="G51" s="22" t="s">
        <v>54</v>
      </c>
      <c r="H51" s="26"/>
    </row>
    <row r="52" spans="1:8" x14ac:dyDescent="0.2">
      <c r="A52" s="22" t="s">
        <v>98</v>
      </c>
      <c r="B52" s="23" t="s">
        <v>96</v>
      </c>
      <c r="C52" s="22">
        <v>45</v>
      </c>
      <c r="D52" s="22" t="s">
        <v>99</v>
      </c>
      <c r="E52" s="24"/>
      <c r="F52" s="25"/>
      <c r="G52" s="22" t="s">
        <v>54</v>
      </c>
      <c r="H52" s="26"/>
    </row>
    <row r="53" spans="1:8" x14ac:dyDescent="0.2">
      <c r="A53" s="22" t="s">
        <v>98</v>
      </c>
      <c r="B53" s="23" t="s">
        <v>96</v>
      </c>
      <c r="C53" s="22">
        <v>51</v>
      </c>
      <c r="D53" s="22" t="s">
        <v>99</v>
      </c>
      <c r="E53" s="24"/>
      <c r="F53" s="25"/>
      <c r="G53" s="22" t="s">
        <v>54</v>
      </c>
      <c r="H53" s="26"/>
    </row>
    <row r="54" spans="1:8" x14ac:dyDescent="0.2">
      <c r="A54" s="22" t="s">
        <v>100</v>
      </c>
      <c r="B54" s="23" t="s">
        <v>101</v>
      </c>
      <c r="C54" s="22">
        <v>1</v>
      </c>
      <c r="D54" s="22" t="s">
        <v>102</v>
      </c>
      <c r="E54" s="24"/>
      <c r="F54" s="25"/>
      <c r="G54" s="22" t="s">
        <v>54</v>
      </c>
      <c r="H54" s="26"/>
    </row>
    <row r="55" spans="1:8" x14ac:dyDescent="0.2">
      <c r="A55" s="22" t="s">
        <v>103</v>
      </c>
      <c r="B55" s="23" t="s">
        <v>101</v>
      </c>
      <c r="C55" s="22">
        <v>12</v>
      </c>
      <c r="D55" s="22" t="s">
        <v>104</v>
      </c>
      <c r="E55" s="24"/>
      <c r="F55" s="25"/>
      <c r="G55" s="22" t="s">
        <v>54</v>
      </c>
      <c r="H55" s="26"/>
    </row>
    <row r="56" spans="1:8" x14ac:dyDescent="0.2">
      <c r="A56" s="22" t="s">
        <v>103</v>
      </c>
      <c r="B56" s="23" t="s">
        <v>101</v>
      </c>
      <c r="C56" s="22">
        <v>14</v>
      </c>
      <c r="D56" s="22" t="s">
        <v>104</v>
      </c>
      <c r="E56" s="24"/>
      <c r="F56" s="25"/>
      <c r="G56" s="22" t="s">
        <v>54</v>
      </c>
      <c r="H56" s="26"/>
    </row>
    <row r="57" spans="1:8" x14ac:dyDescent="0.2">
      <c r="A57" s="22" t="s">
        <v>103</v>
      </c>
      <c r="B57" s="23" t="s">
        <v>101</v>
      </c>
      <c r="C57" s="22">
        <v>19</v>
      </c>
      <c r="D57" s="22" t="s">
        <v>104</v>
      </c>
      <c r="E57" s="24"/>
      <c r="F57" s="25"/>
      <c r="G57" s="22" t="s">
        <v>54</v>
      </c>
      <c r="H57" s="26"/>
    </row>
    <row r="58" spans="1:8" x14ac:dyDescent="0.2">
      <c r="A58" s="22" t="s">
        <v>103</v>
      </c>
      <c r="B58" s="23" t="s">
        <v>101</v>
      </c>
      <c r="C58" s="22">
        <v>51</v>
      </c>
      <c r="D58" s="22" t="s">
        <v>104</v>
      </c>
      <c r="E58" s="24"/>
      <c r="F58" s="25"/>
      <c r="G58" s="22" t="s">
        <v>54</v>
      </c>
      <c r="H58" s="26"/>
    </row>
    <row r="59" spans="1:8" x14ac:dyDescent="0.2">
      <c r="A59" s="22" t="s">
        <v>105</v>
      </c>
      <c r="B59" s="23" t="s">
        <v>101</v>
      </c>
      <c r="C59" s="22">
        <v>1</v>
      </c>
      <c r="D59" s="22" t="s">
        <v>106</v>
      </c>
      <c r="E59" s="24"/>
      <c r="F59" s="25"/>
      <c r="G59" s="22" t="s">
        <v>54</v>
      </c>
      <c r="H59" s="26"/>
    </row>
    <row r="60" spans="1:8" x14ac:dyDescent="0.2">
      <c r="A60" s="22" t="s">
        <v>107</v>
      </c>
      <c r="B60" s="23" t="s">
        <v>101</v>
      </c>
      <c r="C60" s="22">
        <v>12</v>
      </c>
      <c r="D60" s="22" t="s">
        <v>108</v>
      </c>
      <c r="E60" s="24"/>
      <c r="F60" s="25"/>
      <c r="G60" s="22" t="s">
        <v>54</v>
      </c>
      <c r="H60" s="26"/>
    </row>
    <row r="61" spans="1:8" x14ac:dyDescent="0.2">
      <c r="A61" s="22" t="s">
        <v>109</v>
      </c>
      <c r="B61" s="23" t="s">
        <v>101</v>
      </c>
      <c r="C61" s="22">
        <v>1</v>
      </c>
      <c r="D61" s="22" t="s">
        <v>110</v>
      </c>
      <c r="E61" s="24"/>
      <c r="F61" s="25"/>
      <c r="G61" s="22" t="s">
        <v>54</v>
      </c>
      <c r="H61" s="26"/>
    </row>
    <row r="62" spans="1:8" x14ac:dyDescent="0.2">
      <c r="A62" s="22" t="s">
        <v>111</v>
      </c>
      <c r="B62" s="23" t="s">
        <v>101</v>
      </c>
      <c r="C62" s="22">
        <v>40</v>
      </c>
      <c r="D62" s="22" t="s">
        <v>112</v>
      </c>
      <c r="E62" s="24"/>
      <c r="F62" s="25"/>
      <c r="G62" s="22" t="s">
        <v>54</v>
      </c>
      <c r="H62" s="26"/>
    </row>
    <row r="63" spans="1:8" x14ac:dyDescent="0.2">
      <c r="A63" s="22" t="s">
        <v>111</v>
      </c>
      <c r="B63" s="23" t="s">
        <v>101</v>
      </c>
      <c r="C63" s="22">
        <v>45</v>
      </c>
      <c r="D63" s="22" t="s">
        <v>112</v>
      </c>
      <c r="E63" s="24"/>
      <c r="F63" s="25"/>
      <c r="G63" s="22" t="s">
        <v>54</v>
      </c>
      <c r="H63" s="26"/>
    </row>
    <row r="64" spans="1:8" x14ac:dyDescent="0.2">
      <c r="A64" s="22" t="s">
        <v>111</v>
      </c>
      <c r="B64" s="23" t="s">
        <v>101</v>
      </c>
      <c r="C64" s="22">
        <v>51</v>
      </c>
      <c r="D64" s="22" t="s">
        <v>112</v>
      </c>
      <c r="E64" s="24"/>
      <c r="F64" s="25"/>
      <c r="G64" s="22" t="s">
        <v>54</v>
      </c>
      <c r="H64" s="26"/>
    </row>
    <row r="65" spans="1:8" x14ac:dyDescent="0.2">
      <c r="A65" s="22" t="s">
        <v>113</v>
      </c>
      <c r="B65" s="23" t="s">
        <v>101</v>
      </c>
      <c r="C65" s="22">
        <v>1</v>
      </c>
      <c r="D65" s="22" t="s">
        <v>114</v>
      </c>
      <c r="E65" s="24"/>
      <c r="F65" s="25"/>
      <c r="G65" s="22" t="s">
        <v>54</v>
      </c>
      <c r="H65" s="26"/>
    </row>
    <row r="66" spans="1:8" x14ac:dyDescent="0.2">
      <c r="A66" s="22" t="s">
        <v>115</v>
      </c>
      <c r="B66" s="23" t="s">
        <v>101</v>
      </c>
      <c r="C66" s="22">
        <v>51</v>
      </c>
      <c r="D66" s="22" t="s">
        <v>116</v>
      </c>
      <c r="E66" s="24"/>
      <c r="F66" s="25"/>
      <c r="G66" s="22" t="s">
        <v>54</v>
      </c>
      <c r="H66" s="26"/>
    </row>
    <row r="67" spans="1:8" x14ac:dyDescent="0.2">
      <c r="A67" s="22" t="s">
        <v>117</v>
      </c>
      <c r="B67" s="23" t="s">
        <v>101</v>
      </c>
      <c r="C67" s="22">
        <v>1</v>
      </c>
      <c r="D67" s="22" t="s">
        <v>118</v>
      </c>
      <c r="E67" s="24"/>
      <c r="F67" s="25"/>
      <c r="G67" s="22" t="s">
        <v>54</v>
      </c>
      <c r="H67" s="26"/>
    </row>
    <row r="68" spans="1:8" x14ac:dyDescent="0.2">
      <c r="A68" s="22" t="s">
        <v>119</v>
      </c>
      <c r="B68" s="23" t="s">
        <v>101</v>
      </c>
      <c r="C68" s="22">
        <v>12</v>
      </c>
      <c r="D68" s="22" t="s">
        <v>120</v>
      </c>
      <c r="E68" s="24"/>
      <c r="F68" s="25"/>
      <c r="G68" s="22" t="s">
        <v>54</v>
      </c>
      <c r="H68" s="26"/>
    </row>
    <row r="69" spans="1:8" x14ac:dyDescent="0.2">
      <c r="A69" s="22" t="s">
        <v>121</v>
      </c>
      <c r="B69" s="23" t="s">
        <v>101</v>
      </c>
      <c r="C69" s="22">
        <v>1</v>
      </c>
      <c r="D69" s="22" t="s">
        <v>122</v>
      </c>
      <c r="E69" s="24"/>
      <c r="F69" s="25"/>
      <c r="G69" s="22" t="s">
        <v>54</v>
      </c>
      <c r="H69" s="26"/>
    </row>
    <row r="70" spans="1:8" x14ac:dyDescent="0.2">
      <c r="A70" s="22" t="s">
        <v>123</v>
      </c>
      <c r="B70" s="23" t="s">
        <v>101</v>
      </c>
      <c r="C70" s="22">
        <v>45</v>
      </c>
      <c r="D70" s="22" t="s">
        <v>124</v>
      </c>
      <c r="E70" s="24"/>
      <c r="F70" s="25"/>
      <c r="G70" s="22" t="s">
        <v>54</v>
      </c>
      <c r="H70" s="26"/>
    </row>
    <row r="71" spans="1:8" x14ac:dyDescent="0.2">
      <c r="A71" s="22" t="s">
        <v>123</v>
      </c>
      <c r="B71" s="23" t="s">
        <v>101</v>
      </c>
      <c r="C71" s="22">
        <v>51</v>
      </c>
      <c r="D71" s="22" t="s">
        <v>124</v>
      </c>
      <c r="E71" s="24"/>
      <c r="F71" s="25"/>
      <c r="G71" s="22" t="s">
        <v>54</v>
      </c>
      <c r="H71" s="26"/>
    </row>
    <row r="72" spans="1:8" x14ac:dyDescent="0.2">
      <c r="A72" s="22" t="s">
        <v>125</v>
      </c>
      <c r="B72" s="23" t="s">
        <v>101</v>
      </c>
      <c r="C72" s="22">
        <v>1</v>
      </c>
      <c r="D72" s="22" t="s">
        <v>126</v>
      </c>
      <c r="E72" s="24"/>
      <c r="F72" s="25"/>
      <c r="G72" s="22" t="s">
        <v>54</v>
      </c>
      <c r="H72" s="26"/>
    </row>
    <row r="73" spans="1:8" x14ac:dyDescent="0.2">
      <c r="A73" s="22" t="s">
        <v>127</v>
      </c>
      <c r="B73" s="23" t="s">
        <v>101</v>
      </c>
      <c r="C73" s="22">
        <v>51</v>
      </c>
      <c r="D73" s="22" t="s">
        <v>128</v>
      </c>
      <c r="E73" s="24"/>
      <c r="F73" s="25"/>
      <c r="G73" s="22" t="s">
        <v>54</v>
      </c>
      <c r="H73" s="26"/>
    </row>
    <row r="74" spans="1:8" x14ac:dyDescent="0.2">
      <c r="A74" s="22" t="s">
        <v>129</v>
      </c>
      <c r="B74" s="23" t="s">
        <v>101</v>
      </c>
      <c r="C74" s="22">
        <v>1</v>
      </c>
      <c r="D74" s="22" t="s">
        <v>130</v>
      </c>
      <c r="E74" s="24"/>
      <c r="F74" s="25"/>
      <c r="G74" s="22" t="s">
        <v>54</v>
      </c>
      <c r="H74" s="26"/>
    </row>
    <row r="75" spans="1:8" x14ac:dyDescent="0.2">
      <c r="A75" s="22" t="s">
        <v>131</v>
      </c>
      <c r="B75" s="23" t="s">
        <v>101</v>
      </c>
      <c r="C75" s="22">
        <v>51</v>
      </c>
      <c r="D75" s="22" t="s">
        <v>132</v>
      </c>
      <c r="E75" s="24"/>
      <c r="F75" s="25"/>
      <c r="G75" s="22" t="s">
        <v>54</v>
      </c>
      <c r="H75" s="26"/>
    </row>
    <row r="76" spans="1:8" x14ac:dyDescent="0.2">
      <c r="A76" s="22" t="s">
        <v>133</v>
      </c>
      <c r="B76" s="23" t="s">
        <v>101</v>
      </c>
      <c r="C76" s="22">
        <v>1</v>
      </c>
      <c r="D76" s="22" t="s">
        <v>134</v>
      </c>
      <c r="E76" s="24"/>
      <c r="F76" s="25"/>
      <c r="G76" s="22" t="s">
        <v>54</v>
      </c>
      <c r="H76" s="26"/>
    </row>
    <row r="77" spans="1:8" x14ac:dyDescent="0.2">
      <c r="A77" s="22" t="s">
        <v>135</v>
      </c>
      <c r="B77" s="23" t="s">
        <v>101</v>
      </c>
      <c r="C77" s="22">
        <v>40</v>
      </c>
      <c r="D77" s="22" t="s">
        <v>136</v>
      </c>
      <c r="E77" s="24"/>
      <c r="F77" s="25"/>
      <c r="G77" s="22" t="s">
        <v>54</v>
      </c>
      <c r="H77" s="26"/>
    </row>
    <row r="78" spans="1:8" x14ac:dyDescent="0.2">
      <c r="A78" s="22" t="s">
        <v>135</v>
      </c>
      <c r="B78" s="23" t="s">
        <v>101</v>
      </c>
      <c r="C78" s="22">
        <v>51</v>
      </c>
      <c r="D78" s="22" t="s">
        <v>136</v>
      </c>
      <c r="E78" s="24"/>
      <c r="F78" s="25"/>
      <c r="G78" s="22" t="s">
        <v>54</v>
      </c>
      <c r="H78" s="26"/>
    </row>
    <row r="79" spans="1:8" x14ac:dyDescent="0.2">
      <c r="A79" s="22" t="s">
        <v>137</v>
      </c>
      <c r="B79" s="23" t="s">
        <v>101</v>
      </c>
      <c r="C79" s="22">
        <v>1</v>
      </c>
      <c r="D79" s="22" t="s">
        <v>138</v>
      </c>
      <c r="E79" s="24"/>
      <c r="F79" s="25"/>
      <c r="G79" s="22" t="s">
        <v>54</v>
      </c>
      <c r="H79" s="26"/>
    </row>
    <row r="80" spans="1:8" x14ac:dyDescent="0.2">
      <c r="A80" s="22" t="s">
        <v>139</v>
      </c>
      <c r="B80" s="23" t="s">
        <v>101</v>
      </c>
      <c r="C80" s="22">
        <v>51</v>
      </c>
      <c r="D80" s="22" t="s">
        <v>140</v>
      </c>
      <c r="E80" s="24"/>
      <c r="F80" s="25"/>
      <c r="G80" s="22" t="s">
        <v>54</v>
      </c>
      <c r="H80" s="26"/>
    </row>
    <row r="81" spans="1:8" x14ac:dyDescent="0.2">
      <c r="A81" s="22" t="s">
        <v>141</v>
      </c>
      <c r="B81" s="23" t="s">
        <v>101</v>
      </c>
      <c r="C81" s="22">
        <v>1</v>
      </c>
      <c r="D81" s="22" t="s">
        <v>142</v>
      </c>
      <c r="E81" s="24"/>
      <c r="F81" s="25"/>
      <c r="G81" s="22" t="s">
        <v>54</v>
      </c>
      <c r="H81" s="26"/>
    </row>
    <row r="82" spans="1:8" x14ac:dyDescent="0.2">
      <c r="A82" s="22" t="s">
        <v>143</v>
      </c>
      <c r="B82" s="23" t="s">
        <v>101</v>
      </c>
      <c r="C82" s="22">
        <v>17</v>
      </c>
      <c r="D82" s="22" t="s">
        <v>144</v>
      </c>
      <c r="E82" s="24"/>
      <c r="F82" s="25"/>
      <c r="G82" s="22" t="s">
        <v>54</v>
      </c>
      <c r="H82" s="26"/>
    </row>
    <row r="83" spans="1:8" x14ac:dyDescent="0.2">
      <c r="A83" s="22" t="s">
        <v>143</v>
      </c>
      <c r="B83" s="23" t="s">
        <v>101</v>
      </c>
      <c r="C83" s="22">
        <v>40</v>
      </c>
      <c r="D83" s="22" t="s">
        <v>144</v>
      </c>
      <c r="E83" s="24"/>
      <c r="F83" s="25"/>
      <c r="G83" s="22" t="s">
        <v>54</v>
      </c>
      <c r="H83" s="26"/>
    </row>
    <row r="84" spans="1:8" x14ac:dyDescent="0.2">
      <c r="A84" s="22" t="s">
        <v>143</v>
      </c>
      <c r="B84" s="23" t="s">
        <v>101</v>
      </c>
      <c r="C84" s="22">
        <v>45</v>
      </c>
      <c r="D84" s="22" t="s">
        <v>144</v>
      </c>
      <c r="E84" s="24"/>
      <c r="F84" s="25"/>
      <c r="G84" s="22" t="s">
        <v>54</v>
      </c>
      <c r="H84" s="26"/>
    </row>
    <row r="85" spans="1:8" x14ac:dyDescent="0.2">
      <c r="A85" s="22" t="s">
        <v>143</v>
      </c>
      <c r="B85" s="23" t="s">
        <v>101</v>
      </c>
      <c r="C85" s="22">
        <v>51</v>
      </c>
      <c r="D85" s="22" t="s">
        <v>144</v>
      </c>
      <c r="E85" s="24"/>
      <c r="F85" s="25"/>
      <c r="G85" s="22" t="s">
        <v>54</v>
      </c>
      <c r="H85" s="26"/>
    </row>
    <row r="86" spans="1:8" x14ac:dyDescent="0.2">
      <c r="A86" s="22" t="s">
        <v>143</v>
      </c>
      <c r="B86" s="23" t="s">
        <v>101</v>
      </c>
      <c r="C86" s="22">
        <v>85</v>
      </c>
      <c r="D86" s="22" t="s">
        <v>144</v>
      </c>
      <c r="E86" s="24"/>
      <c r="F86" s="25"/>
      <c r="G86" s="22" t="s">
        <v>54</v>
      </c>
      <c r="H86" s="26"/>
    </row>
    <row r="87" spans="1:8" x14ac:dyDescent="0.2">
      <c r="A87" s="22" t="s">
        <v>145</v>
      </c>
      <c r="B87" s="23" t="s">
        <v>101</v>
      </c>
      <c r="C87" s="22">
        <v>1</v>
      </c>
      <c r="D87" s="22" t="s">
        <v>146</v>
      </c>
      <c r="E87" s="24"/>
      <c r="F87" s="25"/>
      <c r="G87" s="22" t="s">
        <v>54</v>
      </c>
      <c r="H87" s="26"/>
    </row>
    <row r="88" spans="1:8" x14ac:dyDescent="0.2">
      <c r="A88" s="22" t="s">
        <v>147</v>
      </c>
      <c r="B88" s="23" t="s">
        <v>101</v>
      </c>
      <c r="C88" s="22">
        <v>40</v>
      </c>
      <c r="D88" s="22" t="s">
        <v>148</v>
      </c>
      <c r="E88" s="24"/>
      <c r="F88" s="25"/>
      <c r="G88" s="22" t="s">
        <v>54</v>
      </c>
      <c r="H88" s="26"/>
    </row>
    <row r="89" spans="1:8" x14ac:dyDescent="0.2">
      <c r="A89" s="22" t="s">
        <v>147</v>
      </c>
      <c r="B89" s="23" t="s">
        <v>101</v>
      </c>
      <c r="C89" s="22">
        <v>45</v>
      </c>
      <c r="D89" s="22" t="s">
        <v>148</v>
      </c>
      <c r="E89" s="24"/>
      <c r="F89" s="25"/>
      <c r="G89" s="22" t="s">
        <v>54</v>
      </c>
      <c r="H89" s="26"/>
    </row>
    <row r="90" spans="1:8" x14ac:dyDescent="0.2">
      <c r="A90" s="22" t="s">
        <v>147</v>
      </c>
      <c r="B90" s="23" t="s">
        <v>101</v>
      </c>
      <c r="C90" s="22">
        <v>51</v>
      </c>
      <c r="D90" s="22" t="s">
        <v>148</v>
      </c>
      <c r="E90" s="24"/>
      <c r="F90" s="25"/>
      <c r="G90" s="22" t="s">
        <v>54</v>
      </c>
      <c r="H90" s="26"/>
    </row>
    <row r="91" spans="1:8" x14ac:dyDescent="0.2">
      <c r="A91" s="22" t="s">
        <v>149</v>
      </c>
      <c r="B91" s="23" t="s">
        <v>150</v>
      </c>
      <c r="C91" s="22">
        <v>1</v>
      </c>
      <c r="D91" s="22" t="s">
        <v>151</v>
      </c>
      <c r="E91" s="24"/>
      <c r="F91" s="25"/>
      <c r="G91" s="22" t="s">
        <v>54</v>
      </c>
      <c r="H91" s="26"/>
    </row>
    <row r="92" spans="1:8" x14ac:dyDescent="0.2">
      <c r="A92" s="27" t="s">
        <v>152</v>
      </c>
      <c r="B92" s="28" t="s">
        <v>150</v>
      </c>
      <c r="C92" s="27">
        <v>1</v>
      </c>
      <c r="D92" s="27" t="s">
        <v>153</v>
      </c>
      <c r="E92" s="29"/>
      <c r="F92" s="30"/>
      <c r="G92" s="27" t="s">
        <v>54</v>
      </c>
      <c r="H92" s="31"/>
    </row>
    <row r="93" spans="1:8" x14ac:dyDescent="0.2">
      <c r="A93" s="9"/>
      <c r="B93" s="10"/>
      <c r="C93" s="10"/>
      <c r="D93" s="10"/>
      <c r="E93" s="10"/>
      <c r="F93" s="10"/>
      <c r="G93" s="10"/>
      <c r="H93" s="11"/>
    </row>
    <row r="94" spans="1:8" x14ac:dyDescent="0.2">
      <c r="A94" s="12" t="s">
        <v>154</v>
      </c>
      <c r="B94" s="13"/>
      <c r="C94" s="13"/>
      <c r="D94" s="13"/>
      <c r="E94" s="13"/>
      <c r="F94" s="13"/>
      <c r="G94" s="13"/>
      <c r="H94" s="14"/>
    </row>
    <row r="95" spans="1:8" x14ac:dyDescent="0.2">
      <c r="A95" s="17" t="s">
        <v>155</v>
      </c>
      <c r="B95" s="18" t="s">
        <v>52</v>
      </c>
      <c r="C95" s="17">
        <v>1</v>
      </c>
      <c r="D95" s="17" t="s">
        <v>58</v>
      </c>
      <c r="E95" s="19"/>
      <c r="F95" s="20"/>
      <c r="G95" s="17" t="s">
        <v>54</v>
      </c>
      <c r="H95" s="21"/>
    </row>
    <row r="96" spans="1:8" x14ac:dyDescent="0.2">
      <c r="A96" s="22" t="s">
        <v>156</v>
      </c>
      <c r="B96" s="23" t="s">
        <v>52</v>
      </c>
      <c r="C96" s="22">
        <v>12</v>
      </c>
      <c r="D96" s="22" t="s">
        <v>60</v>
      </c>
      <c r="E96" s="24"/>
      <c r="F96" s="25"/>
      <c r="G96" s="22" t="s">
        <v>54</v>
      </c>
      <c r="H96" s="26"/>
    </row>
    <row r="97" spans="1:8" x14ac:dyDescent="0.2">
      <c r="A97" s="22" t="s">
        <v>157</v>
      </c>
      <c r="B97" s="23" t="s">
        <v>52</v>
      </c>
      <c r="C97" s="22">
        <v>1</v>
      </c>
      <c r="D97" s="22" t="s">
        <v>66</v>
      </c>
      <c r="E97" s="24"/>
      <c r="F97" s="25"/>
      <c r="G97" s="22" t="s">
        <v>54</v>
      </c>
      <c r="H97" s="26"/>
    </row>
    <row r="98" spans="1:8" x14ac:dyDescent="0.2">
      <c r="A98" s="22" t="s">
        <v>158</v>
      </c>
      <c r="B98" s="23" t="s">
        <v>52</v>
      </c>
      <c r="C98" s="22">
        <v>12</v>
      </c>
      <c r="D98" s="22" t="s">
        <v>68</v>
      </c>
      <c r="E98" s="24"/>
      <c r="F98" s="25"/>
      <c r="G98" s="22" t="s">
        <v>54</v>
      </c>
      <c r="H98" s="26"/>
    </row>
    <row r="99" spans="1:8" x14ac:dyDescent="0.2">
      <c r="A99" s="22" t="s">
        <v>159</v>
      </c>
      <c r="B99" s="23" t="s">
        <v>83</v>
      </c>
      <c r="C99" s="22">
        <v>1</v>
      </c>
      <c r="D99" s="22" t="s">
        <v>84</v>
      </c>
      <c r="E99" s="24"/>
      <c r="F99" s="25"/>
      <c r="G99" s="22" t="s">
        <v>54</v>
      </c>
      <c r="H99" s="26"/>
    </row>
    <row r="100" spans="1:8" x14ac:dyDescent="0.2">
      <c r="A100" s="22" t="s">
        <v>160</v>
      </c>
      <c r="B100" s="23" t="s">
        <v>83</v>
      </c>
      <c r="C100" s="22">
        <v>12</v>
      </c>
      <c r="D100" s="22" t="s">
        <v>86</v>
      </c>
      <c r="E100" s="24"/>
      <c r="F100" s="25"/>
      <c r="G100" s="22" t="s">
        <v>54</v>
      </c>
      <c r="H100" s="26"/>
    </row>
    <row r="101" spans="1:8" x14ac:dyDescent="0.2">
      <c r="A101" s="22" t="s">
        <v>161</v>
      </c>
      <c r="B101" s="23" t="s">
        <v>83</v>
      </c>
      <c r="C101" s="22">
        <v>1</v>
      </c>
      <c r="D101" s="22" t="s">
        <v>92</v>
      </c>
      <c r="E101" s="24"/>
      <c r="F101" s="25"/>
      <c r="G101" s="22" t="s">
        <v>54</v>
      </c>
      <c r="H101" s="26"/>
    </row>
    <row r="102" spans="1:8" x14ac:dyDescent="0.2">
      <c r="A102" s="22" t="s">
        <v>162</v>
      </c>
      <c r="B102" s="23" t="s">
        <v>83</v>
      </c>
      <c r="C102" s="22">
        <v>12</v>
      </c>
      <c r="D102" s="22" t="s">
        <v>94</v>
      </c>
      <c r="E102" s="24"/>
      <c r="F102" s="25"/>
      <c r="G102" s="22" t="s">
        <v>54</v>
      </c>
      <c r="H102" s="26"/>
    </row>
    <row r="103" spans="1:8" x14ac:dyDescent="0.2">
      <c r="A103" s="22" t="s">
        <v>163</v>
      </c>
      <c r="B103" s="23" t="s">
        <v>101</v>
      </c>
      <c r="C103" s="22">
        <v>1</v>
      </c>
      <c r="D103" s="22" t="s">
        <v>110</v>
      </c>
      <c r="E103" s="24"/>
      <c r="F103" s="25"/>
      <c r="G103" s="22" t="s">
        <v>54</v>
      </c>
      <c r="H103" s="26"/>
    </row>
    <row r="104" spans="1:8" x14ac:dyDescent="0.2">
      <c r="A104" s="22" t="s">
        <v>164</v>
      </c>
      <c r="B104" s="23" t="s">
        <v>101</v>
      </c>
      <c r="C104" s="22">
        <v>12</v>
      </c>
      <c r="D104" s="22" t="s">
        <v>112</v>
      </c>
      <c r="E104" s="24"/>
      <c r="F104" s="25"/>
      <c r="G104" s="22" t="s">
        <v>54</v>
      </c>
      <c r="H104" s="26"/>
    </row>
    <row r="105" spans="1:8" x14ac:dyDescent="0.2">
      <c r="A105" s="22" t="s">
        <v>165</v>
      </c>
      <c r="B105" s="23" t="s">
        <v>101</v>
      </c>
      <c r="C105" s="22">
        <v>1</v>
      </c>
      <c r="D105" s="22" t="s">
        <v>134</v>
      </c>
      <c r="E105" s="24"/>
      <c r="F105" s="25"/>
      <c r="G105" s="22" t="s">
        <v>54</v>
      </c>
      <c r="H105" s="26"/>
    </row>
    <row r="106" spans="1:8" x14ac:dyDescent="0.2">
      <c r="A106" s="22" t="s">
        <v>166</v>
      </c>
      <c r="B106" s="23" t="s">
        <v>101</v>
      </c>
      <c r="C106" s="22">
        <v>12</v>
      </c>
      <c r="D106" s="22" t="s">
        <v>136</v>
      </c>
      <c r="E106" s="24"/>
      <c r="F106" s="25"/>
      <c r="G106" s="22" t="s">
        <v>54</v>
      </c>
      <c r="H106" s="26"/>
    </row>
    <row r="107" spans="1:8" x14ac:dyDescent="0.2">
      <c r="A107" s="22" t="s">
        <v>167</v>
      </c>
      <c r="B107" s="23" t="s">
        <v>101</v>
      </c>
      <c r="C107" s="22">
        <v>1</v>
      </c>
      <c r="D107" s="22" t="s">
        <v>142</v>
      </c>
      <c r="E107" s="24"/>
      <c r="F107" s="25"/>
      <c r="G107" s="22" t="s">
        <v>54</v>
      </c>
      <c r="H107" s="26"/>
    </row>
    <row r="108" spans="1:8" x14ac:dyDescent="0.2">
      <c r="A108" s="22" t="s">
        <v>168</v>
      </c>
      <c r="B108" s="23" t="s">
        <v>101</v>
      </c>
      <c r="C108" s="22">
        <v>12</v>
      </c>
      <c r="D108" s="22" t="s">
        <v>144</v>
      </c>
      <c r="E108" s="24"/>
      <c r="F108" s="25"/>
      <c r="G108" s="22" t="s">
        <v>54</v>
      </c>
      <c r="H108" s="26"/>
    </row>
    <row r="109" spans="1:8" x14ac:dyDescent="0.2">
      <c r="A109" s="22" t="s">
        <v>169</v>
      </c>
      <c r="B109" s="23" t="s">
        <v>101</v>
      </c>
      <c r="C109" s="22">
        <v>1</v>
      </c>
      <c r="D109" s="22" t="s">
        <v>146</v>
      </c>
      <c r="E109" s="24"/>
      <c r="F109" s="25"/>
      <c r="G109" s="22" t="s">
        <v>54</v>
      </c>
      <c r="H109" s="26"/>
    </row>
    <row r="110" spans="1:8" x14ac:dyDescent="0.2">
      <c r="A110" s="27" t="s">
        <v>170</v>
      </c>
      <c r="B110" s="28" t="s">
        <v>101</v>
      </c>
      <c r="C110" s="27">
        <v>12</v>
      </c>
      <c r="D110" s="27" t="s">
        <v>148</v>
      </c>
      <c r="E110" s="29"/>
      <c r="F110" s="30"/>
      <c r="G110" s="27" t="s">
        <v>54</v>
      </c>
      <c r="H110" s="31"/>
    </row>
    <row r="111" spans="1:8" x14ac:dyDescent="0.2">
      <c r="A111" s="9"/>
      <c r="B111" s="10"/>
      <c r="C111" s="10"/>
      <c r="D111" s="10"/>
      <c r="E111" s="10"/>
      <c r="F111" s="10"/>
      <c r="G111" s="10"/>
      <c r="H111" s="11"/>
    </row>
    <row r="112" spans="1:8" x14ac:dyDescent="0.2">
      <c r="A112" s="12" t="s">
        <v>171</v>
      </c>
      <c r="B112" s="13"/>
      <c r="C112" s="13"/>
      <c r="D112" s="13"/>
      <c r="E112" s="13"/>
      <c r="F112" s="13"/>
      <c r="G112" s="13"/>
      <c r="H112" s="14"/>
    </row>
    <row r="113" spans="1:8" x14ac:dyDescent="0.2">
      <c r="A113" s="17" t="s">
        <v>172</v>
      </c>
      <c r="B113" s="18" t="s">
        <v>52</v>
      </c>
      <c r="C113" s="17">
        <v>1</v>
      </c>
      <c r="D113" s="17" t="s">
        <v>66</v>
      </c>
      <c r="E113" s="19"/>
      <c r="F113" s="20"/>
      <c r="G113" s="17" t="s">
        <v>54</v>
      </c>
      <c r="H113" s="21"/>
    </row>
    <row r="114" spans="1:8" x14ac:dyDescent="0.2">
      <c r="A114" s="22" t="s">
        <v>173</v>
      </c>
      <c r="B114" s="23" t="s">
        <v>83</v>
      </c>
      <c r="C114" s="22">
        <v>1</v>
      </c>
      <c r="D114" s="22" t="s">
        <v>84</v>
      </c>
      <c r="E114" s="24"/>
      <c r="F114" s="25"/>
      <c r="G114" s="22" t="s">
        <v>54</v>
      </c>
      <c r="H114" s="26"/>
    </row>
    <row r="115" spans="1:8" x14ac:dyDescent="0.2">
      <c r="A115" s="22" t="s">
        <v>174</v>
      </c>
      <c r="B115" s="23" t="s">
        <v>83</v>
      </c>
      <c r="C115" s="22">
        <v>1</v>
      </c>
      <c r="D115" s="22" t="s">
        <v>92</v>
      </c>
      <c r="E115" s="24"/>
      <c r="F115" s="25"/>
      <c r="G115" s="22" t="s">
        <v>54</v>
      </c>
      <c r="H115" s="26"/>
    </row>
    <row r="116" spans="1:8" x14ac:dyDescent="0.2">
      <c r="A116" s="22" t="s">
        <v>175</v>
      </c>
      <c r="B116" s="23" t="s">
        <v>101</v>
      </c>
      <c r="C116" s="22">
        <v>1</v>
      </c>
      <c r="D116" s="22" t="s">
        <v>110</v>
      </c>
      <c r="E116" s="24"/>
      <c r="F116" s="25"/>
      <c r="G116" s="22" t="s">
        <v>54</v>
      </c>
      <c r="H116" s="26"/>
    </row>
    <row r="117" spans="1:8" x14ac:dyDescent="0.2">
      <c r="A117" s="22" t="s">
        <v>176</v>
      </c>
      <c r="B117" s="23" t="s">
        <v>101</v>
      </c>
      <c r="C117" s="22">
        <v>1</v>
      </c>
      <c r="D117" s="22" t="s">
        <v>142</v>
      </c>
      <c r="E117" s="24"/>
      <c r="F117" s="25"/>
      <c r="G117" s="22" t="s">
        <v>54</v>
      </c>
      <c r="H117" s="26"/>
    </row>
    <row r="118" spans="1:8" x14ac:dyDescent="0.2">
      <c r="A118" s="27" t="s">
        <v>177</v>
      </c>
      <c r="B118" s="28" t="s">
        <v>101</v>
      </c>
      <c r="C118" s="27">
        <v>1</v>
      </c>
      <c r="D118" s="27" t="s">
        <v>146</v>
      </c>
      <c r="E118" s="29"/>
      <c r="F118" s="30"/>
      <c r="G118" s="27" t="s">
        <v>54</v>
      </c>
      <c r="H118" s="31"/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FB3A-D4FD-4A57-B814-09B86AC4518D}">
  <dimension ref="A1:N14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I.1.2: ",tabeltype," regulier werk")</f>
        <v>Bijlage I.1.2: Invultabel regulier werk</v>
      </c>
    </row>
    <row r="3" spans="1:14" ht="38.25" x14ac:dyDescent="0.2">
      <c r="A3" s="8" t="s">
        <v>178</v>
      </c>
      <c r="B3" s="8" t="s">
        <v>8</v>
      </c>
      <c r="C3" s="8" t="s">
        <v>179</v>
      </c>
      <c r="D3" s="8" t="s">
        <v>45</v>
      </c>
      <c r="E3" s="8" t="s">
        <v>180</v>
      </c>
      <c r="F3" s="8" t="s">
        <v>181</v>
      </c>
      <c r="G3" s="8" t="s">
        <v>46</v>
      </c>
      <c r="H3" s="8" t="s">
        <v>47</v>
      </c>
      <c r="I3" s="8" t="s">
        <v>48</v>
      </c>
      <c r="J3" s="8" t="s">
        <v>49</v>
      </c>
      <c r="K3" s="8" t="s">
        <v>182</v>
      </c>
      <c r="L3" s="8" t="s">
        <v>183</v>
      </c>
      <c r="M3" s="8" t="s">
        <v>184</v>
      </c>
      <c r="N3" s="8" t="s">
        <v>185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7" t="s">
        <v>186</v>
      </c>
      <c r="B6" s="17" t="s">
        <v>35</v>
      </c>
      <c r="C6" s="17" t="s">
        <v>187</v>
      </c>
      <c r="D6" s="17" t="s">
        <v>188</v>
      </c>
      <c r="E6" s="37">
        <v>80.900000000000006</v>
      </c>
      <c r="F6" s="37">
        <f t="shared" ref="F6:F37" si="0">E6*VLOOKUP(B6,dagsoorttabel1,2,FALSE)</f>
        <v>3.8070588235294118</v>
      </c>
      <c r="G6" s="38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39">
        <f>IF(AND(catpn_1_AHB_1&gt;0,catpn_1_AHV_12&gt;0),(catdw_1_AHB_1*((dagenperjaar1*VLOOKUP(B6,dagsoorttabel1,2,FALSE))-catfd_1_AHV_12)/catpn_1_AHB_1+catdw_1_AHV_12*catfd_1_AHV_12/catpn_1_AHV_12)/(((dagenperjaar1*VLOOKUP(B6,dagsoorttabel1,2,FALSE))-catfd_1_AHV_12)/catpn_1_AHB_1+catfd_1_AHV_12/catpn_1_AHV_12),0)</f>
        <v>0</v>
      </c>
      <c r="I6" s="17" t="s">
        <v>54</v>
      </c>
      <c r="J6" s="40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37">
        <f t="shared" ref="K6:K37" si="1">IF(OR(ISBLANK(G6),G6=0),0,F6/ROUND(G6,4))</f>
        <v>0</v>
      </c>
      <c r="L6" s="40">
        <f t="shared" ref="L6:L37" si="2">ROUND(J6,2)*K6</f>
        <v>0</v>
      </c>
      <c r="M6" s="37">
        <f t="shared" ref="M6:M37" si="3">K6*dagenperjaar1</f>
        <v>0</v>
      </c>
      <c r="N6" s="40">
        <f t="shared" ref="N6:N37" si="4">M6*ROUND(J6,2)</f>
        <v>0</v>
      </c>
    </row>
    <row r="7" spans="1:14" x14ac:dyDescent="0.2">
      <c r="A7" s="22" t="s">
        <v>186</v>
      </c>
      <c r="B7" s="22" t="s">
        <v>34</v>
      </c>
      <c r="C7" s="22" t="s">
        <v>187</v>
      </c>
      <c r="D7" s="22" t="s">
        <v>188</v>
      </c>
      <c r="E7" s="41">
        <v>2</v>
      </c>
      <c r="F7" s="41">
        <f t="shared" si="0"/>
        <v>0.10980392156862745</v>
      </c>
      <c r="G7" s="42">
        <f>IF(AND(catpn_1_AHB_1&gt;0,catpn_1_AHV_14&gt;0),(dagenperjaar1*VLOOKUP(B7,dagsoorttabel1,2,FALSE))/(((dagenperjaar1*VLOOKUP(B7,dagsoorttabel1,2,FALSE))-catfd_1_AHV_14)/catpn_1_AHB_1+catfd_1_AHV_14/catpn_1_AHV_14),0)</f>
        <v>0</v>
      </c>
      <c r="H7" s="43">
        <f>IF(AND(catpn_1_AHB_1&gt;0,catpn_1_AHV_14&gt;0),(catdw_1_AHB_1*((dagenperjaar1*VLOOKUP(B7,dagsoorttabel1,2,FALSE))-catfd_1_AHV_14)/catpn_1_AHB_1+catdw_1_AHV_14*catfd_1_AHV_14/catpn_1_AHV_14)/(((dagenperjaar1*VLOOKUP(B7,dagsoorttabel1,2,FALSE))-catfd_1_AHV_14)/catpn_1_AHB_1+catfd_1_AHV_14/catpn_1_AHV_14),0)</f>
        <v>0</v>
      </c>
      <c r="I7" s="22" t="s">
        <v>54</v>
      </c>
      <c r="J7" s="44">
        <f>IF(AND(catpn_1_AHB_1&gt;0,catpn_1_AHV_14&gt;0),(cattf_1_AHB_1*((dagenperjaar1*VLOOKUP(B7,dagsoorttabel1,2,FALSE))-catfd_1_AHV_14)/catpn_1_AHB_1+cattf_1_AHV_14*catfd_1_AHV_14/catpn_1_AHV_14)/(((dagenperjaar1*VLOOKUP(B7,dagsoorttabel1,2,FALSE))-catfd_1_AHV_14)/catpn_1_AHB_1+catfd_1_AHV_14/catpn_1_AHV_14),0)</f>
        <v>0</v>
      </c>
      <c r="K7" s="41">
        <f t="shared" si="1"/>
        <v>0</v>
      </c>
      <c r="L7" s="44">
        <f t="shared" si="2"/>
        <v>0</v>
      </c>
      <c r="M7" s="41">
        <f t="shared" si="3"/>
        <v>0</v>
      </c>
      <c r="N7" s="44">
        <f t="shared" si="4"/>
        <v>0</v>
      </c>
    </row>
    <row r="8" spans="1:14" x14ac:dyDescent="0.2">
      <c r="A8" s="22" t="s">
        <v>186</v>
      </c>
      <c r="B8" s="22" t="s">
        <v>31</v>
      </c>
      <c r="C8" s="22" t="s">
        <v>187</v>
      </c>
      <c r="D8" s="22" t="s">
        <v>188</v>
      </c>
      <c r="E8" s="41">
        <v>2</v>
      </c>
      <c r="F8" s="41">
        <f t="shared" si="0"/>
        <v>0.14901960784313725</v>
      </c>
      <c r="G8" s="42">
        <f>IF(AND(catpn_1_AHB_1&gt;0,catpn_1_AHV_19&gt;0),(dagenperjaar1*VLOOKUP(B8,dagsoorttabel1,2,FALSE))/(((dagenperjaar1*VLOOKUP(B8,dagsoorttabel1,2,FALSE))-catfd_1_AHV_19)/catpn_1_AHB_1+catfd_1_AHV_19/catpn_1_AHV_19),0)</f>
        <v>0</v>
      </c>
      <c r="H8" s="43">
        <f>IF(AND(catpn_1_AHB_1&gt;0,catpn_1_AHV_19&gt;0),(catdw_1_AHB_1*((dagenperjaar1*VLOOKUP(B8,dagsoorttabel1,2,FALSE))-catfd_1_AHV_19)/catpn_1_AHB_1+catdw_1_AHV_19*catfd_1_AHV_19/catpn_1_AHV_19)/(((dagenperjaar1*VLOOKUP(B8,dagsoorttabel1,2,FALSE))-catfd_1_AHV_19)/catpn_1_AHB_1+catfd_1_AHV_19/catpn_1_AHV_19),0)</f>
        <v>0</v>
      </c>
      <c r="I8" s="22" t="s">
        <v>54</v>
      </c>
      <c r="J8" s="44">
        <f>IF(AND(catpn_1_AHB_1&gt;0,catpn_1_AHV_19&gt;0),(cattf_1_AHB_1*((dagenperjaar1*VLOOKUP(B8,dagsoorttabel1,2,FALSE))-catfd_1_AHV_19)/catpn_1_AHB_1+cattf_1_AHV_19*catfd_1_AHV_19/catpn_1_AHV_19)/(((dagenperjaar1*VLOOKUP(B8,dagsoorttabel1,2,FALSE))-catfd_1_AHV_19)/catpn_1_AHB_1+catfd_1_AHV_19/catpn_1_AHV_19),0)</f>
        <v>0</v>
      </c>
      <c r="K8" s="41">
        <f t="shared" si="1"/>
        <v>0</v>
      </c>
      <c r="L8" s="44">
        <f t="shared" si="2"/>
        <v>0</v>
      </c>
      <c r="M8" s="41">
        <f t="shared" si="3"/>
        <v>0</v>
      </c>
      <c r="N8" s="44">
        <f t="shared" si="4"/>
        <v>0</v>
      </c>
    </row>
    <row r="9" spans="1:14" x14ac:dyDescent="0.2">
      <c r="A9" s="22" t="s">
        <v>186</v>
      </c>
      <c r="B9" s="22" t="s">
        <v>24</v>
      </c>
      <c r="C9" s="22" t="s">
        <v>187</v>
      </c>
      <c r="D9" s="22" t="s">
        <v>188</v>
      </c>
      <c r="E9" s="41">
        <v>95.78</v>
      </c>
      <c r="F9" s="41">
        <f t="shared" si="0"/>
        <v>19.156000000000002</v>
      </c>
      <c r="G9" s="42">
        <f>IF(AND(catpn_1_AHB_1&gt;0,catpn_1_AHV_51&gt;0),(dagenperjaar1*VLOOKUP(B9,dagsoorttabel1,2,FALSE))/(((dagenperjaar1*VLOOKUP(B9,dagsoorttabel1,2,FALSE))-catfd_1_AHV_51)/catpn_1_AHB_1+catfd_1_AHV_51/catpn_1_AHV_51),0)</f>
        <v>0</v>
      </c>
      <c r="H9" s="43">
        <f>IF(AND(catpn_1_AHB_1&gt;0,catpn_1_AHV_51&gt;0),(catdw_1_AHB_1*((dagenperjaar1*VLOOKUP(B9,dagsoorttabel1,2,FALSE))-catfd_1_AHV_51)/catpn_1_AHB_1+catdw_1_AHV_51*catfd_1_AHV_51/catpn_1_AHV_51)/(((dagenperjaar1*VLOOKUP(B9,dagsoorttabel1,2,FALSE))-catfd_1_AHV_51)/catpn_1_AHB_1+catfd_1_AHV_51/catpn_1_AHV_51),0)</f>
        <v>0</v>
      </c>
      <c r="I9" s="22" t="s">
        <v>54</v>
      </c>
      <c r="J9" s="44">
        <f>IF(AND(catpn_1_AHB_1&gt;0,catpn_1_AHV_51&gt;0),(cattf_1_AHB_1*((dagenperjaar1*VLOOKUP(B9,dagsoorttabel1,2,FALSE))-catfd_1_AHV_51)/catpn_1_AHB_1+cattf_1_AHV_51*catfd_1_AHV_51/catpn_1_AHV_51)/(((dagenperjaar1*VLOOKUP(B9,dagsoorttabel1,2,FALSE))-catfd_1_AHV_51)/catpn_1_AHB_1+catfd_1_AHV_51/catpn_1_AHV_51),0)</f>
        <v>0</v>
      </c>
      <c r="K9" s="41">
        <f t="shared" si="1"/>
        <v>0</v>
      </c>
      <c r="L9" s="44">
        <f t="shared" si="2"/>
        <v>0</v>
      </c>
      <c r="M9" s="41">
        <f t="shared" si="3"/>
        <v>0</v>
      </c>
      <c r="N9" s="44">
        <f t="shared" si="4"/>
        <v>0</v>
      </c>
    </row>
    <row r="10" spans="1:14" x14ac:dyDescent="0.2">
      <c r="A10" s="22" t="s">
        <v>189</v>
      </c>
      <c r="B10" s="22" t="s">
        <v>35</v>
      </c>
      <c r="C10" s="22" t="s">
        <v>187</v>
      </c>
      <c r="D10" s="22" t="s">
        <v>190</v>
      </c>
      <c r="E10" s="41">
        <v>43.199999999999996</v>
      </c>
      <c r="F10" s="41">
        <f t="shared" si="0"/>
        <v>2.032941176470588</v>
      </c>
      <c r="G10" s="42">
        <f>IF(AND(catpn_1_AZB_1&gt;0,catpn_1_AZV_12&gt;0),(dagenperjaar1*VLOOKUP(B10,dagsoorttabel1,2,FALSE))/(((dagenperjaar1*VLOOKUP(B10,dagsoorttabel1,2,FALSE))-catfd_1_AZV_12)/catpn_1_AZB_1+catfd_1_AZV_12/catpn_1_AZV_12),0)</f>
        <v>0</v>
      </c>
      <c r="H10" s="43">
        <f>IF(AND(catpn_1_AZB_1&gt;0,catpn_1_AZV_12&gt;0),(catdw_1_AZB_1*((dagenperjaar1*VLOOKUP(B10,dagsoorttabel1,2,FALSE))-catfd_1_AZV_12)/catpn_1_AZB_1+catdw_1_AZV_12*catfd_1_AZV_12/catpn_1_AZV_12)/(((dagenperjaar1*VLOOKUP(B10,dagsoorttabel1,2,FALSE))-catfd_1_AZV_12)/catpn_1_AZB_1+catfd_1_AZV_12/catpn_1_AZV_12),0)</f>
        <v>0</v>
      </c>
      <c r="I10" s="22" t="s">
        <v>54</v>
      </c>
      <c r="J10" s="44">
        <f>IF(AND(catpn_1_AZB_1&gt;0,catpn_1_AZV_12&gt;0),(cattf_1_AZB_1*((dagenperjaar1*VLOOKUP(B10,dagsoorttabel1,2,FALSE))-catfd_1_AZV_12)/catpn_1_AZB_1+cattf_1_AZV_12*catfd_1_AZV_12/catpn_1_AZV_12)/(((dagenperjaar1*VLOOKUP(B10,dagsoorttabel1,2,FALSE))-catfd_1_AZV_12)/catpn_1_AZB_1+catfd_1_AZV_12/catpn_1_AZV_12),0)</f>
        <v>0</v>
      </c>
      <c r="K10" s="41">
        <f t="shared" si="1"/>
        <v>0</v>
      </c>
      <c r="L10" s="44">
        <f t="shared" si="2"/>
        <v>0</v>
      </c>
      <c r="M10" s="41">
        <f t="shared" si="3"/>
        <v>0</v>
      </c>
      <c r="N10" s="44">
        <f t="shared" si="4"/>
        <v>0</v>
      </c>
    </row>
    <row r="11" spans="1:14" x14ac:dyDescent="0.2">
      <c r="A11" s="22" t="s">
        <v>191</v>
      </c>
      <c r="B11" s="22" t="s">
        <v>35</v>
      </c>
      <c r="C11" s="22" t="s">
        <v>187</v>
      </c>
      <c r="D11" s="22" t="s">
        <v>192</v>
      </c>
      <c r="E11" s="41">
        <v>161.19999999999999</v>
      </c>
      <c r="F11" s="41">
        <f t="shared" si="0"/>
        <v>7.5858823529411756</v>
      </c>
      <c r="G11" s="42">
        <f>IF(AND(catpn_1_BHB_1&gt;0,catpn_1_BHV_12&gt;0),(dagenperjaar1*VLOOKUP(B11,dagsoorttabel1,2,FALSE))/(((dagenperjaar1*VLOOKUP(B11,dagsoorttabel1,2,FALSE))-catfd_1_BHV_12)/catpn_1_BHB_1+catfd_1_BHV_12/catpn_1_BHV_12),0)</f>
        <v>0</v>
      </c>
      <c r="H11" s="43">
        <f>IF(AND(catpn_1_BHB_1&gt;0,catpn_1_BHV_12&gt;0),(catdw_1_BHB_1*((dagenperjaar1*VLOOKUP(B11,dagsoorttabel1,2,FALSE))-catfd_1_BHV_12)/catpn_1_BHB_1+catdw_1_BHV_12*catfd_1_BHV_12/catpn_1_BHV_12)/(((dagenperjaar1*VLOOKUP(B11,dagsoorttabel1,2,FALSE))-catfd_1_BHV_12)/catpn_1_BHB_1+catfd_1_BHV_12/catpn_1_BHV_12),0)</f>
        <v>0</v>
      </c>
      <c r="I11" s="22" t="s">
        <v>54</v>
      </c>
      <c r="J11" s="44">
        <f>IF(AND(catpn_1_BHB_1&gt;0,catpn_1_BHV_12&gt;0),(cattf_1_BHB_1*((dagenperjaar1*VLOOKUP(B11,dagsoorttabel1,2,FALSE))-catfd_1_BHV_12)/catpn_1_BHB_1+cattf_1_BHV_12*catfd_1_BHV_12/catpn_1_BHV_12)/(((dagenperjaar1*VLOOKUP(B11,dagsoorttabel1,2,FALSE))-catfd_1_BHV_12)/catpn_1_BHB_1+catfd_1_BHV_12/catpn_1_BHV_12),0)</f>
        <v>0</v>
      </c>
      <c r="K11" s="41">
        <f t="shared" si="1"/>
        <v>0</v>
      </c>
      <c r="L11" s="44">
        <f t="shared" si="2"/>
        <v>0</v>
      </c>
      <c r="M11" s="41">
        <f t="shared" si="3"/>
        <v>0</v>
      </c>
      <c r="N11" s="44">
        <f t="shared" si="4"/>
        <v>0</v>
      </c>
    </row>
    <row r="12" spans="1:14" x14ac:dyDescent="0.2">
      <c r="A12" s="22" t="s">
        <v>191</v>
      </c>
      <c r="B12" s="22" t="s">
        <v>34</v>
      </c>
      <c r="C12" s="22" t="s">
        <v>187</v>
      </c>
      <c r="D12" s="22" t="s">
        <v>192</v>
      </c>
      <c r="E12" s="41">
        <v>16</v>
      </c>
      <c r="F12" s="41">
        <f t="shared" si="0"/>
        <v>0.8784313725490196</v>
      </c>
      <c r="G12" s="42">
        <f>IF(AND(catpn_1_BHB_1&gt;0,catpn_1_BHV_14&gt;0),(dagenperjaar1*VLOOKUP(B12,dagsoorttabel1,2,FALSE))/(((dagenperjaar1*VLOOKUP(B12,dagsoorttabel1,2,FALSE))-catfd_1_BHV_14)/catpn_1_BHB_1+catfd_1_BHV_14/catpn_1_BHV_14),0)</f>
        <v>0</v>
      </c>
      <c r="H12" s="43">
        <f>IF(AND(catpn_1_BHB_1&gt;0,catpn_1_BHV_14&gt;0),(catdw_1_BHB_1*((dagenperjaar1*VLOOKUP(B12,dagsoorttabel1,2,FALSE))-catfd_1_BHV_14)/catpn_1_BHB_1+catdw_1_BHV_14*catfd_1_BHV_14/catpn_1_BHV_14)/(((dagenperjaar1*VLOOKUP(B12,dagsoorttabel1,2,FALSE))-catfd_1_BHV_14)/catpn_1_BHB_1+catfd_1_BHV_14/catpn_1_BHV_14),0)</f>
        <v>0</v>
      </c>
      <c r="I12" s="22" t="s">
        <v>54</v>
      </c>
      <c r="J12" s="44">
        <f>IF(AND(catpn_1_BHB_1&gt;0,catpn_1_BHV_14&gt;0),(cattf_1_BHB_1*((dagenperjaar1*VLOOKUP(B12,dagsoorttabel1,2,FALSE))-catfd_1_BHV_14)/catpn_1_BHB_1+cattf_1_BHV_14*catfd_1_BHV_14/catpn_1_BHV_14)/(((dagenperjaar1*VLOOKUP(B12,dagsoorttabel1,2,FALSE))-catfd_1_BHV_14)/catpn_1_BHB_1+catfd_1_BHV_14/catpn_1_BHV_14),0)</f>
        <v>0</v>
      </c>
      <c r="K12" s="41">
        <f t="shared" si="1"/>
        <v>0</v>
      </c>
      <c r="L12" s="44">
        <f t="shared" si="2"/>
        <v>0</v>
      </c>
      <c r="M12" s="41">
        <f t="shared" si="3"/>
        <v>0</v>
      </c>
      <c r="N12" s="44">
        <f t="shared" si="4"/>
        <v>0</v>
      </c>
    </row>
    <row r="13" spans="1:14" x14ac:dyDescent="0.2">
      <c r="A13" s="22" t="s">
        <v>191</v>
      </c>
      <c r="B13" s="22" t="s">
        <v>31</v>
      </c>
      <c r="C13" s="22" t="s">
        <v>187</v>
      </c>
      <c r="D13" s="22" t="s">
        <v>192</v>
      </c>
      <c r="E13" s="41">
        <v>16</v>
      </c>
      <c r="F13" s="41">
        <f t="shared" si="0"/>
        <v>1.192156862745098</v>
      </c>
      <c r="G13" s="42">
        <f>IF(AND(catpn_1_BHB_1&gt;0,catpn_1_BHV_19&gt;0),(dagenperjaar1*VLOOKUP(B13,dagsoorttabel1,2,FALSE))/(((dagenperjaar1*VLOOKUP(B13,dagsoorttabel1,2,FALSE))-catfd_1_BHV_19)/catpn_1_BHB_1+catfd_1_BHV_19/catpn_1_BHV_19),0)</f>
        <v>0</v>
      </c>
      <c r="H13" s="43">
        <f>IF(AND(catpn_1_BHB_1&gt;0,catpn_1_BHV_19&gt;0),(catdw_1_BHB_1*((dagenperjaar1*VLOOKUP(B13,dagsoorttabel1,2,FALSE))-catfd_1_BHV_19)/catpn_1_BHB_1+catdw_1_BHV_19*catfd_1_BHV_19/catpn_1_BHV_19)/(((dagenperjaar1*VLOOKUP(B13,dagsoorttabel1,2,FALSE))-catfd_1_BHV_19)/catpn_1_BHB_1+catfd_1_BHV_19/catpn_1_BHV_19),0)</f>
        <v>0</v>
      </c>
      <c r="I13" s="22" t="s">
        <v>54</v>
      </c>
      <c r="J13" s="44">
        <f>IF(AND(catpn_1_BHB_1&gt;0,catpn_1_BHV_19&gt;0),(cattf_1_BHB_1*((dagenperjaar1*VLOOKUP(B13,dagsoorttabel1,2,FALSE))-catfd_1_BHV_19)/catpn_1_BHB_1+cattf_1_BHV_19*catfd_1_BHV_19/catpn_1_BHV_19)/(((dagenperjaar1*VLOOKUP(B13,dagsoorttabel1,2,FALSE))-catfd_1_BHV_19)/catpn_1_BHB_1+catfd_1_BHV_19/catpn_1_BHV_19),0)</f>
        <v>0</v>
      </c>
      <c r="K13" s="41">
        <f t="shared" si="1"/>
        <v>0</v>
      </c>
      <c r="L13" s="44">
        <f t="shared" si="2"/>
        <v>0</v>
      </c>
      <c r="M13" s="41">
        <f t="shared" si="3"/>
        <v>0</v>
      </c>
      <c r="N13" s="44">
        <f t="shared" si="4"/>
        <v>0</v>
      </c>
    </row>
    <row r="14" spans="1:14" x14ac:dyDescent="0.2">
      <c r="A14" s="22" t="s">
        <v>191</v>
      </c>
      <c r="B14" s="22" t="s">
        <v>24</v>
      </c>
      <c r="C14" s="22" t="s">
        <v>187</v>
      </c>
      <c r="D14" s="22" t="s">
        <v>192</v>
      </c>
      <c r="E14" s="41">
        <v>201.5</v>
      </c>
      <c r="F14" s="41">
        <f t="shared" si="0"/>
        <v>40.300000000000004</v>
      </c>
      <c r="G14" s="42">
        <f>IF(AND(catpn_1_BHB_1&gt;0,catpn_1_BHV_51&gt;0),(dagenperjaar1*VLOOKUP(B14,dagsoorttabel1,2,FALSE))/(((dagenperjaar1*VLOOKUP(B14,dagsoorttabel1,2,FALSE))-catfd_1_BHV_51)/catpn_1_BHB_1+catfd_1_BHV_51/catpn_1_BHV_51),0)</f>
        <v>0</v>
      </c>
      <c r="H14" s="43">
        <f>IF(AND(catpn_1_BHB_1&gt;0,catpn_1_BHV_51&gt;0),(catdw_1_BHB_1*((dagenperjaar1*VLOOKUP(B14,dagsoorttabel1,2,FALSE))-catfd_1_BHV_51)/catpn_1_BHB_1+catdw_1_BHV_51*catfd_1_BHV_51/catpn_1_BHV_51)/(((dagenperjaar1*VLOOKUP(B14,dagsoorttabel1,2,FALSE))-catfd_1_BHV_51)/catpn_1_BHB_1+catfd_1_BHV_51/catpn_1_BHV_51),0)</f>
        <v>0</v>
      </c>
      <c r="I14" s="22" t="s">
        <v>54</v>
      </c>
      <c r="J14" s="44">
        <f>IF(AND(catpn_1_BHB_1&gt;0,catpn_1_BHV_51&gt;0),(cattf_1_BHB_1*((dagenperjaar1*VLOOKUP(B14,dagsoorttabel1,2,FALSE))-catfd_1_BHV_51)/catpn_1_BHB_1+cattf_1_BHV_51*catfd_1_BHV_51/catpn_1_BHV_51)/(((dagenperjaar1*VLOOKUP(B14,dagsoorttabel1,2,FALSE))-catfd_1_BHV_51)/catpn_1_BHB_1+catfd_1_BHV_51/catpn_1_BHV_51),0)</f>
        <v>0</v>
      </c>
      <c r="K14" s="41">
        <f t="shared" si="1"/>
        <v>0</v>
      </c>
      <c r="L14" s="44">
        <f t="shared" si="2"/>
        <v>0</v>
      </c>
      <c r="M14" s="41">
        <f t="shared" si="3"/>
        <v>0</v>
      </c>
      <c r="N14" s="44">
        <f t="shared" si="4"/>
        <v>0</v>
      </c>
    </row>
    <row r="15" spans="1:14" x14ac:dyDescent="0.2">
      <c r="A15" s="22" t="s">
        <v>191</v>
      </c>
      <c r="B15" s="22" t="s">
        <v>17</v>
      </c>
      <c r="C15" s="22" t="s">
        <v>187</v>
      </c>
      <c r="D15" s="22" t="s">
        <v>192</v>
      </c>
      <c r="E15" s="41">
        <v>40.630000000000003</v>
      </c>
      <c r="F15" s="41">
        <f t="shared" si="0"/>
        <v>20.315000000000001</v>
      </c>
      <c r="G15" s="42">
        <f>IF(AND(catpn_1_BHB_1&gt;0,catpn_1_BHV_51&gt;0),(dagenperjaar1*VLOOKUP(B15,dagsoorttabel1,2,FALSE))/(((dagenperjaar1*VLOOKUP(B15,dagsoorttabel1,2,FALSE))-catfd_1_BHV_51)/catpn_1_BHB_1+catfd_1_BHV_51/catpn_1_BHV_51),0)</f>
        <v>0</v>
      </c>
      <c r="H15" s="43">
        <f>IF(AND(catpn_1_BHB_1&gt;0,catpn_1_BHV_51&gt;0),(catdw_1_BHB_1*((dagenperjaar1*VLOOKUP(B15,dagsoorttabel1,2,FALSE))-catfd_1_BHV_51)/catpn_1_BHB_1+catdw_1_BHV_51*catfd_1_BHV_51/catpn_1_BHV_51)/(((dagenperjaar1*VLOOKUP(B15,dagsoorttabel1,2,FALSE))-catfd_1_BHV_51)/catpn_1_BHB_1+catfd_1_BHV_51/catpn_1_BHV_51),0)</f>
        <v>0</v>
      </c>
      <c r="I15" s="22" t="s">
        <v>54</v>
      </c>
      <c r="J15" s="44">
        <f>IF(AND(catpn_1_BHB_1&gt;0,catpn_1_BHV_51&gt;0),(cattf_1_BHB_1*((dagenperjaar1*VLOOKUP(B15,dagsoorttabel1,2,FALSE))-catfd_1_BHV_51)/catpn_1_BHB_1+cattf_1_BHV_51*catfd_1_BHV_51/catpn_1_BHV_51)/(((dagenperjaar1*VLOOKUP(B15,dagsoorttabel1,2,FALSE))-catfd_1_BHV_51)/catpn_1_BHB_1+catfd_1_BHV_51/catpn_1_BHV_51),0)</f>
        <v>0</v>
      </c>
      <c r="K15" s="41">
        <f t="shared" si="1"/>
        <v>0</v>
      </c>
      <c r="L15" s="44">
        <f t="shared" si="2"/>
        <v>0</v>
      </c>
      <c r="M15" s="41">
        <f t="shared" si="3"/>
        <v>0</v>
      </c>
      <c r="N15" s="44">
        <f t="shared" si="4"/>
        <v>0</v>
      </c>
    </row>
    <row r="16" spans="1:14" x14ac:dyDescent="0.2">
      <c r="A16" s="22" t="s">
        <v>191</v>
      </c>
      <c r="B16" s="22" t="s">
        <v>14</v>
      </c>
      <c r="C16" s="22" t="s">
        <v>187</v>
      </c>
      <c r="D16" s="22" t="s">
        <v>192</v>
      </c>
      <c r="E16" s="41">
        <v>161.19999999999999</v>
      </c>
      <c r="F16" s="41">
        <f t="shared" si="0"/>
        <v>126.4313725490196</v>
      </c>
      <c r="G16" s="42">
        <f>IF(AND(catpn_1_BHB_1&gt;0,catpn_1_BHV_40&gt;0),(dagenperjaar1*VLOOKUP(B16,dagsoorttabel1,2,FALSE))/(((dagenperjaar1*VLOOKUP(B16,dagsoorttabel1,2,FALSE))-catfd_1_BHV_40)/catpn_1_BHB_1+catfd_1_BHV_40/catpn_1_BHV_40),0)</f>
        <v>0</v>
      </c>
      <c r="H16" s="43">
        <f>IF(AND(catpn_1_BHB_1&gt;0,catpn_1_BHV_40&gt;0),(catdw_1_BHB_1*((dagenperjaar1*VLOOKUP(B16,dagsoorttabel1,2,FALSE))-catfd_1_BHV_40)/catpn_1_BHB_1+catdw_1_BHV_40*catfd_1_BHV_40/catpn_1_BHV_40)/(((dagenperjaar1*VLOOKUP(B16,dagsoorttabel1,2,FALSE))-catfd_1_BHV_40)/catpn_1_BHB_1+catfd_1_BHV_40/catpn_1_BHV_40),0)</f>
        <v>0</v>
      </c>
      <c r="I16" s="22" t="s">
        <v>54</v>
      </c>
      <c r="J16" s="44">
        <f>IF(AND(catpn_1_BHB_1&gt;0,catpn_1_BHV_40&gt;0),(cattf_1_BHB_1*((dagenperjaar1*VLOOKUP(B16,dagsoorttabel1,2,FALSE))-catfd_1_BHV_40)/catpn_1_BHB_1+cattf_1_BHV_40*catfd_1_BHV_40/catpn_1_BHV_40)/(((dagenperjaar1*VLOOKUP(B16,dagsoorttabel1,2,FALSE))-catfd_1_BHV_40)/catpn_1_BHB_1+catfd_1_BHV_40/catpn_1_BHV_40),0)</f>
        <v>0</v>
      </c>
      <c r="K16" s="41">
        <f t="shared" si="1"/>
        <v>0</v>
      </c>
      <c r="L16" s="44">
        <f t="shared" si="2"/>
        <v>0</v>
      </c>
      <c r="M16" s="41">
        <f t="shared" si="3"/>
        <v>0</v>
      </c>
      <c r="N16" s="44">
        <f t="shared" si="4"/>
        <v>0</v>
      </c>
    </row>
    <row r="17" spans="1:14" x14ac:dyDescent="0.2">
      <c r="A17" s="22" t="s">
        <v>191</v>
      </c>
      <c r="B17" s="22" t="s">
        <v>12</v>
      </c>
      <c r="C17" s="22" t="s">
        <v>187</v>
      </c>
      <c r="D17" s="22" t="s">
        <v>192</v>
      </c>
      <c r="E17" s="41">
        <v>22</v>
      </c>
      <c r="F17" s="41">
        <f t="shared" si="0"/>
        <v>19.411764705882351</v>
      </c>
      <c r="G17" s="42">
        <f>IF(AND(catpn_1_BHB_1&gt;0,catpn_1_BHV_51&gt;0),(dagenperjaar1*VLOOKUP(B17,dagsoorttabel1,2,FALSE))/(((dagenperjaar1*VLOOKUP(B17,dagsoorttabel1,2,FALSE))-catfd_1_BHV_51)/catpn_1_BHB_1+catfd_1_BHV_51/catpn_1_BHV_51),0)</f>
        <v>0</v>
      </c>
      <c r="H17" s="43">
        <f>IF(AND(catpn_1_BHB_1&gt;0,catpn_1_BHV_51&gt;0),(catdw_1_BHB_1*((dagenperjaar1*VLOOKUP(B17,dagsoorttabel1,2,FALSE))-catfd_1_BHV_51)/catpn_1_BHB_1+catdw_1_BHV_51*catfd_1_BHV_51/catpn_1_BHV_51)/(((dagenperjaar1*VLOOKUP(B17,dagsoorttabel1,2,FALSE))-catfd_1_BHV_51)/catpn_1_BHB_1+catfd_1_BHV_51/catpn_1_BHV_51),0)</f>
        <v>0</v>
      </c>
      <c r="I17" s="22" t="s">
        <v>54</v>
      </c>
      <c r="J17" s="44">
        <f>IF(AND(catpn_1_BHB_1&gt;0,catpn_1_BHV_51&gt;0),(cattf_1_BHB_1*((dagenperjaar1*VLOOKUP(B17,dagsoorttabel1,2,FALSE))-catfd_1_BHV_51)/catpn_1_BHB_1+cattf_1_BHV_51*catfd_1_BHV_51/catpn_1_BHV_51)/(((dagenperjaar1*VLOOKUP(B17,dagsoorttabel1,2,FALSE))-catfd_1_BHV_51)/catpn_1_BHB_1+catfd_1_BHV_51/catpn_1_BHV_51),0)</f>
        <v>0</v>
      </c>
      <c r="K17" s="41">
        <f t="shared" si="1"/>
        <v>0</v>
      </c>
      <c r="L17" s="44">
        <f t="shared" si="2"/>
        <v>0</v>
      </c>
      <c r="M17" s="41">
        <f t="shared" si="3"/>
        <v>0</v>
      </c>
      <c r="N17" s="44">
        <f t="shared" si="4"/>
        <v>0</v>
      </c>
    </row>
    <row r="18" spans="1:14" x14ac:dyDescent="0.2">
      <c r="A18" s="22" t="s">
        <v>191</v>
      </c>
      <c r="B18" s="22" t="s">
        <v>19</v>
      </c>
      <c r="C18" s="22" t="s">
        <v>187</v>
      </c>
      <c r="D18" s="22" t="s">
        <v>192</v>
      </c>
      <c r="E18" s="41">
        <v>9</v>
      </c>
      <c r="F18" s="41">
        <f t="shared" si="0"/>
        <v>3.6</v>
      </c>
      <c r="G18" s="42">
        <f>IF(AND(catpn_1_BHB_1&gt;0,catpn_1_BHV_51&gt;0),(dagenperjaar1*VLOOKUP(B18,dagsoorttabel1,2,FALSE))/(((dagenperjaar1*VLOOKUP(B18,dagsoorttabel1,2,FALSE))-catfd_1_BHV_51)/catpn_1_BHB_1+catfd_1_BHV_51/catpn_1_BHV_51),0)</f>
        <v>0</v>
      </c>
      <c r="H18" s="43">
        <f>IF(AND(catpn_1_BHB_1&gt;0,catpn_1_BHV_51&gt;0),(catdw_1_BHB_1*((dagenperjaar1*VLOOKUP(B18,dagsoorttabel1,2,FALSE))-catfd_1_BHV_51)/catpn_1_BHB_1+catdw_1_BHV_51*catfd_1_BHV_51/catpn_1_BHV_51)/(((dagenperjaar1*VLOOKUP(B18,dagsoorttabel1,2,FALSE))-catfd_1_BHV_51)/catpn_1_BHB_1+catfd_1_BHV_51/catpn_1_BHV_51),0)</f>
        <v>0</v>
      </c>
      <c r="I18" s="22" t="s">
        <v>54</v>
      </c>
      <c r="J18" s="44">
        <f>IF(AND(catpn_1_BHB_1&gt;0,catpn_1_BHV_51&gt;0),(cattf_1_BHB_1*((dagenperjaar1*VLOOKUP(B18,dagsoorttabel1,2,FALSE))-catfd_1_BHV_51)/catpn_1_BHB_1+cattf_1_BHV_51*catfd_1_BHV_51/catpn_1_BHV_51)/(((dagenperjaar1*VLOOKUP(B18,dagsoorttabel1,2,FALSE))-catfd_1_BHV_51)/catpn_1_BHB_1+catfd_1_BHV_51/catpn_1_BHV_51),0)</f>
        <v>0</v>
      </c>
      <c r="K18" s="41">
        <f t="shared" si="1"/>
        <v>0</v>
      </c>
      <c r="L18" s="44">
        <f t="shared" si="2"/>
        <v>0</v>
      </c>
      <c r="M18" s="41">
        <f t="shared" si="3"/>
        <v>0</v>
      </c>
      <c r="N18" s="44">
        <f t="shared" si="4"/>
        <v>0</v>
      </c>
    </row>
    <row r="19" spans="1:14" x14ac:dyDescent="0.2">
      <c r="A19" s="22" t="s">
        <v>193</v>
      </c>
      <c r="B19" s="22" t="s">
        <v>17</v>
      </c>
      <c r="C19" s="22" t="s">
        <v>187</v>
      </c>
      <c r="D19" s="22" t="s">
        <v>194</v>
      </c>
      <c r="E19" s="41">
        <v>3385.46</v>
      </c>
      <c r="F19" s="41">
        <f t="shared" si="0"/>
        <v>1692.73</v>
      </c>
      <c r="G19" s="42">
        <f>IF(AND(catpn_1_BZB_1&gt;0,catpn_1_BZV_51&gt;0),(dagenperjaar1*VLOOKUP(B19,dagsoorttabel1,2,FALSE))/(((dagenperjaar1*VLOOKUP(B19,dagsoorttabel1,2,FALSE))-catfd_1_BZV_51)/catpn_1_BZB_1+catfd_1_BZV_51/catpn_1_BZV_51),0)</f>
        <v>0</v>
      </c>
      <c r="H19" s="43">
        <f>IF(AND(catpn_1_BZB_1&gt;0,catpn_1_BZV_51&gt;0),(catdw_1_BZB_1*((dagenperjaar1*VLOOKUP(B19,dagsoorttabel1,2,FALSE))-catfd_1_BZV_51)/catpn_1_BZB_1+catdw_1_BZV_51*catfd_1_BZV_51/catpn_1_BZV_51)/(((dagenperjaar1*VLOOKUP(B19,dagsoorttabel1,2,FALSE))-catfd_1_BZV_51)/catpn_1_BZB_1+catfd_1_BZV_51/catpn_1_BZV_51),0)</f>
        <v>0</v>
      </c>
      <c r="I19" s="22" t="s">
        <v>54</v>
      </c>
      <c r="J19" s="44">
        <f>IF(AND(catpn_1_BZB_1&gt;0,catpn_1_BZV_51&gt;0),(cattf_1_BZB_1*((dagenperjaar1*VLOOKUP(B19,dagsoorttabel1,2,FALSE))-catfd_1_BZV_51)/catpn_1_BZB_1+cattf_1_BZV_51*catfd_1_BZV_51/catpn_1_BZV_51)/(((dagenperjaar1*VLOOKUP(B19,dagsoorttabel1,2,FALSE))-catfd_1_BZV_51)/catpn_1_BZB_1+catfd_1_BZV_51/catpn_1_BZV_51),0)</f>
        <v>0</v>
      </c>
      <c r="K19" s="41">
        <f t="shared" si="1"/>
        <v>0</v>
      </c>
      <c r="L19" s="44">
        <f t="shared" si="2"/>
        <v>0</v>
      </c>
      <c r="M19" s="41">
        <f t="shared" si="3"/>
        <v>0</v>
      </c>
      <c r="N19" s="44">
        <f t="shared" si="4"/>
        <v>0</v>
      </c>
    </row>
    <row r="20" spans="1:14" x14ac:dyDescent="0.2">
      <c r="A20" s="22" t="s">
        <v>193</v>
      </c>
      <c r="B20" s="22" t="s">
        <v>14</v>
      </c>
      <c r="C20" s="22" t="s">
        <v>187</v>
      </c>
      <c r="D20" s="22" t="s">
        <v>194</v>
      </c>
      <c r="E20" s="41">
        <v>74.5</v>
      </c>
      <c r="F20" s="41">
        <f t="shared" si="0"/>
        <v>58.431372549019606</v>
      </c>
      <c r="G20" s="42">
        <f>IF(AND(catpn_1_BZB_1&gt;0,catpn_1_BZV_40&gt;0),(dagenperjaar1*VLOOKUP(B20,dagsoorttabel1,2,FALSE))/(((dagenperjaar1*VLOOKUP(B20,dagsoorttabel1,2,FALSE))-catfd_1_BZV_40)/catpn_1_BZB_1+catfd_1_BZV_40/catpn_1_BZV_40),0)</f>
        <v>0</v>
      </c>
      <c r="H20" s="43">
        <f>IF(AND(catpn_1_BZB_1&gt;0,catpn_1_BZV_40&gt;0),(catdw_1_BZB_1*((dagenperjaar1*VLOOKUP(B20,dagsoorttabel1,2,FALSE))-catfd_1_BZV_40)/catpn_1_BZB_1+catdw_1_BZV_40*catfd_1_BZV_40/catpn_1_BZV_40)/(((dagenperjaar1*VLOOKUP(B20,dagsoorttabel1,2,FALSE))-catfd_1_BZV_40)/catpn_1_BZB_1+catfd_1_BZV_40/catpn_1_BZV_40),0)</f>
        <v>0</v>
      </c>
      <c r="I20" s="22" t="s">
        <v>54</v>
      </c>
      <c r="J20" s="44">
        <f>IF(AND(catpn_1_BZB_1&gt;0,catpn_1_BZV_40&gt;0),(cattf_1_BZB_1*((dagenperjaar1*VLOOKUP(B20,dagsoorttabel1,2,FALSE))-catfd_1_BZV_40)/catpn_1_BZB_1+cattf_1_BZV_40*catfd_1_BZV_40/catpn_1_BZV_40)/(((dagenperjaar1*VLOOKUP(B20,dagsoorttabel1,2,FALSE))-catfd_1_BZV_40)/catpn_1_BZB_1+catfd_1_BZV_40/catpn_1_BZV_40),0)</f>
        <v>0</v>
      </c>
      <c r="K20" s="41">
        <f t="shared" si="1"/>
        <v>0</v>
      </c>
      <c r="L20" s="44">
        <f t="shared" si="2"/>
        <v>0</v>
      </c>
      <c r="M20" s="41">
        <f t="shared" si="3"/>
        <v>0</v>
      </c>
      <c r="N20" s="44">
        <f t="shared" si="4"/>
        <v>0</v>
      </c>
    </row>
    <row r="21" spans="1:14" x14ac:dyDescent="0.2">
      <c r="A21" s="22" t="s">
        <v>195</v>
      </c>
      <c r="B21" s="22" t="s">
        <v>34</v>
      </c>
      <c r="C21" s="22" t="s">
        <v>187</v>
      </c>
      <c r="D21" s="22" t="s">
        <v>196</v>
      </c>
      <c r="E21" s="41">
        <v>40</v>
      </c>
      <c r="F21" s="41">
        <f t="shared" si="0"/>
        <v>2.1960784313725492</v>
      </c>
      <c r="G21" s="42">
        <f>IF(AND(catpn_1_DHB_1&gt;0,catpn_1_DHV_14&gt;0),(dagenperjaar1*VLOOKUP(B21,dagsoorttabel1,2,FALSE))/(((dagenperjaar1*VLOOKUP(B21,dagsoorttabel1,2,FALSE))-catfd_1_DHV_14)/catpn_1_DHB_1+catfd_1_DHV_14/catpn_1_DHV_14),0)</f>
        <v>0</v>
      </c>
      <c r="H21" s="43">
        <f>IF(AND(catpn_1_DHB_1&gt;0,catpn_1_DHV_14&gt;0),(catdw_1_DHB_1*((dagenperjaar1*VLOOKUP(B21,dagsoorttabel1,2,FALSE))-catfd_1_DHV_14)/catpn_1_DHB_1+catdw_1_DHV_14*catfd_1_DHV_14/catpn_1_DHV_14)/(((dagenperjaar1*VLOOKUP(B21,dagsoorttabel1,2,FALSE))-catfd_1_DHV_14)/catpn_1_DHB_1+catfd_1_DHV_14/catpn_1_DHV_14),0)</f>
        <v>0</v>
      </c>
      <c r="I21" s="22" t="s">
        <v>54</v>
      </c>
      <c r="J21" s="44">
        <f>IF(AND(catpn_1_DHB_1&gt;0,catpn_1_DHV_14&gt;0),(cattf_1_DHB_1*((dagenperjaar1*VLOOKUP(B21,dagsoorttabel1,2,FALSE))-catfd_1_DHV_14)/catpn_1_DHB_1+cattf_1_DHV_14*catfd_1_DHV_14/catpn_1_DHV_14)/(((dagenperjaar1*VLOOKUP(B21,dagsoorttabel1,2,FALSE))-catfd_1_DHV_14)/catpn_1_DHB_1+catfd_1_DHV_14/catpn_1_DHV_14),0)</f>
        <v>0</v>
      </c>
      <c r="K21" s="41">
        <f t="shared" si="1"/>
        <v>0</v>
      </c>
      <c r="L21" s="44">
        <f t="shared" si="2"/>
        <v>0</v>
      </c>
      <c r="M21" s="41">
        <f t="shared" si="3"/>
        <v>0</v>
      </c>
      <c r="N21" s="44">
        <f t="shared" si="4"/>
        <v>0</v>
      </c>
    </row>
    <row r="22" spans="1:14" x14ac:dyDescent="0.2">
      <c r="A22" s="22" t="s">
        <v>195</v>
      </c>
      <c r="B22" s="22" t="s">
        <v>15</v>
      </c>
      <c r="C22" s="22" t="s">
        <v>187</v>
      </c>
      <c r="D22" s="22" t="s">
        <v>196</v>
      </c>
      <c r="E22" s="41">
        <v>13</v>
      </c>
      <c r="F22" s="41">
        <f t="shared" si="0"/>
        <v>8.9215686274509807</v>
      </c>
      <c r="G22" s="42">
        <f>IF(AND(catpn_1_DHB_1&gt;0,catpn_1_DHV_35&gt;0),(dagenperjaar1*VLOOKUP(B22,dagsoorttabel1,2,FALSE))/(((dagenperjaar1*VLOOKUP(B22,dagsoorttabel1,2,FALSE))-catfd_1_DHV_35)/catpn_1_DHB_1+catfd_1_DHV_35/catpn_1_DHV_35),0)</f>
        <v>0</v>
      </c>
      <c r="H22" s="43">
        <f>IF(AND(catpn_1_DHB_1&gt;0,catpn_1_DHV_35&gt;0),(catdw_1_DHB_1*((dagenperjaar1*VLOOKUP(B22,dagsoorttabel1,2,FALSE))-catfd_1_DHV_35)/catpn_1_DHB_1+catdw_1_DHV_35*catfd_1_DHV_35/catpn_1_DHV_35)/(((dagenperjaar1*VLOOKUP(B22,dagsoorttabel1,2,FALSE))-catfd_1_DHV_35)/catpn_1_DHB_1+catfd_1_DHV_35/catpn_1_DHV_35),0)</f>
        <v>0</v>
      </c>
      <c r="I22" s="22" t="s">
        <v>54</v>
      </c>
      <c r="J22" s="44">
        <f>IF(AND(catpn_1_DHB_1&gt;0,catpn_1_DHV_35&gt;0),(cattf_1_DHB_1*((dagenperjaar1*VLOOKUP(B22,dagsoorttabel1,2,FALSE))-catfd_1_DHV_35)/catpn_1_DHB_1+cattf_1_DHV_35*catfd_1_DHV_35/catpn_1_DHV_35)/(((dagenperjaar1*VLOOKUP(B22,dagsoorttabel1,2,FALSE))-catfd_1_DHV_35)/catpn_1_DHB_1+catfd_1_DHV_35/catpn_1_DHV_35),0)</f>
        <v>0</v>
      </c>
      <c r="K22" s="41">
        <f t="shared" si="1"/>
        <v>0</v>
      </c>
      <c r="L22" s="44">
        <f t="shared" si="2"/>
        <v>0</v>
      </c>
      <c r="M22" s="41">
        <f t="shared" si="3"/>
        <v>0</v>
      </c>
      <c r="N22" s="44">
        <f t="shared" si="4"/>
        <v>0</v>
      </c>
    </row>
    <row r="23" spans="1:14" x14ac:dyDescent="0.2">
      <c r="A23" s="22" t="s">
        <v>195</v>
      </c>
      <c r="B23" s="22" t="s">
        <v>31</v>
      </c>
      <c r="C23" s="22" t="s">
        <v>187</v>
      </c>
      <c r="D23" s="22" t="s">
        <v>196</v>
      </c>
      <c r="E23" s="41">
        <v>40</v>
      </c>
      <c r="F23" s="41">
        <f t="shared" si="0"/>
        <v>2.9803921568627452</v>
      </c>
      <c r="G23" s="42">
        <f>IF(AND(catpn_1_DHB_1&gt;0,catpn_1_DHV_19&gt;0),(dagenperjaar1*VLOOKUP(B23,dagsoorttabel1,2,FALSE))/(((dagenperjaar1*VLOOKUP(B23,dagsoorttabel1,2,FALSE))-catfd_1_DHV_19)/catpn_1_DHB_1+catfd_1_DHV_19/catpn_1_DHV_19),0)</f>
        <v>0</v>
      </c>
      <c r="H23" s="43">
        <f>IF(AND(catpn_1_DHB_1&gt;0,catpn_1_DHV_19&gt;0),(catdw_1_DHB_1*((dagenperjaar1*VLOOKUP(B23,dagsoorttabel1,2,FALSE))-catfd_1_DHV_19)/catpn_1_DHB_1+catdw_1_DHV_19*catfd_1_DHV_19/catpn_1_DHV_19)/(((dagenperjaar1*VLOOKUP(B23,dagsoorttabel1,2,FALSE))-catfd_1_DHV_19)/catpn_1_DHB_1+catfd_1_DHV_19/catpn_1_DHV_19),0)</f>
        <v>0</v>
      </c>
      <c r="I23" s="22" t="s">
        <v>54</v>
      </c>
      <c r="J23" s="44">
        <f>IF(AND(catpn_1_DHB_1&gt;0,catpn_1_DHV_19&gt;0),(cattf_1_DHB_1*((dagenperjaar1*VLOOKUP(B23,dagsoorttabel1,2,FALSE))-catfd_1_DHV_19)/catpn_1_DHB_1+cattf_1_DHV_19*catfd_1_DHV_19/catpn_1_DHV_19)/(((dagenperjaar1*VLOOKUP(B23,dagsoorttabel1,2,FALSE))-catfd_1_DHV_19)/catpn_1_DHB_1+catfd_1_DHV_19/catpn_1_DHV_19),0)</f>
        <v>0</v>
      </c>
      <c r="K23" s="41">
        <f t="shared" si="1"/>
        <v>0</v>
      </c>
      <c r="L23" s="44">
        <f t="shared" si="2"/>
        <v>0</v>
      </c>
      <c r="M23" s="41">
        <f t="shared" si="3"/>
        <v>0</v>
      </c>
      <c r="N23" s="44">
        <f t="shared" si="4"/>
        <v>0</v>
      </c>
    </row>
    <row r="24" spans="1:14" x14ac:dyDescent="0.2">
      <c r="A24" s="22" t="s">
        <v>195</v>
      </c>
      <c r="B24" s="22" t="s">
        <v>24</v>
      </c>
      <c r="C24" s="22" t="s">
        <v>187</v>
      </c>
      <c r="D24" s="22" t="s">
        <v>196</v>
      </c>
      <c r="E24" s="41">
        <v>12.5</v>
      </c>
      <c r="F24" s="41">
        <f t="shared" si="0"/>
        <v>2.5</v>
      </c>
      <c r="G24" s="42">
        <f>IF(AND(catpn_1_DHB_1&gt;0,catpn_1_DHV_51&gt;0),(dagenperjaar1*VLOOKUP(B24,dagsoorttabel1,2,FALSE))/(((dagenperjaar1*VLOOKUP(B24,dagsoorttabel1,2,FALSE))-catfd_1_DHV_51)/catpn_1_DHB_1+catfd_1_DHV_51/catpn_1_DHV_51),0)</f>
        <v>0</v>
      </c>
      <c r="H24" s="43">
        <f>IF(AND(catpn_1_DHB_1&gt;0,catpn_1_DHV_51&gt;0),(catdw_1_DHB_1*((dagenperjaar1*VLOOKUP(B24,dagsoorttabel1,2,FALSE))-catfd_1_DHV_51)/catpn_1_DHB_1+catdw_1_DHV_51*catfd_1_DHV_51/catpn_1_DHV_51)/(((dagenperjaar1*VLOOKUP(B24,dagsoorttabel1,2,FALSE))-catfd_1_DHV_51)/catpn_1_DHB_1+catfd_1_DHV_51/catpn_1_DHV_51),0)</f>
        <v>0</v>
      </c>
      <c r="I24" s="22" t="s">
        <v>54</v>
      </c>
      <c r="J24" s="44">
        <f>IF(AND(catpn_1_DHB_1&gt;0,catpn_1_DHV_51&gt;0),(cattf_1_DHB_1*((dagenperjaar1*VLOOKUP(B24,dagsoorttabel1,2,FALSE))-catfd_1_DHV_51)/catpn_1_DHB_1+cattf_1_DHV_51*catfd_1_DHV_51/catpn_1_DHV_51)/(((dagenperjaar1*VLOOKUP(B24,dagsoorttabel1,2,FALSE))-catfd_1_DHV_51)/catpn_1_DHB_1+catfd_1_DHV_51/catpn_1_DHV_51),0)</f>
        <v>0</v>
      </c>
      <c r="K24" s="41">
        <f t="shared" si="1"/>
        <v>0</v>
      </c>
      <c r="L24" s="44">
        <f t="shared" si="2"/>
        <v>0</v>
      </c>
      <c r="M24" s="41">
        <f t="shared" si="3"/>
        <v>0</v>
      </c>
      <c r="N24" s="44">
        <f t="shared" si="4"/>
        <v>0</v>
      </c>
    </row>
    <row r="25" spans="1:14" x14ac:dyDescent="0.2">
      <c r="A25" s="22" t="s">
        <v>195</v>
      </c>
      <c r="B25" s="22" t="s">
        <v>14</v>
      </c>
      <c r="C25" s="22" t="s">
        <v>187</v>
      </c>
      <c r="D25" s="22" t="s">
        <v>196</v>
      </c>
      <c r="E25" s="41">
        <v>4.4000000000000004</v>
      </c>
      <c r="F25" s="41">
        <f t="shared" si="0"/>
        <v>3.4509803921568629</v>
      </c>
      <c r="G25" s="42">
        <f>IF(AND(catpn_1_DHB_1&gt;0,catpn_1_DHV_40&gt;0),(dagenperjaar1*VLOOKUP(B25,dagsoorttabel1,2,FALSE))/(((dagenperjaar1*VLOOKUP(B25,dagsoorttabel1,2,FALSE))-catfd_1_DHV_40)/catpn_1_DHB_1+catfd_1_DHV_40/catpn_1_DHV_40),0)</f>
        <v>0</v>
      </c>
      <c r="H25" s="43">
        <f>IF(AND(catpn_1_DHB_1&gt;0,catpn_1_DHV_40&gt;0),(catdw_1_DHB_1*((dagenperjaar1*VLOOKUP(B25,dagsoorttabel1,2,FALSE))-catfd_1_DHV_40)/catpn_1_DHB_1+catdw_1_DHV_40*catfd_1_DHV_40/catpn_1_DHV_40)/(((dagenperjaar1*VLOOKUP(B25,dagsoorttabel1,2,FALSE))-catfd_1_DHV_40)/catpn_1_DHB_1+catfd_1_DHV_40/catpn_1_DHV_40),0)</f>
        <v>0</v>
      </c>
      <c r="I25" s="22" t="s">
        <v>54</v>
      </c>
      <c r="J25" s="44">
        <f>IF(AND(catpn_1_DHB_1&gt;0,catpn_1_DHV_40&gt;0),(cattf_1_DHB_1*((dagenperjaar1*VLOOKUP(B25,dagsoorttabel1,2,FALSE))-catfd_1_DHV_40)/catpn_1_DHB_1+cattf_1_DHV_40*catfd_1_DHV_40/catpn_1_DHV_40)/(((dagenperjaar1*VLOOKUP(B25,dagsoorttabel1,2,FALSE))-catfd_1_DHV_40)/catpn_1_DHB_1+catfd_1_DHV_40/catpn_1_DHV_40),0)</f>
        <v>0</v>
      </c>
      <c r="K25" s="41">
        <f t="shared" si="1"/>
        <v>0</v>
      </c>
      <c r="L25" s="44">
        <f t="shared" si="2"/>
        <v>0</v>
      </c>
      <c r="M25" s="41">
        <f t="shared" si="3"/>
        <v>0</v>
      </c>
      <c r="N25" s="44">
        <f t="shared" si="4"/>
        <v>0</v>
      </c>
    </row>
    <row r="26" spans="1:14" x14ac:dyDescent="0.2">
      <c r="A26" s="22" t="s">
        <v>195</v>
      </c>
      <c r="B26" s="22" t="s">
        <v>12</v>
      </c>
      <c r="C26" s="22" t="s">
        <v>187</v>
      </c>
      <c r="D26" s="22" t="s">
        <v>196</v>
      </c>
      <c r="E26" s="41">
        <v>148.49</v>
      </c>
      <c r="F26" s="41">
        <f t="shared" si="0"/>
        <v>131.02058823529413</v>
      </c>
      <c r="G26" s="42">
        <f>IF(AND(catpn_1_DHB_1&gt;0,catpn_1_DHV_45&gt;0),(dagenperjaar1*VLOOKUP(B26,dagsoorttabel1,2,FALSE))/(((dagenperjaar1*VLOOKUP(B26,dagsoorttabel1,2,FALSE))-catfd_1_DHV_45)/catpn_1_DHB_1+catfd_1_DHV_45/catpn_1_DHV_45),0)</f>
        <v>0</v>
      </c>
      <c r="H26" s="43">
        <f>IF(AND(catpn_1_DHB_1&gt;0,catpn_1_DHV_45&gt;0),(catdw_1_DHB_1*((dagenperjaar1*VLOOKUP(B26,dagsoorttabel1,2,FALSE))-catfd_1_DHV_45)/catpn_1_DHB_1+catdw_1_DHV_45*catfd_1_DHV_45/catpn_1_DHV_45)/(((dagenperjaar1*VLOOKUP(B26,dagsoorttabel1,2,FALSE))-catfd_1_DHV_45)/catpn_1_DHB_1+catfd_1_DHV_45/catpn_1_DHV_45),0)</f>
        <v>0</v>
      </c>
      <c r="I26" s="22" t="s">
        <v>54</v>
      </c>
      <c r="J26" s="44">
        <f>IF(AND(catpn_1_DHB_1&gt;0,catpn_1_DHV_45&gt;0),(cattf_1_DHB_1*((dagenperjaar1*VLOOKUP(B26,dagsoorttabel1,2,FALSE))-catfd_1_DHV_45)/catpn_1_DHB_1+cattf_1_DHV_45*catfd_1_DHV_45/catpn_1_DHV_45)/(((dagenperjaar1*VLOOKUP(B26,dagsoorttabel1,2,FALSE))-catfd_1_DHV_45)/catpn_1_DHB_1+catfd_1_DHV_45/catpn_1_DHV_45),0)</f>
        <v>0</v>
      </c>
      <c r="K26" s="41">
        <f t="shared" si="1"/>
        <v>0</v>
      </c>
      <c r="L26" s="44">
        <f t="shared" si="2"/>
        <v>0</v>
      </c>
      <c r="M26" s="41">
        <f t="shared" si="3"/>
        <v>0</v>
      </c>
      <c r="N26" s="44">
        <f t="shared" si="4"/>
        <v>0</v>
      </c>
    </row>
    <row r="27" spans="1:14" x14ac:dyDescent="0.2">
      <c r="A27" s="22" t="s">
        <v>195</v>
      </c>
      <c r="B27" s="22" t="s">
        <v>11</v>
      </c>
      <c r="C27" s="22" t="s">
        <v>187</v>
      </c>
      <c r="D27" s="22" t="s">
        <v>196</v>
      </c>
      <c r="E27" s="41">
        <v>48</v>
      </c>
      <c r="F27" s="41">
        <f t="shared" si="0"/>
        <v>44.611764705882351</v>
      </c>
      <c r="G27" s="42">
        <f>IF(AND(catpn_1_DHB_1&gt;0,catpn_1_DHV_51&gt;0),(dagenperjaar1*VLOOKUP(B27,dagsoorttabel1,2,FALSE))/(((dagenperjaar1*VLOOKUP(B27,dagsoorttabel1,2,FALSE))-catfd_1_DHV_51)/catpn_1_DHB_1+catfd_1_DHV_51/catpn_1_DHV_51),0)</f>
        <v>0</v>
      </c>
      <c r="H27" s="43">
        <f>IF(AND(catpn_1_DHB_1&gt;0,catpn_1_DHV_51&gt;0),(catdw_1_DHB_1*((dagenperjaar1*VLOOKUP(B27,dagsoorttabel1,2,FALSE))-catfd_1_DHV_51)/catpn_1_DHB_1+catdw_1_DHV_51*catfd_1_DHV_51/catpn_1_DHV_51)/(((dagenperjaar1*VLOOKUP(B27,dagsoorttabel1,2,FALSE))-catfd_1_DHV_51)/catpn_1_DHB_1+catfd_1_DHV_51/catpn_1_DHV_51),0)</f>
        <v>0</v>
      </c>
      <c r="I27" s="22" t="s">
        <v>54</v>
      </c>
      <c r="J27" s="44">
        <f>IF(AND(catpn_1_DHB_1&gt;0,catpn_1_DHV_51&gt;0),(cattf_1_DHB_1*((dagenperjaar1*VLOOKUP(B27,dagsoorttabel1,2,FALSE))-catfd_1_DHV_51)/catpn_1_DHB_1+cattf_1_DHV_51*catfd_1_DHV_51/catpn_1_DHV_51)/(((dagenperjaar1*VLOOKUP(B27,dagsoorttabel1,2,FALSE))-catfd_1_DHV_51)/catpn_1_DHB_1+catfd_1_DHV_51/catpn_1_DHV_51),0)</f>
        <v>0</v>
      </c>
      <c r="K27" s="41">
        <f t="shared" si="1"/>
        <v>0</v>
      </c>
      <c r="L27" s="44">
        <f t="shared" si="2"/>
        <v>0</v>
      </c>
      <c r="M27" s="41">
        <f t="shared" si="3"/>
        <v>0</v>
      </c>
      <c r="N27" s="44">
        <f t="shared" si="4"/>
        <v>0</v>
      </c>
    </row>
    <row r="28" spans="1:14" x14ac:dyDescent="0.2">
      <c r="A28" s="22" t="s">
        <v>195</v>
      </c>
      <c r="B28" s="22" t="s">
        <v>26</v>
      </c>
      <c r="C28" s="22" t="s">
        <v>187</v>
      </c>
      <c r="D28" s="22" t="s">
        <v>196</v>
      </c>
      <c r="E28" s="41">
        <v>13</v>
      </c>
      <c r="F28" s="41">
        <f t="shared" si="0"/>
        <v>1.8352941176470587</v>
      </c>
      <c r="G28" s="42">
        <f>IF(AND(catpn_1_DHB_1&gt;0,catpn_1_DHV_18&gt;0),(dagenperjaar1*VLOOKUP(B28,dagsoorttabel1,2,FALSE))/(((dagenperjaar1*VLOOKUP(B28,dagsoorttabel1,2,FALSE))-catfd_1_DHV_18)/catpn_1_DHB_1+catfd_1_DHV_18/catpn_1_DHV_18),0)</f>
        <v>0</v>
      </c>
      <c r="H28" s="43">
        <f>IF(AND(catpn_1_DHB_1&gt;0,catpn_1_DHV_18&gt;0),(catdw_1_DHB_1*((dagenperjaar1*VLOOKUP(B28,dagsoorttabel1,2,FALSE))-catfd_1_DHV_18)/catpn_1_DHB_1+catdw_1_DHV_18*catfd_1_DHV_18/catpn_1_DHV_18)/(((dagenperjaar1*VLOOKUP(B28,dagsoorttabel1,2,FALSE))-catfd_1_DHV_18)/catpn_1_DHB_1+catfd_1_DHV_18/catpn_1_DHV_18),0)</f>
        <v>0</v>
      </c>
      <c r="I28" s="22" t="s">
        <v>54</v>
      </c>
      <c r="J28" s="44">
        <f>IF(AND(catpn_1_DHB_1&gt;0,catpn_1_DHV_18&gt;0),(cattf_1_DHB_1*((dagenperjaar1*VLOOKUP(B28,dagsoorttabel1,2,FALSE))-catfd_1_DHV_18)/catpn_1_DHB_1+cattf_1_DHV_18*catfd_1_DHV_18/catpn_1_DHV_18)/(((dagenperjaar1*VLOOKUP(B28,dagsoorttabel1,2,FALSE))-catfd_1_DHV_18)/catpn_1_DHB_1+catfd_1_DHV_18/catpn_1_DHV_18),0)</f>
        <v>0</v>
      </c>
      <c r="K28" s="41">
        <f t="shared" si="1"/>
        <v>0</v>
      </c>
      <c r="L28" s="44">
        <f t="shared" si="2"/>
        <v>0</v>
      </c>
      <c r="M28" s="41">
        <f t="shared" si="3"/>
        <v>0</v>
      </c>
      <c r="N28" s="44">
        <f t="shared" si="4"/>
        <v>0</v>
      </c>
    </row>
    <row r="29" spans="1:14" x14ac:dyDescent="0.2">
      <c r="A29" s="22" t="s">
        <v>195</v>
      </c>
      <c r="B29" s="22" t="s">
        <v>10</v>
      </c>
      <c r="C29" s="22" t="s">
        <v>187</v>
      </c>
      <c r="D29" s="22" t="s">
        <v>196</v>
      </c>
      <c r="E29" s="41">
        <v>78.66</v>
      </c>
      <c r="F29" s="41">
        <f t="shared" si="0"/>
        <v>78.66</v>
      </c>
      <c r="G29" s="42">
        <f>IF(AND(catpn_1_DHB_1&gt;0,catpn_1_DHV_51&gt;0),(dagenperjaar1*VLOOKUP(B29,dagsoorttabel1,2,FALSE))/(((dagenperjaar1*VLOOKUP(B29,dagsoorttabel1,2,FALSE))-catfd_1_DHV_51)/catpn_1_DHB_1+catfd_1_DHV_51/catpn_1_DHV_51),0)</f>
        <v>0</v>
      </c>
      <c r="H29" s="43">
        <f>IF(AND(catpn_1_DHB_1&gt;0,catpn_1_DHV_51&gt;0),(catdw_1_DHB_1*((dagenperjaar1*VLOOKUP(B29,dagsoorttabel1,2,FALSE))-catfd_1_DHV_51)/catpn_1_DHB_1+catdw_1_DHV_51*catfd_1_DHV_51/catpn_1_DHV_51)/(((dagenperjaar1*VLOOKUP(B29,dagsoorttabel1,2,FALSE))-catfd_1_DHV_51)/catpn_1_DHB_1+catfd_1_DHV_51/catpn_1_DHV_51),0)</f>
        <v>0</v>
      </c>
      <c r="I29" s="22" t="s">
        <v>54</v>
      </c>
      <c r="J29" s="44">
        <f>IF(AND(catpn_1_DHB_1&gt;0,catpn_1_DHV_51&gt;0),(cattf_1_DHB_1*((dagenperjaar1*VLOOKUP(B29,dagsoorttabel1,2,FALSE))-catfd_1_DHV_51)/catpn_1_DHB_1+cattf_1_DHV_51*catfd_1_DHV_51/catpn_1_DHV_51)/(((dagenperjaar1*VLOOKUP(B29,dagsoorttabel1,2,FALSE))-catfd_1_DHV_51)/catpn_1_DHB_1+catfd_1_DHV_51/catpn_1_DHV_51),0)</f>
        <v>0</v>
      </c>
      <c r="K29" s="41">
        <f t="shared" si="1"/>
        <v>0</v>
      </c>
      <c r="L29" s="44">
        <f t="shared" si="2"/>
        <v>0</v>
      </c>
      <c r="M29" s="41">
        <f t="shared" si="3"/>
        <v>0</v>
      </c>
      <c r="N29" s="44">
        <f t="shared" si="4"/>
        <v>0</v>
      </c>
    </row>
    <row r="30" spans="1:14" x14ac:dyDescent="0.2">
      <c r="A30" s="22" t="s">
        <v>197</v>
      </c>
      <c r="B30" s="22" t="s">
        <v>23</v>
      </c>
      <c r="C30" s="22" t="s">
        <v>187</v>
      </c>
      <c r="D30" s="22" t="s">
        <v>198</v>
      </c>
      <c r="E30" s="41">
        <v>20</v>
      </c>
      <c r="F30" s="41">
        <f t="shared" si="0"/>
        <v>5.0980392156862742</v>
      </c>
      <c r="G30" s="42">
        <f>IF(AND(catpn_1_DHB_1&gt;0,catpn_1_DHV_65&gt;0),(dagenperjaar1*VLOOKUP(B30,dagsoorttabel1,2,FALSE))/(((dagenperjaar1*VLOOKUP(B30,dagsoorttabel1,2,FALSE))-catfd_1_DHV_65)/catpn_1_DHB_1+catfd_1_DHV_65/catpn_1_DHV_65),0)</f>
        <v>0</v>
      </c>
      <c r="H30" s="43">
        <f>IF(AND(catpn_1_DHB_1&gt;0,catpn_1_DHV_65&gt;0),(catdw_1_DHB_1*((dagenperjaar1*VLOOKUP(B30,dagsoorttabel1,2,FALSE))-catfd_1_DHV_65)/catpn_1_DHB_1+catdw_1_DHV_65*catfd_1_DHV_65/catpn_1_DHV_65)/(((dagenperjaar1*VLOOKUP(B30,dagsoorttabel1,2,FALSE))-catfd_1_DHV_65)/catpn_1_DHB_1+catfd_1_DHV_65/catpn_1_DHV_65),0)</f>
        <v>0</v>
      </c>
      <c r="I30" s="22" t="s">
        <v>54</v>
      </c>
      <c r="J30" s="44">
        <f>IF(AND(catpn_1_DHB_1&gt;0,catpn_1_DHV_65&gt;0),(cattf_1_DHB_1*((dagenperjaar1*VLOOKUP(B30,dagsoorttabel1,2,FALSE))-catfd_1_DHV_65)/catpn_1_DHB_1+cattf_1_DHV_65*catfd_1_DHV_65/catpn_1_DHV_65)/(((dagenperjaar1*VLOOKUP(B30,dagsoorttabel1,2,FALSE))-catfd_1_DHV_65)/catpn_1_DHB_1+catfd_1_DHV_65/catpn_1_DHV_65),0)</f>
        <v>0</v>
      </c>
      <c r="K30" s="41">
        <f t="shared" si="1"/>
        <v>0</v>
      </c>
      <c r="L30" s="44">
        <f t="shared" si="2"/>
        <v>0</v>
      </c>
      <c r="M30" s="41">
        <f t="shared" si="3"/>
        <v>0</v>
      </c>
      <c r="N30" s="44">
        <f t="shared" si="4"/>
        <v>0</v>
      </c>
    </row>
    <row r="31" spans="1:14" x14ac:dyDescent="0.2">
      <c r="A31" s="22" t="s">
        <v>199</v>
      </c>
      <c r="B31" s="22" t="s">
        <v>14</v>
      </c>
      <c r="C31" s="22" t="s">
        <v>187</v>
      </c>
      <c r="D31" s="22" t="s">
        <v>200</v>
      </c>
      <c r="E31" s="41">
        <v>42.3</v>
      </c>
      <c r="F31" s="41">
        <f t="shared" si="0"/>
        <v>33.17647058823529</v>
      </c>
      <c r="G31" s="42">
        <f>IF(AND(catpn_1_EHB_1&gt;0,catpn_1_EHV_40&gt;0),(dagenperjaar1*VLOOKUP(B31,dagsoorttabel1,2,FALSE))/(((dagenperjaar1*VLOOKUP(B31,dagsoorttabel1,2,FALSE))-catfd_1_EHV_40)/catpn_1_EHB_1+catfd_1_EHV_40/catpn_1_EHV_40),0)</f>
        <v>0</v>
      </c>
      <c r="H31" s="43">
        <f>IF(AND(catpn_1_EHB_1&gt;0,catpn_1_EHV_40&gt;0),(catdw_1_EHB_1*((dagenperjaar1*VLOOKUP(B31,dagsoorttabel1,2,FALSE))-catfd_1_EHV_40)/catpn_1_EHB_1+catdw_1_EHV_40*catfd_1_EHV_40/catpn_1_EHV_40)/(((dagenperjaar1*VLOOKUP(B31,dagsoorttabel1,2,FALSE))-catfd_1_EHV_40)/catpn_1_EHB_1+catfd_1_EHV_40/catpn_1_EHV_40),0)</f>
        <v>0</v>
      </c>
      <c r="I31" s="22" t="s">
        <v>54</v>
      </c>
      <c r="J31" s="44">
        <f>IF(AND(catpn_1_EHB_1&gt;0,catpn_1_EHV_40&gt;0),(cattf_1_EHB_1*((dagenperjaar1*VLOOKUP(B31,dagsoorttabel1,2,FALSE))-catfd_1_EHV_40)/catpn_1_EHB_1+cattf_1_EHV_40*catfd_1_EHV_40/catpn_1_EHV_40)/(((dagenperjaar1*VLOOKUP(B31,dagsoorttabel1,2,FALSE))-catfd_1_EHV_40)/catpn_1_EHB_1+catfd_1_EHV_40/catpn_1_EHV_40),0)</f>
        <v>0</v>
      </c>
      <c r="K31" s="41">
        <f t="shared" si="1"/>
        <v>0</v>
      </c>
      <c r="L31" s="44">
        <f t="shared" si="2"/>
        <v>0</v>
      </c>
      <c r="M31" s="41">
        <f t="shared" si="3"/>
        <v>0</v>
      </c>
      <c r="N31" s="44">
        <f t="shared" si="4"/>
        <v>0</v>
      </c>
    </row>
    <row r="32" spans="1:14" x14ac:dyDescent="0.2">
      <c r="A32" s="22" t="s">
        <v>199</v>
      </c>
      <c r="B32" s="22" t="s">
        <v>12</v>
      </c>
      <c r="C32" s="22" t="s">
        <v>187</v>
      </c>
      <c r="D32" s="22" t="s">
        <v>200</v>
      </c>
      <c r="E32" s="41">
        <v>28.6</v>
      </c>
      <c r="F32" s="41">
        <f t="shared" si="0"/>
        <v>25.235294117647058</v>
      </c>
      <c r="G32" s="42">
        <f>IF(AND(catpn_1_EHB_1&gt;0,catpn_1_EHV_45&gt;0),(dagenperjaar1*VLOOKUP(B32,dagsoorttabel1,2,FALSE))/(((dagenperjaar1*VLOOKUP(B32,dagsoorttabel1,2,FALSE))-catfd_1_EHV_45)/catpn_1_EHB_1+catfd_1_EHV_45/catpn_1_EHV_45),0)</f>
        <v>0</v>
      </c>
      <c r="H32" s="43">
        <f>IF(AND(catpn_1_EHB_1&gt;0,catpn_1_EHV_45&gt;0),(catdw_1_EHB_1*((dagenperjaar1*VLOOKUP(B32,dagsoorttabel1,2,FALSE))-catfd_1_EHV_45)/catpn_1_EHB_1+catdw_1_EHV_45*catfd_1_EHV_45/catpn_1_EHV_45)/(((dagenperjaar1*VLOOKUP(B32,dagsoorttabel1,2,FALSE))-catfd_1_EHV_45)/catpn_1_EHB_1+catfd_1_EHV_45/catpn_1_EHV_45),0)</f>
        <v>0</v>
      </c>
      <c r="I32" s="22" t="s">
        <v>54</v>
      </c>
      <c r="J32" s="44">
        <f>IF(AND(catpn_1_EHB_1&gt;0,catpn_1_EHV_45&gt;0),(cattf_1_EHB_1*((dagenperjaar1*VLOOKUP(B32,dagsoorttabel1,2,FALSE))-catfd_1_EHV_45)/catpn_1_EHB_1+cattf_1_EHV_45*catfd_1_EHV_45/catpn_1_EHV_45)/(((dagenperjaar1*VLOOKUP(B32,dagsoorttabel1,2,FALSE))-catfd_1_EHV_45)/catpn_1_EHB_1+catfd_1_EHV_45/catpn_1_EHV_45),0)</f>
        <v>0</v>
      </c>
      <c r="K32" s="41">
        <f t="shared" si="1"/>
        <v>0</v>
      </c>
      <c r="L32" s="44">
        <f t="shared" si="2"/>
        <v>0</v>
      </c>
      <c r="M32" s="41">
        <f t="shared" si="3"/>
        <v>0</v>
      </c>
      <c r="N32" s="44">
        <f t="shared" si="4"/>
        <v>0</v>
      </c>
    </row>
    <row r="33" spans="1:14" x14ac:dyDescent="0.2">
      <c r="A33" s="22" t="s">
        <v>199</v>
      </c>
      <c r="B33" s="22" t="s">
        <v>11</v>
      </c>
      <c r="C33" s="22" t="s">
        <v>187</v>
      </c>
      <c r="D33" s="22" t="s">
        <v>200</v>
      </c>
      <c r="E33" s="41">
        <v>12</v>
      </c>
      <c r="F33" s="41">
        <f t="shared" si="0"/>
        <v>11.152941176470588</v>
      </c>
      <c r="G33" s="42">
        <f>IF(AND(catpn_1_EHB_1&gt;0,catpn_1_EHV_51&gt;0),(dagenperjaar1*VLOOKUP(B33,dagsoorttabel1,2,FALSE))/(((dagenperjaar1*VLOOKUP(B33,dagsoorttabel1,2,FALSE))-catfd_1_EHV_51)/catpn_1_EHB_1+catfd_1_EHV_51/catpn_1_EHV_51),0)</f>
        <v>0</v>
      </c>
      <c r="H33" s="43">
        <f>IF(AND(catpn_1_EHB_1&gt;0,catpn_1_EHV_51&gt;0),(catdw_1_EHB_1*((dagenperjaar1*VLOOKUP(B33,dagsoorttabel1,2,FALSE))-catfd_1_EHV_51)/catpn_1_EHB_1+catdw_1_EHV_51*catfd_1_EHV_51/catpn_1_EHV_51)/(((dagenperjaar1*VLOOKUP(B33,dagsoorttabel1,2,FALSE))-catfd_1_EHV_51)/catpn_1_EHB_1+catfd_1_EHV_51/catpn_1_EHV_51),0)</f>
        <v>0</v>
      </c>
      <c r="I33" s="22" t="s">
        <v>54</v>
      </c>
      <c r="J33" s="44">
        <f>IF(AND(catpn_1_EHB_1&gt;0,catpn_1_EHV_51&gt;0),(cattf_1_EHB_1*((dagenperjaar1*VLOOKUP(B33,dagsoorttabel1,2,FALSE))-catfd_1_EHV_51)/catpn_1_EHB_1+cattf_1_EHV_51*catfd_1_EHV_51/catpn_1_EHV_51)/(((dagenperjaar1*VLOOKUP(B33,dagsoorttabel1,2,FALSE))-catfd_1_EHV_51)/catpn_1_EHB_1+catfd_1_EHV_51/catpn_1_EHV_51),0)</f>
        <v>0</v>
      </c>
      <c r="K33" s="41">
        <f t="shared" si="1"/>
        <v>0</v>
      </c>
      <c r="L33" s="44">
        <f t="shared" si="2"/>
        <v>0</v>
      </c>
      <c r="M33" s="41">
        <f t="shared" si="3"/>
        <v>0</v>
      </c>
      <c r="N33" s="44">
        <f t="shared" si="4"/>
        <v>0</v>
      </c>
    </row>
    <row r="34" spans="1:14" x14ac:dyDescent="0.2">
      <c r="A34" s="22" t="s">
        <v>201</v>
      </c>
      <c r="B34" s="22" t="s">
        <v>12</v>
      </c>
      <c r="C34" s="22" t="s">
        <v>187</v>
      </c>
      <c r="D34" s="22" t="s">
        <v>202</v>
      </c>
      <c r="E34" s="41">
        <v>7</v>
      </c>
      <c r="F34" s="41">
        <f t="shared" si="0"/>
        <v>6.1764705882352935</v>
      </c>
      <c r="G34" s="42">
        <f>IF(AND(catpn_1_EZB_1&gt;0,catpn_1_EZV_51&gt;0),(dagenperjaar1*VLOOKUP(B34,dagsoorttabel1,2,FALSE))/(((dagenperjaar1*VLOOKUP(B34,dagsoorttabel1,2,FALSE))-catfd_1_EZV_51)/catpn_1_EZB_1+catfd_1_EZV_51/catpn_1_EZV_51),0)</f>
        <v>0</v>
      </c>
      <c r="H34" s="43">
        <f>IF(AND(catpn_1_EZB_1&gt;0,catpn_1_EZV_51&gt;0),(catdw_1_EZB_1*((dagenperjaar1*VLOOKUP(B34,dagsoorttabel1,2,FALSE))-catfd_1_EZV_51)/catpn_1_EZB_1+catdw_1_EZV_51*catfd_1_EZV_51/catpn_1_EZV_51)/(((dagenperjaar1*VLOOKUP(B34,dagsoorttabel1,2,FALSE))-catfd_1_EZV_51)/catpn_1_EZB_1+catfd_1_EZV_51/catpn_1_EZV_51),0)</f>
        <v>0</v>
      </c>
      <c r="I34" s="22" t="s">
        <v>54</v>
      </c>
      <c r="J34" s="44">
        <f>IF(AND(catpn_1_EZB_1&gt;0,catpn_1_EZV_51&gt;0),(cattf_1_EZB_1*((dagenperjaar1*VLOOKUP(B34,dagsoorttabel1,2,FALSE))-catfd_1_EZV_51)/catpn_1_EZB_1+cattf_1_EZV_51*catfd_1_EZV_51/catpn_1_EZV_51)/(((dagenperjaar1*VLOOKUP(B34,dagsoorttabel1,2,FALSE))-catfd_1_EZV_51)/catpn_1_EZB_1+catfd_1_EZV_51/catpn_1_EZV_51),0)</f>
        <v>0</v>
      </c>
      <c r="K34" s="41">
        <f t="shared" si="1"/>
        <v>0</v>
      </c>
      <c r="L34" s="44">
        <f t="shared" si="2"/>
        <v>0</v>
      </c>
      <c r="M34" s="41">
        <f t="shared" si="3"/>
        <v>0</v>
      </c>
      <c r="N34" s="44">
        <f t="shared" si="4"/>
        <v>0</v>
      </c>
    </row>
    <row r="35" spans="1:14" x14ac:dyDescent="0.2">
      <c r="A35" s="22" t="s">
        <v>201</v>
      </c>
      <c r="B35" s="22" t="s">
        <v>10</v>
      </c>
      <c r="C35" s="22" t="s">
        <v>187</v>
      </c>
      <c r="D35" s="22" t="s">
        <v>202</v>
      </c>
      <c r="E35" s="41">
        <v>23.369999999999997</v>
      </c>
      <c r="F35" s="41">
        <f t="shared" si="0"/>
        <v>23.369999999999997</v>
      </c>
      <c r="G35" s="42">
        <f>IF(AND(catpn_1_EZB_1&gt;0,catpn_1_EZV_51&gt;0),(dagenperjaar1*VLOOKUP(B35,dagsoorttabel1,2,FALSE))/(((dagenperjaar1*VLOOKUP(B35,dagsoorttabel1,2,FALSE))-catfd_1_EZV_51)/catpn_1_EZB_1+catfd_1_EZV_51/catpn_1_EZV_51),0)</f>
        <v>0</v>
      </c>
      <c r="H35" s="43">
        <f>IF(AND(catpn_1_EZB_1&gt;0,catpn_1_EZV_51&gt;0),(catdw_1_EZB_1*((dagenperjaar1*VLOOKUP(B35,dagsoorttabel1,2,FALSE))-catfd_1_EZV_51)/catpn_1_EZB_1+catdw_1_EZV_51*catfd_1_EZV_51/catpn_1_EZV_51)/(((dagenperjaar1*VLOOKUP(B35,dagsoorttabel1,2,FALSE))-catfd_1_EZV_51)/catpn_1_EZB_1+catfd_1_EZV_51/catpn_1_EZV_51),0)</f>
        <v>0</v>
      </c>
      <c r="I35" s="22" t="s">
        <v>54</v>
      </c>
      <c r="J35" s="44">
        <f>IF(AND(catpn_1_EZB_1&gt;0,catpn_1_EZV_51&gt;0),(cattf_1_EZB_1*((dagenperjaar1*VLOOKUP(B35,dagsoorttabel1,2,FALSE))-catfd_1_EZV_51)/catpn_1_EZB_1+cattf_1_EZV_51*catfd_1_EZV_51/catpn_1_EZV_51)/(((dagenperjaar1*VLOOKUP(B35,dagsoorttabel1,2,FALSE))-catfd_1_EZV_51)/catpn_1_EZB_1+catfd_1_EZV_51/catpn_1_EZV_51),0)</f>
        <v>0</v>
      </c>
      <c r="K35" s="41">
        <f t="shared" si="1"/>
        <v>0</v>
      </c>
      <c r="L35" s="44">
        <f t="shared" si="2"/>
        <v>0</v>
      </c>
      <c r="M35" s="41">
        <f t="shared" si="3"/>
        <v>0</v>
      </c>
      <c r="N35" s="44">
        <f t="shared" si="4"/>
        <v>0</v>
      </c>
    </row>
    <row r="36" spans="1:14" x14ac:dyDescent="0.2">
      <c r="A36" s="22" t="s">
        <v>203</v>
      </c>
      <c r="B36" s="22" t="s">
        <v>35</v>
      </c>
      <c r="C36" s="22" t="s">
        <v>187</v>
      </c>
      <c r="D36" s="22" t="s">
        <v>204</v>
      </c>
      <c r="E36" s="41">
        <v>153</v>
      </c>
      <c r="F36" s="41">
        <f t="shared" si="0"/>
        <v>7.2</v>
      </c>
      <c r="G36" s="42">
        <f>IF(AND(catpn_1_FHB_1&gt;0,catpn_1_FHV_12&gt;0),(dagenperjaar1*VLOOKUP(B36,dagsoorttabel1,2,FALSE))/(((dagenperjaar1*VLOOKUP(B36,dagsoorttabel1,2,FALSE))-catfd_1_FHV_12)/catpn_1_FHB_1+catfd_1_FHV_12/catpn_1_FHV_12),0)</f>
        <v>0</v>
      </c>
      <c r="H36" s="43">
        <f>IF(AND(catpn_1_FHB_1&gt;0,catpn_1_FHV_12&gt;0),(catdw_1_FHB_1*((dagenperjaar1*VLOOKUP(B36,dagsoorttabel1,2,FALSE))-catfd_1_FHV_12)/catpn_1_FHB_1+catdw_1_FHV_12*catfd_1_FHV_12/catpn_1_FHV_12)/(((dagenperjaar1*VLOOKUP(B36,dagsoorttabel1,2,FALSE))-catfd_1_FHV_12)/catpn_1_FHB_1+catfd_1_FHV_12/catpn_1_FHV_12),0)</f>
        <v>0</v>
      </c>
      <c r="I36" s="22" t="s">
        <v>54</v>
      </c>
      <c r="J36" s="44">
        <f>IF(AND(catpn_1_FHB_1&gt;0,catpn_1_FHV_12&gt;0),(cattf_1_FHB_1*((dagenperjaar1*VLOOKUP(B36,dagsoorttabel1,2,FALSE))-catfd_1_FHV_12)/catpn_1_FHB_1+cattf_1_FHV_12*catfd_1_FHV_12/catpn_1_FHV_12)/(((dagenperjaar1*VLOOKUP(B36,dagsoorttabel1,2,FALSE))-catfd_1_FHV_12)/catpn_1_FHB_1+catfd_1_FHV_12/catpn_1_FHV_12),0)</f>
        <v>0</v>
      </c>
      <c r="K36" s="41">
        <f t="shared" si="1"/>
        <v>0</v>
      </c>
      <c r="L36" s="44">
        <f t="shared" si="2"/>
        <v>0</v>
      </c>
      <c r="M36" s="41">
        <f t="shared" si="3"/>
        <v>0</v>
      </c>
      <c r="N36" s="44">
        <f t="shared" si="4"/>
        <v>0</v>
      </c>
    </row>
    <row r="37" spans="1:14" x14ac:dyDescent="0.2">
      <c r="A37" s="22" t="s">
        <v>205</v>
      </c>
      <c r="B37" s="22" t="s">
        <v>12</v>
      </c>
      <c r="C37" s="22" t="s">
        <v>187</v>
      </c>
      <c r="D37" s="22" t="s">
        <v>206</v>
      </c>
      <c r="E37" s="41">
        <v>2506.42</v>
      </c>
      <c r="F37" s="41">
        <f t="shared" si="0"/>
        <v>2211.5470588235294</v>
      </c>
      <c r="G37" s="42">
        <f>IF(AND(catpn_1_GHB_1&gt;0,catpn_1_GHV_45&gt;0),(dagenperjaar1*VLOOKUP(B37,dagsoorttabel1,2,FALSE))/(((dagenperjaar1*VLOOKUP(B37,dagsoorttabel1,2,FALSE))-catfd_1_GHV_45)/catpn_1_GHB_1+catfd_1_GHV_45/catpn_1_GHV_45),0)</f>
        <v>0</v>
      </c>
      <c r="H37" s="43">
        <f>IF(AND(catpn_1_GHB_1&gt;0,catpn_1_GHV_45&gt;0),(catdw_1_GHB_1*((dagenperjaar1*VLOOKUP(B37,dagsoorttabel1,2,FALSE))-catfd_1_GHV_45)/catpn_1_GHB_1+catdw_1_GHV_45*catfd_1_GHV_45/catpn_1_GHV_45)/(((dagenperjaar1*VLOOKUP(B37,dagsoorttabel1,2,FALSE))-catfd_1_GHV_45)/catpn_1_GHB_1+catfd_1_GHV_45/catpn_1_GHV_45),0)</f>
        <v>0</v>
      </c>
      <c r="I37" s="22" t="s">
        <v>54</v>
      </c>
      <c r="J37" s="44">
        <f>IF(AND(catpn_1_GHB_1&gt;0,catpn_1_GHV_45&gt;0),(cattf_1_GHB_1*((dagenperjaar1*VLOOKUP(B37,dagsoorttabel1,2,FALSE))-catfd_1_GHV_45)/catpn_1_GHB_1+cattf_1_GHV_45*catfd_1_GHV_45/catpn_1_GHV_45)/(((dagenperjaar1*VLOOKUP(B37,dagsoorttabel1,2,FALSE))-catfd_1_GHV_45)/catpn_1_GHB_1+catfd_1_GHV_45/catpn_1_GHV_45),0)</f>
        <v>0</v>
      </c>
      <c r="K37" s="41">
        <f t="shared" si="1"/>
        <v>0</v>
      </c>
      <c r="L37" s="44">
        <f t="shared" si="2"/>
        <v>0</v>
      </c>
      <c r="M37" s="41">
        <f t="shared" si="3"/>
        <v>0</v>
      </c>
      <c r="N37" s="44">
        <f t="shared" si="4"/>
        <v>0</v>
      </c>
    </row>
    <row r="38" spans="1:14" x14ac:dyDescent="0.2">
      <c r="A38" s="22" t="s">
        <v>205</v>
      </c>
      <c r="B38" s="22" t="s">
        <v>11</v>
      </c>
      <c r="C38" s="22" t="s">
        <v>187</v>
      </c>
      <c r="D38" s="22" t="s">
        <v>206</v>
      </c>
      <c r="E38" s="41">
        <v>737</v>
      </c>
      <c r="F38" s="41">
        <f t="shared" ref="F38:F69" si="5">E38*VLOOKUP(B38,dagsoorttabel1,2,FALSE)</f>
        <v>684.97647058823532</v>
      </c>
      <c r="G38" s="42">
        <f>IF(AND(catpn_1_GHB_1&gt;0,catpn_1_GHV_51&gt;0),(dagenperjaar1*VLOOKUP(B38,dagsoorttabel1,2,FALSE))/(((dagenperjaar1*VLOOKUP(B38,dagsoorttabel1,2,FALSE))-catfd_1_GHV_51)/catpn_1_GHB_1+catfd_1_GHV_51/catpn_1_GHV_51),0)</f>
        <v>0</v>
      </c>
      <c r="H38" s="43">
        <f>IF(AND(catpn_1_GHB_1&gt;0,catpn_1_GHV_51&gt;0),(catdw_1_GHB_1*((dagenperjaar1*VLOOKUP(B38,dagsoorttabel1,2,FALSE))-catfd_1_GHV_51)/catpn_1_GHB_1+catdw_1_GHV_51*catfd_1_GHV_51/catpn_1_GHV_51)/(((dagenperjaar1*VLOOKUP(B38,dagsoorttabel1,2,FALSE))-catfd_1_GHV_51)/catpn_1_GHB_1+catfd_1_GHV_51/catpn_1_GHV_51),0)</f>
        <v>0</v>
      </c>
      <c r="I38" s="22" t="s">
        <v>54</v>
      </c>
      <c r="J38" s="44">
        <f>IF(AND(catpn_1_GHB_1&gt;0,catpn_1_GHV_51&gt;0),(cattf_1_GHB_1*((dagenperjaar1*VLOOKUP(B38,dagsoorttabel1,2,FALSE))-catfd_1_GHV_51)/catpn_1_GHB_1+cattf_1_GHV_51*catfd_1_GHV_51/catpn_1_GHV_51)/(((dagenperjaar1*VLOOKUP(B38,dagsoorttabel1,2,FALSE))-catfd_1_GHV_51)/catpn_1_GHB_1+catfd_1_GHV_51/catpn_1_GHV_51),0)</f>
        <v>0</v>
      </c>
      <c r="K38" s="41">
        <f t="shared" ref="K38:K69" si="6">IF(OR(ISBLANK(G38),G38=0),0,F38/ROUND(G38,4))</f>
        <v>0</v>
      </c>
      <c r="L38" s="44">
        <f t="shared" ref="L38:L69" si="7">ROUND(J38,2)*K38</f>
        <v>0</v>
      </c>
      <c r="M38" s="41">
        <f t="shared" ref="M38:M69" si="8">K38*dagenperjaar1</f>
        <v>0</v>
      </c>
      <c r="N38" s="44">
        <f t="shared" ref="N38:N69" si="9">M38*ROUND(J38,2)</f>
        <v>0</v>
      </c>
    </row>
    <row r="39" spans="1:14" x14ac:dyDescent="0.2">
      <c r="A39" s="22" t="s">
        <v>205</v>
      </c>
      <c r="B39" s="22" t="s">
        <v>25</v>
      </c>
      <c r="C39" s="22" t="s">
        <v>187</v>
      </c>
      <c r="D39" s="22" t="s">
        <v>207</v>
      </c>
      <c r="E39" s="41">
        <v>342.01</v>
      </c>
      <c r="F39" s="41">
        <f t="shared" si="5"/>
        <v>60.354705882352945</v>
      </c>
      <c r="G39" s="42">
        <f>IF(AND(catpn_1_GHB_1&gt;0,catpn_1_GHV_45&gt;0),(dagenperjaar1*VLOOKUP(B39,dagsoorttabel1,2,FALSE))/(((dagenperjaar1*VLOOKUP(B39,dagsoorttabel1,2,FALSE))-catfd_1_GHV_45)/catpn_1_GHB_1+catfd_1_GHV_45/catpn_1_GHV_45),0)</f>
        <v>0</v>
      </c>
      <c r="H39" s="43">
        <f>IF(AND(catpn_1_GHB_1&gt;0,catpn_1_GHV_45&gt;0),(catdw_1_GHB_1*((dagenperjaar1*VLOOKUP(B39,dagsoorttabel1,2,FALSE))-catfd_1_GHV_45)/catpn_1_GHB_1+catdw_1_GHV_45*catfd_1_GHV_45/catpn_1_GHV_45)/(((dagenperjaar1*VLOOKUP(B39,dagsoorttabel1,2,FALSE))-catfd_1_GHV_45)/catpn_1_GHB_1+catfd_1_GHV_45/catpn_1_GHV_45),0)</f>
        <v>0</v>
      </c>
      <c r="I39" s="22" t="s">
        <v>54</v>
      </c>
      <c r="J39" s="44">
        <f>IF(AND(catpn_1_GHB_1&gt;0,catpn_1_GHV_45&gt;0),(cattf_1_GHB_1*((dagenperjaar1*VLOOKUP(B39,dagsoorttabel1,2,FALSE))-catfd_1_GHV_45)/catpn_1_GHB_1+cattf_1_GHV_45*catfd_1_GHV_45/catpn_1_GHV_45)/(((dagenperjaar1*VLOOKUP(B39,dagsoorttabel1,2,FALSE))-catfd_1_GHV_45)/catpn_1_GHB_1+catfd_1_GHV_45/catpn_1_GHV_45),0)</f>
        <v>0</v>
      </c>
      <c r="K39" s="41">
        <f t="shared" si="6"/>
        <v>0</v>
      </c>
      <c r="L39" s="44">
        <f t="shared" si="7"/>
        <v>0</v>
      </c>
      <c r="M39" s="41">
        <f t="shared" si="8"/>
        <v>0</v>
      </c>
      <c r="N39" s="44">
        <f t="shared" si="9"/>
        <v>0</v>
      </c>
    </row>
    <row r="40" spans="1:14" x14ac:dyDescent="0.2">
      <c r="A40" s="22" t="s">
        <v>208</v>
      </c>
      <c r="B40" s="22" t="s">
        <v>12</v>
      </c>
      <c r="C40" s="22" t="s">
        <v>187</v>
      </c>
      <c r="D40" s="22" t="s">
        <v>209</v>
      </c>
      <c r="E40" s="41">
        <v>2</v>
      </c>
      <c r="F40" s="41">
        <f t="shared" si="5"/>
        <v>1.7647058823529411</v>
      </c>
      <c r="G40" s="42">
        <f>IF(AND(catpn_1_IHB_1&gt;0,catpn_1_IHV_45&gt;0),(dagenperjaar1*VLOOKUP(B40,dagsoorttabel1,2,FALSE))/(((dagenperjaar1*VLOOKUP(B40,dagsoorttabel1,2,FALSE))-catfd_1_IHV_45)/catpn_1_IHB_1+catfd_1_IHV_45/catpn_1_IHV_45),0)</f>
        <v>0</v>
      </c>
      <c r="H40" s="43">
        <f>IF(AND(catpn_1_IHB_1&gt;0,catpn_1_IHV_45&gt;0),(catdw_1_IHB_1*((dagenperjaar1*VLOOKUP(B40,dagsoorttabel1,2,FALSE))-catfd_1_IHV_45)/catpn_1_IHB_1+catdw_1_IHV_45*catfd_1_IHV_45/catpn_1_IHV_45)/(((dagenperjaar1*VLOOKUP(B40,dagsoorttabel1,2,FALSE))-catfd_1_IHV_45)/catpn_1_IHB_1+catfd_1_IHV_45/catpn_1_IHV_45),0)</f>
        <v>0</v>
      </c>
      <c r="I40" s="22" t="s">
        <v>54</v>
      </c>
      <c r="J40" s="44">
        <f>IF(AND(catpn_1_IHB_1&gt;0,catpn_1_IHV_45&gt;0),(cattf_1_IHB_1*((dagenperjaar1*VLOOKUP(B40,dagsoorttabel1,2,FALSE))-catfd_1_IHV_45)/catpn_1_IHB_1+cattf_1_IHV_45*catfd_1_IHV_45/catpn_1_IHV_45)/(((dagenperjaar1*VLOOKUP(B40,dagsoorttabel1,2,FALSE))-catfd_1_IHV_45)/catpn_1_IHB_1+catfd_1_IHV_45/catpn_1_IHV_45),0)</f>
        <v>0</v>
      </c>
      <c r="K40" s="41">
        <f t="shared" si="6"/>
        <v>0</v>
      </c>
      <c r="L40" s="44">
        <f t="shared" si="7"/>
        <v>0</v>
      </c>
      <c r="M40" s="41">
        <f t="shared" si="8"/>
        <v>0</v>
      </c>
      <c r="N40" s="44">
        <f t="shared" si="9"/>
        <v>0</v>
      </c>
    </row>
    <row r="41" spans="1:14" x14ac:dyDescent="0.2">
      <c r="A41" s="22" t="s">
        <v>208</v>
      </c>
      <c r="B41" s="22" t="s">
        <v>10</v>
      </c>
      <c r="C41" s="22" t="s">
        <v>187</v>
      </c>
      <c r="D41" s="22" t="s">
        <v>209</v>
      </c>
      <c r="E41" s="41">
        <v>5.53</v>
      </c>
      <c r="F41" s="41">
        <f t="shared" si="5"/>
        <v>5.53</v>
      </c>
      <c r="G41" s="42">
        <f>IF(AND(catpn_1_IHB_1&gt;0,catpn_1_IHV_51&gt;0),(dagenperjaar1*VLOOKUP(B41,dagsoorttabel1,2,FALSE))/(((dagenperjaar1*VLOOKUP(B41,dagsoorttabel1,2,FALSE))-catfd_1_IHV_51)/catpn_1_IHB_1+catfd_1_IHV_51/catpn_1_IHV_51),0)</f>
        <v>0</v>
      </c>
      <c r="H41" s="43">
        <f>IF(AND(catpn_1_IHB_1&gt;0,catpn_1_IHV_51&gt;0),(catdw_1_IHB_1*((dagenperjaar1*VLOOKUP(B41,dagsoorttabel1,2,FALSE))-catfd_1_IHV_51)/catpn_1_IHB_1+catdw_1_IHV_51*catfd_1_IHV_51/catpn_1_IHV_51)/(((dagenperjaar1*VLOOKUP(B41,dagsoorttabel1,2,FALSE))-catfd_1_IHV_51)/catpn_1_IHB_1+catfd_1_IHV_51/catpn_1_IHV_51),0)</f>
        <v>0</v>
      </c>
      <c r="I41" s="22" t="s">
        <v>54</v>
      </c>
      <c r="J41" s="44">
        <f>IF(AND(catpn_1_IHB_1&gt;0,catpn_1_IHV_51&gt;0),(cattf_1_IHB_1*((dagenperjaar1*VLOOKUP(B41,dagsoorttabel1,2,FALSE))-catfd_1_IHV_51)/catpn_1_IHB_1+cattf_1_IHV_51*catfd_1_IHV_51/catpn_1_IHV_51)/(((dagenperjaar1*VLOOKUP(B41,dagsoorttabel1,2,FALSE))-catfd_1_IHV_51)/catpn_1_IHB_1+catfd_1_IHV_51/catpn_1_IHV_51),0)</f>
        <v>0</v>
      </c>
      <c r="K41" s="41">
        <f t="shared" si="6"/>
        <v>0</v>
      </c>
      <c r="L41" s="44">
        <f t="shared" si="7"/>
        <v>0</v>
      </c>
      <c r="M41" s="41">
        <f t="shared" si="8"/>
        <v>0</v>
      </c>
      <c r="N41" s="44">
        <f t="shared" si="9"/>
        <v>0</v>
      </c>
    </row>
    <row r="42" spans="1:14" x14ac:dyDescent="0.2">
      <c r="A42" s="22" t="s">
        <v>210</v>
      </c>
      <c r="B42" s="22" t="s">
        <v>16</v>
      </c>
      <c r="C42" s="22" t="s">
        <v>187</v>
      </c>
      <c r="D42" s="22" t="s">
        <v>211</v>
      </c>
      <c r="E42" s="41">
        <v>9</v>
      </c>
      <c r="F42" s="41">
        <f t="shared" si="5"/>
        <v>5.3999999999999995</v>
      </c>
      <c r="G42" s="42">
        <f>catpn_1_KHB_1</f>
        <v>0</v>
      </c>
      <c r="H42" s="43">
        <f>catdw_1_KHB_1</f>
        <v>0</v>
      </c>
      <c r="I42" s="22" t="s">
        <v>54</v>
      </c>
      <c r="J42" s="44">
        <f>cattf_1_KHB_1</f>
        <v>0</v>
      </c>
      <c r="K42" s="41">
        <f t="shared" si="6"/>
        <v>0</v>
      </c>
      <c r="L42" s="44">
        <f t="shared" si="7"/>
        <v>0</v>
      </c>
      <c r="M42" s="41">
        <f t="shared" si="8"/>
        <v>0</v>
      </c>
      <c r="N42" s="44">
        <f t="shared" si="9"/>
        <v>0</v>
      </c>
    </row>
    <row r="43" spans="1:14" x14ac:dyDescent="0.2">
      <c r="A43" s="22" t="s">
        <v>210</v>
      </c>
      <c r="B43" s="22" t="s">
        <v>10</v>
      </c>
      <c r="C43" s="22" t="s">
        <v>187</v>
      </c>
      <c r="D43" s="22" t="s">
        <v>211</v>
      </c>
      <c r="E43" s="41">
        <v>66.400000000000006</v>
      </c>
      <c r="F43" s="41">
        <f t="shared" si="5"/>
        <v>66.400000000000006</v>
      </c>
      <c r="G43" s="42">
        <f>IF(AND(catpn_1_KHB_1&gt;0,catpn_1_KHV_51&gt;0),(dagenperjaar1*VLOOKUP(B43,dagsoorttabel1,2,FALSE))/(((dagenperjaar1*VLOOKUP(B43,dagsoorttabel1,2,FALSE))-catfd_1_KHV_51)/catpn_1_KHB_1+catfd_1_KHV_51/catpn_1_KHV_51),0)</f>
        <v>0</v>
      </c>
      <c r="H43" s="43">
        <f>IF(AND(catpn_1_KHB_1&gt;0,catpn_1_KHV_51&gt;0),(catdw_1_KHB_1*((dagenperjaar1*VLOOKUP(B43,dagsoorttabel1,2,FALSE))-catfd_1_KHV_51)/catpn_1_KHB_1+catdw_1_KHV_51*catfd_1_KHV_51/catpn_1_KHV_51)/(((dagenperjaar1*VLOOKUP(B43,dagsoorttabel1,2,FALSE))-catfd_1_KHV_51)/catpn_1_KHB_1+catfd_1_KHV_51/catpn_1_KHV_51),0)</f>
        <v>0</v>
      </c>
      <c r="I43" s="22" t="s">
        <v>54</v>
      </c>
      <c r="J43" s="44">
        <f>IF(AND(catpn_1_KHB_1&gt;0,catpn_1_KHV_51&gt;0),(cattf_1_KHB_1*((dagenperjaar1*VLOOKUP(B43,dagsoorttabel1,2,FALSE))-catfd_1_KHV_51)/catpn_1_KHB_1+cattf_1_KHV_51*catfd_1_KHV_51/catpn_1_KHV_51)/(((dagenperjaar1*VLOOKUP(B43,dagsoorttabel1,2,FALSE))-catfd_1_KHV_51)/catpn_1_KHB_1+catfd_1_KHV_51/catpn_1_KHV_51),0)</f>
        <v>0</v>
      </c>
      <c r="K43" s="41">
        <f t="shared" si="6"/>
        <v>0</v>
      </c>
      <c r="L43" s="44">
        <f t="shared" si="7"/>
        <v>0</v>
      </c>
      <c r="M43" s="41">
        <f t="shared" si="8"/>
        <v>0</v>
      </c>
      <c r="N43" s="44">
        <f t="shared" si="9"/>
        <v>0</v>
      </c>
    </row>
    <row r="44" spans="1:14" x14ac:dyDescent="0.2">
      <c r="A44" s="22" t="s">
        <v>212</v>
      </c>
      <c r="B44" s="22" t="s">
        <v>24</v>
      </c>
      <c r="C44" s="22" t="s">
        <v>187</v>
      </c>
      <c r="D44" s="22" t="s">
        <v>213</v>
      </c>
      <c r="E44" s="41">
        <v>253.37</v>
      </c>
      <c r="F44" s="41">
        <f t="shared" si="5"/>
        <v>50.674000000000007</v>
      </c>
      <c r="G44" s="42">
        <f>IF(AND(catpn_1_LHB_1&gt;0,catpn_1_LHV_51&gt;0),(dagenperjaar1*VLOOKUP(B44,dagsoorttabel1,2,FALSE))/(((dagenperjaar1*VLOOKUP(B44,dagsoorttabel1,2,FALSE))-catfd_1_LHV_51)/catpn_1_LHB_1+catfd_1_LHV_51/catpn_1_LHV_51),0)</f>
        <v>0</v>
      </c>
      <c r="H44" s="43">
        <f>IF(AND(catpn_1_LHB_1&gt;0,catpn_1_LHV_51&gt;0),(catdw_1_LHB_1*((dagenperjaar1*VLOOKUP(B44,dagsoorttabel1,2,FALSE))-catfd_1_LHV_51)/catpn_1_LHB_1+catdw_1_LHV_51*catfd_1_LHV_51/catpn_1_LHV_51)/(((dagenperjaar1*VLOOKUP(B44,dagsoorttabel1,2,FALSE))-catfd_1_LHV_51)/catpn_1_LHB_1+catfd_1_LHV_51/catpn_1_LHV_51),0)</f>
        <v>0</v>
      </c>
      <c r="I44" s="22" t="s">
        <v>54</v>
      </c>
      <c r="J44" s="44">
        <f>IF(AND(catpn_1_LHB_1&gt;0,catpn_1_LHV_51&gt;0),(cattf_1_LHB_1*((dagenperjaar1*VLOOKUP(B44,dagsoorttabel1,2,FALSE))-catfd_1_LHV_51)/catpn_1_LHB_1+cattf_1_LHV_51*catfd_1_LHV_51/catpn_1_LHV_51)/(((dagenperjaar1*VLOOKUP(B44,dagsoorttabel1,2,FALSE))-catfd_1_LHV_51)/catpn_1_LHB_1+catfd_1_LHV_51/catpn_1_LHV_51),0)</f>
        <v>0</v>
      </c>
      <c r="K44" s="41">
        <f t="shared" si="6"/>
        <v>0</v>
      </c>
      <c r="L44" s="44">
        <f t="shared" si="7"/>
        <v>0</v>
      </c>
      <c r="M44" s="41">
        <f t="shared" si="8"/>
        <v>0</v>
      </c>
      <c r="N44" s="44">
        <f t="shared" si="9"/>
        <v>0</v>
      </c>
    </row>
    <row r="45" spans="1:14" x14ac:dyDescent="0.2">
      <c r="A45" s="22" t="s">
        <v>214</v>
      </c>
      <c r="B45" s="22" t="s">
        <v>24</v>
      </c>
      <c r="C45" s="22" t="s">
        <v>187</v>
      </c>
      <c r="D45" s="22" t="s">
        <v>215</v>
      </c>
      <c r="E45" s="41">
        <v>26.799999999999997</v>
      </c>
      <c r="F45" s="41">
        <f t="shared" si="5"/>
        <v>5.3599999999999994</v>
      </c>
      <c r="G45" s="42">
        <f>IF(AND(catpn_1_OHB_1&gt;0,catpn_1_OHV_51&gt;0),(dagenperjaar1*VLOOKUP(B45,dagsoorttabel1,2,FALSE))/(((dagenperjaar1*VLOOKUP(B45,dagsoorttabel1,2,FALSE))-catfd_1_OHV_51)/catpn_1_OHB_1+catfd_1_OHV_51/catpn_1_OHV_51),0)</f>
        <v>0</v>
      </c>
      <c r="H45" s="43">
        <f>IF(AND(catpn_1_OHB_1&gt;0,catpn_1_OHV_51&gt;0),(catdw_1_OHB_1*((dagenperjaar1*VLOOKUP(B45,dagsoorttabel1,2,FALSE))-catfd_1_OHV_51)/catpn_1_OHB_1+catdw_1_OHV_51*catfd_1_OHV_51/catpn_1_OHV_51)/(((dagenperjaar1*VLOOKUP(B45,dagsoorttabel1,2,FALSE))-catfd_1_OHV_51)/catpn_1_OHB_1+catfd_1_OHV_51/catpn_1_OHV_51),0)</f>
        <v>0</v>
      </c>
      <c r="I45" s="22" t="s">
        <v>54</v>
      </c>
      <c r="J45" s="44">
        <f>IF(AND(catpn_1_OHB_1&gt;0,catpn_1_OHV_51&gt;0),(cattf_1_OHB_1*((dagenperjaar1*VLOOKUP(B45,dagsoorttabel1,2,FALSE))-catfd_1_OHV_51)/catpn_1_OHB_1+cattf_1_OHV_51*catfd_1_OHV_51/catpn_1_OHV_51)/(((dagenperjaar1*VLOOKUP(B45,dagsoorttabel1,2,FALSE))-catfd_1_OHV_51)/catpn_1_OHB_1+catfd_1_OHV_51/catpn_1_OHV_51),0)</f>
        <v>0</v>
      </c>
      <c r="K45" s="41">
        <f t="shared" si="6"/>
        <v>0</v>
      </c>
      <c r="L45" s="44">
        <f t="shared" si="7"/>
        <v>0</v>
      </c>
      <c r="M45" s="41">
        <f t="shared" si="8"/>
        <v>0</v>
      </c>
      <c r="N45" s="44">
        <f t="shared" si="9"/>
        <v>0</v>
      </c>
    </row>
    <row r="46" spans="1:14" x14ac:dyDescent="0.2">
      <c r="A46" s="22" t="s">
        <v>214</v>
      </c>
      <c r="B46" s="22" t="s">
        <v>17</v>
      </c>
      <c r="C46" s="22" t="s">
        <v>187</v>
      </c>
      <c r="D46" s="22" t="s">
        <v>215</v>
      </c>
      <c r="E46" s="41">
        <v>49</v>
      </c>
      <c r="F46" s="41">
        <f t="shared" si="5"/>
        <v>24.5</v>
      </c>
      <c r="G46" s="42">
        <f>IF(AND(catpn_1_OHB_1&gt;0,catpn_1_OHV_51&gt;0),(dagenperjaar1*VLOOKUP(B46,dagsoorttabel1,2,FALSE))/(((dagenperjaar1*VLOOKUP(B46,dagsoorttabel1,2,FALSE))-catfd_1_OHV_51)/catpn_1_OHB_1+catfd_1_OHV_51/catpn_1_OHV_51),0)</f>
        <v>0</v>
      </c>
      <c r="H46" s="43">
        <f>IF(AND(catpn_1_OHB_1&gt;0,catpn_1_OHV_51&gt;0),(catdw_1_OHB_1*((dagenperjaar1*VLOOKUP(B46,dagsoorttabel1,2,FALSE))-catfd_1_OHV_51)/catpn_1_OHB_1+catdw_1_OHV_51*catfd_1_OHV_51/catpn_1_OHV_51)/(((dagenperjaar1*VLOOKUP(B46,dagsoorttabel1,2,FALSE))-catfd_1_OHV_51)/catpn_1_OHB_1+catfd_1_OHV_51/catpn_1_OHV_51),0)</f>
        <v>0</v>
      </c>
      <c r="I46" s="22" t="s">
        <v>54</v>
      </c>
      <c r="J46" s="44">
        <f>IF(AND(catpn_1_OHB_1&gt;0,catpn_1_OHV_51&gt;0),(cattf_1_OHB_1*((dagenperjaar1*VLOOKUP(B46,dagsoorttabel1,2,FALSE))-catfd_1_OHV_51)/catpn_1_OHB_1+cattf_1_OHV_51*catfd_1_OHV_51/catpn_1_OHV_51)/(((dagenperjaar1*VLOOKUP(B46,dagsoorttabel1,2,FALSE))-catfd_1_OHV_51)/catpn_1_OHB_1+catfd_1_OHV_51/catpn_1_OHV_51),0)</f>
        <v>0</v>
      </c>
      <c r="K46" s="41">
        <f t="shared" si="6"/>
        <v>0</v>
      </c>
      <c r="L46" s="44">
        <f t="shared" si="7"/>
        <v>0</v>
      </c>
      <c r="M46" s="41">
        <f t="shared" si="8"/>
        <v>0</v>
      </c>
      <c r="N46" s="44">
        <f t="shared" si="9"/>
        <v>0</v>
      </c>
    </row>
    <row r="47" spans="1:14" x14ac:dyDescent="0.2">
      <c r="A47" s="22" t="s">
        <v>214</v>
      </c>
      <c r="B47" s="22" t="s">
        <v>19</v>
      </c>
      <c r="C47" s="22" t="s">
        <v>187</v>
      </c>
      <c r="D47" s="22" t="s">
        <v>215</v>
      </c>
      <c r="E47" s="41">
        <v>2.14</v>
      </c>
      <c r="F47" s="41">
        <f t="shared" si="5"/>
        <v>0.85600000000000009</v>
      </c>
      <c r="G47" s="42">
        <f>IF(AND(catpn_1_OHB_1&gt;0,catpn_1_OHV_51&gt;0),(dagenperjaar1*VLOOKUP(B47,dagsoorttabel1,2,FALSE))/(((dagenperjaar1*VLOOKUP(B47,dagsoorttabel1,2,FALSE))-catfd_1_OHV_51)/catpn_1_OHB_1+catfd_1_OHV_51/catpn_1_OHV_51),0)</f>
        <v>0</v>
      </c>
      <c r="H47" s="43">
        <f>IF(AND(catpn_1_OHB_1&gt;0,catpn_1_OHV_51&gt;0),(catdw_1_OHB_1*((dagenperjaar1*VLOOKUP(B47,dagsoorttabel1,2,FALSE))-catfd_1_OHV_51)/catpn_1_OHB_1+catdw_1_OHV_51*catfd_1_OHV_51/catpn_1_OHV_51)/(((dagenperjaar1*VLOOKUP(B47,dagsoorttabel1,2,FALSE))-catfd_1_OHV_51)/catpn_1_OHB_1+catfd_1_OHV_51/catpn_1_OHV_51),0)</f>
        <v>0</v>
      </c>
      <c r="I47" s="22" t="s">
        <v>54</v>
      </c>
      <c r="J47" s="44">
        <f>IF(AND(catpn_1_OHB_1&gt;0,catpn_1_OHV_51&gt;0),(cattf_1_OHB_1*((dagenperjaar1*VLOOKUP(B47,dagsoorttabel1,2,FALSE))-catfd_1_OHV_51)/catpn_1_OHB_1+cattf_1_OHV_51*catfd_1_OHV_51/catpn_1_OHV_51)/(((dagenperjaar1*VLOOKUP(B47,dagsoorttabel1,2,FALSE))-catfd_1_OHV_51)/catpn_1_OHB_1+catfd_1_OHV_51/catpn_1_OHV_51),0)</f>
        <v>0</v>
      </c>
      <c r="K47" s="41">
        <f t="shared" si="6"/>
        <v>0</v>
      </c>
      <c r="L47" s="44">
        <f t="shared" si="7"/>
        <v>0</v>
      </c>
      <c r="M47" s="41">
        <f t="shared" si="8"/>
        <v>0</v>
      </c>
      <c r="N47" s="44">
        <f t="shared" si="9"/>
        <v>0</v>
      </c>
    </row>
    <row r="48" spans="1:14" x14ac:dyDescent="0.2">
      <c r="A48" s="22" t="s">
        <v>216</v>
      </c>
      <c r="B48" s="22" t="s">
        <v>17</v>
      </c>
      <c r="C48" s="22" t="s">
        <v>187</v>
      </c>
      <c r="D48" s="22" t="s">
        <v>217</v>
      </c>
      <c r="E48" s="41">
        <v>645.4899999999999</v>
      </c>
      <c r="F48" s="41">
        <f t="shared" si="5"/>
        <v>322.74499999999995</v>
      </c>
      <c r="G48" s="42">
        <f>IF(AND(catpn_1_OZB_1&gt;0,catpn_1_OZV_51&gt;0),(dagenperjaar1*VLOOKUP(B48,dagsoorttabel1,2,FALSE))/(((dagenperjaar1*VLOOKUP(B48,dagsoorttabel1,2,FALSE))-catfd_1_OZV_51)/catpn_1_OZB_1+catfd_1_OZV_51/catpn_1_OZV_51),0)</f>
        <v>0</v>
      </c>
      <c r="H48" s="43">
        <f>IF(AND(catpn_1_OZB_1&gt;0,catpn_1_OZV_51&gt;0),(catdw_1_OZB_1*((dagenperjaar1*VLOOKUP(B48,dagsoorttabel1,2,FALSE))-catfd_1_OZV_51)/catpn_1_OZB_1+catdw_1_OZV_51*catfd_1_OZV_51/catpn_1_OZV_51)/(((dagenperjaar1*VLOOKUP(B48,dagsoorttabel1,2,FALSE))-catfd_1_OZV_51)/catpn_1_OZB_1+catfd_1_OZV_51/catpn_1_OZV_51),0)</f>
        <v>0</v>
      </c>
      <c r="I48" s="22" t="s">
        <v>54</v>
      </c>
      <c r="J48" s="44">
        <f>IF(AND(catpn_1_OZB_1&gt;0,catpn_1_OZV_51&gt;0),(cattf_1_OZB_1*((dagenperjaar1*VLOOKUP(B48,dagsoorttabel1,2,FALSE))-catfd_1_OZV_51)/catpn_1_OZB_1+cattf_1_OZV_51*catfd_1_OZV_51/catpn_1_OZV_51)/(((dagenperjaar1*VLOOKUP(B48,dagsoorttabel1,2,FALSE))-catfd_1_OZV_51)/catpn_1_OZB_1+catfd_1_OZV_51/catpn_1_OZV_51),0)</f>
        <v>0</v>
      </c>
      <c r="K48" s="41">
        <f t="shared" si="6"/>
        <v>0</v>
      </c>
      <c r="L48" s="44">
        <f t="shared" si="7"/>
        <v>0</v>
      </c>
      <c r="M48" s="41">
        <f t="shared" si="8"/>
        <v>0</v>
      </c>
      <c r="N48" s="44">
        <f t="shared" si="9"/>
        <v>0</v>
      </c>
    </row>
    <row r="49" spans="1:14" x14ac:dyDescent="0.2">
      <c r="A49" s="22" t="s">
        <v>216</v>
      </c>
      <c r="B49" s="22" t="s">
        <v>14</v>
      </c>
      <c r="C49" s="22" t="s">
        <v>187</v>
      </c>
      <c r="D49" s="22" t="s">
        <v>217</v>
      </c>
      <c r="E49" s="41">
        <v>360.6</v>
      </c>
      <c r="F49" s="41">
        <f t="shared" si="5"/>
        <v>282.8235294117647</v>
      </c>
      <c r="G49" s="42">
        <f>IF(AND(catpn_1_OZB_1&gt;0,catpn_1_OZV_40&gt;0),(dagenperjaar1*VLOOKUP(B49,dagsoorttabel1,2,FALSE))/(((dagenperjaar1*VLOOKUP(B49,dagsoorttabel1,2,FALSE))-catfd_1_OZV_40)/catpn_1_OZB_1+catfd_1_OZV_40/catpn_1_OZV_40),0)</f>
        <v>0</v>
      </c>
      <c r="H49" s="43">
        <f>IF(AND(catpn_1_OZB_1&gt;0,catpn_1_OZV_40&gt;0),(catdw_1_OZB_1*((dagenperjaar1*VLOOKUP(B49,dagsoorttabel1,2,FALSE))-catfd_1_OZV_40)/catpn_1_OZB_1+catdw_1_OZV_40*catfd_1_OZV_40/catpn_1_OZV_40)/(((dagenperjaar1*VLOOKUP(B49,dagsoorttabel1,2,FALSE))-catfd_1_OZV_40)/catpn_1_OZB_1+catfd_1_OZV_40/catpn_1_OZV_40),0)</f>
        <v>0</v>
      </c>
      <c r="I49" s="22" t="s">
        <v>54</v>
      </c>
      <c r="J49" s="44">
        <f>IF(AND(catpn_1_OZB_1&gt;0,catpn_1_OZV_40&gt;0),(cattf_1_OZB_1*((dagenperjaar1*VLOOKUP(B49,dagsoorttabel1,2,FALSE))-catfd_1_OZV_40)/catpn_1_OZB_1+cattf_1_OZV_40*catfd_1_OZV_40/catpn_1_OZV_40)/(((dagenperjaar1*VLOOKUP(B49,dagsoorttabel1,2,FALSE))-catfd_1_OZV_40)/catpn_1_OZB_1+catfd_1_OZV_40/catpn_1_OZV_40),0)</f>
        <v>0</v>
      </c>
      <c r="K49" s="41">
        <f t="shared" si="6"/>
        <v>0</v>
      </c>
      <c r="L49" s="44">
        <f t="shared" si="7"/>
        <v>0</v>
      </c>
      <c r="M49" s="41">
        <f t="shared" si="8"/>
        <v>0</v>
      </c>
      <c r="N49" s="44">
        <f t="shared" si="9"/>
        <v>0</v>
      </c>
    </row>
    <row r="50" spans="1:14" x14ac:dyDescent="0.2">
      <c r="A50" s="22" t="s">
        <v>216</v>
      </c>
      <c r="B50" s="22" t="s">
        <v>19</v>
      </c>
      <c r="C50" s="22" t="s">
        <v>187</v>
      </c>
      <c r="D50" s="22" t="s">
        <v>217</v>
      </c>
      <c r="E50" s="41">
        <v>124.5</v>
      </c>
      <c r="F50" s="41">
        <f t="shared" si="5"/>
        <v>49.800000000000004</v>
      </c>
      <c r="G50" s="42">
        <f>IF(AND(catpn_1_OZB_1&gt;0,catpn_1_OZV_51&gt;0),(dagenperjaar1*VLOOKUP(B50,dagsoorttabel1,2,FALSE))/(((dagenperjaar1*VLOOKUP(B50,dagsoorttabel1,2,FALSE))-catfd_1_OZV_51)/catpn_1_OZB_1+catfd_1_OZV_51/catpn_1_OZV_51),0)</f>
        <v>0</v>
      </c>
      <c r="H50" s="43">
        <f>IF(AND(catpn_1_OZB_1&gt;0,catpn_1_OZV_51&gt;0),(catdw_1_OZB_1*((dagenperjaar1*VLOOKUP(B50,dagsoorttabel1,2,FALSE))-catfd_1_OZV_51)/catpn_1_OZB_1+catdw_1_OZV_51*catfd_1_OZV_51/catpn_1_OZV_51)/(((dagenperjaar1*VLOOKUP(B50,dagsoorttabel1,2,FALSE))-catfd_1_OZV_51)/catpn_1_OZB_1+catfd_1_OZV_51/catpn_1_OZV_51),0)</f>
        <v>0</v>
      </c>
      <c r="I50" s="22" t="s">
        <v>54</v>
      </c>
      <c r="J50" s="44">
        <f>IF(AND(catpn_1_OZB_1&gt;0,catpn_1_OZV_51&gt;0),(cattf_1_OZB_1*((dagenperjaar1*VLOOKUP(B50,dagsoorttabel1,2,FALSE))-catfd_1_OZV_51)/catpn_1_OZB_1+cattf_1_OZV_51*catfd_1_OZV_51/catpn_1_OZV_51)/(((dagenperjaar1*VLOOKUP(B50,dagsoorttabel1,2,FALSE))-catfd_1_OZV_51)/catpn_1_OZB_1+catfd_1_OZV_51/catpn_1_OZV_51),0)</f>
        <v>0</v>
      </c>
      <c r="K50" s="41">
        <f t="shared" si="6"/>
        <v>0</v>
      </c>
      <c r="L50" s="44">
        <f t="shared" si="7"/>
        <v>0</v>
      </c>
      <c r="M50" s="41">
        <f t="shared" si="8"/>
        <v>0</v>
      </c>
      <c r="N50" s="44">
        <f t="shared" si="9"/>
        <v>0</v>
      </c>
    </row>
    <row r="51" spans="1:14" x14ac:dyDescent="0.2">
      <c r="A51" s="22" t="s">
        <v>216</v>
      </c>
      <c r="B51" s="22" t="s">
        <v>10</v>
      </c>
      <c r="C51" s="22" t="s">
        <v>187</v>
      </c>
      <c r="D51" s="22" t="s">
        <v>217</v>
      </c>
      <c r="E51" s="41">
        <v>158.49</v>
      </c>
      <c r="F51" s="41">
        <f t="shared" si="5"/>
        <v>158.49</v>
      </c>
      <c r="G51" s="42">
        <f>IF(AND(catpn_1_OZB_1&gt;0,catpn_1_OZV_51&gt;0),(dagenperjaar1*VLOOKUP(B51,dagsoorttabel1,2,FALSE))/(((dagenperjaar1*VLOOKUP(B51,dagsoorttabel1,2,FALSE))-catfd_1_OZV_51)/catpn_1_OZB_1+catfd_1_OZV_51/catpn_1_OZV_51),0)</f>
        <v>0</v>
      </c>
      <c r="H51" s="43">
        <f>IF(AND(catpn_1_OZB_1&gt;0,catpn_1_OZV_51&gt;0),(catdw_1_OZB_1*((dagenperjaar1*VLOOKUP(B51,dagsoorttabel1,2,FALSE))-catfd_1_OZV_51)/catpn_1_OZB_1+catdw_1_OZV_51*catfd_1_OZV_51/catpn_1_OZV_51)/(((dagenperjaar1*VLOOKUP(B51,dagsoorttabel1,2,FALSE))-catfd_1_OZV_51)/catpn_1_OZB_1+catfd_1_OZV_51/catpn_1_OZV_51),0)</f>
        <v>0</v>
      </c>
      <c r="I51" s="22" t="s">
        <v>54</v>
      </c>
      <c r="J51" s="44">
        <f>IF(AND(catpn_1_OZB_1&gt;0,catpn_1_OZV_51&gt;0),(cattf_1_OZB_1*((dagenperjaar1*VLOOKUP(B51,dagsoorttabel1,2,FALSE))-catfd_1_OZV_51)/catpn_1_OZB_1+cattf_1_OZV_51*catfd_1_OZV_51/catpn_1_OZV_51)/(((dagenperjaar1*VLOOKUP(B51,dagsoorttabel1,2,FALSE))-catfd_1_OZV_51)/catpn_1_OZB_1+catfd_1_OZV_51/catpn_1_OZV_51),0)</f>
        <v>0</v>
      </c>
      <c r="K51" s="41">
        <f t="shared" si="6"/>
        <v>0</v>
      </c>
      <c r="L51" s="44">
        <f t="shared" si="7"/>
        <v>0</v>
      </c>
      <c r="M51" s="41">
        <f t="shared" si="8"/>
        <v>0</v>
      </c>
      <c r="N51" s="44">
        <f t="shared" si="9"/>
        <v>0</v>
      </c>
    </row>
    <row r="52" spans="1:14" x14ac:dyDescent="0.2">
      <c r="A52" s="22" t="s">
        <v>218</v>
      </c>
      <c r="B52" s="22" t="s">
        <v>24</v>
      </c>
      <c r="C52" s="22" t="s">
        <v>187</v>
      </c>
      <c r="D52" s="22" t="s">
        <v>219</v>
      </c>
      <c r="E52" s="41">
        <v>102.67999999999999</v>
      </c>
      <c r="F52" s="41">
        <f t="shared" si="5"/>
        <v>20.536000000000001</v>
      </c>
      <c r="G52" s="42">
        <f>IF(AND(catpn_1_PHB_1&gt;0,catpn_1_PHV_51&gt;0),(dagenperjaar1*VLOOKUP(B52,dagsoorttabel1,2,FALSE))/(((dagenperjaar1*VLOOKUP(B52,dagsoorttabel1,2,FALSE))-catfd_1_PHV_51)/catpn_1_PHB_1+catfd_1_PHV_51/catpn_1_PHV_51),0)</f>
        <v>0</v>
      </c>
      <c r="H52" s="43">
        <f>IF(AND(catpn_1_PHB_1&gt;0,catpn_1_PHV_51&gt;0),(catdw_1_PHB_1*((dagenperjaar1*VLOOKUP(B52,dagsoorttabel1,2,FALSE))-catfd_1_PHV_51)/catpn_1_PHB_1+catdw_1_PHV_51*catfd_1_PHV_51/catpn_1_PHV_51)/(((dagenperjaar1*VLOOKUP(B52,dagsoorttabel1,2,FALSE))-catfd_1_PHV_51)/catpn_1_PHB_1+catfd_1_PHV_51/catpn_1_PHV_51),0)</f>
        <v>0</v>
      </c>
      <c r="I52" s="22" t="s">
        <v>54</v>
      </c>
      <c r="J52" s="44">
        <f>IF(AND(catpn_1_PHB_1&gt;0,catpn_1_PHV_51&gt;0),(cattf_1_PHB_1*((dagenperjaar1*VLOOKUP(B52,dagsoorttabel1,2,FALSE))-catfd_1_PHV_51)/catpn_1_PHB_1+cattf_1_PHV_51*catfd_1_PHV_51/catpn_1_PHV_51)/(((dagenperjaar1*VLOOKUP(B52,dagsoorttabel1,2,FALSE))-catfd_1_PHV_51)/catpn_1_PHB_1+catfd_1_PHV_51/catpn_1_PHV_51),0)</f>
        <v>0</v>
      </c>
      <c r="K52" s="41">
        <f t="shared" si="6"/>
        <v>0</v>
      </c>
      <c r="L52" s="44">
        <f t="shared" si="7"/>
        <v>0</v>
      </c>
      <c r="M52" s="41">
        <f t="shared" si="8"/>
        <v>0</v>
      </c>
      <c r="N52" s="44">
        <f t="shared" si="9"/>
        <v>0</v>
      </c>
    </row>
    <row r="53" spans="1:14" x14ac:dyDescent="0.2">
      <c r="A53" s="22" t="s">
        <v>218</v>
      </c>
      <c r="B53" s="22" t="s">
        <v>17</v>
      </c>
      <c r="C53" s="22" t="s">
        <v>187</v>
      </c>
      <c r="D53" s="22" t="s">
        <v>219</v>
      </c>
      <c r="E53" s="41">
        <v>59.48</v>
      </c>
      <c r="F53" s="41">
        <f t="shared" si="5"/>
        <v>29.74</v>
      </c>
      <c r="G53" s="42">
        <f>IF(AND(catpn_1_PHB_1&gt;0,catpn_1_PHV_51&gt;0),(dagenperjaar1*VLOOKUP(B53,dagsoorttabel1,2,FALSE))/(((dagenperjaar1*VLOOKUP(B53,dagsoorttabel1,2,FALSE))-catfd_1_PHV_51)/catpn_1_PHB_1+catfd_1_PHV_51/catpn_1_PHV_51),0)</f>
        <v>0</v>
      </c>
      <c r="H53" s="43">
        <f>IF(AND(catpn_1_PHB_1&gt;0,catpn_1_PHV_51&gt;0),(catdw_1_PHB_1*((dagenperjaar1*VLOOKUP(B53,dagsoorttabel1,2,FALSE))-catfd_1_PHV_51)/catpn_1_PHB_1+catdw_1_PHV_51*catfd_1_PHV_51/catpn_1_PHV_51)/(((dagenperjaar1*VLOOKUP(B53,dagsoorttabel1,2,FALSE))-catfd_1_PHV_51)/catpn_1_PHB_1+catfd_1_PHV_51/catpn_1_PHV_51),0)</f>
        <v>0</v>
      </c>
      <c r="I53" s="22" t="s">
        <v>54</v>
      </c>
      <c r="J53" s="44">
        <f>IF(AND(catpn_1_PHB_1&gt;0,catpn_1_PHV_51&gt;0),(cattf_1_PHB_1*((dagenperjaar1*VLOOKUP(B53,dagsoorttabel1,2,FALSE))-catfd_1_PHV_51)/catpn_1_PHB_1+cattf_1_PHV_51*catfd_1_PHV_51/catpn_1_PHV_51)/(((dagenperjaar1*VLOOKUP(B53,dagsoorttabel1,2,FALSE))-catfd_1_PHV_51)/catpn_1_PHB_1+catfd_1_PHV_51/catpn_1_PHV_51),0)</f>
        <v>0</v>
      </c>
      <c r="K53" s="41">
        <f t="shared" si="6"/>
        <v>0</v>
      </c>
      <c r="L53" s="44">
        <f t="shared" si="7"/>
        <v>0</v>
      </c>
      <c r="M53" s="41">
        <f t="shared" si="8"/>
        <v>0</v>
      </c>
      <c r="N53" s="44">
        <f t="shared" si="9"/>
        <v>0</v>
      </c>
    </row>
    <row r="54" spans="1:14" x14ac:dyDescent="0.2">
      <c r="A54" s="22" t="s">
        <v>220</v>
      </c>
      <c r="B54" s="22" t="s">
        <v>24</v>
      </c>
      <c r="C54" s="22" t="s">
        <v>187</v>
      </c>
      <c r="D54" s="22" t="s">
        <v>221</v>
      </c>
      <c r="E54" s="41">
        <v>13</v>
      </c>
      <c r="F54" s="41">
        <f t="shared" si="5"/>
        <v>2.6</v>
      </c>
      <c r="G54" s="42">
        <f>IF(AND(catpn_1_RHB_1&gt;0,catpn_1_RHV_51&gt;0),(dagenperjaar1*VLOOKUP(B54,dagsoorttabel1,2,FALSE))/(((dagenperjaar1*VLOOKUP(B54,dagsoorttabel1,2,FALSE))-catfd_1_RHV_51)/catpn_1_RHB_1+catfd_1_RHV_51/catpn_1_RHV_51),0)</f>
        <v>0</v>
      </c>
      <c r="H54" s="43">
        <f>IF(AND(catpn_1_RHB_1&gt;0,catpn_1_RHV_51&gt;0),(catdw_1_RHB_1*((dagenperjaar1*VLOOKUP(B54,dagsoorttabel1,2,FALSE))-catfd_1_RHV_51)/catpn_1_RHB_1+catdw_1_RHV_51*catfd_1_RHV_51/catpn_1_RHV_51)/(((dagenperjaar1*VLOOKUP(B54,dagsoorttabel1,2,FALSE))-catfd_1_RHV_51)/catpn_1_RHB_1+catfd_1_RHV_51/catpn_1_RHV_51),0)</f>
        <v>0</v>
      </c>
      <c r="I54" s="22" t="s">
        <v>54</v>
      </c>
      <c r="J54" s="44">
        <f>IF(AND(catpn_1_RHB_1&gt;0,catpn_1_RHV_51&gt;0),(cattf_1_RHB_1*((dagenperjaar1*VLOOKUP(B54,dagsoorttabel1,2,FALSE))-catfd_1_RHV_51)/catpn_1_RHB_1+cattf_1_RHV_51*catfd_1_RHV_51/catpn_1_RHV_51)/(((dagenperjaar1*VLOOKUP(B54,dagsoorttabel1,2,FALSE))-catfd_1_RHV_51)/catpn_1_RHB_1+catfd_1_RHV_51/catpn_1_RHV_51),0)</f>
        <v>0</v>
      </c>
      <c r="K54" s="41">
        <f t="shared" si="6"/>
        <v>0</v>
      </c>
      <c r="L54" s="44">
        <f t="shared" si="7"/>
        <v>0</v>
      </c>
      <c r="M54" s="41">
        <f t="shared" si="8"/>
        <v>0</v>
      </c>
      <c r="N54" s="44">
        <f t="shared" si="9"/>
        <v>0</v>
      </c>
    </row>
    <row r="55" spans="1:14" x14ac:dyDescent="0.2">
      <c r="A55" s="22" t="s">
        <v>220</v>
      </c>
      <c r="B55" s="22" t="s">
        <v>10</v>
      </c>
      <c r="C55" s="22" t="s">
        <v>187</v>
      </c>
      <c r="D55" s="22" t="s">
        <v>221</v>
      </c>
      <c r="E55" s="41">
        <v>318.24</v>
      </c>
      <c r="F55" s="41">
        <f t="shared" si="5"/>
        <v>318.24</v>
      </c>
      <c r="G55" s="42">
        <f>IF(AND(catpn_1_RHB_1&gt;0,catpn_1_RHV_51&gt;0),(dagenperjaar1*VLOOKUP(B55,dagsoorttabel1,2,FALSE))/(((dagenperjaar1*VLOOKUP(B55,dagsoorttabel1,2,FALSE))-catfd_1_RHV_51)/catpn_1_RHB_1+catfd_1_RHV_51/catpn_1_RHV_51),0)</f>
        <v>0</v>
      </c>
      <c r="H55" s="43">
        <f>IF(AND(catpn_1_RHB_1&gt;0,catpn_1_RHV_51&gt;0),(catdw_1_RHB_1*((dagenperjaar1*VLOOKUP(B55,dagsoorttabel1,2,FALSE))-catfd_1_RHV_51)/catpn_1_RHB_1+catdw_1_RHV_51*catfd_1_RHV_51/catpn_1_RHV_51)/(((dagenperjaar1*VLOOKUP(B55,dagsoorttabel1,2,FALSE))-catfd_1_RHV_51)/catpn_1_RHB_1+catfd_1_RHV_51/catpn_1_RHV_51),0)</f>
        <v>0</v>
      </c>
      <c r="I55" s="22" t="s">
        <v>54</v>
      </c>
      <c r="J55" s="44">
        <f>IF(AND(catpn_1_RHB_1&gt;0,catpn_1_RHV_51&gt;0),(cattf_1_RHB_1*((dagenperjaar1*VLOOKUP(B55,dagsoorttabel1,2,FALSE))-catfd_1_RHV_51)/catpn_1_RHB_1+cattf_1_RHV_51*catfd_1_RHV_51/catpn_1_RHV_51)/(((dagenperjaar1*VLOOKUP(B55,dagsoorttabel1,2,FALSE))-catfd_1_RHV_51)/catpn_1_RHB_1+catfd_1_RHV_51/catpn_1_RHV_51),0)</f>
        <v>0</v>
      </c>
      <c r="K55" s="41">
        <f t="shared" si="6"/>
        <v>0</v>
      </c>
      <c r="L55" s="44">
        <f t="shared" si="7"/>
        <v>0</v>
      </c>
      <c r="M55" s="41">
        <f t="shared" si="8"/>
        <v>0</v>
      </c>
      <c r="N55" s="44">
        <f t="shared" si="9"/>
        <v>0</v>
      </c>
    </row>
    <row r="56" spans="1:14" x14ac:dyDescent="0.2">
      <c r="A56" s="22" t="s">
        <v>222</v>
      </c>
      <c r="B56" s="22" t="s">
        <v>18</v>
      </c>
      <c r="C56" s="22" t="s">
        <v>187</v>
      </c>
      <c r="D56" s="22" t="s">
        <v>223</v>
      </c>
      <c r="E56" s="41">
        <v>1</v>
      </c>
      <c r="F56" s="41">
        <f t="shared" si="5"/>
        <v>0.44705882352941179</v>
      </c>
      <c r="G56" s="42">
        <f>IF(AND(catpn_1_SHB_1&gt;0,catpn_1_SHV_38&gt;0),(dagenperjaar1*VLOOKUP(B56,dagsoorttabel1,2,FALSE))/(((dagenperjaar1*VLOOKUP(B56,dagsoorttabel1,2,FALSE))-catfd_1_SHV_38)/catpn_1_SHB_1+catfd_1_SHV_38/catpn_1_SHV_38),0)</f>
        <v>0</v>
      </c>
      <c r="H56" s="43">
        <f>IF(AND(catpn_1_SHB_1&gt;0,catpn_1_SHV_38&gt;0),(catdw_1_SHB_1*((dagenperjaar1*VLOOKUP(B56,dagsoorttabel1,2,FALSE))-catfd_1_SHV_38)/catpn_1_SHB_1+catdw_1_SHV_38*catfd_1_SHV_38/catpn_1_SHV_38)/(((dagenperjaar1*VLOOKUP(B56,dagsoorttabel1,2,FALSE))-catfd_1_SHV_38)/catpn_1_SHB_1+catfd_1_SHV_38/catpn_1_SHV_38),0)</f>
        <v>0</v>
      </c>
      <c r="I56" s="22" t="s">
        <v>54</v>
      </c>
      <c r="J56" s="44">
        <f>IF(AND(catpn_1_SHB_1&gt;0,catpn_1_SHV_38&gt;0),(cattf_1_SHB_1*((dagenperjaar1*VLOOKUP(B56,dagsoorttabel1,2,FALSE))-catfd_1_SHV_38)/catpn_1_SHB_1+cattf_1_SHV_38*catfd_1_SHV_38/catpn_1_SHV_38)/(((dagenperjaar1*VLOOKUP(B56,dagsoorttabel1,2,FALSE))-catfd_1_SHV_38)/catpn_1_SHB_1+catfd_1_SHV_38/catpn_1_SHV_38),0)</f>
        <v>0</v>
      </c>
      <c r="K56" s="41">
        <f t="shared" si="6"/>
        <v>0</v>
      </c>
      <c r="L56" s="44">
        <f t="shared" si="7"/>
        <v>0</v>
      </c>
      <c r="M56" s="41">
        <f t="shared" si="8"/>
        <v>0</v>
      </c>
      <c r="N56" s="44">
        <f t="shared" si="9"/>
        <v>0</v>
      </c>
    </row>
    <row r="57" spans="1:14" x14ac:dyDescent="0.2">
      <c r="A57" s="22" t="s">
        <v>222</v>
      </c>
      <c r="B57" s="22" t="s">
        <v>34</v>
      </c>
      <c r="C57" s="22" t="s">
        <v>187</v>
      </c>
      <c r="D57" s="22" t="s">
        <v>223</v>
      </c>
      <c r="E57" s="41">
        <v>9.5</v>
      </c>
      <c r="F57" s="41">
        <f t="shared" si="5"/>
        <v>0.52156862745098043</v>
      </c>
      <c r="G57" s="42">
        <f>IF(AND(catpn_1_SHB_1&gt;0,catpn_1_SHV_14&gt;0),(dagenperjaar1*VLOOKUP(B57,dagsoorttabel1,2,FALSE))/(((dagenperjaar1*VLOOKUP(B57,dagsoorttabel1,2,FALSE))-catfd_1_SHV_14)/catpn_1_SHB_1+catfd_1_SHV_14/catpn_1_SHV_14),0)</f>
        <v>0</v>
      </c>
      <c r="H57" s="43">
        <f>IF(AND(catpn_1_SHB_1&gt;0,catpn_1_SHV_14&gt;0),(catdw_1_SHB_1*((dagenperjaar1*VLOOKUP(B57,dagsoorttabel1,2,FALSE))-catfd_1_SHV_14)/catpn_1_SHB_1+catdw_1_SHV_14*catfd_1_SHV_14/catpn_1_SHV_14)/(((dagenperjaar1*VLOOKUP(B57,dagsoorttabel1,2,FALSE))-catfd_1_SHV_14)/catpn_1_SHB_1+catfd_1_SHV_14/catpn_1_SHV_14),0)</f>
        <v>0</v>
      </c>
      <c r="I57" s="22" t="s">
        <v>54</v>
      </c>
      <c r="J57" s="44">
        <f>IF(AND(catpn_1_SHB_1&gt;0,catpn_1_SHV_14&gt;0),(cattf_1_SHB_1*((dagenperjaar1*VLOOKUP(B57,dagsoorttabel1,2,FALSE))-catfd_1_SHV_14)/catpn_1_SHB_1+cattf_1_SHV_14*catfd_1_SHV_14/catpn_1_SHV_14)/(((dagenperjaar1*VLOOKUP(B57,dagsoorttabel1,2,FALSE))-catfd_1_SHV_14)/catpn_1_SHB_1+catfd_1_SHV_14/catpn_1_SHV_14),0)</f>
        <v>0</v>
      </c>
      <c r="K57" s="41">
        <f t="shared" si="6"/>
        <v>0</v>
      </c>
      <c r="L57" s="44">
        <f t="shared" si="7"/>
        <v>0</v>
      </c>
      <c r="M57" s="41">
        <f t="shared" si="8"/>
        <v>0</v>
      </c>
      <c r="N57" s="44">
        <f t="shared" si="9"/>
        <v>0</v>
      </c>
    </row>
    <row r="58" spans="1:14" x14ac:dyDescent="0.2">
      <c r="A58" s="22" t="s">
        <v>222</v>
      </c>
      <c r="B58" s="22" t="s">
        <v>15</v>
      </c>
      <c r="C58" s="22" t="s">
        <v>187</v>
      </c>
      <c r="D58" s="22" t="s">
        <v>223</v>
      </c>
      <c r="E58" s="41">
        <v>9</v>
      </c>
      <c r="F58" s="41">
        <f t="shared" si="5"/>
        <v>6.1764705882352944</v>
      </c>
      <c r="G58" s="42">
        <f>IF(AND(catpn_1_SHB_1&gt;0,catpn_1_SHV_35&gt;0),(dagenperjaar1*VLOOKUP(B58,dagsoorttabel1,2,FALSE))/(((dagenperjaar1*VLOOKUP(B58,dagsoorttabel1,2,FALSE))-catfd_1_SHV_35)/catpn_1_SHB_1+catfd_1_SHV_35/catpn_1_SHV_35),0)</f>
        <v>0</v>
      </c>
      <c r="H58" s="43">
        <f>IF(AND(catpn_1_SHB_1&gt;0,catpn_1_SHV_35&gt;0),(catdw_1_SHB_1*((dagenperjaar1*VLOOKUP(B58,dagsoorttabel1,2,FALSE))-catfd_1_SHV_35)/catpn_1_SHB_1+catdw_1_SHV_35*catfd_1_SHV_35/catpn_1_SHV_35)/(((dagenperjaar1*VLOOKUP(B58,dagsoorttabel1,2,FALSE))-catfd_1_SHV_35)/catpn_1_SHB_1+catfd_1_SHV_35/catpn_1_SHV_35),0)</f>
        <v>0</v>
      </c>
      <c r="I58" s="22" t="s">
        <v>54</v>
      </c>
      <c r="J58" s="44">
        <f>IF(AND(catpn_1_SHB_1&gt;0,catpn_1_SHV_35&gt;0),(cattf_1_SHB_1*((dagenperjaar1*VLOOKUP(B58,dagsoorttabel1,2,FALSE))-catfd_1_SHV_35)/catpn_1_SHB_1+cattf_1_SHV_35*catfd_1_SHV_35/catpn_1_SHV_35)/(((dagenperjaar1*VLOOKUP(B58,dagsoorttabel1,2,FALSE))-catfd_1_SHV_35)/catpn_1_SHB_1+catfd_1_SHV_35/catpn_1_SHV_35),0)</f>
        <v>0</v>
      </c>
      <c r="K58" s="41">
        <f t="shared" si="6"/>
        <v>0</v>
      </c>
      <c r="L58" s="44">
        <f t="shared" si="7"/>
        <v>0</v>
      </c>
      <c r="M58" s="41">
        <f t="shared" si="8"/>
        <v>0</v>
      </c>
      <c r="N58" s="44">
        <f t="shared" si="9"/>
        <v>0</v>
      </c>
    </row>
    <row r="59" spans="1:14" x14ac:dyDescent="0.2">
      <c r="A59" s="22" t="s">
        <v>222</v>
      </c>
      <c r="B59" s="22" t="s">
        <v>32</v>
      </c>
      <c r="C59" s="22" t="s">
        <v>187</v>
      </c>
      <c r="D59" s="22" t="s">
        <v>223</v>
      </c>
      <c r="E59" s="41">
        <v>3</v>
      </c>
      <c r="F59" s="41">
        <f t="shared" si="5"/>
        <v>0.2</v>
      </c>
      <c r="G59" s="42">
        <f>IF(AND(catpn_1_SHB_1&gt;0,catpn_1_SHV_17&gt;0),(dagenperjaar1*VLOOKUP(B59,dagsoorttabel1,2,FALSE))/(((dagenperjaar1*VLOOKUP(B59,dagsoorttabel1,2,FALSE))-catfd_1_SHV_17)/catpn_1_SHB_1+catfd_1_SHV_17/catpn_1_SHV_17),0)</f>
        <v>0</v>
      </c>
      <c r="H59" s="43">
        <f>IF(AND(catpn_1_SHB_1&gt;0,catpn_1_SHV_17&gt;0),(catdw_1_SHB_1*((dagenperjaar1*VLOOKUP(B59,dagsoorttabel1,2,FALSE))-catfd_1_SHV_17)/catpn_1_SHB_1+catdw_1_SHV_17*catfd_1_SHV_17/catpn_1_SHV_17)/(((dagenperjaar1*VLOOKUP(B59,dagsoorttabel1,2,FALSE))-catfd_1_SHV_17)/catpn_1_SHB_1+catfd_1_SHV_17/catpn_1_SHV_17),0)</f>
        <v>0</v>
      </c>
      <c r="I59" s="22" t="s">
        <v>54</v>
      </c>
      <c r="J59" s="44">
        <f>IF(AND(catpn_1_SHB_1&gt;0,catpn_1_SHV_17&gt;0),(cattf_1_SHB_1*((dagenperjaar1*VLOOKUP(B59,dagsoorttabel1,2,FALSE))-catfd_1_SHV_17)/catpn_1_SHB_1+cattf_1_SHV_17*catfd_1_SHV_17/catpn_1_SHV_17)/(((dagenperjaar1*VLOOKUP(B59,dagsoorttabel1,2,FALSE))-catfd_1_SHV_17)/catpn_1_SHB_1+catfd_1_SHV_17/catpn_1_SHV_17),0)</f>
        <v>0</v>
      </c>
      <c r="K59" s="41">
        <f t="shared" si="6"/>
        <v>0</v>
      </c>
      <c r="L59" s="44">
        <f t="shared" si="7"/>
        <v>0</v>
      </c>
      <c r="M59" s="41">
        <f t="shared" si="8"/>
        <v>0</v>
      </c>
      <c r="N59" s="44">
        <f t="shared" si="9"/>
        <v>0</v>
      </c>
    </row>
    <row r="60" spans="1:14" x14ac:dyDescent="0.2">
      <c r="A60" s="22" t="s">
        <v>222</v>
      </c>
      <c r="B60" s="22" t="s">
        <v>31</v>
      </c>
      <c r="C60" s="22" t="s">
        <v>187</v>
      </c>
      <c r="D60" s="22" t="s">
        <v>223</v>
      </c>
      <c r="E60" s="41">
        <v>9.5</v>
      </c>
      <c r="F60" s="41">
        <f t="shared" si="5"/>
        <v>0.707843137254902</v>
      </c>
      <c r="G60" s="42">
        <f>IF(AND(catpn_1_SHB_1&gt;0,catpn_1_SHV_19&gt;0),(dagenperjaar1*VLOOKUP(B60,dagsoorttabel1,2,FALSE))/(((dagenperjaar1*VLOOKUP(B60,dagsoorttabel1,2,FALSE))-catfd_1_SHV_19)/catpn_1_SHB_1+catfd_1_SHV_19/catpn_1_SHV_19),0)</f>
        <v>0</v>
      </c>
      <c r="H60" s="43">
        <f>IF(AND(catpn_1_SHB_1&gt;0,catpn_1_SHV_19&gt;0),(catdw_1_SHB_1*((dagenperjaar1*VLOOKUP(B60,dagsoorttabel1,2,FALSE))-catfd_1_SHV_19)/catpn_1_SHB_1+catdw_1_SHV_19*catfd_1_SHV_19/catpn_1_SHV_19)/(((dagenperjaar1*VLOOKUP(B60,dagsoorttabel1,2,FALSE))-catfd_1_SHV_19)/catpn_1_SHB_1+catfd_1_SHV_19/catpn_1_SHV_19),0)</f>
        <v>0</v>
      </c>
      <c r="I60" s="22" t="s">
        <v>54</v>
      </c>
      <c r="J60" s="44">
        <f>IF(AND(catpn_1_SHB_1&gt;0,catpn_1_SHV_19&gt;0),(cattf_1_SHB_1*((dagenperjaar1*VLOOKUP(B60,dagsoorttabel1,2,FALSE))-catfd_1_SHV_19)/catpn_1_SHB_1+cattf_1_SHV_19*catfd_1_SHV_19/catpn_1_SHV_19)/(((dagenperjaar1*VLOOKUP(B60,dagsoorttabel1,2,FALSE))-catfd_1_SHV_19)/catpn_1_SHB_1+catfd_1_SHV_19/catpn_1_SHV_19),0)</f>
        <v>0</v>
      </c>
      <c r="K60" s="41">
        <f t="shared" si="6"/>
        <v>0</v>
      </c>
      <c r="L60" s="44">
        <f t="shared" si="7"/>
        <v>0</v>
      </c>
      <c r="M60" s="41">
        <f t="shared" si="8"/>
        <v>0</v>
      </c>
      <c r="N60" s="44">
        <f t="shared" si="9"/>
        <v>0</v>
      </c>
    </row>
    <row r="61" spans="1:14" x14ac:dyDescent="0.2">
      <c r="A61" s="22" t="s">
        <v>222</v>
      </c>
      <c r="B61" s="22" t="s">
        <v>24</v>
      </c>
      <c r="C61" s="22" t="s">
        <v>187</v>
      </c>
      <c r="D61" s="22" t="s">
        <v>223</v>
      </c>
      <c r="E61" s="41">
        <v>24.75</v>
      </c>
      <c r="F61" s="41">
        <f t="shared" si="5"/>
        <v>4.95</v>
      </c>
      <c r="G61" s="42">
        <f>IF(AND(catpn_1_SHB_1&gt;0,catpn_1_SHV_51&gt;0),(dagenperjaar1*VLOOKUP(B61,dagsoorttabel1,2,FALSE))/(((dagenperjaar1*VLOOKUP(B61,dagsoorttabel1,2,FALSE))-catfd_1_SHV_51)/catpn_1_SHB_1+catfd_1_SHV_51/catpn_1_SHV_51),0)</f>
        <v>0</v>
      </c>
      <c r="H61" s="43">
        <f>IF(AND(catpn_1_SHB_1&gt;0,catpn_1_SHV_51&gt;0),(catdw_1_SHB_1*((dagenperjaar1*VLOOKUP(B61,dagsoorttabel1,2,FALSE))-catfd_1_SHV_51)/catpn_1_SHB_1+catdw_1_SHV_51*catfd_1_SHV_51/catpn_1_SHV_51)/(((dagenperjaar1*VLOOKUP(B61,dagsoorttabel1,2,FALSE))-catfd_1_SHV_51)/catpn_1_SHB_1+catfd_1_SHV_51/catpn_1_SHV_51),0)</f>
        <v>0</v>
      </c>
      <c r="I61" s="22" t="s">
        <v>54</v>
      </c>
      <c r="J61" s="44">
        <f>IF(AND(catpn_1_SHB_1&gt;0,catpn_1_SHV_51&gt;0),(cattf_1_SHB_1*((dagenperjaar1*VLOOKUP(B61,dagsoorttabel1,2,FALSE))-catfd_1_SHV_51)/catpn_1_SHB_1+cattf_1_SHV_51*catfd_1_SHV_51/catpn_1_SHV_51)/(((dagenperjaar1*VLOOKUP(B61,dagsoorttabel1,2,FALSE))-catfd_1_SHV_51)/catpn_1_SHB_1+catfd_1_SHV_51/catpn_1_SHV_51),0)</f>
        <v>0</v>
      </c>
      <c r="K61" s="41">
        <f t="shared" si="6"/>
        <v>0</v>
      </c>
      <c r="L61" s="44">
        <f t="shared" si="7"/>
        <v>0</v>
      </c>
      <c r="M61" s="41">
        <f t="shared" si="8"/>
        <v>0</v>
      </c>
      <c r="N61" s="44">
        <f t="shared" si="9"/>
        <v>0</v>
      </c>
    </row>
    <row r="62" spans="1:14" x14ac:dyDescent="0.2">
      <c r="A62" s="22" t="s">
        <v>222</v>
      </c>
      <c r="B62" s="22" t="s">
        <v>14</v>
      </c>
      <c r="C62" s="22" t="s">
        <v>187</v>
      </c>
      <c r="D62" s="22" t="s">
        <v>223</v>
      </c>
      <c r="E62" s="41">
        <v>130.30000000000001</v>
      </c>
      <c r="F62" s="41">
        <f t="shared" si="5"/>
        <v>102.19607843137256</v>
      </c>
      <c r="G62" s="42">
        <f>IF(AND(catpn_1_SHB_1&gt;0,catpn_1_SHV_40&gt;0),(dagenperjaar1*VLOOKUP(B62,dagsoorttabel1,2,FALSE))/(((dagenperjaar1*VLOOKUP(B62,dagsoorttabel1,2,FALSE))-catfd_1_SHV_40)/catpn_1_SHB_1+catfd_1_SHV_40/catpn_1_SHV_40),0)</f>
        <v>0</v>
      </c>
      <c r="H62" s="43">
        <f>IF(AND(catpn_1_SHB_1&gt;0,catpn_1_SHV_40&gt;0),(catdw_1_SHB_1*((dagenperjaar1*VLOOKUP(B62,dagsoorttabel1,2,FALSE))-catfd_1_SHV_40)/catpn_1_SHB_1+catdw_1_SHV_40*catfd_1_SHV_40/catpn_1_SHV_40)/(((dagenperjaar1*VLOOKUP(B62,dagsoorttabel1,2,FALSE))-catfd_1_SHV_40)/catpn_1_SHB_1+catfd_1_SHV_40/catpn_1_SHV_40),0)</f>
        <v>0</v>
      </c>
      <c r="I62" s="22" t="s">
        <v>54</v>
      </c>
      <c r="J62" s="44">
        <f>IF(AND(catpn_1_SHB_1&gt;0,catpn_1_SHV_40&gt;0),(cattf_1_SHB_1*((dagenperjaar1*VLOOKUP(B62,dagsoorttabel1,2,FALSE))-catfd_1_SHV_40)/catpn_1_SHB_1+cattf_1_SHV_40*catfd_1_SHV_40/catpn_1_SHV_40)/(((dagenperjaar1*VLOOKUP(B62,dagsoorttabel1,2,FALSE))-catfd_1_SHV_40)/catpn_1_SHB_1+catfd_1_SHV_40/catpn_1_SHV_40),0)</f>
        <v>0</v>
      </c>
      <c r="K62" s="41">
        <f t="shared" si="6"/>
        <v>0</v>
      </c>
      <c r="L62" s="44">
        <f t="shared" si="7"/>
        <v>0</v>
      </c>
      <c r="M62" s="41">
        <f t="shared" si="8"/>
        <v>0</v>
      </c>
      <c r="N62" s="44">
        <f t="shared" si="9"/>
        <v>0</v>
      </c>
    </row>
    <row r="63" spans="1:14" x14ac:dyDescent="0.2">
      <c r="A63" s="22" t="s">
        <v>222</v>
      </c>
      <c r="B63" s="22" t="s">
        <v>12</v>
      </c>
      <c r="C63" s="22" t="s">
        <v>187</v>
      </c>
      <c r="D63" s="22" t="s">
        <v>223</v>
      </c>
      <c r="E63" s="41">
        <v>459.15999999999997</v>
      </c>
      <c r="F63" s="41">
        <f t="shared" si="5"/>
        <v>405.14117647058822</v>
      </c>
      <c r="G63" s="42">
        <f>IF(AND(catpn_1_SHB_1&gt;0,catpn_1_SHV_45&gt;0),(dagenperjaar1*VLOOKUP(B63,dagsoorttabel1,2,FALSE))/(((dagenperjaar1*VLOOKUP(B63,dagsoorttabel1,2,FALSE))-catfd_1_SHV_45)/catpn_1_SHB_1+catfd_1_SHV_45/catpn_1_SHV_45),0)</f>
        <v>0</v>
      </c>
      <c r="H63" s="43">
        <f>IF(AND(catpn_1_SHB_1&gt;0,catpn_1_SHV_45&gt;0),(catdw_1_SHB_1*((dagenperjaar1*VLOOKUP(B63,dagsoorttabel1,2,FALSE))-catfd_1_SHV_45)/catpn_1_SHB_1+catdw_1_SHV_45*catfd_1_SHV_45/catpn_1_SHV_45)/(((dagenperjaar1*VLOOKUP(B63,dagsoorttabel1,2,FALSE))-catfd_1_SHV_45)/catpn_1_SHB_1+catfd_1_SHV_45/catpn_1_SHV_45),0)</f>
        <v>0</v>
      </c>
      <c r="I63" s="22" t="s">
        <v>54</v>
      </c>
      <c r="J63" s="44">
        <f>IF(AND(catpn_1_SHB_1&gt;0,catpn_1_SHV_45&gt;0),(cattf_1_SHB_1*((dagenperjaar1*VLOOKUP(B63,dagsoorttabel1,2,FALSE))-catfd_1_SHV_45)/catpn_1_SHB_1+cattf_1_SHV_45*catfd_1_SHV_45/catpn_1_SHV_45)/(((dagenperjaar1*VLOOKUP(B63,dagsoorttabel1,2,FALSE))-catfd_1_SHV_45)/catpn_1_SHB_1+catfd_1_SHV_45/catpn_1_SHV_45),0)</f>
        <v>0</v>
      </c>
      <c r="K63" s="41">
        <f t="shared" si="6"/>
        <v>0</v>
      </c>
      <c r="L63" s="44">
        <f t="shared" si="7"/>
        <v>0</v>
      </c>
      <c r="M63" s="41">
        <f t="shared" si="8"/>
        <v>0</v>
      </c>
      <c r="N63" s="44">
        <f t="shared" si="9"/>
        <v>0</v>
      </c>
    </row>
    <row r="64" spans="1:14" x14ac:dyDescent="0.2">
      <c r="A64" s="22" t="s">
        <v>222</v>
      </c>
      <c r="B64" s="22" t="s">
        <v>11</v>
      </c>
      <c r="C64" s="22" t="s">
        <v>187</v>
      </c>
      <c r="D64" s="22" t="s">
        <v>223</v>
      </c>
      <c r="E64" s="41">
        <v>161</v>
      </c>
      <c r="F64" s="41">
        <f t="shared" si="5"/>
        <v>149.63529411764705</v>
      </c>
      <c r="G64" s="42">
        <f>IF(AND(catpn_1_SHB_1&gt;0,catpn_1_SHV_51&gt;0),(dagenperjaar1*VLOOKUP(B64,dagsoorttabel1,2,FALSE))/(((dagenperjaar1*VLOOKUP(B64,dagsoorttabel1,2,FALSE))-catfd_1_SHV_51)/catpn_1_SHB_1+catfd_1_SHV_51/catpn_1_SHV_51),0)</f>
        <v>0</v>
      </c>
      <c r="H64" s="43">
        <f>IF(AND(catpn_1_SHB_1&gt;0,catpn_1_SHV_51&gt;0),(catdw_1_SHB_1*((dagenperjaar1*VLOOKUP(B64,dagsoorttabel1,2,FALSE))-catfd_1_SHV_51)/catpn_1_SHB_1+catdw_1_SHV_51*catfd_1_SHV_51/catpn_1_SHV_51)/(((dagenperjaar1*VLOOKUP(B64,dagsoorttabel1,2,FALSE))-catfd_1_SHV_51)/catpn_1_SHB_1+catfd_1_SHV_51/catpn_1_SHV_51),0)</f>
        <v>0</v>
      </c>
      <c r="I64" s="22" t="s">
        <v>54</v>
      </c>
      <c r="J64" s="44">
        <f>IF(AND(catpn_1_SHB_1&gt;0,catpn_1_SHV_51&gt;0),(cattf_1_SHB_1*((dagenperjaar1*VLOOKUP(B64,dagsoorttabel1,2,FALSE))-catfd_1_SHV_51)/catpn_1_SHB_1+cattf_1_SHV_51*catfd_1_SHV_51/catpn_1_SHV_51)/(((dagenperjaar1*VLOOKUP(B64,dagsoorttabel1,2,FALSE))-catfd_1_SHV_51)/catpn_1_SHB_1+catfd_1_SHV_51/catpn_1_SHV_51),0)</f>
        <v>0</v>
      </c>
      <c r="K64" s="41">
        <f t="shared" si="6"/>
        <v>0</v>
      </c>
      <c r="L64" s="44">
        <f t="shared" si="7"/>
        <v>0</v>
      </c>
      <c r="M64" s="41">
        <f t="shared" si="8"/>
        <v>0</v>
      </c>
      <c r="N64" s="44">
        <f t="shared" si="9"/>
        <v>0</v>
      </c>
    </row>
    <row r="65" spans="1:14" x14ac:dyDescent="0.2">
      <c r="A65" s="22" t="s">
        <v>222</v>
      </c>
      <c r="B65" s="22" t="s">
        <v>19</v>
      </c>
      <c r="C65" s="22" t="s">
        <v>187</v>
      </c>
      <c r="D65" s="22" t="s">
        <v>223</v>
      </c>
      <c r="E65" s="41">
        <v>5.3</v>
      </c>
      <c r="F65" s="41">
        <f t="shared" si="5"/>
        <v>2.12</v>
      </c>
      <c r="G65" s="42">
        <f>IF(AND(catpn_1_SHB_1&gt;0,catpn_1_SHV_51&gt;0),(dagenperjaar1*VLOOKUP(B65,dagsoorttabel1,2,FALSE))/(((dagenperjaar1*VLOOKUP(B65,dagsoorttabel1,2,FALSE))-catfd_1_SHV_51)/catpn_1_SHB_1+catfd_1_SHV_51/catpn_1_SHV_51),0)</f>
        <v>0</v>
      </c>
      <c r="H65" s="43">
        <f>IF(AND(catpn_1_SHB_1&gt;0,catpn_1_SHV_51&gt;0),(catdw_1_SHB_1*((dagenperjaar1*VLOOKUP(B65,dagsoorttabel1,2,FALSE))-catfd_1_SHV_51)/catpn_1_SHB_1+catdw_1_SHV_51*catfd_1_SHV_51/catpn_1_SHV_51)/(((dagenperjaar1*VLOOKUP(B65,dagsoorttabel1,2,FALSE))-catfd_1_SHV_51)/catpn_1_SHB_1+catfd_1_SHV_51/catpn_1_SHV_51),0)</f>
        <v>0</v>
      </c>
      <c r="I65" s="22" t="s">
        <v>54</v>
      </c>
      <c r="J65" s="44">
        <f>IF(AND(catpn_1_SHB_1&gt;0,catpn_1_SHV_51&gt;0),(cattf_1_SHB_1*((dagenperjaar1*VLOOKUP(B65,dagsoorttabel1,2,FALSE))-catfd_1_SHV_51)/catpn_1_SHB_1+cattf_1_SHV_51*catfd_1_SHV_51/catpn_1_SHV_51)/(((dagenperjaar1*VLOOKUP(B65,dagsoorttabel1,2,FALSE))-catfd_1_SHV_51)/catpn_1_SHB_1+catfd_1_SHV_51/catpn_1_SHV_51),0)</f>
        <v>0</v>
      </c>
      <c r="K65" s="41">
        <f t="shared" si="6"/>
        <v>0</v>
      </c>
      <c r="L65" s="44">
        <f t="shared" si="7"/>
        <v>0</v>
      </c>
      <c r="M65" s="41">
        <f t="shared" si="8"/>
        <v>0</v>
      </c>
      <c r="N65" s="44">
        <f t="shared" si="9"/>
        <v>0</v>
      </c>
    </row>
    <row r="66" spans="1:14" x14ac:dyDescent="0.2">
      <c r="A66" s="22" t="s">
        <v>222</v>
      </c>
      <c r="B66" s="22" t="s">
        <v>26</v>
      </c>
      <c r="C66" s="22" t="s">
        <v>187</v>
      </c>
      <c r="D66" s="22" t="s">
        <v>223</v>
      </c>
      <c r="E66" s="41">
        <v>9</v>
      </c>
      <c r="F66" s="41">
        <f t="shared" si="5"/>
        <v>1.2705882352941176</v>
      </c>
      <c r="G66" s="42">
        <f>IF(AND(catpn_1_SHB_1&gt;0,catpn_1_SHV_18&gt;0),(dagenperjaar1*VLOOKUP(B66,dagsoorttabel1,2,FALSE))/(((dagenperjaar1*VLOOKUP(B66,dagsoorttabel1,2,FALSE))-catfd_1_SHV_18)/catpn_1_SHB_1+catfd_1_SHV_18/catpn_1_SHV_18),0)</f>
        <v>0</v>
      </c>
      <c r="H66" s="43">
        <f>IF(AND(catpn_1_SHB_1&gt;0,catpn_1_SHV_18&gt;0),(catdw_1_SHB_1*((dagenperjaar1*VLOOKUP(B66,dagsoorttabel1,2,FALSE))-catfd_1_SHV_18)/catpn_1_SHB_1+catdw_1_SHV_18*catfd_1_SHV_18/catpn_1_SHV_18)/(((dagenperjaar1*VLOOKUP(B66,dagsoorttabel1,2,FALSE))-catfd_1_SHV_18)/catpn_1_SHB_1+catfd_1_SHV_18/catpn_1_SHV_18),0)</f>
        <v>0</v>
      </c>
      <c r="I66" s="22" t="s">
        <v>54</v>
      </c>
      <c r="J66" s="44">
        <f>IF(AND(catpn_1_SHB_1&gt;0,catpn_1_SHV_18&gt;0),(cattf_1_SHB_1*((dagenperjaar1*VLOOKUP(B66,dagsoorttabel1,2,FALSE))-catfd_1_SHV_18)/catpn_1_SHB_1+cattf_1_SHV_18*catfd_1_SHV_18/catpn_1_SHV_18)/(((dagenperjaar1*VLOOKUP(B66,dagsoorttabel1,2,FALSE))-catfd_1_SHV_18)/catpn_1_SHB_1+catfd_1_SHV_18/catpn_1_SHV_18),0)</f>
        <v>0</v>
      </c>
      <c r="K66" s="41">
        <f t="shared" si="6"/>
        <v>0</v>
      </c>
      <c r="L66" s="44">
        <f t="shared" si="7"/>
        <v>0</v>
      </c>
      <c r="M66" s="41">
        <f t="shared" si="8"/>
        <v>0</v>
      </c>
      <c r="N66" s="44">
        <f t="shared" si="9"/>
        <v>0</v>
      </c>
    </row>
    <row r="67" spans="1:14" x14ac:dyDescent="0.2">
      <c r="A67" s="22" t="s">
        <v>222</v>
      </c>
      <c r="B67" s="22" t="s">
        <v>16</v>
      </c>
      <c r="C67" s="22" t="s">
        <v>187</v>
      </c>
      <c r="D67" s="22" t="s">
        <v>223</v>
      </c>
      <c r="E67" s="41">
        <v>9</v>
      </c>
      <c r="F67" s="41">
        <f t="shared" si="5"/>
        <v>5.3999999999999995</v>
      </c>
      <c r="G67" s="42">
        <f>IF(AND(catpn_1_SHB_1&gt;0,catpn_1_SHV_51&gt;0),(dagenperjaar1*VLOOKUP(B67,dagsoorttabel1,2,FALSE))/(((dagenperjaar1*VLOOKUP(B67,dagsoorttabel1,2,FALSE))-catfd_1_SHV_51)/catpn_1_SHB_1+catfd_1_SHV_51/catpn_1_SHV_51),0)</f>
        <v>0</v>
      </c>
      <c r="H67" s="43">
        <f>IF(AND(catpn_1_SHB_1&gt;0,catpn_1_SHV_51&gt;0),(catdw_1_SHB_1*((dagenperjaar1*VLOOKUP(B67,dagsoorttabel1,2,FALSE))-catfd_1_SHV_51)/catpn_1_SHB_1+catdw_1_SHV_51*catfd_1_SHV_51/catpn_1_SHV_51)/(((dagenperjaar1*VLOOKUP(B67,dagsoorttabel1,2,FALSE))-catfd_1_SHV_51)/catpn_1_SHB_1+catfd_1_SHV_51/catpn_1_SHV_51),0)</f>
        <v>0</v>
      </c>
      <c r="I67" s="22" t="s">
        <v>54</v>
      </c>
      <c r="J67" s="44">
        <f>IF(AND(catpn_1_SHB_1&gt;0,catpn_1_SHV_51&gt;0),(cattf_1_SHB_1*((dagenperjaar1*VLOOKUP(B67,dagsoorttabel1,2,FALSE))-catfd_1_SHV_51)/catpn_1_SHB_1+cattf_1_SHV_51*catfd_1_SHV_51/catpn_1_SHV_51)/(((dagenperjaar1*VLOOKUP(B67,dagsoorttabel1,2,FALSE))-catfd_1_SHV_51)/catpn_1_SHB_1+catfd_1_SHV_51/catpn_1_SHV_51),0)</f>
        <v>0</v>
      </c>
      <c r="K67" s="41">
        <f t="shared" si="6"/>
        <v>0</v>
      </c>
      <c r="L67" s="44">
        <f t="shared" si="7"/>
        <v>0</v>
      </c>
      <c r="M67" s="41">
        <f t="shared" si="8"/>
        <v>0</v>
      </c>
      <c r="N67" s="44">
        <f t="shared" si="9"/>
        <v>0</v>
      </c>
    </row>
    <row r="68" spans="1:14" x14ac:dyDescent="0.2">
      <c r="A68" s="22" t="s">
        <v>222</v>
      </c>
      <c r="B68" s="22" t="s">
        <v>10</v>
      </c>
      <c r="C68" s="22" t="s">
        <v>187</v>
      </c>
      <c r="D68" s="22" t="s">
        <v>223</v>
      </c>
      <c r="E68" s="41">
        <v>156.30000000000001</v>
      </c>
      <c r="F68" s="41">
        <f t="shared" si="5"/>
        <v>156.30000000000001</v>
      </c>
      <c r="G68" s="42">
        <f>IF(AND(catpn_1_SHB_1&gt;0,catpn_1_SHV_51&gt;0),(dagenperjaar1*VLOOKUP(B68,dagsoorttabel1,2,FALSE))/(((dagenperjaar1*VLOOKUP(B68,dagsoorttabel1,2,FALSE))-catfd_1_SHV_51)/catpn_1_SHB_1+catfd_1_SHV_51/catpn_1_SHV_51),0)</f>
        <v>0</v>
      </c>
      <c r="H68" s="43">
        <f>IF(AND(catpn_1_SHB_1&gt;0,catpn_1_SHV_51&gt;0),(catdw_1_SHB_1*((dagenperjaar1*VLOOKUP(B68,dagsoorttabel1,2,FALSE))-catfd_1_SHV_51)/catpn_1_SHB_1+catdw_1_SHV_51*catfd_1_SHV_51/catpn_1_SHV_51)/(((dagenperjaar1*VLOOKUP(B68,dagsoorttabel1,2,FALSE))-catfd_1_SHV_51)/catpn_1_SHB_1+catfd_1_SHV_51/catpn_1_SHV_51),0)</f>
        <v>0</v>
      </c>
      <c r="I68" s="22" t="s">
        <v>54</v>
      </c>
      <c r="J68" s="44">
        <f>IF(AND(catpn_1_SHB_1&gt;0,catpn_1_SHV_51&gt;0),(cattf_1_SHB_1*((dagenperjaar1*VLOOKUP(B68,dagsoorttabel1,2,FALSE))-catfd_1_SHV_51)/catpn_1_SHB_1+cattf_1_SHV_51*catfd_1_SHV_51/catpn_1_SHV_51)/(((dagenperjaar1*VLOOKUP(B68,dagsoorttabel1,2,FALSE))-catfd_1_SHV_51)/catpn_1_SHB_1+catfd_1_SHV_51/catpn_1_SHV_51),0)</f>
        <v>0</v>
      </c>
      <c r="K68" s="41">
        <f t="shared" si="6"/>
        <v>0</v>
      </c>
      <c r="L68" s="44">
        <f t="shared" si="7"/>
        <v>0</v>
      </c>
      <c r="M68" s="41">
        <f t="shared" si="8"/>
        <v>0</v>
      </c>
      <c r="N68" s="44">
        <f t="shared" si="9"/>
        <v>0</v>
      </c>
    </row>
    <row r="69" spans="1:14" x14ac:dyDescent="0.2">
      <c r="A69" s="22" t="s">
        <v>222</v>
      </c>
      <c r="B69" s="22" t="s">
        <v>23</v>
      </c>
      <c r="C69" s="22" t="s">
        <v>187</v>
      </c>
      <c r="D69" s="22" t="s">
        <v>223</v>
      </c>
      <c r="E69" s="41">
        <v>1</v>
      </c>
      <c r="F69" s="41">
        <f t="shared" si="5"/>
        <v>0.25490196078431371</v>
      </c>
      <c r="G69" s="42">
        <f>IF(AND(catpn_1_SHB_1&gt;0,catpn_1_SHV_65&gt;0),(dagenperjaar1*VLOOKUP(B69,dagsoorttabel1,2,FALSE))/(((dagenperjaar1*VLOOKUP(B69,dagsoorttabel1,2,FALSE))-catfd_1_SHV_65)/catpn_1_SHB_1+catfd_1_SHV_65/catpn_1_SHV_65),0)</f>
        <v>0</v>
      </c>
      <c r="H69" s="43">
        <f>IF(AND(catpn_1_SHB_1&gt;0,catpn_1_SHV_65&gt;0),(catdw_1_SHB_1*((dagenperjaar1*VLOOKUP(B69,dagsoorttabel1,2,FALSE))-catfd_1_SHV_65)/catpn_1_SHB_1+catdw_1_SHV_65*catfd_1_SHV_65/catpn_1_SHV_65)/(((dagenperjaar1*VLOOKUP(B69,dagsoorttabel1,2,FALSE))-catfd_1_SHV_65)/catpn_1_SHB_1+catfd_1_SHV_65/catpn_1_SHV_65),0)</f>
        <v>0</v>
      </c>
      <c r="I69" s="22" t="s">
        <v>54</v>
      </c>
      <c r="J69" s="44">
        <f>IF(AND(catpn_1_SHB_1&gt;0,catpn_1_SHV_65&gt;0),(cattf_1_SHB_1*((dagenperjaar1*VLOOKUP(B69,dagsoorttabel1,2,FALSE))-catfd_1_SHV_65)/catpn_1_SHB_1+cattf_1_SHV_65*catfd_1_SHV_65/catpn_1_SHV_65)/(((dagenperjaar1*VLOOKUP(B69,dagsoorttabel1,2,FALSE))-catfd_1_SHV_65)/catpn_1_SHB_1+catfd_1_SHV_65/catpn_1_SHV_65),0)</f>
        <v>0</v>
      </c>
      <c r="K69" s="41">
        <f t="shared" si="6"/>
        <v>0</v>
      </c>
      <c r="L69" s="44">
        <f t="shared" si="7"/>
        <v>0</v>
      </c>
      <c r="M69" s="41">
        <f t="shared" si="8"/>
        <v>0</v>
      </c>
      <c r="N69" s="44">
        <f t="shared" si="9"/>
        <v>0</v>
      </c>
    </row>
    <row r="70" spans="1:14" x14ac:dyDescent="0.2">
      <c r="A70" s="22" t="s">
        <v>222</v>
      </c>
      <c r="B70" s="22" t="s">
        <v>21</v>
      </c>
      <c r="C70" s="22" t="s">
        <v>187</v>
      </c>
      <c r="D70" s="22" t="s">
        <v>223</v>
      </c>
      <c r="E70" s="41">
        <v>81.72</v>
      </c>
      <c r="F70" s="41">
        <f t="shared" ref="F70:F101" si="10">E70*VLOOKUP(B70,dagsoorttabel1,2,FALSE)</f>
        <v>27.24</v>
      </c>
      <c r="G70" s="42">
        <f>IF(AND(catpn_1_SHB_1&gt;0,catpn_1_SHV_85&gt;0),(dagenperjaar1*VLOOKUP(B70,dagsoorttabel1,2,FALSE))/(((dagenperjaar1*VLOOKUP(B70,dagsoorttabel1,2,FALSE))-catfd_1_SHV_85)/catpn_1_SHB_1+catfd_1_SHV_85/catpn_1_SHV_85),0)</f>
        <v>0</v>
      </c>
      <c r="H70" s="43">
        <f>IF(AND(catpn_1_SHB_1&gt;0,catpn_1_SHV_85&gt;0),(catdw_1_SHB_1*((dagenperjaar1*VLOOKUP(B70,dagsoorttabel1,2,FALSE))-catfd_1_SHV_85)/catpn_1_SHB_1+catdw_1_SHV_85*catfd_1_SHV_85/catpn_1_SHV_85)/(((dagenperjaar1*VLOOKUP(B70,dagsoorttabel1,2,FALSE))-catfd_1_SHV_85)/catpn_1_SHB_1+catfd_1_SHV_85/catpn_1_SHV_85),0)</f>
        <v>0</v>
      </c>
      <c r="I70" s="22" t="s">
        <v>54</v>
      </c>
      <c r="J70" s="44">
        <f>IF(AND(catpn_1_SHB_1&gt;0,catpn_1_SHV_85&gt;0),(cattf_1_SHB_1*((dagenperjaar1*VLOOKUP(B70,dagsoorttabel1,2,FALSE))-catfd_1_SHV_85)/catpn_1_SHB_1+cattf_1_SHV_85*catfd_1_SHV_85/catpn_1_SHV_85)/(((dagenperjaar1*VLOOKUP(B70,dagsoorttabel1,2,FALSE))-catfd_1_SHV_85)/catpn_1_SHB_1+catfd_1_SHV_85/catpn_1_SHV_85),0)</f>
        <v>0</v>
      </c>
      <c r="K70" s="41">
        <f t="shared" ref="K70:K106" si="11">IF(OR(ISBLANK(G70),G70=0),0,F70/ROUND(G70,4))</f>
        <v>0</v>
      </c>
      <c r="L70" s="44">
        <f t="shared" ref="L70:L101" si="12">ROUND(J70,2)*K70</f>
        <v>0</v>
      </c>
      <c r="M70" s="41">
        <f t="shared" ref="M70:M101" si="13">K70*dagenperjaar1</f>
        <v>0</v>
      </c>
      <c r="N70" s="44">
        <f t="shared" ref="N70:N101" si="14">M70*ROUND(J70,2)</f>
        <v>0</v>
      </c>
    </row>
    <row r="71" spans="1:14" x14ac:dyDescent="0.2">
      <c r="A71" s="22" t="s">
        <v>224</v>
      </c>
      <c r="B71" s="22" t="s">
        <v>10</v>
      </c>
      <c r="C71" s="22" t="s">
        <v>187</v>
      </c>
      <c r="D71" s="22" t="s">
        <v>225</v>
      </c>
      <c r="E71" s="41">
        <v>116.82000000000001</v>
      </c>
      <c r="F71" s="41">
        <f t="shared" si="10"/>
        <v>116.82000000000001</v>
      </c>
      <c r="G71" s="42">
        <f>catpn_1_SHB_1</f>
        <v>0</v>
      </c>
      <c r="H71" s="43">
        <f>catdw_1_SHB_1</f>
        <v>0</v>
      </c>
      <c r="I71" s="22" t="s">
        <v>54</v>
      </c>
      <c r="J71" s="44">
        <f>cattf_1_SHB_1</f>
        <v>0</v>
      </c>
      <c r="K71" s="41">
        <f t="shared" si="11"/>
        <v>0</v>
      </c>
      <c r="L71" s="44">
        <f t="shared" si="12"/>
        <v>0</v>
      </c>
      <c r="M71" s="41">
        <f t="shared" si="13"/>
        <v>0</v>
      </c>
      <c r="N71" s="44">
        <f t="shared" si="14"/>
        <v>0</v>
      </c>
    </row>
    <row r="72" spans="1:14" x14ac:dyDescent="0.2">
      <c r="A72" s="22" t="s">
        <v>224</v>
      </c>
      <c r="B72" s="22" t="s">
        <v>23</v>
      </c>
      <c r="C72" s="22" t="s">
        <v>187</v>
      </c>
      <c r="D72" s="22" t="s">
        <v>226</v>
      </c>
      <c r="E72" s="41">
        <v>9</v>
      </c>
      <c r="F72" s="41">
        <f t="shared" si="10"/>
        <v>2.2941176470588234</v>
      </c>
      <c r="G72" s="42">
        <f>IF(AND(catpn_1_SHB_1&gt;0,catpn_1_SHV_65&gt;0),(dagenperjaar1*VLOOKUP(B72,dagsoorttabel1,2,FALSE))/(((dagenperjaar1*VLOOKUP(B72,dagsoorttabel1,2,FALSE))-catfd_1_SHV_65)/catpn_1_SHB_1+catfd_1_SHV_65/catpn_1_SHV_65),0)</f>
        <v>0</v>
      </c>
      <c r="H72" s="43">
        <f>IF(AND(catpn_1_SHB_1&gt;0,catpn_1_SHV_65&gt;0),(catdw_1_SHB_1*((dagenperjaar1*VLOOKUP(B72,dagsoorttabel1,2,FALSE))-catfd_1_SHV_65)/catpn_1_SHB_1+catdw_1_SHV_65*catfd_1_SHV_65/catpn_1_SHV_65)/(((dagenperjaar1*VLOOKUP(B72,dagsoorttabel1,2,FALSE))-catfd_1_SHV_65)/catpn_1_SHB_1+catfd_1_SHV_65/catpn_1_SHV_65),0)</f>
        <v>0</v>
      </c>
      <c r="I72" s="22" t="s">
        <v>54</v>
      </c>
      <c r="J72" s="44">
        <f>IF(AND(catpn_1_SHB_1&gt;0,catpn_1_SHV_65&gt;0),(cattf_1_SHB_1*((dagenperjaar1*VLOOKUP(B72,dagsoorttabel1,2,FALSE))-catfd_1_SHV_65)/catpn_1_SHB_1+cattf_1_SHV_65*catfd_1_SHV_65/catpn_1_SHV_65)/(((dagenperjaar1*VLOOKUP(B72,dagsoorttabel1,2,FALSE))-catfd_1_SHV_65)/catpn_1_SHB_1+catfd_1_SHV_65/catpn_1_SHV_65),0)</f>
        <v>0</v>
      </c>
      <c r="K72" s="41">
        <f t="shared" si="11"/>
        <v>0</v>
      </c>
      <c r="L72" s="44">
        <f t="shared" si="12"/>
        <v>0</v>
      </c>
      <c r="M72" s="41">
        <f t="shared" si="13"/>
        <v>0</v>
      </c>
      <c r="N72" s="44">
        <f t="shared" si="14"/>
        <v>0</v>
      </c>
    </row>
    <row r="73" spans="1:14" x14ac:dyDescent="0.2">
      <c r="A73" s="22" t="s">
        <v>227</v>
      </c>
      <c r="B73" s="22" t="s">
        <v>24</v>
      </c>
      <c r="C73" s="22" t="s">
        <v>187</v>
      </c>
      <c r="D73" s="22" t="s">
        <v>228</v>
      </c>
      <c r="E73" s="41">
        <v>210</v>
      </c>
      <c r="F73" s="41">
        <f t="shared" si="10"/>
        <v>42</v>
      </c>
      <c r="G73" s="42">
        <f>IF(AND(catpn_1_THB_1&gt;0,catpn_1_THV_51&gt;0),(dagenperjaar1*VLOOKUP(B73,dagsoorttabel1,2,FALSE))/(((dagenperjaar1*VLOOKUP(B73,dagsoorttabel1,2,FALSE))-catfd_1_THV_51)/catpn_1_THB_1+catfd_1_THV_51/catpn_1_THV_51),0)</f>
        <v>0</v>
      </c>
      <c r="H73" s="43">
        <f>IF(AND(catpn_1_THB_1&gt;0,catpn_1_THV_51&gt;0),(catdw_1_THB_1*((dagenperjaar1*VLOOKUP(B73,dagsoorttabel1,2,FALSE))-catfd_1_THV_51)/catpn_1_THB_1+catdw_1_THV_51*catfd_1_THV_51/catpn_1_THV_51)/(((dagenperjaar1*VLOOKUP(B73,dagsoorttabel1,2,FALSE))-catfd_1_THV_51)/catpn_1_THB_1+catfd_1_THV_51/catpn_1_THV_51),0)</f>
        <v>0</v>
      </c>
      <c r="I73" s="22" t="s">
        <v>54</v>
      </c>
      <c r="J73" s="44">
        <f>IF(AND(catpn_1_THB_1&gt;0,catpn_1_THV_51&gt;0),(cattf_1_THB_1*((dagenperjaar1*VLOOKUP(B73,dagsoorttabel1,2,FALSE))-catfd_1_THV_51)/catpn_1_THB_1+cattf_1_THV_51*catfd_1_THV_51/catpn_1_THV_51)/(((dagenperjaar1*VLOOKUP(B73,dagsoorttabel1,2,FALSE))-catfd_1_THV_51)/catpn_1_THB_1+catfd_1_THV_51/catpn_1_THV_51),0)</f>
        <v>0</v>
      </c>
      <c r="K73" s="41">
        <f t="shared" si="11"/>
        <v>0</v>
      </c>
      <c r="L73" s="44">
        <f t="shared" si="12"/>
        <v>0</v>
      </c>
      <c r="M73" s="41">
        <f t="shared" si="13"/>
        <v>0</v>
      </c>
      <c r="N73" s="44">
        <f t="shared" si="14"/>
        <v>0</v>
      </c>
    </row>
    <row r="74" spans="1:14" x14ac:dyDescent="0.2">
      <c r="A74" s="22" t="s">
        <v>227</v>
      </c>
      <c r="B74" s="22" t="s">
        <v>14</v>
      </c>
      <c r="C74" s="22" t="s">
        <v>187</v>
      </c>
      <c r="D74" s="22" t="s">
        <v>228</v>
      </c>
      <c r="E74" s="41">
        <v>59.9</v>
      </c>
      <c r="F74" s="41">
        <f t="shared" si="10"/>
        <v>46.980392156862742</v>
      </c>
      <c r="G74" s="42">
        <f>IF(AND(catpn_1_THB_1&gt;0,catpn_1_THV_40&gt;0),(dagenperjaar1*VLOOKUP(B74,dagsoorttabel1,2,FALSE))/(((dagenperjaar1*VLOOKUP(B74,dagsoorttabel1,2,FALSE))-catfd_1_THV_40)/catpn_1_THB_1+catfd_1_THV_40/catpn_1_THV_40),0)</f>
        <v>0</v>
      </c>
      <c r="H74" s="43">
        <f>IF(AND(catpn_1_THB_1&gt;0,catpn_1_THV_40&gt;0),(catdw_1_THB_1*((dagenperjaar1*VLOOKUP(B74,dagsoorttabel1,2,FALSE))-catfd_1_THV_40)/catpn_1_THB_1+catdw_1_THV_40*catfd_1_THV_40/catpn_1_THV_40)/(((dagenperjaar1*VLOOKUP(B74,dagsoorttabel1,2,FALSE))-catfd_1_THV_40)/catpn_1_THB_1+catfd_1_THV_40/catpn_1_THV_40),0)</f>
        <v>0</v>
      </c>
      <c r="I74" s="22" t="s">
        <v>54</v>
      </c>
      <c r="J74" s="44">
        <f>IF(AND(catpn_1_THB_1&gt;0,catpn_1_THV_40&gt;0),(cattf_1_THB_1*((dagenperjaar1*VLOOKUP(B74,dagsoorttabel1,2,FALSE))-catfd_1_THV_40)/catpn_1_THB_1+cattf_1_THV_40*catfd_1_THV_40/catpn_1_THV_40)/(((dagenperjaar1*VLOOKUP(B74,dagsoorttabel1,2,FALSE))-catfd_1_THV_40)/catpn_1_THB_1+catfd_1_THV_40/catpn_1_THV_40),0)</f>
        <v>0</v>
      </c>
      <c r="K74" s="41">
        <f t="shared" si="11"/>
        <v>0</v>
      </c>
      <c r="L74" s="44">
        <f t="shared" si="12"/>
        <v>0</v>
      </c>
      <c r="M74" s="41">
        <f t="shared" si="13"/>
        <v>0</v>
      </c>
      <c r="N74" s="44">
        <f t="shared" si="14"/>
        <v>0</v>
      </c>
    </row>
    <row r="75" spans="1:14" x14ac:dyDescent="0.2">
      <c r="A75" s="22" t="s">
        <v>227</v>
      </c>
      <c r="B75" s="22" t="s">
        <v>19</v>
      </c>
      <c r="C75" s="22" t="s">
        <v>187</v>
      </c>
      <c r="D75" s="22" t="s">
        <v>228</v>
      </c>
      <c r="E75" s="41">
        <v>16</v>
      </c>
      <c r="F75" s="41">
        <f t="shared" si="10"/>
        <v>6.4</v>
      </c>
      <c r="G75" s="42">
        <f>IF(AND(catpn_1_THB_1&gt;0,catpn_1_THV_51&gt;0),(dagenperjaar1*VLOOKUP(B75,dagsoorttabel1,2,FALSE))/(((dagenperjaar1*VLOOKUP(B75,dagsoorttabel1,2,FALSE))-catfd_1_THV_51)/catpn_1_THB_1+catfd_1_THV_51/catpn_1_THV_51),0)</f>
        <v>0</v>
      </c>
      <c r="H75" s="43">
        <f>IF(AND(catpn_1_THB_1&gt;0,catpn_1_THV_51&gt;0),(catdw_1_THB_1*((dagenperjaar1*VLOOKUP(B75,dagsoorttabel1,2,FALSE))-catfd_1_THV_51)/catpn_1_THB_1+catdw_1_THV_51*catfd_1_THV_51/catpn_1_THV_51)/(((dagenperjaar1*VLOOKUP(B75,dagsoorttabel1,2,FALSE))-catfd_1_THV_51)/catpn_1_THB_1+catfd_1_THV_51/catpn_1_THV_51),0)</f>
        <v>0</v>
      </c>
      <c r="I75" s="22" t="s">
        <v>54</v>
      </c>
      <c r="J75" s="44">
        <f>IF(AND(catpn_1_THB_1&gt;0,catpn_1_THV_51&gt;0),(cattf_1_THB_1*((dagenperjaar1*VLOOKUP(B75,dagsoorttabel1,2,FALSE))-catfd_1_THV_51)/catpn_1_THB_1+cattf_1_THV_51*catfd_1_THV_51/catpn_1_THV_51)/(((dagenperjaar1*VLOOKUP(B75,dagsoorttabel1,2,FALSE))-catfd_1_THV_51)/catpn_1_THB_1+catfd_1_THV_51/catpn_1_THV_51),0)</f>
        <v>0</v>
      </c>
      <c r="K75" s="41">
        <f t="shared" si="11"/>
        <v>0</v>
      </c>
      <c r="L75" s="44">
        <f t="shared" si="12"/>
        <v>0</v>
      </c>
      <c r="M75" s="41">
        <f t="shared" si="13"/>
        <v>0</v>
      </c>
      <c r="N75" s="44">
        <f t="shared" si="14"/>
        <v>0</v>
      </c>
    </row>
    <row r="76" spans="1:14" x14ac:dyDescent="0.2">
      <c r="A76" s="22" t="s">
        <v>227</v>
      </c>
      <c r="B76" s="22" t="s">
        <v>10</v>
      </c>
      <c r="C76" s="22" t="s">
        <v>187</v>
      </c>
      <c r="D76" s="22" t="s">
        <v>228</v>
      </c>
      <c r="E76" s="41">
        <v>23.4</v>
      </c>
      <c r="F76" s="41">
        <f t="shared" si="10"/>
        <v>23.4</v>
      </c>
      <c r="G76" s="42">
        <f>IF(AND(catpn_1_THB_1&gt;0,catpn_1_THV_51&gt;0),(dagenperjaar1*VLOOKUP(B76,dagsoorttabel1,2,FALSE))/(((dagenperjaar1*VLOOKUP(B76,dagsoorttabel1,2,FALSE))-catfd_1_THV_51)/catpn_1_THB_1+catfd_1_THV_51/catpn_1_THV_51),0)</f>
        <v>0</v>
      </c>
      <c r="H76" s="43">
        <f>IF(AND(catpn_1_THB_1&gt;0,catpn_1_THV_51&gt;0),(catdw_1_THB_1*((dagenperjaar1*VLOOKUP(B76,dagsoorttabel1,2,FALSE))-catfd_1_THV_51)/catpn_1_THB_1+catdw_1_THV_51*catfd_1_THV_51/catpn_1_THV_51)/(((dagenperjaar1*VLOOKUP(B76,dagsoorttabel1,2,FALSE))-catfd_1_THV_51)/catpn_1_THB_1+catfd_1_THV_51/catpn_1_THV_51),0)</f>
        <v>0</v>
      </c>
      <c r="I76" s="22" t="s">
        <v>54</v>
      </c>
      <c r="J76" s="44">
        <f>IF(AND(catpn_1_THB_1&gt;0,catpn_1_THV_51&gt;0),(cattf_1_THB_1*((dagenperjaar1*VLOOKUP(B76,dagsoorttabel1,2,FALSE))-catfd_1_THV_51)/catpn_1_THB_1+cattf_1_THV_51*catfd_1_THV_51/catpn_1_THV_51)/(((dagenperjaar1*VLOOKUP(B76,dagsoorttabel1,2,FALSE))-catfd_1_THV_51)/catpn_1_THB_1+catfd_1_THV_51/catpn_1_THV_51),0)</f>
        <v>0</v>
      </c>
      <c r="K76" s="41">
        <f t="shared" si="11"/>
        <v>0</v>
      </c>
      <c r="L76" s="44">
        <f t="shared" si="12"/>
        <v>0</v>
      </c>
      <c r="M76" s="41">
        <f t="shared" si="13"/>
        <v>0</v>
      </c>
      <c r="N76" s="44">
        <f t="shared" si="14"/>
        <v>0</v>
      </c>
    </row>
    <row r="77" spans="1:14" x14ac:dyDescent="0.2">
      <c r="A77" s="22" t="s">
        <v>229</v>
      </c>
      <c r="B77" s="22" t="s">
        <v>24</v>
      </c>
      <c r="C77" s="22" t="s">
        <v>187</v>
      </c>
      <c r="D77" s="22" t="s">
        <v>230</v>
      </c>
      <c r="E77" s="41">
        <v>240.5</v>
      </c>
      <c r="F77" s="41">
        <f t="shared" si="10"/>
        <v>48.1</v>
      </c>
      <c r="G77" s="42">
        <f>IF(AND(catpn_1_TZB_1&gt;0,catpn_1_TZV_51&gt;0),(dagenperjaar1*VLOOKUP(B77,dagsoorttabel1,2,FALSE))/(((dagenperjaar1*VLOOKUP(B77,dagsoorttabel1,2,FALSE))-catfd_1_TZV_51)/catpn_1_TZB_1+catfd_1_TZV_51/catpn_1_TZV_51),0)</f>
        <v>0</v>
      </c>
      <c r="H77" s="43">
        <f>IF(AND(catpn_1_TZB_1&gt;0,catpn_1_TZV_51&gt;0),(catdw_1_TZB_1*((dagenperjaar1*VLOOKUP(B77,dagsoorttabel1,2,FALSE))-catfd_1_TZV_51)/catpn_1_TZB_1+catdw_1_TZV_51*catfd_1_TZV_51/catpn_1_TZV_51)/(((dagenperjaar1*VLOOKUP(B77,dagsoorttabel1,2,FALSE))-catfd_1_TZV_51)/catpn_1_TZB_1+catfd_1_TZV_51/catpn_1_TZV_51),0)</f>
        <v>0</v>
      </c>
      <c r="I77" s="22" t="s">
        <v>54</v>
      </c>
      <c r="J77" s="44">
        <f>IF(AND(catpn_1_TZB_1&gt;0,catpn_1_TZV_51&gt;0),(cattf_1_TZB_1*((dagenperjaar1*VLOOKUP(B77,dagsoorttabel1,2,FALSE))-catfd_1_TZV_51)/catpn_1_TZB_1+cattf_1_TZV_51*catfd_1_TZV_51/catpn_1_TZV_51)/(((dagenperjaar1*VLOOKUP(B77,dagsoorttabel1,2,FALSE))-catfd_1_TZV_51)/catpn_1_TZB_1+catfd_1_TZV_51/catpn_1_TZV_51),0)</f>
        <v>0</v>
      </c>
      <c r="K77" s="41">
        <f t="shared" si="11"/>
        <v>0</v>
      </c>
      <c r="L77" s="44">
        <f t="shared" si="12"/>
        <v>0</v>
      </c>
      <c r="M77" s="41">
        <f t="shared" si="13"/>
        <v>0</v>
      </c>
      <c r="N77" s="44">
        <f t="shared" si="14"/>
        <v>0</v>
      </c>
    </row>
    <row r="78" spans="1:14" x14ac:dyDescent="0.2">
      <c r="A78" s="22" t="s">
        <v>229</v>
      </c>
      <c r="B78" s="22" t="s">
        <v>10</v>
      </c>
      <c r="C78" s="22" t="s">
        <v>187</v>
      </c>
      <c r="D78" s="22" t="s">
        <v>230</v>
      </c>
      <c r="E78" s="41">
        <v>55</v>
      </c>
      <c r="F78" s="41">
        <f t="shared" si="10"/>
        <v>55</v>
      </c>
      <c r="G78" s="42">
        <f>IF(AND(catpn_1_TZB_1&gt;0,catpn_1_TZV_51&gt;0),(dagenperjaar1*VLOOKUP(B78,dagsoorttabel1,2,FALSE))/(((dagenperjaar1*VLOOKUP(B78,dagsoorttabel1,2,FALSE))-catfd_1_TZV_51)/catpn_1_TZB_1+catfd_1_TZV_51/catpn_1_TZV_51),0)</f>
        <v>0</v>
      </c>
      <c r="H78" s="43">
        <f>IF(AND(catpn_1_TZB_1&gt;0,catpn_1_TZV_51&gt;0),(catdw_1_TZB_1*((dagenperjaar1*VLOOKUP(B78,dagsoorttabel1,2,FALSE))-catfd_1_TZV_51)/catpn_1_TZB_1+catdw_1_TZV_51*catfd_1_TZV_51/catpn_1_TZV_51)/(((dagenperjaar1*VLOOKUP(B78,dagsoorttabel1,2,FALSE))-catfd_1_TZV_51)/catpn_1_TZB_1+catfd_1_TZV_51/catpn_1_TZV_51),0)</f>
        <v>0</v>
      </c>
      <c r="I78" s="22" t="s">
        <v>54</v>
      </c>
      <c r="J78" s="44">
        <f>IF(AND(catpn_1_TZB_1&gt;0,catpn_1_TZV_51&gt;0),(cattf_1_TZB_1*((dagenperjaar1*VLOOKUP(B78,dagsoorttabel1,2,FALSE))-catfd_1_TZV_51)/catpn_1_TZB_1+cattf_1_TZV_51*catfd_1_TZV_51/catpn_1_TZV_51)/(((dagenperjaar1*VLOOKUP(B78,dagsoorttabel1,2,FALSE))-catfd_1_TZV_51)/catpn_1_TZB_1+catfd_1_TZV_51/catpn_1_TZV_51),0)</f>
        <v>0</v>
      </c>
      <c r="K78" s="41">
        <f t="shared" si="11"/>
        <v>0</v>
      </c>
      <c r="L78" s="44">
        <f t="shared" si="12"/>
        <v>0</v>
      </c>
      <c r="M78" s="41">
        <f t="shared" si="13"/>
        <v>0</v>
      </c>
      <c r="N78" s="44">
        <f t="shared" si="14"/>
        <v>0</v>
      </c>
    </row>
    <row r="79" spans="1:14" x14ac:dyDescent="0.2">
      <c r="A79" s="22" t="s">
        <v>231</v>
      </c>
      <c r="B79" s="22" t="s">
        <v>32</v>
      </c>
      <c r="C79" s="22" t="s">
        <v>187</v>
      </c>
      <c r="D79" s="22" t="s">
        <v>232</v>
      </c>
      <c r="E79" s="41">
        <v>5.0999999999999996</v>
      </c>
      <c r="F79" s="41">
        <f t="shared" si="10"/>
        <v>0.33999999999999997</v>
      </c>
      <c r="G79" s="42">
        <f>IF(AND(catpn_1_VHB_1&gt;0,catpn_1_VHV_17&gt;0),(dagenperjaar1*VLOOKUP(B79,dagsoorttabel1,2,FALSE))/(((dagenperjaar1*VLOOKUP(B79,dagsoorttabel1,2,FALSE))-catfd_1_VHV_17)/catpn_1_VHB_1+catfd_1_VHV_17/catpn_1_VHV_17),0)</f>
        <v>0</v>
      </c>
      <c r="H79" s="43">
        <f>IF(AND(catpn_1_VHB_1&gt;0,catpn_1_VHV_17&gt;0),(catdw_1_VHB_1*((dagenperjaar1*VLOOKUP(B79,dagsoorttabel1,2,FALSE))-catfd_1_VHV_17)/catpn_1_VHB_1+catdw_1_VHV_17*catfd_1_VHV_17/catpn_1_VHV_17)/(((dagenperjaar1*VLOOKUP(B79,dagsoorttabel1,2,FALSE))-catfd_1_VHV_17)/catpn_1_VHB_1+catfd_1_VHV_17/catpn_1_VHV_17),0)</f>
        <v>0</v>
      </c>
      <c r="I79" s="22" t="s">
        <v>54</v>
      </c>
      <c r="J79" s="44">
        <f>IF(AND(catpn_1_VHB_1&gt;0,catpn_1_VHV_17&gt;0),(cattf_1_VHB_1*((dagenperjaar1*VLOOKUP(B79,dagsoorttabel1,2,FALSE))-catfd_1_VHV_17)/catpn_1_VHB_1+cattf_1_VHV_17*catfd_1_VHV_17/catpn_1_VHV_17)/(((dagenperjaar1*VLOOKUP(B79,dagsoorttabel1,2,FALSE))-catfd_1_VHV_17)/catpn_1_VHB_1+catfd_1_VHV_17/catpn_1_VHV_17),0)</f>
        <v>0</v>
      </c>
      <c r="K79" s="41">
        <f t="shared" si="11"/>
        <v>0</v>
      </c>
      <c r="L79" s="44">
        <f t="shared" si="12"/>
        <v>0</v>
      </c>
      <c r="M79" s="41">
        <f t="shared" si="13"/>
        <v>0</v>
      </c>
      <c r="N79" s="44">
        <f t="shared" si="14"/>
        <v>0</v>
      </c>
    </row>
    <row r="80" spans="1:14" x14ac:dyDescent="0.2">
      <c r="A80" s="22" t="s">
        <v>231</v>
      </c>
      <c r="B80" s="22" t="s">
        <v>24</v>
      </c>
      <c r="C80" s="22" t="s">
        <v>187</v>
      </c>
      <c r="D80" s="22" t="s">
        <v>232</v>
      </c>
      <c r="E80" s="41">
        <v>216.12</v>
      </c>
      <c r="F80" s="41">
        <f t="shared" si="10"/>
        <v>43.224000000000004</v>
      </c>
      <c r="G80" s="42">
        <f>IF(AND(catpn_1_VHB_1&gt;0,catpn_1_VHV_51&gt;0),(dagenperjaar1*VLOOKUP(B80,dagsoorttabel1,2,FALSE))/(((dagenperjaar1*VLOOKUP(B80,dagsoorttabel1,2,FALSE))-catfd_1_VHV_51)/catpn_1_VHB_1+catfd_1_VHV_51/catpn_1_VHV_51),0)</f>
        <v>0</v>
      </c>
      <c r="H80" s="43">
        <f>IF(AND(catpn_1_VHB_1&gt;0,catpn_1_VHV_51&gt;0),(catdw_1_VHB_1*((dagenperjaar1*VLOOKUP(B80,dagsoorttabel1,2,FALSE))-catfd_1_VHV_51)/catpn_1_VHB_1+catdw_1_VHV_51*catfd_1_VHV_51/catpn_1_VHV_51)/(((dagenperjaar1*VLOOKUP(B80,dagsoorttabel1,2,FALSE))-catfd_1_VHV_51)/catpn_1_VHB_1+catfd_1_VHV_51/catpn_1_VHV_51),0)</f>
        <v>0</v>
      </c>
      <c r="I80" s="22" t="s">
        <v>54</v>
      </c>
      <c r="J80" s="44">
        <f>IF(AND(catpn_1_VHB_1&gt;0,catpn_1_VHV_51&gt;0),(cattf_1_VHB_1*((dagenperjaar1*VLOOKUP(B80,dagsoorttabel1,2,FALSE))-catfd_1_VHV_51)/catpn_1_VHB_1+cattf_1_VHV_51*catfd_1_VHV_51/catpn_1_VHV_51)/(((dagenperjaar1*VLOOKUP(B80,dagsoorttabel1,2,FALSE))-catfd_1_VHV_51)/catpn_1_VHB_1+catfd_1_VHV_51/catpn_1_VHV_51),0)</f>
        <v>0</v>
      </c>
      <c r="K80" s="41">
        <f t="shared" si="11"/>
        <v>0</v>
      </c>
      <c r="L80" s="44">
        <f t="shared" si="12"/>
        <v>0</v>
      </c>
      <c r="M80" s="41">
        <f t="shared" si="13"/>
        <v>0</v>
      </c>
      <c r="N80" s="44">
        <f t="shared" si="14"/>
        <v>0</v>
      </c>
    </row>
    <row r="81" spans="1:14" x14ac:dyDescent="0.2">
      <c r="A81" s="22" t="s">
        <v>231</v>
      </c>
      <c r="B81" s="22" t="s">
        <v>17</v>
      </c>
      <c r="C81" s="22" t="s">
        <v>187</v>
      </c>
      <c r="D81" s="22" t="s">
        <v>232</v>
      </c>
      <c r="E81" s="41">
        <v>440.71000000000004</v>
      </c>
      <c r="F81" s="41">
        <f t="shared" si="10"/>
        <v>220.35500000000002</v>
      </c>
      <c r="G81" s="42">
        <f>IF(AND(catpn_1_VHB_1&gt;0,catpn_1_VHV_51&gt;0),(dagenperjaar1*VLOOKUP(B81,dagsoorttabel1,2,FALSE))/(((dagenperjaar1*VLOOKUP(B81,dagsoorttabel1,2,FALSE))-catfd_1_VHV_51)/catpn_1_VHB_1+catfd_1_VHV_51/catpn_1_VHV_51),0)</f>
        <v>0</v>
      </c>
      <c r="H81" s="43">
        <f>IF(AND(catpn_1_VHB_1&gt;0,catpn_1_VHV_51&gt;0),(catdw_1_VHB_1*((dagenperjaar1*VLOOKUP(B81,dagsoorttabel1,2,FALSE))-catfd_1_VHV_51)/catpn_1_VHB_1+catdw_1_VHV_51*catfd_1_VHV_51/catpn_1_VHV_51)/(((dagenperjaar1*VLOOKUP(B81,dagsoorttabel1,2,FALSE))-catfd_1_VHV_51)/catpn_1_VHB_1+catfd_1_VHV_51/catpn_1_VHV_51),0)</f>
        <v>0</v>
      </c>
      <c r="I81" s="22" t="s">
        <v>54</v>
      </c>
      <c r="J81" s="44">
        <f>IF(AND(catpn_1_VHB_1&gt;0,catpn_1_VHV_51&gt;0),(cattf_1_VHB_1*((dagenperjaar1*VLOOKUP(B81,dagsoorttabel1,2,FALSE))-catfd_1_VHV_51)/catpn_1_VHB_1+cattf_1_VHV_51*catfd_1_VHV_51/catpn_1_VHV_51)/(((dagenperjaar1*VLOOKUP(B81,dagsoorttabel1,2,FALSE))-catfd_1_VHV_51)/catpn_1_VHB_1+catfd_1_VHV_51/catpn_1_VHV_51),0)</f>
        <v>0</v>
      </c>
      <c r="K81" s="41">
        <f t="shared" si="11"/>
        <v>0</v>
      </c>
      <c r="L81" s="44">
        <f t="shared" si="12"/>
        <v>0</v>
      </c>
      <c r="M81" s="41">
        <f t="shared" si="13"/>
        <v>0</v>
      </c>
      <c r="N81" s="44">
        <f t="shared" si="14"/>
        <v>0</v>
      </c>
    </row>
    <row r="82" spans="1:14" x14ac:dyDescent="0.2">
      <c r="A82" s="22" t="s">
        <v>231</v>
      </c>
      <c r="B82" s="22" t="s">
        <v>14</v>
      </c>
      <c r="C82" s="22" t="s">
        <v>187</v>
      </c>
      <c r="D82" s="22" t="s">
        <v>232</v>
      </c>
      <c r="E82" s="41">
        <v>550.90000000000009</v>
      </c>
      <c r="F82" s="41">
        <f t="shared" si="10"/>
        <v>432.07843137254906</v>
      </c>
      <c r="G82" s="42">
        <f>IF(AND(catpn_1_VHB_1&gt;0,catpn_1_VHV_40&gt;0),(dagenperjaar1*VLOOKUP(B82,dagsoorttabel1,2,FALSE))/(((dagenperjaar1*VLOOKUP(B82,dagsoorttabel1,2,FALSE))-catfd_1_VHV_40)/catpn_1_VHB_1+catfd_1_VHV_40/catpn_1_VHV_40),0)</f>
        <v>0</v>
      </c>
      <c r="H82" s="43">
        <f>IF(AND(catpn_1_VHB_1&gt;0,catpn_1_VHV_40&gt;0),(catdw_1_VHB_1*((dagenperjaar1*VLOOKUP(B82,dagsoorttabel1,2,FALSE))-catfd_1_VHV_40)/catpn_1_VHB_1+catdw_1_VHV_40*catfd_1_VHV_40/catpn_1_VHV_40)/(((dagenperjaar1*VLOOKUP(B82,dagsoorttabel1,2,FALSE))-catfd_1_VHV_40)/catpn_1_VHB_1+catfd_1_VHV_40/catpn_1_VHV_40),0)</f>
        <v>0</v>
      </c>
      <c r="I82" s="22" t="s">
        <v>54</v>
      </c>
      <c r="J82" s="44">
        <f>IF(AND(catpn_1_VHB_1&gt;0,catpn_1_VHV_40&gt;0),(cattf_1_VHB_1*((dagenperjaar1*VLOOKUP(B82,dagsoorttabel1,2,FALSE))-catfd_1_VHV_40)/catpn_1_VHB_1+cattf_1_VHV_40*catfd_1_VHV_40/catpn_1_VHV_40)/(((dagenperjaar1*VLOOKUP(B82,dagsoorttabel1,2,FALSE))-catfd_1_VHV_40)/catpn_1_VHB_1+catfd_1_VHV_40/catpn_1_VHV_40),0)</f>
        <v>0</v>
      </c>
      <c r="K82" s="41">
        <f t="shared" si="11"/>
        <v>0</v>
      </c>
      <c r="L82" s="44">
        <f t="shared" si="12"/>
        <v>0</v>
      </c>
      <c r="M82" s="41">
        <f t="shared" si="13"/>
        <v>0</v>
      </c>
      <c r="N82" s="44">
        <f t="shared" si="14"/>
        <v>0</v>
      </c>
    </row>
    <row r="83" spans="1:14" x14ac:dyDescent="0.2">
      <c r="A83" s="22" t="s">
        <v>231</v>
      </c>
      <c r="B83" s="22" t="s">
        <v>12</v>
      </c>
      <c r="C83" s="22" t="s">
        <v>187</v>
      </c>
      <c r="D83" s="22" t="s">
        <v>232</v>
      </c>
      <c r="E83" s="41">
        <v>364.25</v>
      </c>
      <c r="F83" s="41">
        <f t="shared" si="10"/>
        <v>321.39705882352939</v>
      </c>
      <c r="G83" s="42">
        <f>IF(AND(catpn_1_VHB_1&gt;0,catpn_1_VHV_45&gt;0),(dagenperjaar1*VLOOKUP(B83,dagsoorttabel1,2,FALSE))/(((dagenperjaar1*VLOOKUP(B83,dagsoorttabel1,2,FALSE))-catfd_1_VHV_45)/catpn_1_VHB_1+catfd_1_VHV_45/catpn_1_VHV_45),0)</f>
        <v>0</v>
      </c>
      <c r="H83" s="43">
        <f>IF(AND(catpn_1_VHB_1&gt;0,catpn_1_VHV_45&gt;0),(catdw_1_VHB_1*((dagenperjaar1*VLOOKUP(B83,dagsoorttabel1,2,FALSE))-catfd_1_VHV_45)/catpn_1_VHB_1+catdw_1_VHV_45*catfd_1_VHV_45/catpn_1_VHV_45)/(((dagenperjaar1*VLOOKUP(B83,dagsoorttabel1,2,FALSE))-catfd_1_VHV_45)/catpn_1_VHB_1+catfd_1_VHV_45/catpn_1_VHV_45),0)</f>
        <v>0</v>
      </c>
      <c r="I83" s="22" t="s">
        <v>54</v>
      </c>
      <c r="J83" s="44">
        <f>IF(AND(catpn_1_VHB_1&gt;0,catpn_1_VHV_45&gt;0),(cattf_1_VHB_1*((dagenperjaar1*VLOOKUP(B83,dagsoorttabel1,2,FALSE))-catfd_1_VHV_45)/catpn_1_VHB_1+cattf_1_VHV_45*catfd_1_VHV_45/catpn_1_VHV_45)/(((dagenperjaar1*VLOOKUP(B83,dagsoorttabel1,2,FALSE))-catfd_1_VHV_45)/catpn_1_VHB_1+catfd_1_VHV_45/catpn_1_VHV_45),0)</f>
        <v>0</v>
      </c>
      <c r="K83" s="41">
        <f t="shared" si="11"/>
        <v>0</v>
      </c>
      <c r="L83" s="44">
        <f t="shared" si="12"/>
        <v>0</v>
      </c>
      <c r="M83" s="41">
        <f t="shared" si="13"/>
        <v>0</v>
      </c>
      <c r="N83" s="44">
        <f t="shared" si="14"/>
        <v>0</v>
      </c>
    </row>
    <row r="84" spans="1:14" x14ac:dyDescent="0.2">
      <c r="A84" s="22" t="s">
        <v>231</v>
      </c>
      <c r="B84" s="22" t="s">
        <v>11</v>
      </c>
      <c r="C84" s="22" t="s">
        <v>187</v>
      </c>
      <c r="D84" s="22" t="s">
        <v>232</v>
      </c>
      <c r="E84" s="41">
        <v>146</v>
      </c>
      <c r="F84" s="41">
        <f t="shared" si="10"/>
        <v>135.69411764705882</v>
      </c>
      <c r="G84" s="42">
        <f>IF(AND(catpn_1_VHB_1&gt;0,catpn_1_VHV_51&gt;0),(dagenperjaar1*VLOOKUP(B84,dagsoorttabel1,2,FALSE))/(((dagenperjaar1*VLOOKUP(B84,dagsoorttabel1,2,FALSE))-catfd_1_VHV_51)/catpn_1_VHB_1+catfd_1_VHV_51/catpn_1_VHV_51),0)</f>
        <v>0</v>
      </c>
      <c r="H84" s="43">
        <f>IF(AND(catpn_1_VHB_1&gt;0,catpn_1_VHV_51&gt;0),(catdw_1_VHB_1*((dagenperjaar1*VLOOKUP(B84,dagsoorttabel1,2,FALSE))-catfd_1_VHV_51)/catpn_1_VHB_1+catdw_1_VHV_51*catfd_1_VHV_51/catpn_1_VHV_51)/(((dagenperjaar1*VLOOKUP(B84,dagsoorttabel1,2,FALSE))-catfd_1_VHV_51)/catpn_1_VHB_1+catfd_1_VHV_51/catpn_1_VHV_51),0)</f>
        <v>0</v>
      </c>
      <c r="I84" s="22" t="s">
        <v>54</v>
      </c>
      <c r="J84" s="44">
        <f>IF(AND(catpn_1_VHB_1&gt;0,catpn_1_VHV_51&gt;0),(cattf_1_VHB_1*((dagenperjaar1*VLOOKUP(B84,dagsoorttabel1,2,FALSE))-catfd_1_VHV_51)/catpn_1_VHB_1+cattf_1_VHV_51*catfd_1_VHV_51/catpn_1_VHV_51)/(((dagenperjaar1*VLOOKUP(B84,dagsoorttabel1,2,FALSE))-catfd_1_VHV_51)/catpn_1_VHB_1+catfd_1_VHV_51/catpn_1_VHV_51),0)</f>
        <v>0</v>
      </c>
      <c r="K84" s="41">
        <f t="shared" si="11"/>
        <v>0</v>
      </c>
      <c r="L84" s="44">
        <f t="shared" si="12"/>
        <v>0</v>
      </c>
      <c r="M84" s="41">
        <f t="shared" si="13"/>
        <v>0</v>
      </c>
      <c r="N84" s="44">
        <f t="shared" si="14"/>
        <v>0</v>
      </c>
    </row>
    <row r="85" spans="1:14" x14ac:dyDescent="0.2">
      <c r="A85" s="22" t="s">
        <v>231</v>
      </c>
      <c r="B85" s="22" t="s">
        <v>19</v>
      </c>
      <c r="C85" s="22" t="s">
        <v>187</v>
      </c>
      <c r="D85" s="22" t="s">
        <v>232</v>
      </c>
      <c r="E85" s="41">
        <v>6</v>
      </c>
      <c r="F85" s="41">
        <f t="shared" si="10"/>
        <v>2.4000000000000004</v>
      </c>
      <c r="G85" s="42">
        <f>IF(AND(catpn_1_VHB_1&gt;0,catpn_1_VHV_51&gt;0),(dagenperjaar1*VLOOKUP(B85,dagsoorttabel1,2,FALSE))/(((dagenperjaar1*VLOOKUP(B85,dagsoorttabel1,2,FALSE))-catfd_1_VHV_51)/catpn_1_VHB_1+catfd_1_VHV_51/catpn_1_VHV_51),0)</f>
        <v>0</v>
      </c>
      <c r="H85" s="43">
        <f>IF(AND(catpn_1_VHB_1&gt;0,catpn_1_VHV_51&gt;0),(catdw_1_VHB_1*((dagenperjaar1*VLOOKUP(B85,dagsoorttabel1,2,FALSE))-catfd_1_VHV_51)/catpn_1_VHB_1+catdw_1_VHV_51*catfd_1_VHV_51/catpn_1_VHV_51)/(((dagenperjaar1*VLOOKUP(B85,dagsoorttabel1,2,FALSE))-catfd_1_VHV_51)/catpn_1_VHB_1+catfd_1_VHV_51/catpn_1_VHV_51),0)</f>
        <v>0</v>
      </c>
      <c r="I85" s="22" t="s">
        <v>54</v>
      </c>
      <c r="J85" s="44">
        <f>IF(AND(catpn_1_VHB_1&gt;0,catpn_1_VHV_51&gt;0),(cattf_1_VHB_1*((dagenperjaar1*VLOOKUP(B85,dagsoorttabel1,2,FALSE))-catfd_1_VHV_51)/catpn_1_VHB_1+cattf_1_VHV_51*catfd_1_VHV_51/catpn_1_VHV_51)/(((dagenperjaar1*VLOOKUP(B85,dagsoorttabel1,2,FALSE))-catfd_1_VHV_51)/catpn_1_VHB_1+catfd_1_VHV_51/catpn_1_VHV_51),0)</f>
        <v>0</v>
      </c>
      <c r="K85" s="41">
        <f t="shared" si="11"/>
        <v>0</v>
      </c>
      <c r="L85" s="44">
        <f t="shared" si="12"/>
        <v>0</v>
      </c>
      <c r="M85" s="41">
        <f t="shared" si="13"/>
        <v>0</v>
      </c>
      <c r="N85" s="44">
        <f t="shared" si="14"/>
        <v>0</v>
      </c>
    </row>
    <row r="86" spans="1:14" x14ac:dyDescent="0.2">
      <c r="A86" s="22" t="s">
        <v>231</v>
      </c>
      <c r="B86" s="22" t="s">
        <v>10</v>
      </c>
      <c r="C86" s="22" t="s">
        <v>187</v>
      </c>
      <c r="D86" s="22" t="s">
        <v>232</v>
      </c>
      <c r="E86" s="41">
        <v>601.13999999999987</v>
      </c>
      <c r="F86" s="41">
        <f t="shared" si="10"/>
        <v>601.13999999999987</v>
      </c>
      <c r="G86" s="42">
        <f>IF(AND(catpn_1_VHB_1&gt;0,catpn_1_VHV_51&gt;0),(dagenperjaar1*VLOOKUP(B86,dagsoorttabel1,2,FALSE))/(((dagenperjaar1*VLOOKUP(B86,dagsoorttabel1,2,FALSE))-catfd_1_VHV_51)/catpn_1_VHB_1+catfd_1_VHV_51/catpn_1_VHV_51),0)</f>
        <v>0</v>
      </c>
      <c r="H86" s="43">
        <f>IF(AND(catpn_1_VHB_1&gt;0,catpn_1_VHV_51&gt;0),(catdw_1_VHB_1*((dagenperjaar1*VLOOKUP(B86,dagsoorttabel1,2,FALSE))-catfd_1_VHV_51)/catpn_1_VHB_1+catdw_1_VHV_51*catfd_1_VHV_51/catpn_1_VHV_51)/(((dagenperjaar1*VLOOKUP(B86,dagsoorttabel1,2,FALSE))-catfd_1_VHV_51)/catpn_1_VHB_1+catfd_1_VHV_51/catpn_1_VHV_51),0)</f>
        <v>0</v>
      </c>
      <c r="I86" s="22" t="s">
        <v>54</v>
      </c>
      <c r="J86" s="44">
        <f>IF(AND(catpn_1_VHB_1&gt;0,catpn_1_VHV_51&gt;0),(cattf_1_VHB_1*((dagenperjaar1*VLOOKUP(B86,dagsoorttabel1,2,FALSE))-catfd_1_VHV_51)/catpn_1_VHB_1+cattf_1_VHV_51*catfd_1_VHV_51/catpn_1_VHV_51)/(((dagenperjaar1*VLOOKUP(B86,dagsoorttabel1,2,FALSE))-catfd_1_VHV_51)/catpn_1_VHB_1+catfd_1_VHV_51/catpn_1_VHV_51),0)</f>
        <v>0</v>
      </c>
      <c r="K86" s="41">
        <f t="shared" si="11"/>
        <v>0</v>
      </c>
      <c r="L86" s="44">
        <f t="shared" si="12"/>
        <v>0</v>
      </c>
      <c r="M86" s="41">
        <f t="shared" si="13"/>
        <v>0</v>
      </c>
      <c r="N86" s="44">
        <f t="shared" si="14"/>
        <v>0</v>
      </c>
    </row>
    <row r="87" spans="1:14" x14ac:dyDescent="0.2">
      <c r="A87" s="22" t="s">
        <v>231</v>
      </c>
      <c r="B87" s="22" t="s">
        <v>21</v>
      </c>
      <c r="C87" s="22" t="s">
        <v>187</v>
      </c>
      <c r="D87" s="22" t="s">
        <v>232</v>
      </c>
      <c r="E87" s="41">
        <v>22.5</v>
      </c>
      <c r="F87" s="41">
        <f t="shared" si="10"/>
        <v>7.5</v>
      </c>
      <c r="G87" s="42">
        <f>IF(AND(catpn_1_VHB_1&gt;0,catpn_1_VHV_85&gt;0),(dagenperjaar1*VLOOKUP(B87,dagsoorttabel1,2,FALSE))/(((dagenperjaar1*VLOOKUP(B87,dagsoorttabel1,2,FALSE))-catfd_1_VHV_85)/catpn_1_VHB_1+catfd_1_VHV_85/catpn_1_VHV_85),0)</f>
        <v>0</v>
      </c>
      <c r="H87" s="43">
        <f>IF(AND(catpn_1_VHB_1&gt;0,catpn_1_VHV_85&gt;0),(catdw_1_VHB_1*((dagenperjaar1*VLOOKUP(B87,dagsoorttabel1,2,FALSE))-catfd_1_VHV_85)/catpn_1_VHB_1+catdw_1_VHV_85*catfd_1_VHV_85/catpn_1_VHV_85)/(((dagenperjaar1*VLOOKUP(B87,dagsoorttabel1,2,FALSE))-catfd_1_VHV_85)/catpn_1_VHB_1+catfd_1_VHV_85/catpn_1_VHV_85),0)</f>
        <v>0</v>
      </c>
      <c r="I87" s="22" t="s">
        <v>54</v>
      </c>
      <c r="J87" s="44">
        <f>IF(AND(catpn_1_VHB_1&gt;0,catpn_1_VHV_85&gt;0),(cattf_1_VHB_1*((dagenperjaar1*VLOOKUP(B87,dagsoorttabel1,2,FALSE))-catfd_1_VHV_85)/catpn_1_VHB_1+cattf_1_VHV_85*catfd_1_VHV_85/catpn_1_VHV_85)/(((dagenperjaar1*VLOOKUP(B87,dagsoorttabel1,2,FALSE))-catfd_1_VHV_85)/catpn_1_VHB_1+catfd_1_VHV_85/catpn_1_VHV_85),0)</f>
        <v>0</v>
      </c>
      <c r="K87" s="41">
        <f t="shared" si="11"/>
        <v>0</v>
      </c>
      <c r="L87" s="44">
        <f t="shared" si="12"/>
        <v>0</v>
      </c>
      <c r="M87" s="41">
        <f t="shared" si="13"/>
        <v>0</v>
      </c>
      <c r="N87" s="44">
        <f t="shared" si="14"/>
        <v>0</v>
      </c>
    </row>
    <row r="88" spans="1:14" x14ac:dyDescent="0.2">
      <c r="A88" s="22" t="s">
        <v>233</v>
      </c>
      <c r="B88" s="22" t="s">
        <v>24</v>
      </c>
      <c r="C88" s="22" t="s">
        <v>187</v>
      </c>
      <c r="D88" s="22" t="s">
        <v>234</v>
      </c>
      <c r="E88" s="41">
        <v>3</v>
      </c>
      <c r="F88" s="41">
        <f t="shared" si="10"/>
        <v>0.60000000000000009</v>
      </c>
      <c r="G88" s="42">
        <f>IF(AND(catpn_1_VHB_1&gt;0,catpn_1_VHV_51&gt;0),(dagenperjaar1*VLOOKUP(B88,dagsoorttabel1,2,FALSE))/(((dagenperjaar1*VLOOKUP(B88,dagsoorttabel1,2,FALSE))-catfd_1_VHV_51)/catpn_1_VHB_1+catfd_1_VHV_51/catpn_1_VHV_51),0)</f>
        <v>0</v>
      </c>
      <c r="H88" s="43">
        <f>IF(AND(catpn_1_VHB_1&gt;0,catpn_1_VHV_51&gt;0),(catdw_1_VHB_1*((dagenperjaar1*VLOOKUP(B88,dagsoorttabel1,2,FALSE))-catfd_1_VHV_51)/catpn_1_VHB_1+catdw_1_VHV_51*catfd_1_VHV_51/catpn_1_VHV_51)/(((dagenperjaar1*VLOOKUP(B88,dagsoorttabel1,2,FALSE))-catfd_1_VHV_51)/catpn_1_VHB_1+catfd_1_VHV_51/catpn_1_VHV_51),0)</f>
        <v>0</v>
      </c>
      <c r="I88" s="22" t="s">
        <v>54</v>
      </c>
      <c r="J88" s="44">
        <f>IF(AND(catpn_1_VHB_1&gt;0,catpn_1_VHV_51&gt;0),(cattf_1_VHB_1*((dagenperjaar1*VLOOKUP(B88,dagsoorttabel1,2,FALSE))-catfd_1_VHV_51)/catpn_1_VHB_1+cattf_1_VHV_51*catfd_1_VHV_51/catpn_1_VHV_51)/(((dagenperjaar1*VLOOKUP(B88,dagsoorttabel1,2,FALSE))-catfd_1_VHV_51)/catpn_1_VHB_1+catfd_1_VHV_51/catpn_1_VHV_51),0)</f>
        <v>0</v>
      </c>
      <c r="K88" s="41">
        <f t="shared" si="11"/>
        <v>0</v>
      </c>
      <c r="L88" s="44">
        <f t="shared" si="12"/>
        <v>0</v>
      </c>
      <c r="M88" s="41">
        <f t="shared" si="13"/>
        <v>0</v>
      </c>
      <c r="N88" s="44">
        <f t="shared" si="14"/>
        <v>0</v>
      </c>
    </row>
    <row r="89" spans="1:14" x14ac:dyDescent="0.2">
      <c r="A89" s="22" t="s">
        <v>233</v>
      </c>
      <c r="B89" s="22" t="s">
        <v>17</v>
      </c>
      <c r="C89" s="22" t="s">
        <v>187</v>
      </c>
      <c r="D89" s="22" t="s">
        <v>234</v>
      </c>
      <c r="E89" s="41">
        <v>936.33999999999992</v>
      </c>
      <c r="F89" s="41">
        <f t="shared" si="10"/>
        <v>468.16999999999996</v>
      </c>
      <c r="G89" s="42">
        <f>IF(AND(catpn_1_VZB_1&gt;0,catpn_1_VZV_51&gt;0),(dagenperjaar1*VLOOKUP(B89,dagsoorttabel1,2,FALSE))/(((dagenperjaar1*VLOOKUP(B89,dagsoorttabel1,2,FALSE))-catfd_1_VZV_51)/catpn_1_VZB_1+catfd_1_VZV_51/catpn_1_VZV_51),0)</f>
        <v>0</v>
      </c>
      <c r="H89" s="43">
        <f>IF(AND(catpn_1_VZB_1&gt;0,catpn_1_VZV_51&gt;0),(catdw_1_VZB_1*((dagenperjaar1*VLOOKUP(B89,dagsoorttabel1,2,FALSE))-catfd_1_VZV_51)/catpn_1_VZB_1+catdw_1_VZV_51*catfd_1_VZV_51/catpn_1_VZV_51)/(((dagenperjaar1*VLOOKUP(B89,dagsoorttabel1,2,FALSE))-catfd_1_VZV_51)/catpn_1_VZB_1+catfd_1_VZV_51/catpn_1_VZV_51),0)</f>
        <v>0</v>
      </c>
      <c r="I89" s="22" t="s">
        <v>54</v>
      </c>
      <c r="J89" s="44">
        <f>IF(AND(catpn_1_VZB_1&gt;0,catpn_1_VZV_51&gt;0),(cattf_1_VZB_1*((dagenperjaar1*VLOOKUP(B89,dagsoorttabel1,2,FALSE))-catfd_1_VZV_51)/catpn_1_VZB_1+cattf_1_VZV_51*catfd_1_VZV_51/catpn_1_VZV_51)/(((dagenperjaar1*VLOOKUP(B89,dagsoorttabel1,2,FALSE))-catfd_1_VZV_51)/catpn_1_VZB_1+catfd_1_VZV_51/catpn_1_VZV_51),0)</f>
        <v>0</v>
      </c>
      <c r="K89" s="41">
        <f t="shared" si="11"/>
        <v>0</v>
      </c>
      <c r="L89" s="44">
        <f t="shared" si="12"/>
        <v>0</v>
      </c>
      <c r="M89" s="41">
        <f t="shared" si="13"/>
        <v>0</v>
      </c>
      <c r="N89" s="44">
        <f t="shared" si="14"/>
        <v>0</v>
      </c>
    </row>
    <row r="90" spans="1:14" x14ac:dyDescent="0.2">
      <c r="A90" s="22" t="s">
        <v>233</v>
      </c>
      <c r="B90" s="22" t="s">
        <v>14</v>
      </c>
      <c r="C90" s="22" t="s">
        <v>187</v>
      </c>
      <c r="D90" s="22" t="s">
        <v>234</v>
      </c>
      <c r="E90" s="41">
        <v>194.6</v>
      </c>
      <c r="F90" s="41">
        <f t="shared" si="10"/>
        <v>152.62745098039215</v>
      </c>
      <c r="G90" s="42">
        <f>IF(AND(catpn_1_VZB_1&gt;0,catpn_1_VZV_40&gt;0),(dagenperjaar1*VLOOKUP(B90,dagsoorttabel1,2,FALSE))/(((dagenperjaar1*VLOOKUP(B90,dagsoorttabel1,2,FALSE))-catfd_1_VZV_40)/catpn_1_VZB_1+catfd_1_VZV_40/catpn_1_VZV_40),0)</f>
        <v>0</v>
      </c>
      <c r="H90" s="43">
        <f>IF(AND(catpn_1_VZB_1&gt;0,catpn_1_VZV_40&gt;0),(catdw_1_VZB_1*((dagenperjaar1*VLOOKUP(B90,dagsoorttabel1,2,FALSE))-catfd_1_VZV_40)/catpn_1_VZB_1+catdw_1_VZV_40*catfd_1_VZV_40/catpn_1_VZV_40)/(((dagenperjaar1*VLOOKUP(B90,dagsoorttabel1,2,FALSE))-catfd_1_VZV_40)/catpn_1_VZB_1+catfd_1_VZV_40/catpn_1_VZV_40),0)</f>
        <v>0</v>
      </c>
      <c r="I90" s="22" t="s">
        <v>54</v>
      </c>
      <c r="J90" s="44">
        <f>IF(AND(catpn_1_VZB_1&gt;0,catpn_1_VZV_40&gt;0),(cattf_1_VZB_1*((dagenperjaar1*VLOOKUP(B90,dagsoorttabel1,2,FALSE))-catfd_1_VZV_40)/catpn_1_VZB_1+cattf_1_VZV_40*catfd_1_VZV_40/catpn_1_VZV_40)/(((dagenperjaar1*VLOOKUP(B90,dagsoorttabel1,2,FALSE))-catfd_1_VZV_40)/catpn_1_VZB_1+catfd_1_VZV_40/catpn_1_VZV_40),0)</f>
        <v>0</v>
      </c>
      <c r="K90" s="41">
        <f t="shared" si="11"/>
        <v>0</v>
      </c>
      <c r="L90" s="44">
        <f t="shared" si="12"/>
        <v>0</v>
      </c>
      <c r="M90" s="41">
        <f t="shared" si="13"/>
        <v>0</v>
      </c>
      <c r="N90" s="44">
        <f t="shared" si="14"/>
        <v>0</v>
      </c>
    </row>
    <row r="91" spans="1:14" x14ac:dyDescent="0.2">
      <c r="A91" s="22" t="s">
        <v>233</v>
      </c>
      <c r="B91" s="22" t="s">
        <v>12</v>
      </c>
      <c r="C91" s="22" t="s">
        <v>187</v>
      </c>
      <c r="D91" s="22" t="s">
        <v>234</v>
      </c>
      <c r="E91" s="41">
        <v>44</v>
      </c>
      <c r="F91" s="41">
        <f t="shared" si="10"/>
        <v>38.823529411764703</v>
      </c>
      <c r="G91" s="42">
        <f>IF(AND(catpn_1_VZB_1&gt;0,catpn_1_VZV_45&gt;0),(dagenperjaar1*VLOOKUP(B91,dagsoorttabel1,2,FALSE))/(((dagenperjaar1*VLOOKUP(B91,dagsoorttabel1,2,FALSE))-catfd_1_VZV_45)/catpn_1_VZB_1+catfd_1_VZV_45/catpn_1_VZV_45),0)</f>
        <v>0</v>
      </c>
      <c r="H91" s="43">
        <f>IF(AND(catpn_1_VZB_1&gt;0,catpn_1_VZV_45&gt;0),(catdw_1_VZB_1*((dagenperjaar1*VLOOKUP(B91,dagsoorttabel1,2,FALSE))-catfd_1_VZV_45)/catpn_1_VZB_1+catdw_1_VZV_45*catfd_1_VZV_45/catpn_1_VZV_45)/(((dagenperjaar1*VLOOKUP(B91,dagsoorttabel1,2,FALSE))-catfd_1_VZV_45)/catpn_1_VZB_1+catfd_1_VZV_45/catpn_1_VZV_45),0)</f>
        <v>0</v>
      </c>
      <c r="I91" s="22" t="s">
        <v>54</v>
      </c>
      <c r="J91" s="44">
        <f>IF(AND(catpn_1_VZB_1&gt;0,catpn_1_VZV_45&gt;0),(cattf_1_VZB_1*((dagenperjaar1*VLOOKUP(B91,dagsoorttabel1,2,FALSE))-catfd_1_VZV_45)/catpn_1_VZB_1+cattf_1_VZV_45*catfd_1_VZV_45/catpn_1_VZV_45)/(((dagenperjaar1*VLOOKUP(B91,dagsoorttabel1,2,FALSE))-catfd_1_VZV_45)/catpn_1_VZB_1+catfd_1_VZV_45/catpn_1_VZV_45),0)</f>
        <v>0</v>
      </c>
      <c r="K91" s="41">
        <f t="shared" si="11"/>
        <v>0</v>
      </c>
      <c r="L91" s="44">
        <f t="shared" si="12"/>
        <v>0</v>
      </c>
      <c r="M91" s="41">
        <f t="shared" si="13"/>
        <v>0</v>
      </c>
      <c r="N91" s="44">
        <f t="shared" si="14"/>
        <v>0</v>
      </c>
    </row>
    <row r="92" spans="1:14" x14ac:dyDescent="0.2">
      <c r="A92" s="22" t="s">
        <v>233</v>
      </c>
      <c r="B92" s="22" t="s">
        <v>19</v>
      </c>
      <c r="C92" s="22" t="s">
        <v>187</v>
      </c>
      <c r="D92" s="22" t="s">
        <v>234</v>
      </c>
      <c r="E92" s="41">
        <v>89</v>
      </c>
      <c r="F92" s="41">
        <f t="shared" si="10"/>
        <v>35.6</v>
      </c>
      <c r="G92" s="42">
        <f>IF(AND(catpn_1_VZB_1&gt;0,catpn_1_VZV_51&gt;0),(dagenperjaar1*VLOOKUP(B92,dagsoorttabel1,2,FALSE))/(((dagenperjaar1*VLOOKUP(B92,dagsoorttabel1,2,FALSE))-catfd_1_VZV_51)/catpn_1_VZB_1+catfd_1_VZV_51/catpn_1_VZV_51),0)</f>
        <v>0</v>
      </c>
      <c r="H92" s="43">
        <f>IF(AND(catpn_1_VZB_1&gt;0,catpn_1_VZV_51&gt;0),(catdw_1_VZB_1*((dagenperjaar1*VLOOKUP(B92,dagsoorttabel1,2,FALSE))-catfd_1_VZV_51)/catpn_1_VZB_1+catdw_1_VZV_51*catfd_1_VZV_51/catpn_1_VZV_51)/(((dagenperjaar1*VLOOKUP(B92,dagsoorttabel1,2,FALSE))-catfd_1_VZV_51)/catpn_1_VZB_1+catfd_1_VZV_51/catpn_1_VZV_51),0)</f>
        <v>0</v>
      </c>
      <c r="I92" s="22" t="s">
        <v>54</v>
      </c>
      <c r="J92" s="44">
        <f>IF(AND(catpn_1_VZB_1&gt;0,catpn_1_VZV_51&gt;0),(cattf_1_VZB_1*((dagenperjaar1*VLOOKUP(B92,dagsoorttabel1,2,FALSE))-catfd_1_VZV_51)/catpn_1_VZB_1+cattf_1_VZV_51*catfd_1_VZV_51/catpn_1_VZV_51)/(((dagenperjaar1*VLOOKUP(B92,dagsoorttabel1,2,FALSE))-catfd_1_VZV_51)/catpn_1_VZB_1+catfd_1_VZV_51/catpn_1_VZV_51),0)</f>
        <v>0</v>
      </c>
      <c r="K92" s="41">
        <f t="shared" si="11"/>
        <v>0</v>
      </c>
      <c r="L92" s="44">
        <f t="shared" si="12"/>
        <v>0</v>
      </c>
      <c r="M92" s="41">
        <f t="shared" si="13"/>
        <v>0</v>
      </c>
      <c r="N92" s="44">
        <f t="shared" si="14"/>
        <v>0</v>
      </c>
    </row>
    <row r="93" spans="1:14" x14ac:dyDescent="0.2">
      <c r="A93" s="22" t="s">
        <v>235</v>
      </c>
      <c r="B93" s="22" t="s">
        <v>34</v>
      </c>
      <c r="C93" s="22" t="s">
        <v>187</v>
      </c>
      <c r="D93" s="22" t="s">
        <v>236</v>
      </c>
      <c r="E93" s="41">
        <v>6</v>
      </c>
      <c r="F93" s="41">
        <f t="shared" si="10"/>
        <v>0.32941176470588235</v>
      </c>
      <c r="G93" s="42">
        <f>IF(AND(catpn_1_WHB_1&gt;0,catpn_1_WHV_14&gt;0),(dagenperjaar1*VLOOKUP(B93,dagsoorttabel1,2,FALSE))/(((dagenperjaar1*VLOOKUP(B93,dagsoorttabel1,2,FALSE))-catfd_1_WHV_14)/catpn_1_WHB_1+catfd_1_WHV_14/catpn_1_WHV_14),0)</f>
        <v>0</v>
      </c>
      <c r="H93" s="43">
        <f>IF(AND(catpn_1_WHB_1&gt;0,catpn_1_WHV_14&gt;0),(catdw_1_WHB_1*((dagenperjaar1*VLOOKUP(B93,dagsoorttabel1,2,FALSE))-catfd_1_WHV_14)/catpn_1_WHB_1+catdw_1_WHV_14*catfd_1_WHV_14/catpn_1_WHV_14)/(((dagenperjaar1*VLOOKUP(B93,dagsoorttabel1,2,FALSE))-catfd_1_WHV_14)/catpn_1_WHB_1+catfd_1_WHV_14/catpn_1_WHV_14),0)</f>
        <v>0</v>
      </c>
      <c r="I93" s="22" t="s">
        <v>54</v>
      </c>
      <c r="J93" s="44">
        <f>IF(AND(catpn_1_WHB_1&gt;0,catpn_1_WHV_14&gt;0),(cattf_1_WHB_1*((dagenperjaar1*VLOOKUP(B93,dagsoorttabel1,2,FALSE))-catfd_1_WHV_14)/catpn_1_WHB_1+cattf_1_WHV_14*catfd_1_WHV_14/catpn_1_WHV_14)/(((dagenperjaar1*VLOOKUP(B93,dagsoorttabel1,2,FALSE))-catfd_1_WHV_14)/catpn_1_WHB_1+catfd_1_WHV_14/catpn_1_WHV_14),0)</f>
        <v>0</v>
      </c>
      <c r="K93" s="41">
        <f t="shared" si="11"/>
        <v>0</v>
      </c>
      <c r="L93" s="44">
        <f t="shared" si="12"/>
        <v>0</v>
      </c>
      <c r="M93" s="41">
        <f t="shared" si="13"/>
        <v>0</v>
      </c>
      <c r="N93" s="44">
        <f t="shared" si="14"/>
        <v>0</v>
      </c>
    </row>
    <row r="94" spans="1:14" x14ac:dyDescent="0.2">
      <c r="A94" s="22" t="s">
        <v>235</v>
      </c>
      <c r="B94" s="22" t="s">
        <v>31</v>
      </c>
      <c r="C94" s="22" t="s">
        <v>187</v>
      </c>
      <c r="D94" s="22" t="s">
        <v>236</v>
      </c>
      <c r="E94" s="41">
        <v>6</v>
      </c>
      <c r="F94" s="41">
        <f t="shared" si="10"/>
        <v>0.44705882352941173</v>
      </c>
      <c r="G94" s="42">
        <f>IF(AND(catpn_1_WHB_1&gt;0,catpn_1_WHV_19&gt;0),(dagenperjaar1*VLOOKUP(B94,dagsoorttabel1,2,FALSE))/(((dagenperjaar1*VLOOKUP(B94,dagsoorttabel1,2,FALSE))-catfd_1_WHV_19)/catpn_1_WHB_1+catfd_1_WHV_19/catpn_1_WHV_19),0)</f>
        <v>0</v>
      </c>
      <c r="H94" s="43">
        <f>IF(AND(catpn_1_WHB_1&gt;0,catpn_1_WHV_19&gt;0),(catdw_1_WHB_1*((dagenperjaar1*VLOOKUP(B94,dagsoorttabel1,2,FALSE))-catfd_1_WHV_19)/catpn_1_WHB_1+catdw_1_WHV_19*catfd_1_WHV_19/catpn_1_WHV_19)/(((dagenperjaar1*VLOOKUP(B94,dagsoorttabel1,2,FALSE))-catfd_1_WHV_19)/catpn_1_WHB_1+catfd_1_WHV_19/catpn_1_WHV_19),0)</f>
        <v>0</v>
      </c>
      <c r="I94" s="22" t="s">
        <v>54</v>
      </c>
      <c r="J94" s="44">
        <f>IF(AND(catpn_1_WHB_1&gt;0,catpn_1_WHV_19&gt;0),(cattf_1_WHB_1*((dagenperjaar1*VLOOKUP(B94,dagsoorttabel1,2,FALSE))-catfd_1_WHV_19)/catpn_1_WHB_1+cattf_1_WHV_19*catfd_1_WHV_19/catpn_1_WHV_19)/(((dagenperjaar1*VLOOKUP(B94,dagsoorttabel1,2,FALSE))-catfd_1_WHV_19)/catpn_1_WHB_1+catfd_1_WHV_19/catpn_1_WHV_19),0)</f>
        <v>0</v>
      </c>
      <c r="K94" s="41">
        <f t="shared" si="11"/>
        <v>0</v>
      </c>
      <c r="L94" s="44">
        <f t="shared" si="12"/>
        <v>0</v>
      </c>
      <c r="M94" s="41">
        <f t="shared" si="13"/>
        <v>0</v>
      </c>
      <c r="N94" s="44">
        <f t="shared" si="14"/>
        <v>0</v>
      </c>
    </row>
    <row r="95" spans="1:14" x14ac:dyDescent="0.2">
      <c r="A95" s="22" t="s">
        <v>235</v>
      </c>
      <c r="B95" s="22" t="s">
        <v>10</v>
      </c>
      <c r="C95" s="22" t="s">
        <v>187</v>
      </c>
      <c r="D95" s="22" t="s">
        <v>236</v>
      </c>
      <c r="E95" s="41">
        <v>63.96</v>
      </c>
      <c r="F95" s="41">
        <f t="shared" si="10"/>
        <v>63.96</v>
      </c>
      <c r="G95" s="42">
        <f>IF(AND(catpn_1_WHB_1&gt;0,catpn_1_WHV_51&gt;0),(dagenperjaar1*VLOOKUP(B95,dagsoorttabel1,2,FALSE))/(((dagenperjaar1*VLOOKUP(B95,dagsoorttabel1,2,FALSE))-catfd_1_WHV_51)/catpn_1_WHB_1+catfd_1_WHV_51/catpn_1_WHV_51),0)</f>
        <v>0</v>
      </c>
      <c r="H95" s="43">
        <f>IF(AND(catpn_1_WHB_1&gt;0,catpn_1_WHV_51&gt;0),(catdw_1_WHB_1*((dagenperjaar1*VLOOKUP(B95,dagsoorttabel1,2,FALSE))-catfd_1_WHV_51)/catpn_1_WHB_1+catdw_1_WHV_51*catfd_1_WHV_51/catpn_1_WHV_51)/(((dagenperjaar1*VLOOKUP(B95,dagsoorttabel1,2,FALSE))-catfd_1_WHV_51)/catpn_1_WHB_1+catfd_1_WHV_51/catpn_1_WHV_51),0)</f>
        <v>0</v>
      </c>
      <c r="I95" s="22" t="s">
        <v>54</v>
      </c>
      <c r="J95" s="44">
        <f>IF(AND(catpn_1_WHB_1&gt;0,catpn_1_WHV_51&gt;0),(cattf_1_WHB_1*((dagenperjaar1*VLOOKUP(B95,dagsoorttabel1,2,FALSE))-catfd_1_WHV_51)/catpn_1_WHB_1+cattf_1_WHV_51*catfd_1_WHV_51/catpn_1_WHV_51)/(((dagenperjaar1*VLOOKUP(B95,dagsoorttabel1,2,FALSE))-catfd_1_WHV_51)/catpn_1_WHB_1+catfd_1_WHV_51/catpn_1_WHV_51),0)</f>
        <v>0</v>
      </c>
      <c r="K95" s="41">
        <f t="shared" si="11"/>
        <v>0</v>
      </c>
      <c r="L95" s="44">
        <f t="shared" si="12"/>
        <v>0</v>
      </c>
      <c r="M95" s="41">
        <f t="shared" si="13"/>
        <v>0</v>
      </c>
      <c r="N95" s="44">
        <f t="shared" si="14"/>
        <v>0</v>
      </c>
    </row>
    <row r="96" spans="1:14" x14ac:dyDescent="0.2">
      <c r="A96" s="22" t="s">
        <v>237</v>
      </c>
      <c r="B96" s="22" t="s">
        <v>10</v>
      </c>
      <c r="C96" s="22" t="s">
        <v>187</v>
      </c>
      <c r="D96" s="22" t="s">
        <v>238</v>
      </c>
      <c r="E96" s="41">
        <v>33.549999999999997</v>
      </c>
      <c r="F96" s="41">
        <f t="shared" si="10"/>
        <v>33.549999999999997</v>
      </c>
      <c r="G96" s="42">
        <f>IF(AND(catpn_1_WZB_1&gt;0,catpn_1_WZV_51&gt;0),(dagenperjaar1*VLOOKUP(B96,dagsoorttabel1,2,FALSE))/(((dagenperjaar1*VLOOKUP(B96,dagsoorttabel1,2,FALSE))-catfd_1_WZV_51)/catpn_1_WZB_1+catfd_1_WZV_51/catpn_1_WZV_51),0)</f>
        <v>0</v>
      </c>
      <c r="H96" s="43">
        <f>IF(AND(catpn_1_WZB_1&gt;0,catpn_1_WZV_51&gt;0),(catdw_1_WZB_1*((dagenperjaar1*VLOOKUP(B96,dagsoorttabel1,2,FALSE))-catfd_1_WZV_51)/catpn_1_WZB_1+catdw_1_WZV_51*catfd_1_WZV_51/catpn_1_WZV_51)/(((dagenperjaar1*VLOOKUP(B96,dagsoorttabel1,2,FALSE))-catfd_1_WZV_51)/catpn_1_WZB_1+catfd_1_WZV_51/catpn_1_WZV_51),0)</f>
        <v>0</v>
      </c>
      <c r="I96" s="22" t="s">
        <v>54</v>
      </c>
      <c r="J96" s="44">
        <f>IF(AND(catpn_1_WZB_1&gt;0,catpn_1_WZV_51&gt;0),(cattf_1_WZB_1*((dagenperjaar1*VLOOKUP(B96,dagsoorttabel1,2,FALSE))-catfd_1_WZV_51)/catpn_1_WZB_1+cattf_1_WZV_51*catfd_1_WZV_51/catpn_1_WZV_51)/(((dagenperjaar1*VLOOKUP(B96,dagsoorttabel1,2,FALSE))-catfd_1_WZV_51)/catpn_1_WZB_1+catfd_1_WZV_51/catpn_1_WZV_51),0)</f>
        <v>0</v>
      </c>
      <c r="K96" s="41">
        <f t="shared" si="11"/>
        <v>0</v>
      </c>
      <c r="L96" s="44">
        <f t="shared" si="12"/>
        <v>0</v>
      </c>
      <c r="M96" s="41">
        <f t="shared" si="13"/>
        <v>0</v>
      </c>
      <c r="N96" s="44">
        <f t="shared" si="14"/>
        <v>0</v>
      </c>
    </row>
    <row r="97" spans="1:14" x14ac:dyDescent="0.2">
      <c r="A97" s="22" t="s">
        <v>239</v>
      </c>
      <c r="B97" s="22" t="s">
        <v>17</v>
      </c>
      <c r="C97" s="22" t="s">
        <v>187</v>
      </c>
      <c r="D97" s="22" t="s">
        <v>240</v>
      </c>
      <c r="E97" s="41">
        <v>59.48</v>
      </c>
      <c r="F97" s="41">
        <f t="shared" si="10"/>
        <v>29.74</v>
      </c>
      <c r="G97" s="45"/>
      <c r="H97" s="25"/>
      <c r="I97" s="22" t="s">
        <v>54</v>
      </c>
      <c r="J97" s="26"/>
      <c r="K97" s="41">
        <f t="shared" si="11"/>
        <v>0</v>
      </c>
      <c r="L97" s="44">
        <f t="shared" si="12"/>
        <v>0</v>
      </c>
      <c r="M97" s="41">
        <f t="shared" si="13"/>
        <v>0</v>
      </c>
      <c r="N97" s="44">
        <f t="shared" si="14"/>
        <v>0</v>
      </c>
    </row>
    <row r="98" spans="1:14" x14ac:dyDescent="0.2">
      <c r="A98" s="22" t="s">
        <v>239</v>
      </c>
      <c r="B98" s="22" t="s">
        <v>19</v>
      </c>
      <c r="C98" s="22" t="s">
        <v>187</v>
      </c>
      <c r="D98" s="22" t="s">
        <v>240</v>
      </c>
      <c r="E98" s="41">
        <v>2.14</v>
      </c>
      <c r="F98" s="41">
        <f t="shared" si="10"/>
        <v>0.85600000000000009</v>
      </c>
      <c r="G98" s="45"/>
      <c r="H98" s="25"/>
      <c r="I98" s="22" t="s">
        <v>54</v>
      </c>
      <c r="J98" s="26"/>
      <c r="K98" s="41">
        <f t="shared" si="11"/>
        <v>0</v>
      </c>
      <c r="L98" s="44">
        <f t="shared" si="12"/>
        <v>0</v>
      </c>
      <c r="M98" s="41">
        <f t="shared" si="13"/>
        <v>0</v>
      </c>
      <c r="N98" s="44">
        <f t="shared" si="14"/>
        <v>0</v>
      </c>
    </row>
    <row r="99" spans="1:14" x14ac:dyDescent="0.2">
      <c r="A99" s="22" t="s">
        <v>239</v>
      </c>
      <c r="B99" s="22" t="s">
        <v>16</v>
      </c>
      <c r="C99" s="22" t="s">
        <v>187</v>
      </c>
      <c r="D99" s="22" t="s">
        <v>240</v>
      </c>
      <c r="E99" s="41">
        <v>13.379999999999999</v>
      </c>
      <c r="F99" s="41">
        <f t="shared" si="10"/>
        <v>8.0279999999999987</v>
      </c>
      <c r="G99" s="45"/>
      <c r="H99" s="25"/>
      <c r="I99" s="22" t="s">
        <v>54</v>
      </c>
      <c r="J99" s="26"/>
      <c r="K99" s="41">
        <f t="shared" si="11"/>
        <v>0</v>
      </c>
      <c r="L99" s="44">
        <f t="shared" si="12"/>
        <v>0</v>
      </c>
      <c r="M99" s="41">
        <f t="shared" si="13"/>
        <v>0</v>
      </c>
      <c r="N99" s="44">
        <f t="shared" si="14"/>
        <v>0</v>
      </c>
    </row>
    <row r="100" spans="1:14" x14ac:dyDescent="0.2">
      <c r="A100" s="22" t="s">
        <v>241</v>
      </c>
      <c r="B100" s="22" t="s">
        <v>41</v>
      </c>
      <c r="C100" s="22" t="s">
        <v>242</v>
      </c>
      <c r="D100" s="22" t="s">
        <v>243</v>
      </c>
      <c r="E100" s="41">
        <v>1977.0900000000001</v>
      </c>
      <c r="F100" s="41">
        <f t="shared" si="10"/>
        <v>7.7532941176470596</v>
      </c>
      <c r="G100" s="42">
        <f>catpn_1_XMBB_1</f>
        <v>0</v>
      </c>
      <c r="H100" s="43">
        <f>catdw_1_XMBB_1</f>
        <v>0</v>
      </c>
      <c r="I100" s="22" t="s">
        <v>54</v>
      </c>
      <c r="J100" s="44">
        <f>cattf_1_XMBB_1</f>
        <v>0</v>
      </c>
      <c r="K100" s="41">
        <f t="shared" si="11"/>
        <v>0</v>
      </c>
      <c r="L100" s="44">
        <f t="shared" si="12"/>
        <v>0</v>
      </c>
      <c r="M100" s="41">
        <f t="shared" si="13"/>
        <v>0</v>
      </c>
      <c r="N100" s="44">
        <f t="shared" si="14"/>
        <v>0</v>
      </c>
    </row>
    <row r="101" spans="1:14" x14ac:dyDescent="0.2">
      <c r="A101" s="22" t="s">
        <v>244</v>
      </c>
      <c r="B101" s="22" t="s">
        <v>40</v>
      </c>
      <c r="C101" s="22" t="s">
        <v>242</v>
      </c>
      <c r="D101" s="22" t="s">
        <v>245</v>
      </c>
      <c r="E101" s="41">
        <v>3585.4300000000003</v>
      </c>
      <c r="F101" s="41">
        <f t="shared" si="10"/>
        <v>28.121019607843138</v>
      </c>
      <c r="G101" s="42">
        <f>catpn_1_XSPB_1</f>
        <v>0</v>
      </c>
      <c r="H101" s="43">
        <f>catdw_1_XSPB_1</f>
        <v>0</v>
      </c>
      <c r="I101" s="22" t="s">
        <v>54</v>
      </c>
      <c r="J101" s="44">
        <f>cattf_1_XSPB_1</f>
        <v>0</v>
      </c>
      <c r="K101" s="41">
        <f t="shared" si="11"/>
        <v>0</v>
      </c>
      <c r="L101" s="44">
        <f t="shared" si="12"/>
        <v>0</v>
      </c>
      <c r="M101" s="41">
        <f t="shared" si="13"/>
        <v>0</v>
      </c>
      <c r="N101" s="44">
        <f t="shared" si="14"/>
        <v>0</v>
      </c>
    </row>
    <row r="102" spans="1:14" x14ac:dyDescent="0.2">
      <c r="A102" s="22" t="s">
        <v>246</v>
      </c>
      <c r="B102" s="22" t="s">
        <v>24</v>
      </c>
      <c r="C102" s="22" t="s">
        <v>242</v>
      </c>
      <c r="D102" s="22" t="s">
        <v>247</v>
      </c>
      <c r="E102" s="41">
        <v>15.32</v>
      </c>
      <c r="F102" s="41">
        <f t="shared" ref="F102:F133" si="15">E102*VLOOKUP(B102,dagsoorttabel1,2,FALSE)</f>
        <v>3.0640000000000001</v>
      </c>
      <c r="G102" s="45"/>
      <c r="H102" s="25"/>
      <c r="I102" s="22" t="s">
        <v>54</v>
      </c>
      <c r="J102" s="26"/>
      <c r="K102" s="41">
        <f t="shared" si="11"/>
        <v>0</v>
      </c>
      <c r="L102" s="44">
        <f t="shared" ref="L102:L133" si="16">ROUND(J102,2)*K102</f>
        <v>0</v>
      </c>
      <c r="M102" s="41">
        <f t="shared" ref="M102:M112" si="17">K102*dagenperjaar1</f>
        <v>0</v>
      </c>
      <c r="N102" s="44">
        <f t="shared" ref="N102:N133" si="18">M102*ROUND(J102,2)</f>
        <v>0</v>
      </c>
    </row>
    <row r="103" spans="1:14" x14ac:dyDescent="0.2">
      <c r="A103" s="22" t="s">
        <v>246</v>
      </c>
      <c r="B103" s="22" t="s">
        <v>36</v>
      </c>
      <c r="C103" s="22" t="s">
        <v>242</v>
      </c>
      <c r="D103" s="22" t="s">
        <v>247</v>
      </c>
      <c r="E103" s="41">
        <v>517.91</v>
      </c>
      <c r="F103" s="41">
        <f t="shared" si="15"/>
        <v>16.248156862745098</v>
      </c>
      <c r="G103" s="45"/>
      <c r="H103" s="25"/>
      <c r="I103" s="22" t="s">
        <v>54</v>
      </c>
      <c r="J103" s="26"/>
      <c r="K103" s="41">
        <f t="shared" si="11"/>
        <v>0</v>
      </c>
      <c r="L103" s="44">
        <f t="shared" si="16"/>
        <v>0</v>
      </c>
      <c r="M103" s="41">
        <f t="shared" si="17"/>
        <v>0</v>
      </c>
      <c r="N103" s="44">
        <f t="shared" si="18"/>
        <v>0</v>
      </c>
    </row>
    <row r="104" spans="1:14" x14ac:dyDescent="0.2">
      <c r="A104" s="22" t="s">
        <v>248</v>
      </c>
      <c r="B104" s="22" t="s">
        <v>13</v>
      </c>
      <c r="C104" s="22" t="s">
        <v>242</v>
      </c>
      <c r="D104" s="22" t="s">
        <v>249</v>
      </c>
      <c r="E104" s="41">
        <v>163.05000000000001</v>
      </c>
      <c r="F104" s="41">
        <f t="shared" si="15"/>
        <v>130.44000000000003</v>
      </c>
      <c r="G104" s="45"/>
      <c r="H104" s="25"/>
      <c r="I104" s="22" t="s">
        <v>54</v>
      </c>
      <c r="J104" s="26"/>
      <c r="K104" s="41">
        <f t="shared" si="11"/>
        <v>0</v>
      </c>
      <c r="L104" s="44">
        <f t="shared" si="16"/>
        <v>0</v>
      </c>
      <c r="M104" s="41">
        <f t="shared" si="17"/>
        <v>0</v>
      </c>
      <c r="N104" s="44">
        <f t="shared" si="18"/>
        <v>0</v>
      </c>
    </row>
    <row r="105" spans="1:14" x14ac:dyDescent="0.2">
      <c r="A105" s="22" t="s">
        <v>248</v>
      </c>
      <c r="B105" s="22" t="s">
        <v>10</v>
      </c>
      <c r="C105" s="22" t="s">
        <v>242</v>
      </c>
      <c r="D105" s="22" t="s">
        <v>249</v>
      </c>
      <c r="E105" s="41">
        <v>2</v>
      </c>
      <c r="F105" s="41">
        <f t="shared" si="15"/>
        <v>2</v>
      </c>
      <c r="G105" s="45"/>
      <c r="H105" s="25"/>
      <c r="I105" s="22" t="s">
        <v>54</v>
      </c>
      <c r="J105" s="26"/>
      <c r="K105" s="41">
        <f t="shared" si="11"/>
        <v>0</v>
      </c>
      <c r="L105" s="44">
        <f t="shared" si="16"/>
        <v>0</v>
      </c>
      <c r="M105" s="41">
        <f t="shared" si="17"/>
        <v>0</v>
      </c>
      <c r="N105" s="44">
        <f t="shared" si="18"/>
        <v>0</v>
      </c>
    </row>
    <row r="106" spans="1:14" x14ac:dyDescent="0.2">
      <c r="A106" s="22" t="s">
        <v>250</v>
      </c>
      <c r="B106" s="22" t="s">
        <v>17</v>
      </c>
      <c r="C106" s="22" t="s">
        <v>242</v>
      </c>
      <c r="D106" s="22" t="s">
        <v>251</v>
      </c>
      <c r="E106" s="41">
        <v>213.48</v>
      </c>
      <c r="F106" s="41">
        <f t="shared" si="15"/>
        <v>106.74</v>
      </c>
      <c r="G106" s="45"/>
      <c r="H106" s="25"/>
      <c r="I106" s="22" t="s">
        <v>54</v>
      </c>
      <c r="J106" s="26"/>
      <c r="K106" s="41">
        <f t="shared" si="11"/>
        <v>0</v>
      </c>
      <c r="L106" s="44">
        <f t="shared" si="16"/>
        <v>0</v>
      </c>
      <c r="M106" s="41">
        <f t="shared" si="17"/>
        <v>0</v>
      </c>
      <c r="N106" s="44">
        <f t="shared" si="18"/>
        <v>0</v>
      </c>
    </row>
    <row r="107" spans="1:14" x14ac:dyDescent="0.2">
      <c r="A107" s="22" t="s">
        <v>252</v>
      </c>
      <c r="B107" s="22" t="s">
        <v>10</v>
      </c>
      <c r="C107" s="22" t="s">
        <v>253</v>
      </c>
      <c r="D107" s="22" t="s">
        <v>254</v>
      </c>
      <c r="E107" s="41">
        <v>1</v>
      </c>
      <c r="F107" s="41">
        <f t="shared" si="15"/>
        <v>1</v>
      </c>
      <c r="G107" s="45"/>
      <c r="H107" s="25"/>
      <c r="I107" s="22" t="s">
        <v>255</v>
      </c>
      <c r="J107" s="26"/>
      <c r="K107" s="41">
        <f t="shared" ref="K107:K112" si="19">F107*ROUND(G107,4)/60</f>
        <v>0</v>
      </c>
      <c r="L107" s="44">
        <f t="shared" si="16"/>
        <v>0</v>
      </c>
      <c r="M107" s="41">
        <f t="shared" si="17"/>
        <v>0</v>
      </c>
      <c r="N107" s="44">
        <f t="shared" si="18"/>
        <v>0</v>
      </c>
    </row>
    <row r="108" spans="1:14" x14ac:dyDescent="0.2">
      <c r="A108" s="22" t="s">
        <v>256</v>
      </c>
      <c r="B108" s="22" t="s">
        <v>10</v>
      </c>
      <c r="C108" s="22" t="s">
        <v>253</v>
      </c>
      <c r="D108" s="22" t="s">
        <v>257</v>
      </c>
      <c r="E108" s="41">
        <v>1</v>
      </c>
      <c r="F108" s="41">
        <f t="shared" si="15"/>
        <v>1</v>
      </c>
      <c r="G108" s="45"/>
      <c r="H108" s="25"/>
      <c r="I108" s="22" t="s">
        <v>255</v>
      </c>
      <c r="J108" s="26"/>
      <c r="K108" s="41">
        <f t="shared" si="19"/>
        <v>0</v>
      </c>
      <c r="L108" s="44">
        <f t="shared" si="16"/>
        <v>0</v>
      </c>
      <c r="M108" s="41">
        <f t="shared" si="17"/>
        <v>0</v>
      </c>
      <c r="N108" s="44">
        <f t="shared" si="18"/>
        <v>0</v>
      </c>
    </row>
    <row r="109" spans="1:14" x14ac:dyDescent="0.2">
      <c r="A109" s="22" t="s">
        <v>258</v>
      </c>
      <c r="B109" s="22" t="s">
        <v>35</v>
      </c>
      <c r="C109" s="22" t="s">
        <v>253</v>
      </c>
      <c r="D109" s="22" t="s">
        <v>259</v>
      </c>
      <c r="E109" s="41">
        <v>1</v>
      </c>
      <c r="F109" s="41">
        <f t="shared" si="15"/>
        <v>4.7058823529411764E-2</v>
      </c>
      <c r="G109" s="45"/>
      <c r="H109" s="25"/>
      <c r="I109" s="22" t="s">
        <v>255</v>
      </c>
      <c r="J109" s="26"/>
      <c r="K109" s="41">
        <f t="shared" si="19"/>
        <v>0</v>
      </c>
      <c r="L109" s="44">
        <f t="shared" si="16"/>
        <v>0</v>
      </c>
      <c r="M109" s="41">
        <f t="shared" si="17"/>
        <v>0</v>
      </c>
      <c r="N109" s="44">
        <f t="shared" si="18"/>
        <v>0</v>
      </c>
    </row>
    <row r="110" spans="1:14" x14ac:dyDescent="0.2">
      <c r="A110" s="22" t="s">
        <v>260</v>
      </c>
      <c r="B110" s="22" t="s">
        <v>24</v>
      </c>
      <c r="C110" s="22" t="s">
        <v>253</v>
      </c>
      <c r="D110" s="22" t="s">
        <v>261</v>
      </c>
      <c r="E110" s="41">
        <v>1</v>
      </c>
      <c r="F110" s="41">
        <f t="shared" si="15"/>
        <v>0.2</v>
      </c>
      <c r="G110" s="45"/>
      <c r="H110" s="25"/>
      <c r="I110" s="22" t="s">
        <v>255</v>
      </c>
      <c r="J110" s="26"/>
      <c r="K110" s="41">
        <f t="shared" si="19"/>
        <v>0</v>
      </c>
      <c r="L110" s="44">
        <f t="shared" si="16"/>
        <v>0</v>
      </c>
      <c r="M110" s="41">
        <f t="shared" si="17"/>
        <v>0</v>
      </c>
      <c r="N110" s="44">
        <f t="shared" si="18"/>
        <v>0</v>
      </c>
    </row>
    <row r="111" spans="1:14" x14ac:dyDescent="0.2">
      <c r="A111" s="22" t="s">
        <v>260</v>
      </c>
      <c r="B111" s="22" t="s">
        <v>28</v>
      </c>
      <c r="C111" s="22" t="s">
        <v>253</v>
      </c>
      <c r="D111" s="22" t="s">
        <v>261</v>
      </c>
      <c r="E111" s="41">
        <v>3</v>
      </c>
      <c r="F111" s="41">
        <f t="shared" si="15"/>
        <v>0.29411764705882354</v>
      </c>
      <c r="G111" s="45"/>
      <c r="H111" s="25"/>
      <c r="I111" s="22" t="s">
        <v>255</v>
      </c>
      <c r="J111" s="26"/>
      <c r="K111" s="41">
        <f t="shared" si="19"/>
        <v>0</v>
      </c>
      <c r="L111" s="44">
        <f t="shared" si="16"/>
        <v>0</v>
      </c>
      <c r="M111" s="41">
        <f t="shared" si="17"/>
        <v>0</v>
      </c>
      <c r="N111" s="44">
        <f t="shared" si="18"/>
        <v>0</v>
      </c>
    </row>
    <row r="112" spans="1:14" x14ac:dyDescent="0.2">
      <c r="A112" s="27" t="s">
        <v>262</v>
      </c>
      <c r="B112" s="27" t="s">
        <v>30</v>
      </c>
      <c r="C112" s="27" t="s">
        <v>253</v>
      </c>
      <c r="D112" s="27" t="s">
        <v>263</v>
      </c>
      <c r="E112" s="46">
        <v>1</v>
      </c>
      <c r="F112" s="46">
        <f t="shared" si="15"/>
        <v>7.8431372549019607E-2</v>
      </c>
      <c r="G112" s="47"/>
      <c r="H112" s="30"/>
      <c r="I112" s="27" t="s">
        <v>255</v>
      </c>
      <c r="J112" s="31"/>
      <c r="K112" s="46">
        <f t="shared" si="19"/>
        <v>0</v>
      </c>
      <c r="L112" s="48">
        <f t="shared" si="16"/>
        <v>0</v>
      </c>
      <c r="M112" s="46">
        <f t="shared" si="17"/>
        <v>0</v>
      </c>
      <c r="N112" s="48">
        <f t="shared" si="18"/>
        <v>0</v>
      </c>
    </row>
    <row r="113" spans="1:14" x14ac:dyDescent="0.2">
      <c r="A113" s="50" t="s">
        <v>264</v>
      </c>
      <c r="B113" s="51"/>
      <c r="C113" s="51"/>
      <c r="D113" s="51"/>
      <c r="E113" s="51"/>
      <c r="F113" s="51"/>
      <c r="G113" s="51"/>
      <c r="H113" s="51"/>
      <c r="I113" s="51"/>
      <c r="J113" s="51"/>
      <c r="K113" s="52">
        <f>SUM(K6:K112)</f>
        <v>0</v>
      </c>
      <c r="L113" s="53">
        <f>SUM(L6:L112)</f>
        <v>0</v>
      </c>
      <c r="M113" s="52">
        <f>SUM(M6:M112)</f>
        <v>0</v>
      </c>
      <c r="N113" s="54">
        <f>SUM(N6:N112)</f>
        <v>0</v>
      </c>
    </row>
    <row r="114" spans="1:14" x14ac:dyDescent="0.2">
      <c r="A114" s="55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6"/>
    </row>
    <row r="115" spans="1:14" x14ac:dyDescent="0.2">
      <c r="A115" s="50" t="s">
        <v>265</v>
      </c>
      <c r="B115" s="51"/>
      <c r="C115" s="51"/>
      <c r="D115" s="51"/>
      <c r="E115" s="51"/>
      <c r="F115" s="51"/>
      <c r="G115" s="51"/>
      <c r="H115" s="51"/>
      <c r="I115" s="51"/>
      <c r="J115" s="53">
        <f>IF(urenjaar1&gt;0,SUMIF(M6:M112,"&gt;0",N6:N112)/urenjaar1,0)</f>
        <v>0</v>
      </c>
      <c r="K115" s="51"/>
      <c r="L115" s="51"/>
      <c r="M115" s="51"/>
      <c r="N115" s="56"/>
    </row>
    <row r="116" spans="1:14" x14ac:dyDescent="0.2">
      <c r="A116" s="55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6"/>
    </row>
    <row r="117" spans="1:14" x14ac:dyDescent="0.2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</row>
    <row r="118" spans="1:14" x14ac:dyDescent="0.2">
      <c r="A118" s="12" t="s">
        <v>154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4"/>
    </row>
    <row r="119" spans="1:14" x14ac:dyDescent="0.2">
      <c r="A119" s="17" t="s">
        <v>266</v>
      </c>
      <c r="B119" s="17" t="s">
        <v>35</v>
      </c>
      <c r="C119" s="17" t="s">
        <v>187</v>
      </c>
      <c r="D119" s="17" t="s">
        <v>194</v>
      </c>
      <c r="E119" s="37">
        <v>74.5</v>
      </c>
      <c r="F119" s="37">
        <f t="shared" ref="F119:F126" si="20">E119*VLOOKUP(B119,dagsoorttabel1,2,FALSE)</f>
        <v>3.5058823529411764</v>
      </c>
      <c r="G119" s="38">
        <f>IF(AND(catpn_3_VBZB_1&gt;0,catpn_3_VBZV_12&gt;0),(dagenperjaar1*VLOOKUP(B119,dagsoorttabel1,2,FALSE))/(((dagenperjaar1*VLOOKUP(B119,dagsoorttabel1,2,FALSE))-catfd_3_VBZV_12)/catpn_3_VBZB_1+catfd_3_VBZV_12/catpn_3_VBZV_12),0)</f>
        <v>0</v>
      </c>
      <c r="H119" s="39">
        <f>IF(AND(catpn_3_VBZB_1&gt;0,catpn_3_VBZV_12&gt;0),(catdw_3_VBZB_1*((dagenperjaar1*VLOOKUP(B119,dagsoorttabel1,2,FALSE))-catfd_3_VBZV_12)/catpn_3_VBZB_1+catdw_3_VBZV_12*catfd_3_VBZV_12/catpn_3_VBZV_12)/(((dagenperjaar1*VLOOKUP(B119,dagsoorttabel1,2,FALSE))-catfd_3_VBZV_12)/catpn_3_VBZB_1+catfd_3_VBZV_12/catpn_3_VBZV_12),0)</f>
        <v>0</v>
      </c>
      <c r="I119" s="17" t="s">
        <v>54</v>
      </c>
      <c r="J119" s="40">
        <f>IF(AND(catpn_3_VBZB_1&gt;0,catpn_3_VBZV_12&gt;0),(cattf_3_VBZB_1*((dagenperjaar1*VLOOKUP(B119,dagsoorttabel1,2,FALSE))-catfd_3_VBZV_12)/catpn_3_VBZB_1+cattf_3_VBZV_12*catfd_3_VBZV_12/catpn_3_VBZV_12)/(((dagenperjaar1*VLOOKUP(B119,dagsoorttabel1,2,FALSE))-catfd_3_VBZV_12)/catpn_3_VBZB_1+catfd_3_VBZV_12/catpn_3_VBZV_12),0)</f>
        <v>0</v>
      </c>
      <c r="K119" s="37">
        <f t="shared" ref="K119:K126" si="21">IF(OR(ISBLANK(G119),G119=0),0,F119/ROUND(G119,4))</f>
        <v>0</v>
      </c>
      <c r="L119" s="40">
        <f t="shared" ref="L119:L126" si="22">ROUND(J119,2)*K119</f>
        <v>0</v>
      </c>
      <c r="M119" s="37">
        <f t="shared" ref="M119:M126" si="23">K119*dagenperjaar1</f>
        <v>0</v>
      </c>
      <c r="N119" s="40">
        <f t="shared" ref="N119:N126" si="24">M119*ROUND(J119,2)</f>
        <v>0</v>
      </c>
    </row>
    <row r="120" spans="1:14" x14ac:dyDescent="0.2">
      <c r="A120" s="22" t="s">
        <v>267</v>
      </c>
      <c r="B120" s="22" t="s">
        <v>35</v>
      </c>
      <c r="C120" s="22" t="s">
        <v>187</v>
      </c>
      <c r="D120" s="22" t="s">
        <v>196</v>
      </c>
      <c r="E120" s="41">
        <v>4.4000000000000004</v>
      </c>
      <c r="F120" s="41">
        <f t="shared" si="20"/>
        <v>0.20705882352941177</v>
      </c>
      <c r="G120" s="42">
        <f>IF(AND(catpn_3_VDHB_1&gt;0,catpn_3_VDHV_12&gt;0),(dagenperjaar1*VLOOKUP(B120,dagsoorttabel1,2,FALSE))/(((dagenperjaar1*VLOOKUP(B120,dagsoorttabel1,2,FALSE))-catfd_3_VDHV_12)/catpn_3_VDHB_1+catfd_3_VDHV_12/catpn_3_VDHV_12),0)</f>
        <v>0</v>
      </c>
      <c r="H120" s="43">
        <f>IF(AND(catpn_3_VDHB_1&gt;0,catpn_3_VDHV_12&gt;0),(catdw_3_VDHB_1*((dagenperjaar1*VLOOKUP(B120,dagsoorttabel1,2,FALSE))-catfd_3_VDHV_12)/catpn_3_VDHB_1+catdw_3_VDHV_12*catfd_3_VDHV_12/catpn_3_VDHV_12)/(((dagenperjaar1*VLOOKUP(B120,dagsoorttabel1,2,FALSE))-catfd_3_VDHV_12)/catpn_3_VDHB_1+catfd_3_VDHV_12/catpn_3_VDHV_12),0)</f>
        <v>0</v>
      </c>
      <c r="I120" s="22" t="s">
        <v>54</v>
      </c>
      <c r="J120" s="44">
        <f>IF(AND(catpn_3_VDHB_1&gt;0,catpn_3_VDHV_12&gt;0),(cattf_3_VDHB_1*((dagenperjaar1*VLOOKUP(B120,dagsoorttabel1,2,FALSE))-catfd_3_VDHV_12)/catpn_3_VDHB_1+cattf_3_VDHV_12*catfd_3_VDHV_12/catpn_3_VDHV_12)/(((dagenperjaar1*VLOOKUP(B120,dagsoorttabel1,2,FALSE))-catfd_3_VDHV_12)/catpn_3_VDHB_1+catfd_3_VDHV_12/catpn_3_VDHV_12),0)</f>
        <v>0</v>
      </c>
      <c r="K120" s="41">
        <f t="shared" si="21"/>
        <v>0</v>
      </c>
      <c r="L120" s="44">
        <f t="shared" si="22"/>
        <v>0</v>
      </c>
      <c r="M120" s="41">
        <f t="shared" si="23"/>
        <v>0</v>
      </c>
      <c r="N120" s="44">
        <f t="shared" si="24"/>
        <v>0</v>
      </c>
    </row>
    <row r="121" spans="1:14" x14ac:dyDescent="0.2">
      <c r="A121" s="22" t="s">
        <v>268</v>
      </c>
      <c r="B121" s="22" t="s">
        <v>35</v>
      </c>
      <c r="C121" s="22" t="s">
        <v>187</v>
      </c>
      <c r="D121" s="22" t="s">
        <v>200</v>
      </c>
      <c r="E121" s="41">
        <v>42.3</v>
      </c>
      <c r="F121" s="41">
        <f t="shared" si="20"/>
        <v>1.9905882352941175</v>
      </c>
      <c r="G121" s="42">
        <f>IF(AND(catpn_3_VEHB_1&gt;0,catpn_3_VEHV_12&gt;0),(dagenperjaar1*VLOOKUP(B121,dagsoorttabel1,2,FALSE))/(((dagenperjaar1*VLOOKUP(B121,dagsoorttabel1,2,FALSE))-catfd_3_VEHV_12)/catpn_3_VEHB_1+catfd_3_VEHV_12/catpn_3_VEHV_12),0)</f>
        <v>0</v>
      </c>
      <c r="H121" s="43">
        <f>IF(AND(catpn_3_VEHB_1&gt;0,catpn_3_VEHV_12&gt;0),(catdw_3_VEHB_1*((dagenperjaar1*VLOOKUP(B121,dagsoorttabel1,2,FALSE))-catfd_3_VEHV_12)/catpn_3_VEHB_1+catdw_3_VEHV_12*catfd_3_VEHV_12/catpn_3_VEHV_12)/(((dagenperjaar1*VLOOKUP(B121,dagsoorttabel1,2,FALSE))-catfd_3_VEHV_12)/catpn_3_VEHB_1+catfd_3_VEHV_12/catpn_3_VEHV_12),0)</f>
        <v>0</v>
      </c>
      <c r="I121" s="22" t="s">
        <v>54</v>
      </c>
      <c r="J121" s="44">
        <f>IF(AND(catpn_3_VEHB_1&gt;0,catpn_3_VEHV_12&gt;0),(cattf_3_VEHB_1*((dagenperjaar1*VLOOKUP(B121,dagsoorttabel1,2,FALSE))-catfd_3_VEHV_12)/catpn_3_VEHB_1+cattf_3_VEHV_12*catfd_3_VEHV_12/catpn_3_VEHV_12)/(((dagenperjaar1*VLOOKUP(B121,dagsoorttabel1,2,FALSE))-catfd_3_VEHV_12)/catpn_3_VEHB_1+catfd_3_VEHV_12/catpn_3_VEHV_12),0)</f>
        <v>0</v>
      </c>
      <c r="K121" s="41">
        <f t="shared" si="21"/>
        <v>0</v>
      </c>
      <c r="L121" s="44">
        <f t="shared" si="22"/>
        <v>0</v>
      </c>
      <c r="M121" s="41">
        <f t="shared" si="23"/>
        <v>0</v>
      </c>
      <c r="N121" s="44">
        <f t="shared" si="24"/>
        <v>0</v>
      </c>
    </row>
    <row r="122" spans="1:14" x14ac:dyDescent="0.2">
      <c r="A122" s="22" t="s">
        <v>269</v>
      </c>
      <c r="B122" s="22" t="s">
        <v>35</v>
      </c>
      <c r="C122" s="22" t="s">
        <v>187</v>
      </c>
      <c r="D122" s="22" t="s">
        <v>217</v>
      </c>
      <c r="E122" s="41">
        <v>360.6</v>
      </c>
      <c r="F122" s="41">
        <f t="shared" si="20"/>
        <v>16.969411764705882</v>
      </c>
      <c r="G122" s="42">
        <f>IF(AND(catpn_3_VOZB_1&gt;0,catpn_3_VOZV_12&gt;0),(dagenperjaar1*VLOOKUP(B122,dagsoorttabel1,2,FALSE))/(((dagenperjaar1*VLOOKUP(B122,dagsoorttabel1,2,FALSE))-catfd_3_VOZV_12)/catpn_3_VOZB_1+catfd_3_VOZV_12/catpn_3_VOZV_12),0)</f>
        <v>0</v>
      </c>
      <c r="H122" s="43">
        <f>IF(AND(catpn_3_VOZB_1&gt;0,catpn_3_VOZV_12&gt;0),(catdw_3_VOZB_1*((dagenperjaar1*VLOOKUP(B122,dagsoorttabel1,2,FALSE))-catfd_3_VOZV_12)/catpn_3_VOZB_1+catdw_3_VOZV_12*catfd_3_VOZV_12/catpn_3_VOZV_12)/(((dagenperjaar1*VLOOKUP(B122,dagsoorttabel1,2,FALSE))-catfd_3_VOZV_12)/catpn_3_VOZB_1+catfd_3_VOZV_12/catpn_3_VOZV_12),0)</f>
        <v>0</v>
      </c>
      <c r="I122" s="22" t="s">
        <v>54</v>
      </c>
      <c r="J122" s="44">
        <f>IF(AND(catpn_3_VOZB_1&gt;0,catpn_3_VOZV_12&gt;0),(cattf_3_VOZB_1*((dagenperjaar1*VLOOKUP(B122,dagsoorttabel1,2,FALSE))-catfd_3_VOZV_12)/catpn_3_VOZB_1+cattf_3_VOZV_12*catfd_3_VOZV_12/catpn_3_VOZV_12)/(((dagenperjaar1*VLOOKUP(B122,dagsoorttabel1,2,FALSE))-catfd_3_VOZV_12)/catpn_3_VOZB_1+catfd_3_VOZV_12/catpn_3_VOZV_12),0)</f>
        <v>0</v>
      </c>
      <c r="K122" s="41">
        <f t="shared" si="21"/>
        <v>0</v>
      </c>
      <c r="L122" s="44">
        <f t="shared" si="22"/>
        <v>0</v>
      </c>
      <c r="M122" s="41">
        <f t="shared" si="23"/>
        <v>0</v>
      </c>
      <c r="N122" s="44">
        <f t="shared" si="24"/>
        <v>0</v>
      </c>
    </row>
    <row r="123" spans="1:14" x14ac:dyDescent="0.2">
      <c r="A123" s="22" t="s">
        <v>270</v>
      </c>
      <c r="B123" s="22" t="s">
        <v>35</v>
      </c>
      <c r="C123" s="22" t="s">
        <v>187</v>
      </c>
      <c r="D123" s="22" t="s">
        <v>223</v>
      </c>
      <c r="E123" s="41">
        <v>108.80000000000001</v>
      </c>
      <c r="F123" s="41">
        <f t="shared" si="20"/>
        <v>5.12</v>
      </c>
      <c r="G123" s="42">
        <f>IF(AND(catpn_3_VSHB_1&gt;0,catpn_3_VSHV_12&gt;0),(dagenperjaar1*VLOOKUP(B123,dagsoorttabel1,2,FALSE))/(((dagenperjaar1*VLOOKUP(B123,dagsoorttabel1,2,FALSE))-catfd_3_VSHV_12)/catpn_3_VSHB_1+catfd_3_VSHV_12/catpn_3_VSHV_12),0)</f>
        <v>0</v>
      </c>
      <c r="H123" s="43">
        <f>IF(AND(catpn_3_VSHB_1&gt;0,catpn_3_VSHV_12&gt;0),(catdw_3_VSHB_1*((dagenperjaar1*VLOOKUP(B123,dagsoorttabel1,2,FALSE))-catfd_3_VSHV_12)/catpn_3_VSHB_1+catdw_3_VSHV_12*catfd_3_VSHV_12/catpn_3_VSHV_12)/(((dagenperjaar1*VLOOKUP(B123,dagsoorttabel1,2,FALSE))-catfd_3_VSHV_12)/catpn_3_VSHB_1+catfd_3_VSHV_12/catpn_3_VSHV_12),0)</f>
        <v>0</v>
      </c>
      <c r="I123" s="22" t="s">
        <v>54</v>
      </c>
      <c r="J123" s="44">
        <f>IF(AND(catpn_3_VSHB_1&gt;0,catpn_3_VSHV_12&gt;0),(cattf_3_VSHB_1*((dagenperjaar1*VLOOKUP(B123,dagsoorttabel1,2,FALSE))-catfd_3_VSHV_12)/catpn_3_VSHB_1+cattf_3_VSHV_12*catfd_3_VSHV_12/catpn_3_VSHV_12)/(((dagenperjaar1*VLOOKUP(B123,dagsoorttabel1,2,FALSE))-catfd_3_VSHV_12)/catpn_3_VSHB_1+catfd_3_VSHV_12/catpn_3_VSHV_12),0)</f>
        <v>0</v>
      </c>
      <c r="K123" s="41">
        <f t="shared" si="21"/>
        <v>0</v>
      </c>
      <c r="L123" s="44">
        <f t="shared" si="22"/>
        <v>0</v>
      </c>
      <c r="M123" s="41">
        <f t="shared" si="23"/>
        <v>0</v>
      </c>
      <c r="N123" s="44">
        <f t="shared" si="24"/>
        <v>0</v>
      </c>
    </row>
    <row r="124" spans="1:14" x14ac:dyDescent="0.2">
      <c r="A124" s="22" t="s">
        <v>271</v>
      </c>
      <c r="B124" s="22" t="s">
        <v>35</v>
      </c>
      <c r="C124" s="22" t="s">
        <v>187</v>
      </c>
      <c r="D124" s="22" t="s">
        <v>272</v>
      </c>
      <c r="E124" s="41">
        <v>49.9</v>
      </c>
      <c r="F124" s="41">
        <f t="shared" si="20"/>
        <v>2.348235294117647</v>
      </c>
      <c r="G124" s="42">
        <f>IF(AND(catpn_3_VTHB_1&gt;0,catpn_3_VTHV_12&gt;0),(dagenperjaar1*VLOOKUP(B124,dagsoorttabel1,2,FALSE))/(((dagenperjaar1*VLOOKUP(B124,dagsoorttabel1,2,FALSE))-catfd_3_VTHV_12)/catpn_3_VTHB_1+catfd_3_VTHV_12/catpn_3_VTHV_12),0)</f>
        <v>0</v>
      </c>
      <c r="H124" s="43">
        <f>IF(AND(catpn_3_VTHB_1&gt;0,catpn_3_VTHV_12&gt;0),(catdw_3_VTHB_1*((dagenperjaar1*VLOOKUP(B124,dagsoorttabel1,2,FALSE))-catfd_3_VTHV_12)/catpn_3_VTHB_1+catdw_3_VTHV_12*catfd_3_VTHV_12/catpn_3_VTHV_12)/(((dagenperjaar1*VLOOKUP(B124,dagsoorttabel1,2,FALSE))-catfd_3_VTHV_12)/catpn_3_VTHB_1+catfd_3_VTHV_12/catpn_3_VTHV_12),0)</f>
        <v>0</v>
      </c>
      <c r="I124" s="22" t="s">
        <v>54</v>
      </c>
      <c r="J124" s="44">
        <f>IF(AND(catpn_3_VTHB_1&gt;0,catpn_3_VTHV_12&gt;0),(cattf_3_VTHB_1*((dagenperjaar1*VLOOKUP(B124,dagsoorttabel1,2,FALSE))-catfd_3_VTHV_12)/catpn_3_VTHB_1+cattf_3_VTHV_12*catfd_3_VTHV_12/catpn_3_VTHV_12)/(((dagenperjaar1*VLOOKUP(B124,dagsoorttabel1,2,FALSE))-catfd_3_VTHV_12)/catpn_3_VTHB_1+catfd_3_VTHV_12/catpn_3_VTHV_12),0)</f>
        <v>0</v>
      </c>
      <c r="K124" s="41">
        <f t="shared" si="21"/>
        <v>0</v>
      </c>
      <c r="L124" s="44">
        <f t="shared" si="22"/>
        <v>0</v>
      </c>
      <c r="M124" s="41">
        <f t="shared" si="23"/>
        <v>0</v>
      </c>
      <c r="N124" s="44">
        <f t="shared" si="24"/>
        <v>0</v>
      </c>
    </row>
    <row r="125" spans="1:14" x14ac:dyDescent="0.2">
      <c r="A125" s="22" t="s">
        <v>273</v>
      </c>
      <c r="B125" s="22" t="s">
        <v>35</v>
      </c>
      <c r="C125" s="22" t="s">
        <v>187</v>
      </c>
      <c r="D125" s="22" t="s">
        <v>232</v>
      </c>
      <c r="E125" s="41">
        <v>550.90000000000009</v>
      </c>
      <c r="F125" s="41">
        <f t="shared" si="20"/>
        <v>25.924705882352946</v>
      </c>
      <c r="G125" s="42">
        <f>IF(AND(catpn_3_VVHB_1&gt;0,catpn_3_VVHV_12&gt;0),(dagenperjaar1*VLOOKUP(B125,dagsoorttabel1,2,FALSE))/(((dagenperjaar1*VLOOKUP(B125,dagsoorttabel1,2,FALSE))-catfd_3_VVHV_12)/catpn_3_VVHB_1+catfd_3_VVHV_12/catpn_3_VVHV_12),0)</f>
        <v>0</v>
      </c>
      <c r="H125" s="43">
        <f>IF(AND(catpn_3_VVHB_1&gt;0,catpn_3_VVHV_12&gt;0),(catdw_3_VVHB_1*((dagenperjaar1*VLOOKUP(B125,dagsoorttabel1,2,FALSE))-catfd_3_VVHV_12)/catpn_3_VVHB_1+catdw_3_VVHV_12*catfd_3_VVHV_12/catpn_3_VVHV_12)/(((dagenperjaar1*VLOOKUP(B125,dagsoorttabel1,2,FALSE))-catfd_3_VVHV_12)/catpn_3_VVHB_1+catfd_3_VVHV_12/catpn_3_VVHV_12),0)</f>
        <v>0</v>
      </c>
      <c r="I125" s="22" t="s">
        <v>54</v>
      </c>
      <c r="J125" s="44">
        <f>IF(AND(catpn_3_VVHB_1&gt;0,catpn_3_VVHV_12&gt;0),(cattf_3_VVHB_1*((dagenperjaar1*VLOOKUP(B125,dagsoorttabel1,2,FALSE))-catfd_3_VVHV_12)/catpn_3_VVHB_1+cattf_3_VVHV_12*catfd_3_VVHV_12/catpn_3_VVHV_12)/(((dagenperjaar1*VLOOKUP(B125,dagsoorttabel1,2,FALSE))-catfd_3_VVHV_12)/catpn_3_VVHB_1+catfd_3_VVHV_12/catpn_3_VVHV_12),0)</f>
        <v>0</v>
      </c>
      <c r="K125" s="41">
        <f t="shared" si="21"/>
        <v>0</v>
      </c>
      <c r="L125" s="44">
        <f t="shared" si="22"/>
        <v>0</v>
      </c>
      <c r="M125" s="41">
        <f t="shared" si="23"/>
        <v>0</v>
      </c>
      <c r="N125" s="44">
        <f t="shared" si="24"/>
        <v>0</v>
      </c>
    </row>
    <row r="126" spans="1:14" x14ac:dyDescent="0.2">
      <c r="A126" s="27" t="s">
        <v>274</v>
      </c>
      <c r="B126" s="27" t="s">
        <v>35</v>
      </c>
      <c r="C126" s="27" t="s">
        <v>187</v>
      </c>
      <c r="D126" s="27" t="s">
        <v>234</v>
      </c>
      <c r="E126" s="46">
        <v>81</v>
      </c>
      <c r="F126" s="46">
        <f t="shared" si="20"/>
        <v>3.8117647058823527</v>
      </c>
      <c r="G126" s="57">
        <f>IF(AND(catpn_3_VVZB_1&gt;0,catpn_3_VVZV_12&gt;0),(dagenperjaar1*VLOOKUP(B126,dagsoorttabel1,2,FALSE))/(((dagenperjaar1*VLOOKUP(B126,dagsoorttabel1,2,FALSE))-catfd_3_VVZV_12)/catpn_3_VVZB_1+catfd_3_VVZV_12/catpn_3_VVZV_12),0)</f>
        <v>0</v>
      </c>
      <c r="H126" s="58">
        <f>IF(AND(catpn_3_VVZB_1&gt;0,catpn_3_VVZV_12&gt;0),(catdw_3_VVZB_1*((dagenperjaar1*VLOOKUP(B126,dagsoorttabel1,2,FALSE))-catfd_3_VVZV_12)/catpn_3_VVZB_1+catdw_3_VVZV_12*catfd_3_VVZV_12/catpn_3_VVZV_12)/(((dagenperjaar1*VLOOKUP(B126,dagsoorttabel1,2,FALSE))-catfd_3_VVZV_12)/catpn_3_VVZB_1+catfd_3_VVZV_12/catpn_3_VVZV_12),0)</f>
        <v>0</v>
      </c>
      <c r="I126" s="27" t="s">
        <v>54</v>
      </c>
      <c r="J126" s="48">
        <f>IF(AND(catpn_3_VVZB_1&gt;0,catpn_3_VVZV_12&gt;0),(cattf_3_VVZB_1*((dagenperjaar1*VLOOKUP(B126,dagsoorttabel1,2,FALSE))-catfd_3_VVZV_12)/catpn_3_VVZB_1+cattf_3_VVZV_12*catfd_3_VVZV_12/catpn_3_VVZV_12)/(((dagenperjaar1*VLOOKUP(B126,dagsoorttabel1,2,FALSE))-catfd_3_VVZV_12)/catpn_3_VVZB_1+catfd_3_VVZV_12/catpn_3_VVZV_12),0)</f>
        <v>0</v>
      </c>
      <c r="K126" s="46">
        <f t="shared" si="21"/>
        <v>0</v>
      </c>
      <c r="L126" s="48">
        <f t="shared" si="22"/>
        <v>0</v>
      </c>
      <c r="M126" s="46">
        <f t="shared" si="23"/>
        <v>0</v>
      </c>
      <c r="N126" s="48">
        <f t="shared" si="24"/>
        <v>0</v>
      </c>
    </row>
    <row r="127" spans="1:14" x14ac:dyDescent="0.2">
      <c r="A127" s="50" t="s">
        <v>275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2">
        <f>SUM(K119:K126)</f>
        <v>0</v>
      </c>
      <c r="L127" s="53">
        <f>SUM(L119:L126)</f>
        <v>0</v>
      </c>
      <c r="M127" s="52">
        <f>SUM(M119:M126)</f>
        <v>0</v>
      </c>
      <c r="N127" s="54">
        <f>SUM(N119:N126)</f>
        <v>0</v>
      </c>
    </row>
    <row r="128" spans="1:14" x14ac:dyDescent="0.2">
      <c r="A128" s="55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6"/>
    </row>
    <row r="129" spans="1:14" x14ac:dyDescent="0.2">
      <c r="A129" s="50" t="s">
        <v>276</v>
      </c>
      <c r="B129" s="51"/>
      <c r="C129" s="51"/>
      <c r="D129" s="51"/>
      <c r="E129" s="51"/>
      <c r="F129" s="51"/>
      <c r="G129" s="51"/>
      <c r="H129" s="51"/>
      <c r="I129" s="51"/>
      <c r="J129" s="53">
        <f>IF(urenjaar3&gt;0,SUMIF(M119:M126,"&gt;0",N119:N126)/urenjaar3,0)</f>
        <v>0</v>
      </c>
      <c r="K129" s="51"/>
      <c r="L129" s="51"/>
      <c r="M129" s="51"/>
      <c r="N129" s="56"/>
    </row>
    <row r="130" spans="1:14" x14ac:dyDescent="0.2">
      <c r="A130" s="55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6"/>
    </row>
    <row r="131" spans="1:14" x14ac:dyDescent="0.2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</row>
    <row r="132" spans="1:14" x14ac:dyDescent="0.2">
      <c r="A132" s="12" t="s">
        <v>171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4"/>
    </row>
    <row r="133" spans="1:14" x14ac:dyDescent="0.2">
      <c r="A133" s="17" t="s">
        <v>277</v>
      </c>
      <c r="B133" s="17" t="s">
        <v>29</v>
      </c>
      <c r="C133" s="17" t="s">
        <v>187</v>
      </c>
      <c r="D133" s="17" t="s">
        <v>196</v>
      </c>
      <c r="E133" s="37">
        <v>4.4000000000000004</v>
      </c>
      <c r="F133" s="37">
        <f t="shared" ref="F133:F142" si="25">E133*VLOOKUP(B133,dagsoorttabel1,2,FALSE)</f>
        <v>0.41411764705882353</v>
      </c>
      <c r="G133" s="38">
        <f>catpn_4_WDHB_1</f>
        <v>0</v>
      </c>
      <c r="H133" s="39">
        <f>catdw_4_WDHB_1</f>
        <v>0</v>
      </c>
      <c r="I133" s="17" t="s">
        <v>54</v>
      </c>
      <c r="J133" s="40">
        <f>cattf_4_WDHB_1</f>
        <v>0</v>
      </c>
      <c r="K133" s="37">
        <f t="shared" ref="K133:K142" si="26">IF(OR(ISBLANK(G133),G133=0),0,F133/ROUND(G133,4))</f>
        <v>0</v>
      </c>
      <c r="L133" s="40">
        <f t="shared" ref="L133:L142" si="27">ROUND(J133,2)*K133</f>
        <v>0</v>
      </c>
      <c r="M133" s="37">
        <f t="shared" ref="M133:M142" si="28">K133*dagenperjaar1</f>
        <v>0</v>
      </c>
      <c r="N133" s="40">
        <f t="shared" ref="N133:N142" si="29">M133*ROUND(J133,2)</f>
        <v>0</v>
      </c>
    </row>
    <row r="134" spans="1:14" x14ac:dyDescent="0.2">
      <c r="A134" s="22" t="s">
        <v>277</v>
      </c>
      <c r="B134" s="22" t="s">
        <v>22</v>
      </c>
      <c r="C134" s="22" t="s">
        <v>187</v>
      </c>
      <c r="D134" s="22" t="s">
        <v>196</v>
      </c>
      <c r="E134" s="41">
        <v>13</v>
      </c>
      <c r="F134" s="41">
        <f t="shared" si="25"/>
        <v>3.5686274509803924</v>
      </c>
      <c r="G134" s="42">
        <f>catpn_4_WDHB_1</f>
        <v>0</v>
      </c>
      <c r="H134" s="43">
        <f>catdw_4_WDHB_1</f>
        <v>0</v>
      </c>
      <c r="I134" s="22" t="s">
        <v>54</v>
      </c>
      <c r="J134" s="44">
        <f>cattf_4_WDHB_1</f>
        <v>0</v>
      </c>
      <c r="K134" s="41">
        <f t="shared" si="26"/>
        <v>0</v>
      </c>
      <c r="L134" s="44">
        <f t="shared" si="27"/>
        <v>0</v>
      </c>
      <c r="M134" s="41">
        <f t="shared" si="28"/>
        <v>0</v>
      </c>
      <c r="N134" s="44">
        <f t="shared" si="29"/>
        <v>0</v>
      </c>
    </row>
    <row r="135" spans="1:14" x14ac:dyDescent="0.2">
      <c r="A135" s="22" t="s">
        <v>278</v>
      </c>
      <c r="B135" s="22" t="s">
        <v>27</v>
      </c>
      <c r="C135" s="22" t="s">
        <v>187</v>
      </c>
      <c r="D135" s="22" t="s">
        <v>198</v>
      </c>
      <c r="E135" s="41">
        <v>13</v>
      </c>
      <c r="F135" s="41">
        <f t="shared" si="25"/>
        <v>1.3254901960784313</v>
      </c>
      <c r="G135" s="42">
        <f>catpn_4_WDHB_1</f>
        <v>0</v>
      </c>
      <c r="H135" s="43">
        <f>catdw_4_WDHB_1</f>
        <v>0</v>
      </c>
      <c r="I135" s="22" t="s">
        <v>54</v>
      </c>
      <c r="J135" s="44">
        <f>cattf_4_WDHB_1</f>
        <v>0</v>
      </c>
      <c r="K135" s="41">
        <f t="shared" si="26"/>
        <v>0</v>
      </c>
      <c r="L135" s="44">
        <f t="shared" si="27"/>
        <v>0</v>
      </c>
      <c r="M135" s="41">
        <f t="shared" si="28"/>
        <v>0</v>
      </c>
      <c r="N135" s="44">
        <f t="shared" si="29"/>
        <v>0</v>
      </c>
    </row>
    <row r="136" spans="1:14" x14ac:dyDescent="0.2">
      <c r="A136" s="22" t="s">
        <v>279</v>
      </c>
      <c r="B136" s="22" t="s">
        <v>29</v>
      </c>
      <c r="C136" s="22" t="s">
        <v>187</v>
      </c>
      <c r="D136" s="22" t="s">
        <v>200</v>
      </c>
      <c r="E136" s="41">
        <v>42.3</v>
      </c>
      <c r="F136" s="41">
        <f t="shared" si="25"/>
        <v>3.9811764705882351</v>
      </c>
      <c r="G136" s="42">
        <f>catpn_4_WEHB_1</f>
        <v>0</v>
      </c>
      <c r="H136" s="43">
        <f>catdw_4_WEHB_1</f>
        <v>0</v>
      </c>
      <c r="I136" s="22" t="s">
        <v>54</v>
      </c>
      <c r="J136" s="44">
        <f>cattf_4_WEHB_1</f>
        <v>0</v>
      </c>
      <c r="K136" s="41">
        <f t="shared" si="26"/>
        <v>0</v>
      </c>
      <c r="L136" s="44">
        <f t="shared" si="27"/>
        <v>0</v>
      </c>
      <c r="M136" s="41">
        <f t="shared" si="28"/>
        <v>0</v>
      </c>
      <c r="N136" s="44">
        <f t="shared" si="29"/>
        <v>0</v>
      </c>
    </row>
    <row r="137" spans="1:14" x14ac:dyDescent="0.2">
      <c r="A137" s="22" t="s">
        <v>280</v>
      </c>
      <c r="B137" s="22" t="s">
        <v>29</v>
      </c>
      <c r="C137" s="22" t="s">
        <v>187</v>
      </c>
      <c r="D137" s="22" t="s">
        <v>281</v>
      </c>
      <c r="E137" s="41">
        <v>226</v>
      </c>
      <c r="F137" s="41">
        <f t="shared" si="25"/>
        <v>21.270588235294117</v>
      </c>
      <c r="G137" s="42">
        <f>catpn_4_WOZB_1</f>
        <v>0</v>
      </c>
      <c r="H137" s="43">
        <f>catdw_4_WOZB_1</f>
        <v>0</v>
      </c>
      <c r="I137" s="22" t="s">
        <v>54</v>
      </c>
      <c r="J137" s="44">
        <f>cattf_4_WOZB_1</f>
        <v>0</v>
      </c>
      <c r="K137" s="41">
        <f t="shared" si="26"/>
        <v>0</v>
      </c>
      <c r="L137" s="44">
        <f t="shared" si="27"/>
        <v>0</v>
      </c>
      <c r="M137" s="41">
        <f t="shared" si="28"/>
        <v>0</v>
      </c>
      <c r="N137" s="44">
        <f t="shared" si="29"/>
        <v>0</v>
      </c>
    </row>
    <row r="138" spans="1:14" x14ac:dyDescent="0.2">
      <c r="A138" s="22" t="s">
        <v>282</v>
      </c>
      <c r="B138" s="22" t="s">
        <v>29</v>
      </c>
      <c r="C138" s="22" t="s">
        <v>187</v>
      </c>
      <c r="D138" s="22" t="s">
        <v>223</v>
      </c>
      <c r="E138" s="41">
        <v>102.20000000000002</v>
      </c>
      <c r="F138" s="41">
        <f t="shared" si="25"/>
        <v>9.6188235294117668</v>
      </c>
      <c r="G138" s="42">
        <f>catpn_4_WSHB_1</f>
        <v>0</v>
      </c>
      <c r="H138" s="43">
        <f>catdw_4_WSHB_1</f>
        <v>0</v>
      </c>
      <c r="I138" s="22" t="s">
        <v>54</v>
      </c>
      <c r="J138" s="44">
        <f>cattf_4_WSHB_1</f>
        <v>0</v>
      </c>
      <c r="K138" s="41">
        <f t="shared" si="26"/>
        <v>0</v>
      </c>
      <c r="L138" s="44">
        <f t="shared" si="27"/>
        <v>0</v>
      </c>
      <c r="M138" s="41">
        <f t="shared" si="28"/>
        <v>0</v>
      </c>
      <c r="N138" s="44">
        <f t="shared" si="29"/>
        <v>0</v>
      </c>
    </row>
    <row r="139" spans="1:14" x14ac:dyDescent="0.2">
      <c r="A139" s="22" t="s">
        <v>282</v>
      </c>
      <c r="B139" s="22" t="s">
        <v>22</v>
      </c>
      <c r="C139" s="22" t="s">
        <v>187</v>
      </c>
      <c r="D139" s="22" t="s">
        <v>223</v>
      </c>
      <c r="E139" s="41">
        <v>9</v>
      </c>
      <c r="F139" s="41">
        <f t="shared" si="25"/>
        <v>2.4705882352941178</v>
      </c>
      <c r="G139" s="42">
        <f>catpn_4_WSHB_1</f>
        <v>0</v>
      </c>
      <c r="H139" s="43">
        <f>catdw_4_WSHB_1</f>
        <v>0</v>
      </c>
      <c r="I139" s="22" t="s">
        <v>54</v>
      </c>
      <c r="J139" s="44">
        <f>cattf_4_WSHB_1</f>
        <v>0</v>
      </c>
      <c r="K139" s="41">
        <f t="shared" si="26"/>
        <v>0</v>
      </c>
      <c r="L139" s="44">
        <f t="shared" si="27"/>
        <v>0</v>
      </c>
      <c r="M139" s="41">
        <f t="shared" si="28"/>
        <v>0</v>
      </c>
      <c r="N139" s="44">
        <f t="shared" si="29"/>
        <v>0</v>
      </c>
    </row>
    <row r="140" spans="1:14" x14ac:dyDescent="0.2">
      <c r="A140" s="22" t="s">
        <v>283</v>
      </c>
      <c r="B140" s="22" t="s">
        <v>27</v>
      </c>
      <c r="C140" s="22" t="s">
        <v>187</v>
      </c>
      <c r="D140" s="22" t="s">
        <v>226</v>
      </c>
      <c r="E140" s="41">
        <v>9</v>
      </c>
      <c r="F140" s="41">
        <f t="shared" si="25"/>
        <v>0.91764705882352937</v>
      </c>
      <c r="G140" s="42">
        <f>catpn_4_WSHB_1</f>
        <v>0</v>
      </c>
      <c r="H140" s="43">
        <f>catdw_4_WSHB_1</f>
        <v>0</v>
      </c>
      <c r="I140" s="22" t="s">
        <v>54</v>
      </c>
      <c r="J140" s="44">
        <f>cattf_4_WSHB_1</f>
        <v>0</v>
      </c>
      <c r="K140" s="41">
        <f t="shared" si="26"/>
        <v>0</v>
      </c>
      <c r="L140" s="44">
        <f t="shared" si="27"/>
        <v>0</v>
      </c>
      <c r="M140" s="41">
        <f t="shared" si="28"/>
        <v>0</v>
      </c>
      <c r="N140" s="44">
        <f t="shared" si="29"/>
        <v>0</v>
      </c>
    </row>
    <row r="141" spans="1:14" x14ac:dyDescent="0.2">
      <c r="A141" s="22" t="s">
        <v>284</v>
      </c>
      <c r="B141" s="22" t="s">
        <v>29</v>
      </c>
      <c r="C141" s="22" t="s">
        <v>187</v>
      </c>
      <c r="D141" s="22" t="s">
        <v>232</v>
      </c>
      <c r="E141" s="41">
        <v>505.70000000000005</v>
      </c>
      <c r="F141" s="41">
        <f t="shared" si="25"/>
        <v>47.595294117647065</v>
      </c>
      <c r="G141" s="42">
        <f>catpn_4_WVHB_1</f>
        <v>0</v>
      </c>
      <c r="H141" s="43">
        <f>catdw_4_WVHB_1</f>
        <v>0</v>
      </c>
      <c r="I141" s="22" t="s">
        <v>54</v>
      </c>
      <c r="J141" s="44">
        <f>cattf_4_WVHB_1</f>
        <v>0</v>
      </c>
      <c r="K141" s="41">
        <f t="shared" si="26"/>
        <v>0</v>
      </c>
      <c r="L141" s="44">
        <f t="shared" si="27"/>
        <v>0</v>
      </c>
      <c r="M141" s="41">
        <f t="shared" si="28"/>
        <v>0</v>
      </c>
      <c r="N141" s="44">
        <f t="shared" si="29"/>
        <v>0</v>
      </c>
    </row>
    <row r="142" spans="1:14" x14ac:dyDescent="0.2">
      <c r="A142" s="27" t="s">
        <v>285</v>
      </c>
      <c r="B142" s="27" t="s">
        <v>29</v>
      </c>
      <c r="C142" s="27" t="s">
        <v>187</v>
      </c>
      <c r="D142" s="27" t="s">
        <v>234</v>
      </c>
      <c r="E142" s="46">
        <v>57.2</v>
      </c>
      <c r="F142" s="46">
        <f t="shared" si="25"/>
        <v>5.3835294117647061</v>
      </c>
      <c r="G142" s="57">
        <f>catpn_4_WVZB_1</f>
        <v>0</v>
      </c>
      <c r="H142" s="58">
        <f>catdw_4_WVZB_1</f>
        <v>0</v>
      </c>
      <c r="I142" s="27" t="s">
        <v>54</v>
      </c>
      <c r="J142" s="48">
        <f>cattf_4_WVZB_1</f>
        <v>0</v>
      </c>
      <c r="K142" s="46">
        <f t="shared" si="26"/>
        <v>0</v>
      </c>
      <c r="L142" s="48">
        <f t="shared" si="27"/>
        <v>0</v>
      </c>
      <c r="M142" s="46">
        <f t="shared" si="28"/>
        <v>0</v>
      </c>
      <c r="N142" s="48">
        <f t="shared" si="29"/>
        <v>0</v>
      </c>
    </row>
    <row r="143" spans="1:14" x14ac:dyDescent="0.2">
      <c r="A143" s="50" t="s">
        <v>286</v>
      </c>
      <c r="B143" s="51"/>
      <c r="C143" s="51"/>
      <c r="D143" s="51"/>
      <c r="E143" s="51"/>
      <c r="F143" s="51"/>
      <c r="G143" s="51"/>
      <c r="H143" s="51"/>
      <c r="I143" s="51"/>
      <c r="J143" s="51"/>
      <c r="K143" s="52">
        <f>SUM(K133:K142)</f>
        <v>0</v>
      </c>
      <c r="L143" s="53">
        <f>SUM(L133:L142)</f>
        <v>0</v>
      </c>
      <c r="M143" s="52">
        <f>SUM(M133:M142)</f>
        <v>0</v>
      </c>
      <c r="N143" s="54">
        <f>SUM(N133:N142)</f>
        <v>0</v>
      </c>
    </row>
    <row r="144" spans="1:14" x14ac:dyDescent="0.2">
      <c r="A144" s="55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6"/>
    </row>
    <row r="145" spans="1:14" x14ac:dyDescent="0.2">
      <c r="A145" s="50" t="s">
        <v>287</v>
      </c>
      <c r="B145" s="51"/>
      <c r="C145" s="51"/>
      <c r="D145" s="51"/>
      <c r="E145" s="51"/>
      <c r="F145" s="51"/>
      <c r="G145" s="51"/>
      <c r="H145" s="51"/>
      <c r="I145" s="51"/>
      <c r="J145" s="53">
        <f>IF(urenjaar4&gt;0,SUMIF(M133:M142,"&gt;0",N133:N142)/urenjaar4,0)</f>
        <v>0</v>
      </c>
      <c r="K145" s="51"/>
      <c r="L145" s="51"/>
      <c r="M145" s="51"/>
      <c r="N145" s="56"/>
    </row>
    <row r="146" spans="1:14" x14ac:dyDescent="0.2">
      <c r="A146" s="55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6"/>
    </row>
    <row r="148" spans="1:14" x14ac:dyDescent="0.2">
      <c r="A148" s="50" t="s">
        <v>288</v>
      </c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2">
        <f>urenjaar1+urenjaar3+urenjaar4</f>
        <v>0</v>
      </c>
      <c r="N148" s="53">
        <f>prijsjaar1+prijsjaar3+prijsjaar4</f>
        <v>0</v>
      </c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89C9-267A-4676-A726-9EAFBD69EFD3}">
  <dimension ref="A1:U63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I.1.3: ",tabeltype," ruimten werkdag")</f>
        <v>Bijlage I.1.3: Invultabel ruimten werkdag</v>
      </c>
    </row>
    <row r="3" spans="1:21" ht="38.25" x14ac:dyDescent="0.2">
      <c r="A3" s="59" t="s">
        <v>289</v>
      </c>
      <c r="B3" s="8" t="s">
        <v>290</v>
      </c>
      <c r="C3" s="8" t="s">
        <v>291</v>
      </c>
      <c r="D3" s="8" t="s">
        <v>292</v>
      </c>
      <c r="E3" s="8" t="s">
        <v>293</v>
      </c>
      <c r="F3" s="8" t="s">
        <v>294</v>
      </c>
      <c r="G3" s="8" t="s">
        <v>295</v>
      </c>
      <c r="H3" s="8" t="s">
        <v>178</v>
      </c>
      <c r="I3" s="8" t="s">
        <v>8</v>
      </c>
      <c r="J3" s="8" t="s">
        <v>296</v>
      </c>
      <c r="K3" s="8" t="s">
        <v>180</v>
      </c>
      <c r="L3" s="8" t="s">
        <v>181</v>
      </c>
      <c r="M3" s="8" t="s">
        <v>46</v>
      </c>
      <c r="N3" s="8" t="s">
        <v>47</v>
      </c>
      <c r="O3" s="8" t="s">
        <v>48</v>
      </c>
      <c r="P3" s="8" t="s">
        <v>49</v>
      </c>
      <c r="Q3" s="8" t="s">
        <v>182</v>
      </c>
      <c r="R3" s="8" t="s">
        <v>297</v>
      </c>
      <c r="S3" s="8" t="s">
        <v>183</v>
      </c>
      <c r="T3" s="8" t="s">
        <v>184</v>
      </c>
      <c r="U3" s="60" t="s">
        <v>185</v>
      </c>
    </row>
    <row r="4" spans="1:21" x14ac:dyDescent="0.2">
      <c r="A4" s="61" t="s">
        <v>298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9"/>
    </row>
    <row r="5" spans="1:21" x14ac:dyDescent="0.2">
      <c r="A5" s="63" t="s">
        <v>299</v>
      </c>
      <c r="B5" s="64" t="s">
        <v>300</v>
      </c>
      <c r="C5" s="64" t="s">
        <v>301</v>
      </c>
      <c r="D5" s="64" t="s">
        <v>302</v>
      </c>
      <c r="E5" s="64" t="s">
        <v>300</v>
      </c>
      <c r="F5" s="65" t="s">
        <v>303</v>
      </c>
      <c r="G5" s="64" t="s">
        <v>304</v>
      </c>
      <c r="H5" s="64" t="s">
        <v>186</v>
      </c>
      <c r="I5" s="64" t="s">
        <v>24</v>
      </c>
      <c r="J5" s="64" t="s">
        <v>187</v>
      </c>
      <c r="K5" s="66">
        <v>77.78</v>
      </c>
      <c r="L5" s="66">
        <f t="shared" ref="L5:L68" si="0">K5*VLOOKUP(I5,dagsoorttabel1,2,FALSE)</f>
        <v>15.556000000000001</v>
      </c>
      <c r="M5" s="67">
        <f>prodnorm26</f>
        <v>0</v>
      </c>
      <c r="N5" s="68">
        <f>dagwerk26</f>
        <v>0</v>
      </c>
      <c r="O5" s="64" t="s">
        <v>54</v>
      </c>
      <c r="P5" s="69">
        <f>uurtarief26</f>
        <v>0</v>
      </c>
      <c r="Q5" s="66" t="e">
        <f t="shared" ref="Q5:Q20" si="1">IF(ISBLANK(M5),0,L5/ROUND(M5,4))</f>
        <v>#DIV/0!</v>
      </c>
      <c r="R5" s="66" t="e">
        <f t="shared" ref="R5:R68" si="2">IF(ISBLANK(M5),0,Q5*ROUND(N5,2))</f>
        <v>#DIV/0!</v>
      </c>
      <c r="S5" s="69" t="e">
        <f t="shared" ref="S5:S68" si="3">ROUND(P5,2)*Q5</f>
        <v>#DIV/0!</v>
      </c>
      <c r="T5" s="66" t="e">
        <f t="shared" ref="T5:T68" si="4">Q5*dagenperjaar1</f>
        <v>#DIV/0!</v>
      </c>
      <c r="U5" s="70" t="e">
        <f t="shared" ref="U5:U68" si="5">T5*ROUND(P5,2)</f>
        <v>#DIV/0!</v>
      </c>
    </row>
    <row r="6" spans="1:21" x14ac:dyDescent="0.2">
      <c r="A6" s="71" t="s">
        <v>299</v>
      </c>
      <c r="B6" s="72" t="s">
        <v>300</v>
      </c>
      <c r="C6" s="72" t="s">
        <v>301</v>
      </c>
      <c r="D6" s="72" t="s">
        <v>305</v>
      </c>
      <c r="E6" s="72" t="s">
        <v>300</v>
      </c>
      <c r="F6" s="73" t="s">
        <v>306</v>
      </c>
      <c r="G6" s="72" t="s">
        <v>304</v>
      </c>
      <c r="H6" s="72" t="s">
        <v>231</v>
      </c>
      <c r="I6" s="72" t="s">
        <v>17</v>
      </c>
      <c r="J6" s="72" t="s">
        <v>187</v>
      </c>
      <c r="K6" s="74">
        <v>65.010000000000005</v>
      </c>
      <c r="L6" s="74">
        <f t="shared" si="0"/>
        <v>32.505000000000003</v>
      </c>
      <c r="M6" s="75">
        <f>prodnorm98</f>
        <v>0</v>
      </c>
      <c r="N6" s="76">
        <f>dagwerk98</f>
        <v>0</v>
      </c>
      <c r="O6" s="72" t="s">
        <v>54</v>
      </c>
      <c r="P6" s="77">
        <f>uurtarief98</f>
        <v>0</v>
      </c>
      <c r="Q6" s="74" t="e">
        <f t="shared" si="1"/>
        <v>#DIV/0!</v>
      </c>
      <c r="R6" s="74" t="e">
        <f t="shared" si="2"/>
        <v>#DIV/0!</v>
      </c>
      <c r="S6" s="77" t="e">
        <f t="shared" si="3"/>
        <v>#DIV/0!</v>
      </c>
      <c r="T6" s="74" t="e">
        <f t="shared" si="4"/>
        <v>#DIV/0!</v>
      </c>
      <c r="U6" s="78" t="e">
        <f t="shared" si="5"/>
        <v>#DIV/0!</v>
      </c>
    </row>
    <row r="7" spans="1:21" x14ac:dyDescent="0.2">
      <c r="A7" s="71" t="s">
        <v>299</v>
      </c>
      <c r="B7" s="72" t="s">
        <v>300</v>
      </c>
      <c r="C7" s="72" t="s">
        <v>301</v>
      </c>
      <c r="D7" s="72" t="s">
        <v>307</v>
      </c>
      <c r="E7" s="72" t="s">
        <v>300</v>
      </c>
      <c r="F7" s="73" t="s">
        <v>308</v>
      </c>
      <c r="G7" s="72" t="s">
        <v>309</v>
      </c>
      <c r="H7" s="72" t="s">
        <v>227</v>
      </c>
      <c r="I7" s="72" t="s">
        <v>24</v>
      </c>
      <c r="J7" s="72" t="s">
        <v>187</v>
      </c>
      <c r="K7" s="74">
        <v>20</v>
      </c>
      <c r="L7" s="74">
        <f t="shared" si="0"/>
        <v>4</v>
      </c>
      <c r="M7" s="75">
        <f>prodnorm90</f>
        <v>0</v>
      </c>
      <c r="N7" s="76">
        <f>dagwerk90</f>
        <v>0</v>
      </c>
      <c r="O7" s="72" t="s">
        <v>54</v>
      </c>
      <c r="P7" s="77">
        <f>uurtarief90</f>
        <v>0</v>
      </c>
      <c r="Q7" s="74" t="e">
        <f t="shared" si="1"/>
        <v>#DIV/0!</v>
      </c>
      <c r="R7" s="74" t="e">
        <f t="shared" si="2"/>
        <v>#DIV/0!</v>
      </c>
      <c r="S7" s="77" t="e">
        <f t="shared" si="3"/>
        <v>#DIV/0!</v>
      </c>
      <c r="T7" s="74" t="e">
        <f t="shared" si="4"/>
        <v>#DIV/0!</v>
      </c>
      <c r="U7" s="78" t="e">
        <f t="shared" si="5"/>
        <v>#DIV/0!</v>
      </c>
    </row>
    <row r="8" spans="1:21" x14ac:dyDescent="0.2">
      <c r="A8" s="71" t="s">
        <v>299</v>
      </c>
      <c r="B8" s="72" t="s">
        <v>300</v>
      </c>
      <c r="C8" s="72" t="s">
        <v>301</v>
      </c>
      <c r="D8" s="72" t="s">
        <v>310</v>
      </c>
      <c r="E8" s="72" t="s">
        <v>300</v>
      </c>
      <c r="F8" s="73" t="s">
        <v>311</v>
      </c>
      <c r="G8" s="72" t="s">
        <v>309</v>
      </c>
      <c r="H8" s="72" t="s">
        <v>203</v>
      </c>
      <c r="I8" s="72" t="s">
        <v>35</v>
      </c>
      <c r="J8" s="72" t="s">
        <v>187</v>
      </c>
      <c r="K8" s="74">
        <v>153</v>
      </c>
      <c r="L8" s="74">
        <f t="shared" si="0"/>
        <v>7.2</v>
      </c>
      <c r="M8" s="75">
        <f>prodnorm53</f>
        <v>0</v>
      </c>
      <c r="N8" s="76">
        <f>dagwerk53</f>
        <v>0</v>
      </c>
      <c r="O8" s="72" t="s">
        <v>54</v>
      </c>
      <c r="P8" s="77">
        <f>uurtarief53</f>
        <v>0</v>
      </c>
      <c r="Q8" s="74" t="e">
        <f t="shared" si="1"/>
        <v>#DIV/0!</v>
      </c>
      <c r="R8" s="74" t="e">
        <f t="shared" si="2"/>
        <v>#DIV/0!</v>
      </c>
      <c r="S8" s="77" t="e">
        <f t="shared" si="3"/>
        <v>#DIV/0!</v>
      </c>
      <c r="T8" s="74" t="e">
        <f t="shared" si="4"/>
        <v>#DIV/0!</v>
      </c>
      <c r="U8" s="78" t="e">
        <f t="shared" si="5"/>
        <v>#DIV/0!</v>
      </c>
    </row>
    <row r="9" spans="1:21" x14ac:dyDescent="0.2">
      <c r="A9" s="71" t="s">
        <v>299</v>
      </c>
      <c r="B9" s="72" t="s">
        <v>300</v>
      </c>
      <c r="C9" s="72" t="s">
        <v>301</v>
      </c>
      <c r="D9" s="72" t="s">
        <v>312</v>
      </c>
      <c r="E9" s="72" t="s">
        <v>300</v>
      </c>
      <c r="F9" s="73" t="s">
        <v>313</v>
      </c>
      <c r="G9" s="72" t="s">
        <v>309</v>
      </c>
      <c r="H9" s="72" t="s">
        <v>222</v>
      </c>
      <c r="I9" s="72" t="s">
        <v>16</v>
      </c>
      <c r="J9" s="72" t="s">
        <v>187</v>
      </c>
      <c r="K9" s="74">
        <v>9</v>
      </c>
      <c r="L9" s="74">
        <f t="shared" si="0"/>
        <v>5.3999999999999995</v>
      </c>
      <c r="M9" s="75">
        <f>prodnorm84</f>
        <v>0</v>
      </c>
      <c r="N9" s="76">
        <f>dagwerk84</f>
        <v>0</v>
      </c>
      <c r="O9" s="72" t="s">
        <v>54</v>
      </c>
      <c r="P9" s="77">
        <f>uurtarief84</f>
        <v>0</v>
      </c>
      <c r="Q9" s="74" t="e">
        <f t="shared" si="1"/>
        <v>#DIV/0!</v>
      </c>
      <c r="R9" s="74" t="e">
        <f t="shared" si="2"/>
        <v>#DIV/0!</v>
      </c>
      <c r="S9" s="77" t="e">
        <f t="shared" si="3"/>
        <v>#DIV/0!</v>
      </c>
      <c r="T9" s="74" t="e">
        <f t="shared" si="4"/>
        <v>#DIV/0!</v>
      </c>
      <c r="U9" s="78" t="e">
        <f t="shared" si="5"/>
        <v>#DIV/0!</v>
      </c>
    </row>
    <row r="10" spans="1:21" x14ac:dyDescent="0.2">
      <c r="A10" s="71" t="s">
        <v>299</v>
      </c>
      <c r="B10" s="72" t="s">
        <v>300</v>
      </c>
      <c r="C10" s="72" t="s">
        <v>301</v>
      </c>
      <c r="D10" s="72" t="s">
        <v>314</v>
      </c>
      <c r="E10" s="72" t="s">
        <v>300</v>
      </c>
      <c r="F10" s="73" t="s">
        <v>315</v>
      </c>
      <c r="G10" s="72" t="s">
        <v>309</v>
      </c>
      <c r="H10" s="72" t="s">
        <v>195</v>
      </c>
      <c r="I10" s="72" t="s">
        <v>10</v>
      </c>
      <c r="J10" s="72" t="s">
        <v>187</v>
      </c>
      <c r="K10" s="74">
        <v>2.58</v>
      </c>
      <c r="L10" s="74">
        <f t="shared" si="0"/>
        <v>2.58</v>
      </c>
      <c r="M10" s="75">
        <f>prodnorm46</f>
        <v>0</v>
      </c>
      <c r="N10" s="76">
        <f>dagwerk46</f>
        <v>0</v>
      </c>
      <c r="O10" s="72" t="s">
        <v>54</v>
      </c>
      <c r="P10" s="77">
        <f>uurtarief46</f>
        <v>0</v>
      </c>
      <c r="Q10" s="74" t="e">
        <f t="shared" si="1"/>
        <v>#DIV/0!</v>
      </c>
      <c r="R10" s="74" t="e">
        <f t="shared" si="2"/>
        <v>#DIV/0!</v>
      </c>
      <c r="S10" s="77" t="e">
        <f t="shared" si="3"/>
        <v>#DIV/0!</v>
      </c>
      <c r="T10" s="74" t="e">
        <f t="shared" si="4"/>
        <v>#DIV/0!</v>
      </c>
      <c r="U10" s="78" t="e">
        <f t="shared" si="5"/>
        <v>#DIV/0!</v>
      </c>
    </row>
    <row r="11" spans="1:21" x14ac:dyDescent="0.2">
      <c r="A11" s="71" t="s">
        <v>299</v>
      </c>
      <c r="B11" s="72" t="s">
        <v>300</v>
      </c>
      <c r="C11" s="72" t="s">
        <v>301</v>
      </c>
      <c r="D11" s="72" t="s">
        <v>316</v>
      </c>
      <c r="E11" s="72" t="s">
        <v>300</v>
      </c>
      <c r="F11" s="73" t="s">
        <v>317</v>
      </c>
      <c r="G11" s="72" t="s">
        <v>309</v>
      </c>
      <c r="H11" s="72" t="s">
        <v>195</v>
      </c>
      <c r="I11" s="72" t="s">
        <v>10</v>
      </c>
      <c r="J11" s="72" t="s">
        <v>187</v>
      </c>
      <c r="K11" s="74">
        <v>2.58</v>
      </c>
      <c r="L11" s="74">
        <f t="shared" si="0"/>
        <v>2.58</v>
      </c>
      <c r="M11" s="75">
        <f>prodnorm46</f>
        <v>0</v>
      </c>
      <c r="N11" s="76">
        <f>dagwerk46</f>
        <v>0</v>
      </c>
      <c r="O11" s="72" t="s">
        <v>54</v>
      </c>
      <c r="P11" s="77">
        <f>uurtarief46</f>
        <v>0</v>
      </c>
      <c r="Q11" s="74" t="e">
        <f t="shared" si="1"/>
        <v>#DIV/0!</v>
      </c>
      <c r="R11" s="74" t="e">
        <f t="shared" si="2"/>
        <v>#DIV/0!</v>
      </c>
      <c r="S11" s="77" t="e">
        <f t="shared" si="3"/>
        <v>#DIV/0!</v>
      </c>
      <c r="T11" s="74" t="e">
        <f t="shared" si="4"/>
        <v>#DIV/0!</v>
      </c>
      <c r="U11" s="78" t="e">
        <f t="shared" si="5"/>
        <v>#DIV/0!</v>
      </c>
    </row>
    <row r="12" spans="1:21" x14ac:dyDescent="0.2">
      <c r="A12" s="71" t="s">
        <v>299</v>
      </c>
      <c r="B12" s="72" t="s">
        <v>300</v>
      </c>
      <c r="C12" s="72" t="s">
        <v>301</v>
      </c>
      <c r="D12" s="72" t="s">
        <v>318</v>
      </c>
      <c r="E12" s="72" t="s">
        <v>300</v>
      </c>
      <c r="F12" s="73" t="s">
        <v>319</v>
      </c>
      <c r="G12" s="72" t="s">
        <v>309</v>
      </c>
      <c r="H12" s="72" t="s">
        <v>222</v>
      </c>
      <c r="I12" s="72" t="s">
        <v>10</v>
      </c>
      <c r="J12" s="72" t="s">
        <v>187</v>
      </c>
      <c r="K12" s="74">
        <v>2.58</v>
      </c>
      <c r="L12" s="74">
        <f t="shared" si="0"/>
        <v>2.58</v>
      </c>
      <c r="M12" s="75">
        <f>prodnorm85</f>
        <v>0</v>
      </c>
      <c r="N12" s="76">
        <f>dagwerk85</f>
        <v>0</v>
      </c>
      <c r="O12" s="72" t="s">
        <v>54</v>
      </c>
      <c r="P12" s="77">
        <f>uurtarief85</f>
        <v>0</v>
      </c>
      <c r="Q12" s="74" t="e">
        <f t="shared" si="1"/>
        <v>#DIV/0!</v>
      </c>
      <c r="R12" s="74" t="e">
        <f t="shared" si="2"/>
        <v>#DIV/0!</v>
      </c>
      <c r="S12" s="77" t="e">
        <f t="shared" si="3"/>
        <v>#DIV/0!</v>
      </c>
      <c r="T12" s="74" t="e">
        <f t="shared" si="4"/>
        <v>#DIV/0!</v>
      </c>
      <c r="U12" s="78" t="e">
        <f t="shared" si="5"/>
        <v>#DIV/0!</v>
      </c>
    </row>
    <row r="13" spans="1:21" x14ac:dyDescent="0.2">
      <c r="A13" s="71" t="s">
        <v>299</v>
      </c>
      <c r="B13" s="72" t="s">
        <v>300</v>
      </c>
      <c r="C13" s="72" t="s">
        <v>301</v>
      </c>
      <c r="D13" s="72" t="s">
        <v>318</v>
      </c>
      <c r="E13" s="72" t="s">
        <v>300</v>
      </c>
      <c r="F13" s="73" t="s">
        <v>319</v>
      </c>
      <c r="G13" s="72" t="s">
        <v>309</v>
      </c>
      <c r="H13" s="72" t="s">
        <v>224</v>
      </c>
      <c r="I13" s="72" t="s">
        <v>10</v>
      </c>
      <c r="J13" s="72" t="s">
        <v>187</v>
      </c>
      <c r="K13" s="74">
        <v>2.58</v>
      </c>
      <c r="L13" s="74">
        <f t="shared" si="0"/>
        <v>2.58</v>
      </c>
      <c r="M13" s="75">
        <f>prodnorm88</f>
        <v>0</v>
      </c>
      <c r="N13" s="76">
        <f>dagwerk88</f>
        <v>0</v>
      </c>
      <c r="O13" s="72" t="s">
        <v>54</v>
      </c>
      <c r="P13" s="77">
        <f>uurtarief88</f>
        <v>0</v>
      </c>
      <c r="Q13" s="74" t="e">
        <f t="shared" si="1"/>
        <v>#DIV/0!</v>
      </c>
      <c r="R13" s="74" t="e">
        <f t="shared" si="2"/>
        <v>#DIV/0!</v>
      </c>
      <c r="S13" s="77" t="e">
        <f t="shared" si="3"/>
        <v>#DIV/0!</v>
      </c>
      <c r="T13" s="74" t="e">
        <f t="shared" si="4"/>
        <v>#DIV/0!</v>
      </c>
      <c r="U13" s="78" t="e">
        <f t="shared" si="5"/>
        <v>#DIV/0!</v>
      </c>
    </row>
    <row r="14" spans="1:21" x14ac:dyDescent="0.2">
      <c r="A14" s="71" t="s">
        <v>299</v>
      </c>
      <c r="B14" s="72" t="s">
        <v>300</v>
      </c>
      <c r="C14" s="72" t="s">
        <v>301</v>
      </c>
      <c r="D14" s="72" t="s">
        <v>320</v>
      </c>
      <c r="E14" s="72" t="s">
        <v>300</v>
      </c>
      <c r="F14" s="73" t="s">
        <v>319</v>
      </c>
      <c r="G14" s="72" t="s">
        <v>309</v>
      </c>
      <c r="H14" s="72" t="s">
        <v>222</v>
      </c>
      <c r="I14" s="72" t="s">
        <v>10</v>
      </c>
      <c r="J14" s="72" t="s">
        <v>187</v>
      </c>
      <c r="K14" s="74">
        <v>2.58</v>
      </c>
      <c r="L14" s="74">
        <f t="shared" si="0"/>
        <v>2.58</v>
      </c>
      <c r="M14" s="75">
        <f>prodnorm85</f>
        <v>0</v>
      </c>
      <c r="N14" s="76">
        <f>dagwerk85</f>
        <v>0</v>
      </c>
      <c r="O14" s="72" t="s">
        <v>54</v>
      </c>
      <c r="P14" s="77">
        <f>uurtarief85</f>
        <v>0</v>
      </c>
      <c r="Q14" s="74" t="e">
        <f t="shared" si="1"/>
        <v>#DIV/0!</v>
      </c>
      <c r="R14" s="74" t="e">
        <f t="shared" si="2"/>
        <v>#DIV/0!</v>
      </c>
      <c r="S14" s="77" t="e">
        <f t="shared" si="3"/>
        <v>#DIV/0!</v>
      </c>
      <c r="T14" s="74" t="e">
        <f t="shared" si="4"/>
        <v>#DIV/0!</v>
      </c>
      <c r="U14" s="78" t="e">
        <f t="shared" si="5"/>
        <v>#DIV/0!</v>
      </c>
    </row>
    <row r="15" spans="1:21" x14ac:dyDescent="0.2">
      <c r="A15" s="71" t="s">
        <v>299</v>
      </c>
      <c r="B15" s="72" t="s">
        <v>300</v>
      </c>
      <c r="C15" s="72" t="s">
        <v>301</v>
      </c>
      <c r="D15" s="72" t="s">
        <v>320</v>
      </c>
      <c r="E15" s="72" t="s">
        <v>300</v>
      </c>
      <c r="F15" s="73" t="s">
        <v>319</v>
      </c>
      <c r="G15" s="72" t="s">
        <v>309</v>
      </c>
      <c r="H15" s="72" t="s">
        <v>224</v>
      </c>
      <c r="I15" s="72" t="s">
        <v>10</v>
      </c>
      <c r="J15" s="72" t="s">
        <v>187</v>
      </c>
      <c r="K15" s="74">
        <v>2.58</v>
      </c>
      <c r="L15" s="74">
        <f t="shared" si="0"/>
        <v>2.58</v>
      </c>
      <c r="M15" s="75">
        <f>prodnorm88</f>
        <v>0</v>
      </c>
      <c r="N15" s="76">
        <f>dagwerk88</f>
        <v>0</v>
      </c>
      <c r="O15" s="72" t="s">
        <v>54</v>
      </c>
      <c r="P15" s="77">
        <f>uurtarief88</f>
        <v>0</v>
      </c>
      <c r="Q15" s="74" t="e">
        <f t="shared" si="1"/>
        <v>#DIV/0!</v>
      </c>
      <c r="R15" s="74" t="e">
        <f t="shared" si="2"/>
        <v>#DIV/0!</v>
      </c>
      <c r="S15" s="77" t="e">
        <f t="shared" si="3"/>
        <v>#DIV/0!</v>
      </c>
      <c r="T15" s="74" t="e">
        <f t="shared" si="4"/>
        <v>#DIV/0!</v>
      </c>
      <c r="U15" s="78" t="e">
        <f t="shared" si="5"/>
        <v>#DIV/0!</v>
      </c>
    </row>
    <row r="16" spans="1:21" x14ac:dyDescent="0.2">
      <c r="A16" s="71" t="s">
        <v>299</v>
      </c>
      <c r="B16" s="72" t="s">
        <v>300</v>
      </c>
      <c r="C16" s="72" t="s">
        <v>301</v>
      </c>
      <c r="D16" s="72" t="s">
        <v>321</v>
      </c>
      <c r="E16" s="72" t="s">
        <v>300</v>
      </c>
      <c r="F16" s="73" t="s">
        <v>322</v>
      </c>
      <c r="G16" s="72" t="s">
        <v>323</v>
      </c>
      <c r="H16" s="72" t="s">
        <v>229</v>
      </c>
      <c r="I16" s="72" t="s">
        <v>24</v>
      </c>
      <c r="J16" s="72" t="s">
        <v>187</v>
      </c>
      <c r="K16" s="74">
        <v>27.5</v>
      </c>
      <c r="L16" s="74">
        <f t="shared" si="0"/>
        <v>5.5</v>
      </c>
      <c r="M16" s="75">
        <f>prodnorm94</f>
        <v>0</v>
      </c>
      <c r="N16" s="76">
        <f>dagwerk94</f>
        <v>0</v>
      </c>
      <c r="O16" s="72" t="s">
        <v>54</v>
      </c>
      <c r="P16" s="77">
        <f>uurtarief94</f>
        <v>0</v>
      </c>
      <c r="Q16" s="74" t="e">
        <f t="shared" si="1"/>
        <v>#DIV/0!</v>
      </c>
      <c r="R16" s="74" t="e">
        <f t="shared" si="2"/>
        <v>#DIV/0!</v>
      </c>
      <c r="S16" s="77" t="e">
        <f t="shared" si="3"/>
        <v>#DIV/0!</v>
      </c>
      <c r="T16" s="74" t="e">
        <f t="shared" si="4"/>
        <v>#DIV/0!</v>
      </c>
      <c r="U16" s="78" t="e">
        <f t="shared" si="5"/>
        <v>#DIV/0!</v>
      </c>
    </row>
    <row r="17" spans="1:21" x14ac:dyDescent="0.2">
      <c r="A17" s="71" t="s">
        <v>299</v>
      </c>
      <c r="B17" s="72" t="s">
        <v>300</v>
      </c>
      <c r="C17" s="72" t="s">
        <v>301</v>
      </c>
      <c r="D17" s="72" t="s">
        <v>324</v>
      </c>
      <c r="E17" s="72" t="s">
        <v>300</v>
      </c>
      <c r="F17" s="73" t="s">
        <v>313</v>
      </c>
      <c r="G17" s="72" t="s">
        <v>309</v>
      </c>
      <c r="H17" s="72" t="s">
        <v>210</v>
      </c>
      <c r="I17" s="72" t="s">
        <v>16</v>
      </c>
      <c r="J17" s="72" t="s">
        <v>187</v>
      </c>
      <c r="K17" s="74">
        <v>9</v>
      </c>
      <c r="L17" s="74">
        <f t="shared" si="0"/>
        <v>5.3999999999999995</v>
      </c>
      <c r="M17" s="75">
        <f>prodnorm59</f>
        <v>0</v>
      </c>
      <c r="N17" s="76">
        <f>dagwerk59</f>
        <v>0</v>
      </c>
      <c r="O17" s="72" t="s">
        <v>54</v>
      </c>
      <c r="P17" s="77">
        <f>uurtarief59</f>
        <v>0</v>
      </c>
      <c r="Q17" s="74" t="e">
        <f t="shared" si="1"/>
        <v>#DIV/0!</v>
      </c>
      <c r="R17" s="74" t="e">
        <f t="shared" si="2"/>
        <v>#DIV/0!</v>
      </c>
      <c r="S17" s="77" t="e">
        <f t="shared" si="3"/>
        <v>#DIV/0!</v>
      </c>
      <c r="T17" s="74" t="e">
        <f t="shared" si="4"/>
        <v>#DIV/0!</v>
      </c>
      <c r="U17" s="78" t="e">
        <f t="shared" si="5"/>
        <v>#DIV/0!</v>
      </c>
    </row>
    <row r="18" spans="1:21" x14ac:dyDescent="0.2">
      <c r="A18" s="71" t="s">
        <v>299</v>
      </c>
      <c r="B18" s="72" t="s">
        <v>300</v>
      </c>
      <c r="C18" s="72" t="s">
        <v>301</v>
      </c>
      <c r="D18" s="72" t="s">
        <v>325</v>
      </c>
      <c r="E18" s="72" t="s">
        <v>300</v>
      </c>
      <c r="F18" s="73" t="s">
        <v>313</v>
      </c>
      <c r="G18" s="72" t="s">
        <v>326</v>
      </c>
      <c r="H18" s="72" t="s">
        <v>210</v>
      </c>
      <c r="I18" s="72" t="s">
        <v>10</v>
      </c>
      <c r="J18" s="72" t="s">
        <v>187</v>
      </c>
      <c r="K18" s="74">
        <v>43.720000000000006</v>
      </c>
      <c r="L18" s="74">
        <f t="shared" si="0"/>
        <v>43.720000000000006</v>
      </c>
      <c r="M18" s="75">
        <f>prodnorm60</f>
        <v>0</v>
      </c>
      <c r="N18" s="76">
        <f>dagwerk60</f>
        <v>0</v>
      </c>
      <c r="O18" s="72" t="s">
        <v>54</v>
      </c>
      <c r="P18" s="77">
        <f>uurtarief60</f>
        <v>0</v>
      </c>
      <c r="Q18" s="74" t="e">
        <f t="shared" si="1"/>
        <v>#DIV/0!</v>
      </c>
      <c r="R18" s="74" t="e">
        <f t="shared" si="2"/>
        <v>#DIV/0!</v>
      </c>
      <c r="S18" s="77" t="e">
        <f t="shared" si="3"/>
        <v>#DIV/0!</v>
      </c>
      <c r="T18" s="74" t="e">
        <f t="shared" si="4"/>
        <v>#DIV/0!</v>
      </c>
      <c r="U18" s="78" t="e">
        <f t="shared" si="5"/>
        <v>#DIV/0!</v>
      </c>
    </row>
    <row r="19" spans="1:21" x14ac:dyDescent="0.2">
      <c r="A19" s="71" t="s">
        <v>299</v>
      </c>
      <c r="B19" s="72" t="s">
        <v>300</v>
      </c>
      <c r="C19" s="72" t="s">
        <v>301</v>
      </c>
      <c r="D19" s="72" t="s">
        <v>327</v>
      </c>
      <c r="E19" s="72" t="s">
        <v>300</v>
      </c>
      <c r="F19" s="73" t="s">
        <v>313</v>
      </c>
      <c r="G19" s="72" t="s">
        <v>326</v>
      </c>
      <c r="H19" s="72" t="s">
        <v>210</v>
      </c>
      <c r="I19" s="72" t="s">
        <v>10</v>
      </c>
      <c r="J19" s="72" t="s">
        <v>187</v>
      </c>
      <c r="K19" s="74">
        <v>22.68</v>
      </c>
      <c r="L19" s="74">
        <f t="shared" si="0"/>
        <v>22.68</v>
      </c>
      <c r="M19" s="75">
        <f>prodnorm60</f>
        <v>0</v>
      </c>
      <c r="N19" s="76">
        <f>dagwerk60</f>
        <v>0</v>
      </c>
      <c r="O19" s="72" t="s">
        <v>54</v>
      </c>
      <c r="P19" s="77">
        <f>uurtarief60</f>
        <v>0</v>
      </c>
      <c r="Q19" s="74" t="e">
        <f t="shared" si="1"/>
        <v>#DIV/0!</v>
      </c>
      <c r="R19" s="74" t="e">
        <f t="shared" si="2"/>
        <v>#DIV/0!</v>
      </c>
      <c r="S19" s="77" t="e">
        <f t="shared" si="3"/>
        <v>#DIV/0!</v>
      </c>
      <c r="T19" s="74" t="e">
        <f t="shared" si="4"/>
        <v>#DIV/0!</v>
      </c>
      <c r="U19" s="78" t="e">
        <f t="shared" si="5"/>
        <v>#DIV/0!</v>
      </c>
    </row>
    <row r="20" spans="1:21" x14ac:dyDescent="0.2">
      <c r="A20" s="71" t="s">
        <v>299</v>
      </c>
      <c r="B20" s="72" t="s">
        <v>300</v>
      </c>
      <c r="C20" s="72" t="s">
        <v>301</v>
      </c>
      <c r="D20" s="72" t="s">
        <v>328</v>
      </c>
      <c r="E20" s="72" t="s">
        <v>300</v>
      </c>
      <c r="F20" s="73" t="s">
        <v>329</v>
      </c>
      <c r="G20" s="72" t="s">
        <v>326</v>
      </c>
      <c r="H20" s="72" t="s">
        <v>231</v>
      </c>
      <c r="I20" s="72" t="s">
        <v>10</v>
      </c>
      <c r="J20" s="72" t="s">
        <v>187</v>
      </c>
      <c r="K20" s="74">
        <v>22.68</v>
      </c>
      <c r="L20" s="74">
        <f t="shared" si="0"/>
        <v>22.68</v>
      </c>
      <c r="M20" s="75">
        <f>prodnorm103</f>
        <v>0</v>
      </c>
      <c r="N20" s="76">
        <f>dagwerk103</f>
        <v>0</v>
      </c>
      <c r="O20" s="72" t="s">
        <v>54</v>
      </c>
      <c r="P20" s="77">
        <f>uurtarief103</f>
        <v>0</v>
      </c>
      <c r="Q20" s="74" t="e">
        <f t="shared" si="1"/>
        <v>#DIV/0!</v>
      </c>
      <c r="R20" s="74" t="e">
        <f t="shared" si="2"/>
        <v>#DIV/0!</v>
      </c>
      <c r="S20" s="77" t="e">
        <f t="shared" si="3"/>
        <v>#DIV/0!</v>
      </c>
      <c r="T20" s="74" t="e">
        <f t="shared" si="4"/>
        <v>#DIV/0!</v>
      </c>
      <c r="U20" s="78" t="e">
        <f t="shared" si="5"/>
        <v>#DIV/0!</v>
      </c>
    </row>
    <row r="21" spans="1:21" x14ac:dyDescent="0.2">
      <c r="A21" s="71" t="s">
        <v>299</v>
      </c>
      <c r="B21" s="72" t="s">
        <v>300</v>
      </c>
      <c r="C21" s="72" t="s">
        <v>330</v>
      </c>
      <c r="D21" s="72" t="s">
        <v>331</v>
      </c>
      <c r="E21" s="72" t="s">
        <v>300</v>
      </c>
      <c r="F21" s="73" t="s">
        <v>332</v>
      </c>
      <c r="G21" s="72" t="s">
        <v>300</v>
      </c>
      <c r="H21" s="72" t="s">
        <v>258</v>
      </c>
      <c r="I21" s="72" t="s">
        <v>35</v>
      </c>
      <c r="J21" s="72" t="s">
        <v>253</v>
      </c>
      <c r="K21" s="74">
        <v>1</v>
      </c>
      <c r="L21" s="74">
        <f t="shared" si="0"/>
        <v>4.7058823529411764E-2</v>
      </c>
      <c r="M21" s="75">
        <f>prodnorm19</f>
        <v>0</v>
      </c>
      <c r="N21" s="76">
        <f>dagwerk19</f>
        <v>0</v>
      </c>
      <c r="O21" s="72" t="s">
        <v>255</v>
      </c>
      <c r="P21" s="77">
        <f>uurtarief19</f>
        <v>0</v>
      </c>
      <c r="Q21" s="74">
        <f>L21*ROUND(M21,4)/60</f>
        <v>0</v>
      </c>
      <c r="R21" s="74">
        <f t="shared" si="2"/>
        <v>0</v>
      </c>
      <c r="S21" s="77">
        <f t="shared" si="3"/>
        <v>0</v>
      </c>
      <c r="T21" s="74">
        <f t="shared" si="4"/>
        <v>0</v>
      </c>
      <c r="U21" s="78">
        <f t="shared" si="5"/>
        <v>0</v>
      </c>
    </row>
    <row r="22" spans="1:21" x14ac:dyDescent="0.2">
      <c r="A22" s="71" t="s">
        <v>299</v>
      </c>
      <c r="B22" s="72" t="s">
        <v>300</v>
      </c>
      <c r="C22" s="72" t="s">
        <v>330</v>
      </c>
      <c r="D22" s="72" t="s">
        <v>333</v>
      </c>
      <c r="E22" s="72" t="s">
        <v>300</v>
      </c>
      <c r="F22" s="73" t="s">
        <v>334</v>
      </c>
      <c r="G22" s="72" t="s">
        <v>323</v>
      </c>
      <c r="H22" s="72" t="s">
        <v>216</v>
      </c>
      <c r="I22" s="72" t="s">
        <v>10</v>
      </c>
      <c r="J22" s="72" t="s">
        <v>187</v>
      </c>
      <c r="K22" s="74">
        <v>158.49</v>
      </c>
      <c r="L22" s="74">
        <f t="shared" si="0"/>
        <v>158.49</v>
      </c>
      <c r="M22" s="75">
        <f>prodnorm68</f>
        <v>0</v>
      </c>
      <c r="N22" s="76">
        <f>dagwerk68</f>
        <v>0</v>
      </c>
      <c r="O22" s="72" t="s">
        <v>54</v>
      </c>
      <c r="P22" s="77">
        <f>uurtarief68</f>
        <v>0</v>
      </c>
      <c r="Q22" s="74" t="e">
        <f t="shared" ref="Q22:Q85" si="6">IF(ISBLANK(M22),0,L22/ROUND(M22,4))</f>
        <v>#DIV/0!</v>
      </c>
      <c r="R22" s="74" t="e">
        <f t="shared" si="2"/>
        <v>#DIV/0!</v>
      </c>
      <c r="S22" s="77" t="e">
        <f t="shared" si="3"/>
        <v>#DIV/0!</v>
      </c>
      <c r="T22" s="74" t="e">
        <f t="shared" si="4"/>
        <v>#DIV/0!</v>
      </c>
      <c r="U22" s="78" t="e">
        <f t="shared" si="5"/>
        <v>#DIV/0!</v>
      </c>
    </row>
    <row r="23" spans="1:21" x14ac:dyDescent="0.2">
      <c r="A23" s="71" t="s">
        <v>299</v>
      </c>
      <c r="B23" s="72" t="s">
        <v>300</v>
      </c>
      <c r="C23" s="72" t="s">
        <v>330</v>
      </c>
      <c r="D23" s="72" t="s">
        <v>333</v>
      </c>
      <c r="E23" s="72" t="s">
        <v>300</v>
      </c>
      <c r="F23" s="73" t="s">
        <v>334</v>
      </c>
      <c r="G23" s="72" t="s">
        <v>323</v>
      </c>
      <c r="H23" s="72" t="s">
        <v>248</v>
      </c>
      <c r="I23" s="72" t="s">
        <v>13</v>
      </c>
      <c r="J23" s="72" t="s">
        <v>242</v>
      </c>
      <c r="K23" s="74">
        <v>158.49</v>
      </c>
      <c r="L23" s="74">
        <f t="shared" si="0"/>
        <v>126.79200000000002</v>
      </c>
      <c r="M23" s="75">
        <f>prodnorm121</f>
        <v>0</v>
      </c>
      <c r="N23" s="76">
        <f>dagwerk121</f>
        <v>0</v>
      </c>
      <c r="O23" s="72" t="s">
        <v>54</v>
      </c>
      <c r="P23" s="77">
        <f>uurtarief121</f>
        <v>0</v>
      </c>
      <c r="Q23" s="74" t="e">
        <f t="shared" si="6"/>
        <v>#DIV/0!</v>
      </c>
      <c r="R23" s="74" t="e">
        <f t="shared" si="2"/>
        <v>#DIV/0!</v>
      </c>
      <c r="S23" s="77" t="e">
        <f t="shared" si="3"/>
        <v>#DIV/0!</v>
      </c>
      <c r="T23" s="74" t="e">
        <f t="shared" si="4"/>
        <v>#DIV/0!</v>
      </c>
      <c r="U23" s="78" t="e">
        <f t="shared" si="5"/>
        <v>#DIV/0!</v>
      </c>
    </row>
    <row r="24" spans="1:21" x14ac:dyDescent="0.2">
      <c r="A24" s="71" t="s">
        <v>299</v>
      </c>
      <c r="B24" s="72" t="s">
        <v>300</v>
      </c>
      <c r="C24" s="72" t="s">
        <v>330</v>
      </c>
      <c r="D24" s="72" t="s">
        <v>335</v>
      </c>
      <c r="E24" s="72" t="s">
        <v>300</v>
      </c>
      <c r="F24" s="73" t="s">
        <v>336</v>
      </c>
      <c r="G24" s="72" t="s">
        <v>323</v>
      </c>
      <c r="H24" s="72" t="s">
        <v>201</v>
      </c>
      <c r="I24" s="72" t="s">
        <v>10</v>
      </c>
      <c r="J24" s="72" t="s">
        <v>187</v>
      </c>
      <c r="K24" s="74">
        <v>4.5599999999999996</v>
      </c>
      <c r="L24" s="74">
        <f t="shared" si="0"/>
        <v>4.5599999999999996</v>
      </c>
      <c r="M24" s="75">
        <f>prodnorm52</f>
        <v>0</v>
      </c>
      <c r="N24" s="76">
        <f>dagwerk52</f>
        <v>0</v>
      </c>
      <c r="O24" s="72" t="s">
        <v>54</v>
      </c>
      <c r="P24" s="77">
        <f>uurtarief52</f>
        <v>0</v>
      </c>
      <c r="Q24" s="74" t="e">
        <f t="shared" si="6"/>
        <v>#DIV/0!</v>
      </c>
      <c r="R24" s="74" t="e">
        <f t="shared" si="2"/>
        <v>#DIV/0!</v>
      </c>
      <c r="S24" s="77" t="e">
        <f t="shared" si="3"/>
        <v>#DIV/0!</v>
      </c>
      <c r="T24" s="74" t="e">
        <f t="shared" si="4"/>
        <v>#DIV/0!</v>
      </c>
      <c r="U24" s="78" t="e">
        <f t="shared" si="5"/>
        <v>#DIV/0!</v>
      </c>
    </row>
    <row r="25" spans="1:21" x14ac:dyDescent="0.2">
      <c r="A25" s="71" t="s">
        <v>299</v>
      </c>
      <c r="B25" s="72" t="s">
        <v>300</v>
      </c>
      <c r="C25" s="72" t="s">
        <v>330</v>
      </c>
      <c r="D25" s="72" t="s">
        <v>335</v>
      </c>
      <c r="E25" s="72" t="s">
        <v>300</v>
      </c>
      <c r="F25" s="73" t="s">
        <v>336</v>
      </c>
      <c r="G25" s="72" t="s">
        <v>323</v>
      </c>
      <c r="H25" s="72" t="s">
        <v>248</v>
      </c>
      <c r="I25" s="72" t="s">
        <v>13</v>
      </c>
      <c r="J25" s="72" t="s">
        <v>242</v>
      </c>
      <c r="K25" s="74">
        <v>4.5599999999999996</v>
      </c>
      <c r="L25" s="74">
        <f t="shared" si="0"/>
        <v>3.6479999999999997</v>
      </c>
      <c r="M25" s="75">
        <f>prodnorm121</f>
        <v>0</v>
      </c>
      <c r="N25" s="76">
        <f>dagwerk121</f>
        <v>0</v>
      </c>
      <c r="O25" s="72" t="s">
        <v>54</v>
      </c>
      <c r="P25" s="77">
        <f>uurtarief121</f>
        <v>0</v>
      </c>
      <c r="Q25" s="74" t="e">
        <f t="shared" si="6"/>
        <v>#DIV/0!</v>
      </c>
      <c r="R25" s="74" t="e">
        <f t="shared" si="2"/>
        <v>#DIV/0!</v>
      </c>
      <c r="S25" s="77" t="e">
        <f t="shared" si="3"/>
        <v>#DIV/0!</v>
      </c>
      <c r="T25" s="74" t="e">
        <f t="shared" si="4"/>
        <v>#DIV/0!</v>
      </c>
      <c r="U25" s="78" t="e">
        <f t="shared" si="5"/>
        <v>#DIV/0!</v>
      </c>
    </row>
    <row r="26" spans="1:21" x14ac:dyDescent="0.2">
      <c r="A26" s="71" t="s">
        <v>299</v>
      </c>
      <c r="B26" s="72" t="s">
        <v>300</v>
      </c>
      <c r="C26" s="72" t="s">
        <v>330</v>
      </c>
      <c r="D26" s="72" t="s">
        <v>337</v>
      </c>
      <c r="E26" s="72" t="s">
        <v>300</v>
      </c>
      <c r="F26" s="73" t="s">
        <v>338</v>
      </c>
      <c r="G26" s="72" t="s">
        <v>339</v>
      </c>
      <c r="H26" s="72" t="s">
        <v>248</v>
      </c>
      <c r="I26" s="72" t="s">
        <v>10</v>
      </c>
      <c r="J26" s="72" t="s">
        <v>242</v>
      </c>
      <c r="K26" s="74">
        <v>2</v>
      </c>
      <c r="L26" s="74">
        <f t="shared" si="0"/>
        <v>2</v>
      </c>
      <c r="M26" s="75">
        <f>prodnorm122</f>
        <v>0</v>
      </c>
      <c r="N26" s="76">
        <f>dagwerk122</f>
        <v>0</v>
      </c>
      <c r="O26" s="72" t="s">
        <v>54</v>
      </c>
      <c r="P26" s="77">
        <f>uurtarief122</f>
        <v>0</v>
      </c>
      <c r="Q26" s="74" t="e">
        <f t="shared" si="6"/>
        <v>#DIV/0!</v>
      </c>
      <c r="R26" s="74" t="e">
        <f t="shared" si="2"/>
        <v>#DIV/0!</v>
      </c>
      <c r="S26" s="77" t="e">
        <f t="shared" si="3"/>
        <v>#DIV/0!</v>
      </c>
      <c r="T26" s="74" t="e">
        <f t="shared" si="4"/>
        <v>#DIV/0!</v>
      </c>
      <c r="U26" s="78" t="e">
        <f t="shared" si="5"/>
        <v>#DIV/0!</v>
      </c>
    </row>
    <row r="27" spans="1:21" x14ac:dyDescent="0.2">
      <c r="A27" s="71" t="s">
        <v>299</v>
      </c>
      <c r="B27" s="72" t="s">
        <v>300</v>
      </c>
      <c r="C27" s="72" t="s">
        <v>330</v>
      </c>
      <c r="D27" s="72" t="s">
        <v>340</v>
      </c>
      <c r="E27" s="72" t="s">
        <v>300</v>
      </c>
      <c r="F27" s="73" t="s">
        <v>341</v>
      </c>
      <c r="G27" s="72" t="s">
        <v>309</v>
      </c>
      <c r="H27" s="72" t="s">
        <v>235</v>
      </c>
      <c r="I27" s="72" t="s">
        <v>10</v>
      </c>
      <c r="J27" s="72" t="s">
        <v>187</v>
      </c>
      <c r="K27" s="74">
        <v>4</v>
      </c>
      <c r="L27" s="74">
        <f t="shared" si="0"/>
        <v>4</v>
      </c>
      <c r="M27" s="75">
        <f>prodnorm112</f>
        <v>0</v>
      </c>
      <c r="N27" s="76">
        <f>dagwerk112</f>
        <v>0</v>
      </c>
      <c r="O27" s="72" t="s">
        <v>54</v>
      </c>
      <c r="P27" s="77">
        <f>uurtarief112</f>
        <v>0</v>
      </c>
      <c r="Q27" s="74" t="e">
        <f t="shared" si="6"/>
        <v>#DIV/0!</v>
      </c>
      <c r="R27" s="74" t="e">
        <f t="shared" si="2"/>
        <v>#DIV/0!</v>
      </c>
      <c r="S27" s="77" t="e">
        <f t="shared" si="3"/>
        <v>#DIV/0!</v>
      </c>
      <c r="T27" s="74" t="e">
        <f t="shared" si="4"/>
        <v>#DIV/0!</v>
      </c>
      <c r="U27" s="78" t="e">
        <f t="shared" si="5"/>
        <v>#DIV/0!</v>
      </c>
    </row>
    <row r="28" spans="1:21" x14ac:dyDescent="0.2">
      <c r="A28" s="71" t="s">
        <v>299</v>
      </c>
      <c r="B28" s="72" t="s">
        <v>300</v>
      </c>
      <c r="C28" s="72" t="s">
        <v>330</v>
      </c>
      <c r="D28" s="72" t="s">
        <v>342</v>
      </c>
      <c r="E28" s="72" t="s">
        <v>300</v>
      </c>
      <c r="F28" s="73" t="s">
        <v>343</v>
      </c>
      <c r="G28" s="72" t="s">
        <v>309</v>
      </c>
      <c r="H28" s="72" t="s">
        <v>231</v>
      </c>
      <c r="I28" s="72" t="s">
        <v>10</v>
      </c>
      <c r="J28" s="72" t="s">
        <v>187</v>
      </c>
      <c r="K28" s="74">
        <v>517.91</v>
      </c>
      <c r="L28" s="74">
        <f t="shared" si="0"/>
        <v>517.91</v>
      </c>
      <c r="M28" s="75">
        <f>prodnorm103</f>
        <v>0</v>
      </c>
      <c r="N28" s="76">
        <f>dagwerk103</f>
        <v>0</v>
      </c>
      <c r="O28" s="72" t="s">
        <v>54</v>
      </c>
      <c r="P28" s="77">
        <f>uurtarief103</f>
        <v>0</v>
      </c>
      <c r="Q28" s="74" t="e">
        <f t="shared" si="6"/>
        <v>#DIV/0!</v>
      </c>
      <c r="R28" s="74" t="e">
        <f t="shared" si="2"/>
        <v>#DIV/0!</v>
      </c>
      <c r="S28" s="77" t="e">
        <f t="shared" si="3"/>
        <v>#DIV/0!</v>
      </c>
      <c r="T28" s="74" t="e">
        <f t="shared" si="4"/>
        <v>#DIV/0!</v>
      </c>
      <c r="U28" s="78" t="e">
        <f t="shared" si="5"/>
        <v>#DIV/0!</v>
      </c>
    </row>
    <row r="29" spans="1:21" x14ac:dyDescent="0.2">
      <c r="A29" s="71" t="s">
        <v>299</v>
      </c>
      <c r="B29" s="72" t="s">
        <v>300</v>
      </c>
      <c r="C29" s="72" t="s">
        <v>330</v>
      </c>
      <c r="D29" s="72" t="s">
        <v>342</v>
      </c>
      <c r="E29" s="72" t="s">
        <v>300</v>
      </c>
      <c r="F29" s="73" t="s">
        <v>343</v>
      </c>
      <c r="G29" s="72" t="s">
        <v>309</v>
      </c>
      <c r="H29" s="72" t="s">
        <v>246</v>
      </c>
      <c r="I29" s="72" t="s">
        <v>36</v>
      </c>
      <c r="J29" s="72" t="s">
        <v>242</v>
      </c>
      <c r="K29" s="74">
        <v>517.91</v>
      </c>
      <c r="L29" s="74">
        <f t="shared" si="0"/>
        <v>16.248156862745098</v>
      </c>
      <c r="M29" s="75">
        <f>prodnorm120</f>
        <v>0</v>
      </c>
      <c r="N29" s="76">
        <f>dagwerk120</f>
        <v>0</v>
      </c>
      <c r="O29" s="72" t="s">
        <v>54</v>
      </c>
      <c r="P29" s="77">
        <f>uurtarief120</f>
        <v>0</v>
      </c>
      <c r="Q29" s="74" t="e">
        <f t="shared" si="6"/>
        <v>#DIV/0!</v>
      </c>
      <c r="R29" s="74" t="e">
        <f t="shared" si="2"/>
        <v>#DIV/0!</v>
      </c>
      <c r="S29" s="77" t="e">
        <f t="shared" si="3"/>
        <v>#DIV/0!</v>
      </c>
      <c r="T29" s="74" t="e">
        <f t="shared" si="4"/>
        <v>#DIV/0!</v>
      </c>
      <c r="U29" s="78" t="e">
        <f t="shared" si="5"/>
        <v>#DIV/0!</v>
      </c>
    </row>
    <row r="30" spans="1:21" x14ac:dyDescent="0.2">
      <c r="A30" s="71" t="s">
        <v>299</v>
      </c>
      <c r="B30" s="72" t="s">
        <v>300</v>
      </c>
      <c r="C30" s="72" t="s">
        <v>330</v>
      </c>
      <c r="D30" s="72" t="s">
        <v>344</v>
      </c>
      <c r="E30" s="72" t="s">
        <v>300</v>
      </c>
      <c r="F30" s="73" t="s">
        <v>345</v>
      </c>
      <c r="G30" s="72" t="s">
        <v>309</v>
      </c>
      <c r="H30" s="72" t="s">
        <v>231</v>
      </c>
      <c r="I30" s="72" t="s">
        <v>10</v>
      </c>
      <c r="J30" s="72" t="s">
        <v>187</v>
      </c>
      <c r="K30" s="74">
        <v>2</v>
      </c>
      <c r="L30" s="74">
        <f t="shared" si="0"/>
        <v>2</v>
      </c>
      <c r="M30" s="75">
        <f>prodnorm103</f>
        <v>0</v>
      </c>
      <c r="N30" s="76">
        <f>dagwerk103</f>
        <v>0</v>
      </c>
      <c r="O30" s="72" t="s">
        <v>54</v>
      </c>
      <c r="P30" s="77">
        <f>uurtarief103</f>
        <v>0</v>
      </c>
      <c r="Q30" s="74" t="e">
        <f t="shared" si="6"/>
        <v>#DIV/0!</v>
      </c>
      <c r="R30" s="74" t="e">
        <f t="shared" si="2"/>
        <v>#DIV/0!</v>
      </c>
      <c r="S30" s="77" t="e">
        <f t="shared" si="3"/>
        <v>#DIV/0!</v>
      </c>
      <c r="T30" s="74" t="e">
        <f t="shared" si="4"/>
        <v>#DIV/0!</v>
      </c>
      <c r="U30" s="78" t="e">
        <f t="shared" si="5"/>
        <v>#DIV/0!</v>
      </c>
    </row>
    <row r="31" spans="1:21" x14ac:dyDescent="0.2">
      <c r="A31" s="71" t="s">
        <v>299</v>
      </c>
      <c r="B31" s="72" t="s">
        <v>300</v>
      </c>
      <c r="C31" s="72" t="s">
        <v>330</v>
      </c>
      <c r="D31" s="72" t="s">
        <v>346</v>
      </c>
      <c r="E31" s="72" t="s">
        <v>300</v>
      </c>
      <c r="F31" s="73" t="s">
        <v>347</v>
      </c>
      <c r="G31" s="72" t="s">
        <v>326</v>
      </c>
      <c r="H31" s="72" t="s">
        <v>235</v>
      </c>
      <c r="I31" s="72" t="s">
        <v>10</v>
      </c>
      <c r="J31" s="72" t="s">
        <v>187</v>
      </c>
      <c r="K31" s="74">
        <v>18.82</v>
      </c>
      <c r="L31" s="74">
        <f t="shared" si="0"/>
        <v>18.82</v>
      </c>
      <c r="M31" s="75">
        <f>prodnorm112</f>
        <v>0</v>
      </c>
      <c r="N31" s="76">
        <f>dagwerk112</f>
        <v>0</v>
      </c>
      <c r="O31" s="72" t="s">
        <v>54</v>
      </c>
      <c r="P31" s="77">
        <f>uurtarief112</f>
        <v>0</v>
      </c>
      <c r="Q31" s="74" t="e">
        <f t="shared" si="6"/>
        <v>#DIV/0!</v>
      </c>
      <c r="R31" s="74" t="e">
        <f t="shared" si="2"/>
        <v>#DIV/0!</v>
      </c>
      <c r="S31" s="77" t="e">
        <f t="shared" si="3"/>
        <v>#DIV/0!</v>
      </c>
      <c r="T31" s="74" t="e">
        <f t="shared" si="4"/>
        <v>#DIV/0!</v>
      </c>
      <c r="U31" s="78" t="e">
        <f t="shared" si="5"/>
        <v>#DIV/0!</v>
      </c>
    </row>
    <row r="32" spans="1:21" x14ac:dyDescent="0.2">
      <c r="A32" s="71" t="s">
        <v>299</v>
      </c>
      <c r="B32" s="72" t="s">
        <v>300</v>
      </c>
      <c r="C32" s="72" t="s">
        <v>330</v>
      </c>
      <c r="D32" s="72" t="s">
        <v>348</v>
      </c>
      <c r="E32" s="72" t="s">
        <v>300</v>
      </c>
      <c r="F32" s="73" t="s">
        <v>349</v>
      </c>
      <c r="G32" s="72" t="s">
        <v>309</v>
      </c>
      <c r="H32" s="72" t="s">
        <v>235</v>
      </c>
      <c r="I32" s="72" t="s">
        <v>10</v>
      </c>
      <c r="J32" s="72" t="s">
        <v>187</v>
      </c>
      <c r="K32" s="74">
        <v>41.14</v>
      </c>
      <c r="L32" s="74">
        <f t="shared" si="0"/>
        <v>41.14</v>
      </c>
      <c r="M32" s="75">
        <f>prodnorm112</f>
        <v>0</v>
      </c>
      <c r="N32" s="76">
        <f>dagwerk112</f>
        <v>0</v>
      </c>
      <c r="O32" s="72" t="s">
        <v>54</v>
      </c>
      <c r="P32" s="77">
        <f>uurtarief112</f>
        <v>0</v>
      </c>
      <c r="Q32" s="74" t="e">
        <f t="shared" si="6"/>
        <v>#DIV/0!</v>
      </c>
      <c r="R32" s="74" t="e">
        <f t="shared" si="2"/>
        <v>#DIV/0!</v>
      </c>
      <c r="S32" s="77" t="e">
        <f t="shared" si="3"/>
        <v>#DIV/0!</v>
      </c>
      <c r="T32" s="74" t="e">
        <f t="shared" si="4"/>
        <v>#DIV/0!</v>
      </c>
      <c r="U32" s="78" t="e">
        <f t="shared" si="5"/>
        <v>#DIV/0!</v>
      </c>
    </row>
    <row r="33" spans="1:21" x14ac:dyDescent="0.2">
      <c r="A33" s="71" t="s">
        <v>299</v>
      </c>
      <c r="B33" s="72" t="s">
        <v>300</v>
      </c>
      <c r="C33" s="72" t="s">
        <v>330</v>
      </c>
      <c r="D33" s="72" t="s">
        <v>350</v>
      </c>
      <c r="E33" s="72" t="s">
        <v>300</v>
      </c>
      <c r="F33" s="73" t="s">
        <v>351</v>
      </c>
      <c r="G33" s="72" t="s">
        <v>323</v>
      </c>
      <c r="H33" s="72" t="s">
        <v>237</v>
      </c>
      <c r="I33" s="72" t="s">
        <v>10</v>
      </c>
      <c r="J33" s="72" t="s">
        <v>187</v>
      </c>
      <c r="K33" s="74">
        <v>33.549999999999997</v>
      </c>
      <c r="L33" s="74">
        <f t="shared" si="0"/>
        <v>33.549999999999997</v>
      </c>
      <c r="M33" s="75">
        <f>prodnorm113</f>
        <v>0</v>
      </c>
      <c r="N33" s="76">
        <f>dagwerk113</f>
        <v>0</v>
      </c>
      <c r="O33" s="72" t="s">
        <v>54</v>
      </c>
      <c r="P33" s="77">
        <f>uurtarief113</f>
        <v>0</v>
      </c>
      <c r="Q33" s="74" t="e">
        <f t="shared" si="6"/>
        <v>#DIV/0!</v>
      </c>
      <c r="R33" s="74" t="e">
        <f t="shared" si="2"/>
        <v>#DIV/0!</v>
      </c>
      <c r="S33" s="77" t="e">
        <f t="shared" si="3"/>
        <v>#DIV/0!</v>
      </c>
      <c r="T33" s="74" t="e">
        <f t="shared" si="4"/>
        <v>#DIV/0!</v>
      </c>
      <c r="U33" s="78" t="e">
        <f t="shared" si="5"/>
        <v>#DIV/0!</v>
      </c>
    </row>
    <row r="34" spans="1:21" x14ac:dyDescent="0.2">
      <c r="A34" s="71" t="s">
        <v>299</v>
      </c>
      <c r="B34" s="72" t="s">
        <v>300</v>
      </c>
      <c r="C34" s="72" t="s">
        <v>330</v>
      </c>
      <c r="D34" s="72" t="s">
        <v>352</v>
      </c>
      <c r="E34" s="72" t="s">
        <v>300</v>
      </c>
      <c r="F34" s="73" t="s">
        <v>306</v>
      </c>
      <c r="G34" s="72" t="s">
        <v>353</v>
      </c>
      <c r="H34" s="72" t="s">
        <v>231</v>
      </c>
      <c r="I34" s="72" t="s">
        <v>10</v>
      </c>
      <c r="J34" s="72" t="s">
        <v>187</v>
      </c>
      <c r="K34" s="74">
        <v>58.55</v>
      </c>
      <c r="L34" s="74">
        <f t="shared" si="0"/>
        <v>58.55</v>
      </c>
      <c r="M34" s="75">
        <f>prodnorm103</f>
        <v>0</v>
      </c>
      <c r="N34" s="76">
        <f>dagwerk103</f>
        <v>0</v>
      </c>
      <c r="O34" s="72" t="s">
        <v>54</v>
      </c>
      <c r="P34" s="77">
        <f>uurtarief103</f>
        <v>0</v>
      </c>
      <c r="Q34" s="74" t="e">
        <f t="shared" si="6"/>
        <v>#DIV/0!</v>
      </c>
      <c r="R34" s="74" t="e">
        <f t="shared" si="2"/>
        <v>#DIV/0!</v>
      </c>
      <c r="S34" s="77" t="e">
        <f t="shared" si="3"/>
        <v>#DIV/0!</v>
      </c>
      <c r="T34" s="74" t="e">
        <f t="shared" si="4"/>
        <v>#DIV/0!</v>
      </c>
      <c r="U34" s="78" t="e">
        <f t="shared" si="5"/>
        <v>#DIV/0!</v>
      </c>
    </row>
    <row r="35" spans="1:21" x14ac:dyDescent="0.2">
      <c r="A35" s="71" t="s">
        <v>299</v>
      </c>
      <c r="B35" s="72" t="s">
        <v>300</v>
      </c>
      <c r="C35" s="72" t="s">
        <v>330</v>
      </c>
      <c r="D35" s="72" t="s">
        <v>354</v>
      </c>
      <c r="E35" s="72" t="s">
        <v>300</v>
      </c>
      <c r="F35" s="73" t="s">
        <v>355</v>
      </c>
      <c r="G35" s="72" t="s">
        <v>323</v>
      </c>
      <c r="H35" s="72" t="s">
        <v>193</v>
      </c>
      <c r="I35" s="72" t="s">
        <v>17</v>
      </c>
      <c r="J35" s="72" t="s">
        <v>187</v>
      </c>
      <c r="K35" s="74">
        <v>193.5</v>
      </c>
      <c r="L35" s="74">
        <f t="shared" si="0"/>
        <v>96.75</v>
      </c>
      <c r="M35" s="75">
        <f>prodnorm36</f>
        <v>0</v>
      </c>
      <c r="N35" s="76">
        <f>dagwerk36</f>
        <v>0</v>
      </c>
      <c r="O35" s="72" t="s">
        <v>54</v>
      </c>
      <c r="P35" s="77">
        <f>uurtarief36</f>
        <v>0</v>
      </c>
      <c r="Q35" s="74" t="e">
        <f t="shared" si="6"/>
        <v>#DIV/0!</v>
      </c>
      <c r="R35" s="74" t="e">
        <f t="shared" si="2"/>
        <v>#DIV/0!</v>
      </c>
      <c r="S35" s="77" t="e">
        <f t="shared" si="3"/>
        <v>#DIV/0!</v>
      </c>
      <c r="T35" s="74" t="e">
        <f t="shared" si="4"/>
        <v>#DIV/0!</v>
      </c>
      <c r="U35" s="78" t="e">
        <f t="shared" si="5"/>
        <v>#DIV/0!</v>
      </c>
    </row>
    <row r="36" spans="1:21" x14ac:dyDescent="0.2">
      <c r="A36" s="71" t="s">
        <v>299</v>
      </c>
      <c r="B36" s="72" t="s">
        <v>300</v>
      </c>
      <c r="C36" s="72" t="s">
        <v>330</v>
      </c>
      <c r="D36" s="72" t="s">
        <v>356</v>
      </c>
      <c r="E36" s="72" t="s">
        <v>300</v>
      </c>
      <c r="F36" s="73" t="s">
        <v>357</v>
      </c>
      <c r="G36" s="72" t="s">
        <v>326</v>
      </c>
      <c r="H36" s="72" t="s">
        <v>214</v>
      </c>
      <c r="I36" s="72" t="s">
        <v>19</v>
      </c>
      <c r="J36" s="72" t="s">
        <v>187</v>
      </c>
      <c r="K36" s="74">
        <v>2.14</v>
      </c>
      <c r="L36" s="74">
        <f t="shared" si="0"/>
        <v>0.85600000000000009</v>
      </c>
      <c r="M36" s="75">
        <f>prodnorm64</f>
        <v>0</v>
      </c>
      <c r="N36" s="76">
        <f>dagwerk64</f>
        <v>0</v>
      </c>
      <c r="O36" s="72" t="s">
        <v>54</v>
      </c>
      <c r="P36" s="77">
        <f>uurtarief64</f>
        <v>0</v>
      </c>
      <c r="Q36" s="74" t="e">
        <f t="shared" si="6"/>
        <v>#DIV/0!</v>
      </c>
      <c r="R36" s="74" t="e">
        <f t="shared" si="2"/>
        <v>#DIV/0!</v>
      </c>
      <c r="S36" s="77" t="e">
        <f t="shared" si="3"/>
        <v>#DIV/0!</v>
      </c>
      <c r="T36" s="74" t="e">
        <f t="shared" si="4"/>
        <v>#DIV/0!</v>
      </c>
      <c r="U36" s="78" t="e">
        <f t="shared" si="5"/>
        <v>#DIV/0!</v>
      </c>
    </row>
    <row r="37" spans="1:21" x14ac:dyDescent="0.2">
      <c r="A37" s="71" t="s">
        <v>299</v>
      </c>
      <c r="B37" s="72" t="s">
        <v>300</v>
      </c>
      <c r="C37" s="72" t="s">
        <v>330</v>
      </c>
      <c r="D37" s="72" t="s">
        <v>356</v>
      </c>
      <c r="E37" s="72" t="s">
        <v>300</v>
      </c>
      <c r="F37" s="73" t="s">
        <v>357</v>
      </c>
      <c r="G37" s="72" t="s">
        <v>326</v>
      </c>
      <c r="H37" s="72" t="s">
        <v>239</v>
      </c>
      <c r="I37" s="72" t="s">
        <v>19</v>
      </c>
      <c r="J37" s="72" t="s">
        <v>187</v>
      </c>
      <c r="K37" s="74">
        <v>2.14</v>
      </c>
      <c r="L37" s="74">
        <f t="shared" si="0"/>
        <v>0.85600000000000009</v>
      </c>
      <c r="M37" s="75">
        <f>prodnorm115</f>
        <v>0</v>
      </c>
      <c r="N37" s="76">
        <f>dagwerk115</f>
        <v>0</v>
      </c>
      <c r="O37" s="72" t="s">
        <v>54</v>
      </c>
      <c r="P37" s="77">
        <f>uurtarief115</f>
        <v>0</v>
      </c>
      <c r="Q37" s="74" t="e">
        <f t="shared" si="6"/>
        <v>#DIV/0!</v>
      </c>
      <c r="R37" s="74" t="e">
        <f t="shared" si="2"/>
        <v>#DIV/0!</v>
      </c>
      <c r="S37" s="77" t="e">
        <f t="shared" si="3"/>
        <v>#DIV/0!</v>
      </c>
      <c r="T37" s="74" t="e">
        <f t="shared" si="4"/>
        <v>#DIV/0!</v>
      </c>
      <c r="U37" s="78" t="e">
        <f t="shared" si="5"/>
        <v>#DIV/0!</v>
      </c>
    </row>
    <row r="38" spans="1:21" x14ac:dyDescent="0.2">
      <c r="A38" s="71" t="s">
        <v>299</v>
      </c>
      <c r="B38" s="72" t="s">
        <v>300</v>
      </c>
      <c r="C38" s="72" t="s">
        <v>330</v>
      </c>
      <c r="D38" s="72" t="s">
        <v>356</v>
      </c>
      <c r="E38" s="72" t="s">
        <v>300</v>
      </c>
      <c r="F38" s="73" t="s">
        <v>357</v>
      </c>
      <c r="G38" s="72" t="s">
        <v>326</v>
      </c>
      <c r="H38" s="72" t="s">
        <v>241</v>
      </c>
      <c r="I38" s="72" t="s">
        <v>41</v>
      </c>
      <c r="J38" s="72" t="s">
        <v>242</v>
      </c>
      <c r="K38" s="74">
        <v>2.14</v>
      </c>
      <c r="L38" s="74">
        <f t="shared" si="0"/>
        <v>8.3921568627450989E-3</v>
      </c>
      <c r="M38" s="75">
        <f>prodnorm117</f>
        <v>0</v>
      </c>
      <c r="N38" s="76">
        <f>dagwerk117</f>
        <v>0</v>
      </c>
      <c r="O38" s="72" t="s">
        <v>54</v>
      </c>
      <c r="P38" s="77">
        <f>uurtarief117</f>
        <v>0</v>
      </c>
      <c r="Q38" s="74" t="e">
        <f t="shared" si="6"/>
        <v>#DIV/0!</v>
      </c>
      <c r="R38" s="74" t="e">
        <f t="shared" si="2"/>
        <v>#DIV/0!</v>
      </c>
      <c r="S38" s="77" t="e">
        <f t="shared" si="3"/>
        <v>#DIV/0!</v>
      </c>
      <c r="T38" s="74" t="e">
        <f t="shared" si="4"/>
        <v>#DIV/0!</v>
      </c>
      <c r="U38" s="78" t="e">
        <f t="shared" si="5"/>
        <v>#DIV/0!</v>
      </c>
    </row>
    <row r="39" spans="1:21" x14ac:dyDescent="0.2">
      <c r="A39" s="71" t="s">
        <v>299</v>
      </c>
      <c r="B39" s="72" t="s">
        <v>300</v>
      </c>
      <c r="C39" s="72" t="s">
        <v>330</v>
      </c>
      <c r="D39" s="72" t="s">
        <v>358</v>
      </c>
      <c r="E39" s="72" t="s">
        <v>300</v>
      </c>
      <c r="F39" s="73" t="s">
        <v>359</v>
      </c>
      <c r="G39" s="72" t="s">
        <v>326</v>
      </c>
      <c r="H39" s="72" t="s">
        <v>191</v>
      </c>
      <c r="I39" s="72" t="s">
        <v>19</v>
      </c>
      <c r="J39" s="72" t="s">
        <v>187</v>
      </c>
      <c r="K39" s="74">
        <v>9</v>
      </c>
      <c r="L39" s="74">
        <f t="shared" si="0"/>
        <v>3.6</v>
      </c>
      <c r="M39" s="75">
        <f>prodnorm35</f>
        <v>0</v>
      </c>
      <c r="N39" s="76">
        <f>dagwerk35</f>
        <v>0</v>
      </c>
      <c r="O39" s="72" t="s">
        <v>54</v>
      </c>
      <c r="P39" s="77">
        <f>uurtarief35</f>
        <v>0</v>
      </c>
      <c r="Q39" s="74" t="e">
        <f t="shared" si="6"/>
        <v>#DIV/0!</v>
      </c>
      <c r="R39" s="74" t="e">
        <f t="shared" si="2"/>
        <v>#DIV/0!</v>
      </c>
      <c r="S39" s="77" t="e">
        <f t="shared" si="3"/>
        <v>#DIV/0!</v>
      </c>
      <c r="T39" s="74" t="e">
        <f t="shared" si="4"/>
        <v>#DIV/0!</v>
      </c>
      <c r="U39" s="78" t="e">
        <f t="shared" si="5"/>
        <v>#DIV/0!</v>
      </c>
    </row>
    <row r="40" spans="1:21" x14ac:dyDescent="0.2">
      <c r="A40" s="71" t="s">
        <v>299</v>
      </c>
      <c r="B40" s="72" t="s">
        <v>300</v>
      </c>
      <c r="C40" s="72" t="s">
        <v>330</v>
      </c>
      <c r="D40" s="72" t="s">
        <v>358</v>
      </c>
      <c r="E40" s="72" t="s">
        <v>300</v>
      </c>
      <c r="F40" s="73" t="s">
        <v>359</v>
      </c>
      <c r="G40" s="72" t="s">
        <v>326</v>
      </c>
      <c r="H40" s="72" t="s">
        <v>239</v>
      </c>
      <c r="I40" s="72" t="s">
        <v>16</v>
      </c>
      <c r="J40" s="72" t="s">
        <v>187</v>
      </c>
      <c r="K40" s="74">
        <v>9</v>
      </c>
      <c r="L40" s="74">
        <f t="shared" si="0"/>
        <v>5.3999999999999995</v>
      </c>
      <c r="M40" s="75">
        <f>prodnorm116</f>
        <v>0</v>
      </c>
      <c r="N40" s="76">
        <f>dagwerk116</f>
        <v>0</v>
      </c>
      <c r="O40" s="72" t="s">
        <v>54</v>
      </c>
      <c r="P40" s="77">
        <f>uurtarief116</f>
        <v>0</v>
      </c>
      <c r="Q40" s="74" t="e">
        <f t="shared" si="6"/>
        <v>#DIV/0!</v>
      </c>
      <c r="R40" s="74" t="e">
        <f t="shared" si="2"/>
        <v>#DIV/0!</v>
      </c>
      <c r="S40" s="77" t="e">
        <f t="shared" si="3"/>
        <v>#DIV/0!</v>
      </c>
      <c r="T40" s="74" t="e">
        <f t="shared" si="4"/>
        <v>#DIV/0!</v>
      </c>
      <c r="U40" s="78" t="e">
        <f t="shared" si="5"/>
        <v>#DIV/0!</v>
      </c>
    </row>
    <row r="41" spans="1:21" x14ac:dyDescent="0.2">
      <c r="A41" s="71" t="s">
        <v>299</v>
      </c>
      <c r="B41" s="72" t="s">
        <v>300</v>
      </c>
      <c r="C41" s="72" t="s">
        <v>330</v>
      </c>
      <c r="D41" s="72" t="s">
        <v>358</v>
      </c>
      <c r="E41" s="72" t="s">
        <v>300</v>
      </c>
      <c r="F41" s="73" t="s">
        <v>359</v>
      </c>
      <c r="G41" s="72" t="s">
        <v>326</v>
      </c>
      <c r="H41" s="72" t="s">
        <v>241</v>
      </c>
      <c r="I41" s="72" t="s">
        <v>41</v>
      </c>
      <c r="J41" s="72" t="s">
        <v>242</v>
      </c>
      <c r="K41" s="74">
        <v>9</v>
      </c>
      <c r="L41" s="74">
        <f t="shared" si="0"/>
        <v>3.5294117647058823E-2</v>
      </c>
      <c r="M41" s="75">
        <f>prodnorm117</f>
        <v>0</v>
      </c>
      <c r="N41" s="76">
        <f>dagwerk117</f>
        <v>0</v>
      </c>
      <c r="O41" s="72" t="s">
        <v>54</v>
      </c>
      <c r="P41" s="77">
        <f>uurtarief117</f>
        <v>0</v>
      </c>
      <c r="Q41" s="74" t="e">
        <f t="shared" si="6"/>
        <v>#DIV/0!</v>
      </c>
      <c r="R41" s="74" t="e">
        <f t="shared" si="2"/>
        <v>#DIV/0!</v>
      </c>
      <c r="S41" s="77" t="e">
        <f t="shared" si="3"/>
        <v>#DIV/0!</v>
      </c>
      <c r="T41" s="74" t="e">
        <f t="shared" si="4"/>
        <v>#DIV/0!</v>
      </c>
      <c r="U41" s="78" t="e">
        <f t="shared" si="5"/>
        <v>#DIV/0!</v>
      </c>
    </row>
    <row r="42" spans="1:21" x14ac:dyDescent="0.2">
      <c r="A42" s="71" t="s">
        <v>299</v>
      </c>
      <c r="B42" s="72" t="s">
        <v>300</v>
      </c>
      <c r="C42" s="72" t="s">
        <v>330</v>
      </c>
      <c r="D42" s="72" t="s">
        <v>360</v>
      </c>
      <c r="E42" s="72" t="s">
        <v>300</v>
      </c>
      <c r="F42" s="73" t="s">
        <v>361</v>
      </c>
      <c r="G42" s="72" t="s">
        <v>326</v>
      </c>
      <c r="H42" s="72" t="s">
        <v>231</v>
      </c>
      <c r="I42" s="72" t="s">
        <v>24</v>
      </c>
      <c r="J42" s="72" t="s">
        <v>187</v>
      </c>
      <c r="K42" s="74">
        <v>4.38</v>
      </c>
      <c r="L42" s="74">
        <f t="shared" si="0"/>
        <v>0.876</v>
      </c>
      <c r="M42" s="75">
        <f>prodnorm97</f>
        <v>0</v>
      </c>
      <c r="N42" s="76">
        <f>dagwerk97</f>
        <v>0</v>
      </c>
      <c r="O42" s="72" t="s">
        <v>54</v>
      </c>
      <c r="P42" s="77">
        <f>uurtarief97</f>
        <v>0</v>
      </c>
      <c r="Q42" s="74" t="e">
        <f t="shared" si="6"/>
        <v>#DIV/0!</v>
      </c>
      <c r="R42" s="74" t="e">
        <f t="shared" si="2"/>
        <v>#DIV/0!</v>
      </c>
      <c r="S42" s="77" t="e">
        <f t="shared" si="3"/>
        <v>#DIV/0!</v>
      </c>
      <c r="T42" s="74" t="e">
        <f t="shared" si="4"/>
        <v>#DIV/0!</v>
      </c>
      <c r="U42" s="78" t="e">
        <f t="shared" si="5"/>
        <v>#DIV/0!</v>
      </c>
    </row>
    <row r="43" spans="1:21" x14ac:dyDescent="0.2">
      <c r="A43" s="71" t="s">
        <v>299</v>
      </c>
      <c r="B43" s="72" t="s">
        <v>300</v>
      </c>
      <c r="C43" s="72" t="s">
        <v>330</v>
      </c>
      <c r="D43" s="72" t="s">
        <v>360</v>
      </c>
      <c r="E43" s="72" t="s">
        <v>300</v>
      </c>
      <c r="F43" s="73" t="s">
        <v>361</v>
      </c>
      <c r="G43" s="72" t="s">
        <v>326</v>
      </c>
      <c r="H43" s="72" t="s">
        <v>239</v>
      </c>
      <c r="I43" s="72" t="s">
        <v>16</v>
      </c>
      <c r="J43" s="72" t="s">
        <v>187</v>
      </c>
      <c r="K43" s="74">
        <v>4.38</v>
      </c>
      <c r="L43" s="74">
        <f t="shared" si="0"/>
        <v>2.6279999999999997</v>
      </c>
      <c r="M43" s="75">
        <f>prodnorm116</f>
        <v>0</v>
      </c>
      <c r="N43" s="76">
        <f>dagwerk116</f>
        <v>0</v>
      </c>
      <c r="O43" s="72" t="s">
        <v>54</v>
      </c>
      <c r="P43" s="77">
        <f>uurtarief116</f>
        <v>0</v>
      </c>
      <c r="Q43" s="74" t="e">
        <f t="shared" si="6"/>
        <v>#DIV/0!</v>
      </c>
      <c r="R43" s="74" t="e">
        <f t="shared" si="2"/>
        <v>#DIV/0!</v>
      </c>
      <c r="S43" s="77" t="e">
        <f t="shared" si="3"/>
        <v>#DIV/0!</v>
      </c>
      <c r="T43" s="74" t="e">
        <f t="shared" si="4"/>
        <v>#DIV/0!</v>
      </c>
      <c r="U43" s="78" t="e">
        <f t="shared" si="5"/>
        <v>#DIV/0!</v>
      </c>
    </row>
    <row r="44" spans="1:21" x14ac:dyDescent="0.2">
      <c r="A44" s="71" t="s">
        <v>299</v>
      </c>
      <c r="B44" s="72" t="s">
        <v>300</v>
      </c>
      <c r="C44" s="72" t="s">
        <v>330</v>
      </c>
      <c r="D44" s="72" t="s">
        <v>360</v>
      </c>
      <c r="E44" s="72" t="s">
        <v>300</v>
      </c>
      <c r="F44" s="73" t="s">
        <v>361</v>
      </c>
      <c r="G44" s="72" t="s">
        <v>326</v>
      </c>
      <c r="H44" s="72" t="s">
        <v>241</v>
      </c>
      <c r="I44" s="72" t="s">
        <v>41</v>
      </c>
      <c r="J44" s="72" t="s">
        <v>242</v>
      </c>
      <c r="K44" s="74">
        <v>4.38</v>
      </c>
      <c r="L44" s="74">
        <f t="shared" si="0"/>
        <v>1.7176470588235293E-2</v>
      </c>
      <c r="M44" s="75">
        <f>prodnorm117</f>
        <v>0</v>
      </c>
      <c r="N44" s="76">
        <f>dagwerk117</f>
        <v>0</v>
      </c>
      <c r="O44" s="72" t="s">
        <v>54</v>
      </c>
      <c r="P44" s="77">
        <f>uurtarief117</f>
        <v>0</v>
      </c>
      <c r="Q44" s="74" t="e">
        <f t="shared" si="6"/>
        <v>#DIV/0!</v>
      </c>
      <c r="R44" s="74" t="e">
        <f t="shared" si="2"/>
        <v>#DIV/0!</v>
      </c>
      <c r="S44" s="77" t="e">
        <f t="shared" si="3"/>
        <v>#DIV/0!</v>
      </c>
      <c r="T44" s="74" t="e">
        <f t="shared" si="4"/>
        <v>#DIV/0!</v>
      </c>
      <c r="U44" s="78" t="e">
        <f t="shared" si="5"/>
        <v>#DIV/0!</v>
      </c>
    </row>
    <row r="45" spans="1:21" x14ac:dyDescent="0.2">
      <c r="A45" s="71" t="s">
        <v>299</v>
      </c>
      <c r="B45" s="72" t="s">
        <v>300</v>
      </c>
      <c r="C45" s="72" t="s">
        <v>330</v>
      </c>
      <c r="D45" s="72" t="s">
        <v>362</v>
      </c>
      <c r="E45" s="72" t="s">
        <v>300</v>
      </c>
      <c r="F45" s="73" t="s">
        <v>319</v>
      </c>
      <c r="G45" s="72" t="s">
        <v>326</v>
      </c>
      <c r="H45" s="72" t="s">
        <v>222</v>
      </c>
      <c r="I45" s="72" t="s">
        <v>19</v>
      </c>
      <c r="J45" s="72" t="s">
        <v>187</v>
      </c>
      <c r="K45" s="74">
        <v>1.8</v>
      </c>
      <c r="L45" s="74">
        <f t="shared" si="0"/>
        <v>0.72000000000000008</v>
      </c>
      <c r="M45" s="75">
        <f>prodnorm82</f>
        <v>0</v>
      </c>
      <c r="N45" s="76">
        <f>dagwerk82</f>
        <v>0</v>
      </c>
      <c r="O45" s="72" t="s">
        <v>54</v>
      </c>
      <c r="P45" s="77">
        <f>uurtarief82</f>
        <v>0</v>
      </c>
      <c r="Q45" s="74" t="e">
        <f t="shared" si="6"/>
        <v>#DIV/0!</v>
      </c>
      <c r="R45" s="74" t="e">
        <f t="shared" si="2"/>
        <v>#DIV/0!</v>
      </c>
      <c r="S45" s="77" t="e">
        <f t="shared" si="3"/>
        <v>#DIV/0!</v>
      </c>
      <c r="T45" s="74" t="e">
        <f t="shared" si="4"/>
        <v>#DIV/0!</v>
      </c>
      <c r="U45" s="78" t="e">
        <f t="shared" si="5"/>
        <v>#DIV/0!</v>
      </c>
    </row>
    <row r="46" spans="1:21" x14ac:dyDescent="0.2">
      <c r="A46" s="71" t="s">
        <v>299</v>
      </c>
      <c r="B46" s="72" t="s">
        <v>300</v>
      </c>
      <c r="C46" s="72" t="s">
        <v>330</v>
      </c>
      <c r="D46" s="72" t="s">
        <v>362</v>
      </c>
      <c r="E46" s="72" t="s">
        <v>300</v>
      </c>
      <c r="F46" s="73" t="s">
        <v>319</v>
      </c>
      <c r="G46" s="72" t="s">
        <v>326</v>
      </c>
      <c r="H46" s="72" t="s">
        <v>241</v>
      </c>
      <c r="I46" s="72" t="s">
        <v>41</v>
      </c>
      <c r="J46" s="72" t="s">
        <v>242</v>
      </c>
      <c r="K46" s="74">
        <v>1.8</v>
      </c>
      <c r="L46" s="74">
        <f t="shared" si="0"/>
        <v>7.058823529411765E-3</v>
      </c>
      <c r="M46" s="75">
        <f>prodnorm117</f>
        <v>0</v>
      </c>
      <c r="N46" s="76">
        <f>dagwerk117</f>
        <v>0</v>
      </c>
      <c r="O46" s="72" t="s">
        <v>54</v>
      </c>
      <c r="P46" s="77">
        <f>uurtarief117</f>
        <v>0</v>
      </c>
      <c r="Q46" s="74" t="e">
        <f t="shared" si="6"/>
        <v>#DIV/0!</v>
      </c>
      <c r="R46" s="74" t="e">
        <f t="shared" si="2"/>
        <v>#DIV/0!</v>
      </c>
      <c r="S46" s="77" t="e">
        <f t="shared" si="3"/>
        <v>#DIV/0!</v>
      </c>
      <c r="T46" s="74" t="e">
        <f t="shared" si="4"/>
        <v>#DIV/0!</v>
      </c>
      <c r="U46" s="78" t="e">
        <f t="shared" si="5"/>
        <v>#DIV/0!</v>
      </c>
    </row>
    <row r="47" spans="1:21" x14ac:dyDescent="0.2">
      <c r="A47" s="71" t="s">
        <v>299</v>
      </c>
      <c r="B47" s="72" t="s">
        <v>300</v>
      </c>
      <c r="C47" s="72" t="s">
        <v>330</v>
      </c>
      <c r="D47" s="72" t="s">
        <v>363</v>
      </c>
      <c r="E47" s="72" t="s">
        <v>300</v>
      </c>
      <c r="F47" s="73" t="s">
        <v>359</v>
      </c>
      <c r="G47" s="72" t="s">
        <v>364</v>
      </c>
      <c r="H47" s="72" t="s">
        <v>193</v>
      </c>
      <c r="I47" s="72" t="s">
        <v>17</v>
      </c>
      <c r="J47" s="72" t="s">
        <v>187</v>
      </c>
      <c r="K47" s="74">
        <v>17</v>
      </c>
      <c r="L47" s="74">
        <f t="shared" si="0"/>
        <v>8.5</v>
      </c>
      <c r="M47" s="75">
        <f>prodnorm36</f>
        <v>0</v>
      </c>
      <c r="N47" s="76">
        <f>dagwerk36</f>
        <v>0</v>
      </c>
      <c r="O47" s="72" t="s">
        <v>54</v>
      </c>
      <c r="P47" s="77">
        <f>uurtarief36</f>
        <v>0</v>
      </c>
      <c r="Q47" s="74" t="e">
        <f t="shared" si="6"/>
        <v>#DIV/0!</v>
      </c>
      <c r="R47" s="74" t="e">
        <f t="shared" si="2"/>
        <v>#DIV/0!</v>
      </c>
      <c r="S47" s="77" t="e">
        <f t="shared" si="3"/>
        <v>#DIV/0!</v>
      </c>
      <c r="T47" s="74" t="e">
        <f t="shared" si="4"/>
        <v>#DIV/0!</v>
      </c>
      <c r="U47" s="78" t="e">
        <f t="shared" si="5"/>
        <v>#DIV/0!</v>
      </c>
    </row>
    <row r="48" spans="1:21" x14ac:dyDescent="0.2">
      <c r="A48" s="71" t="s">
        <v>299</v>
      </c>
      <c r="B48" s="72" t="s">
        <v>300</v>
      </c>
      <c r="C48" s="72" t="s">
        <v>330</v>
      </c>
      <c r="D48" s="72" t="s">
        <v>365</v>
      </c>
      <c r="E48" s="72" t="s">
        <v>300</v>
      </c>
      <c r="F48" s="73" t="s">
        <v>366</v>
      </c>
      <c r="G48" s="72" t="s">
        <v>309</v>
      </c>
      <c r="H48" s="72" t="s">
        <v>231</v>
      </c>
      <c r="I48" s="72" t="s">
        <v>24</v>
      </c>
      <c r="J48" s="72" t="s">
        <v>187</v>
      </c>
      <c r="K48" s="74">
        <v>20.23</v>
      </c>
      <c r="L48" s="74">
        <f t="shared" si="0"/>
        <v>4.0460000000000003</v>
      </c>
      <c r="M48" s="75">
        <f>prodnorm97</f>
        <v>0</v>
      </c>
      <c r="N48" s="76">
        <f>dagwerk97</f>
        <v>0</v>
      </c>
      <c r="O48" s="72" t="s">
        <v>54</v>
      </c>
      <c r="P48" s="77">
        <f>uurtarief97</f>
        <v>0</v>
      </c>
      <c r="Q48" s="74" t="e">
        <f t="shared" si="6"/>
        <v>#DIV/0!</v>
      </c>
      <c r="R48" s="74" t="e">
        <f t="shared" si="2"/>
        <v>#DIV/0!</v>
      </c>
      <c r="S48" s="77" t="e">
        <f t="shared" si="3"/>
        <v>#DIV/0!</v>
      </c>
      <c r="T48" s="74" t="e">
        <f t="shared" si="4"/>
        <v>#DIV/0!</v>
      </c>
      <c r="U48" s="78" t="e">
        <f t="shared" si="5"/>
        <v>#DIV/0!</v>
      </c>
    </row>
    <row r="49" spans="1:21" x14ac:dyDescent="0.2">
      <c r="A49" s="71" t="s">
        <v>299</v>
      </c>
      <c r="B49" s="72" t="s">
        <v>300</v>
      </c>
      <c r="C49" s="72" t="s">
        <v>330</v>
      </c>
      <c r="D49" s="72" t="s">
        <v>367</v>
      </c>
      <c r="E49" s="72" t="s">
        <v>300</v>
      </c>
      <c r="F49" s="73" t="s">
        <v>306</v>
      </c>
      <c r="G49" s="72" t="s">
        <v>323</v>
      </c>
      <c r="H49" s="72" t="s">
        <v>233</v>
      </c>
      <c r="I49" s="72" t="s">
        <v>17</v>
      </c>
      <c r="J49" s="72" t="s">
        <v>187</v>
      </c>
      <c r="K49" s="74">
        <v>64.81</v>
      </c>
      <c r="L49" s="74">
        <f t="shared" si="0"/>
        <v>32.405000000000001</v>
      </c>
      <c r="M49" s="75">
        <f>prodnorm106</f>
        <v>0</v>
      </c>
      <c r="N49" s="76">
        <f>dagwerk106</f>
        <v>0</v>
      </c>
      <c r="O49" s="72" t="s">
        <v>54</v>
      </c>
      <c r="P49" s="77">
        <f>uurtarief106</f>
        <v>0</v>
      </c>
      <c r="Q49" s="74" t="e">
        <f t="shared" si="6"/>
        <v>#DIV/0!</v>
      </c>
      <c r="R49" s="74" t="e">
        <f t="shared" si="2"/>
        <v>#DIV/0!</v>
      </c>
      <c r="S49" s="77" t="e">
        <f t="shared" si="3"/>
        <v>#DIV/0!</v>
      </c>
      <c r="T49" s="74" t="e">
        <f t="shared" si="4"/>
        <v>#DIV/0!</v>
      </c>
      <c r="U49" s="78" t="e">
        <f t="shared" si="5"/>
        <v>#DIV/0!</v>
      </c>
    </row>
    <row r="50" spans="1:21" x14ac:dyDescent="0.2">
      <c r="A50" s="71" t="s">
        <v>299</v>
      </c>
      <c r="B50" s="72" t="s">
        <v>300</v>
      </c>
      <c r="C50" s="72" t="s">
        <v>330</v>
      </c>
      <c r="D50" s="72" t="s">
        <v>368</v>
      </c>
      <c r="E50" s="72" t="s">
        <v>300</v>
      </c>
      <c r="F50" s="73" t="s">
        <v>338</v>
      </c>
      <c r="G50" s="72" t="s">
        <v>323</v>
      </c>
      <c r="H50" s="72" t="s">
        <v>201</v>
      </c>
      <c r="I50" s="72" t="s">
        <v>10</v>
      </c>
      <c r="J50" s="72" t="s">
        <v>187</v>
      </c>
      <c r="K50" s="74">
        <v>9.61</v>
      </c>
      <c r="L50" s="74">
        <f t="shared" si="0"/>
        <v>9.61</v>
      </c>
      <c r="M50" s="75">
        <f>prodnorm52</f>
        <v>0</v>
      </c>
      <c r="N50" s="76">
        <f>dagwerk52</f>
        <v>0</v>
      </c>
      <c r="O50" s="72" t="s">
        <v>54</v>
      </c>
      <c r="P50" s="77">
        <f>uurtarief52</f>
        <v>0</v>
      </c>
      <c r="Q50" s="74" t="e">
        <f t="shared" si="6"/>
        <v>#DIV/0!</v>
      </c>
      <c r="R50" s="74" t="e">
        <f t="shared" si="2"/>
        <v>#DIV/0!</v>
      </c>
      <c r="S50" s="77" t="e">
        <f t="shared" si="3"/>
        <v>#DIV/0!</v>
      </c>
      <c r="T50" s="74" t="e">
        <f t="shared" si="4"/>
        <v>#DIV/0!</v>
      </c>
      <c r="U50" s="78" t="e">
        <f t="shared" si="5"/>
        <v>#DIV/0!</v>
      </c>
    </row>
    <row r="51" spans="1:21" x14ac:dyDescent="0.2">
      <c r="A51" s="71" t="s">
        <v>299</v>
      </c>
      <c r="B51" s="72" t="s">
        <v>300</v>
      </c>
      <c r="C51" s="72" t="s">
        <v>330</v>
      </c>
      <c r="D51" s="72" t="s">
        <v>369</v>
      </c>
      <c r="E51" s="72" t="s">
        <v>300</v>
      </c>
      <c r="F51" s="73" t="s">
        <v>370</v>
      </c>
      <c r="G51" s="72" t="s">
        <v>309</v>
      </c>
      <c r="H51" s="72" t="s">
        <v>231</v>
      </c>
      <c r="I51" s="72" t="s">
        <v>24</v>
      </c>
      <c r="J51" s="72" t="s">
        <v>187</v>
      </c>
      <c r="K51" s="74">
        <v>6.21</v>
      </c>
      <c r="L51" s="74">
        <f t="shared" si="0"/>
        <v>1.242</v>
      </c>
      <c r="M51" s="75">
        <f>prodnorm97</f>
        <v>0</v>
      </c>
      <c r="N51" s="76">
        <f>dagwerk97</f>
        <v>0</v>
      </c>
      <c r="O51" s="72" t="s">
        <v>54</v>
      </c>
      <c r="P51" s="77">
        <f>uurtarief97</f>
        <v>0</v>
      </c>
      <c r="Q51" s="74" t="e">
        <f t="shared" si="6"/>
        <v>#DIV/0!</v>
      </c>
      <c r="R51" s="74" t="e">
        <f t="shared" si="2"/>
        <v>#DIV/0!</v>
      </c>
      <c r="S51" s="77" t="e">
        <f t="shared" si="3"/>
        <v>#DIV/0!</v>
      </c>
      <c r="T51" s="74" t="e">
        <f t="shared" si="4"/>
        <v>#DIV/0!</v>
      </c>
      <c r="U51" s="78" t="e">
        <f t="shared" si="5"/>
        <v>#DIV/0!</v>
      </c>
    </row>
    <row r="52" spans="1:21" x14ac:dyDescent="0.2">
      <c r="A52" s="71" t="s">
        <v>299</v>
      </c>
      <c r="B52" s="72" t="s">
        <v>300</v>
      </c>
      <c r="C52" s="72" t="s">
        <v>330</v>
      </c>
      <c r="D52" s="72" t="s">
        <v>371</v>
      </c>
      <c r="E52" s="72" t="s">
        <v>300</v>
      </c>
      <c r="F52" s="73" t="s">
        <v>372</v>
      </c>
      <c r="G52" s="72" t="s">
        <v>309</v>
      </c>
      <c r="H52" s="72" t="s">
        <v>231</v>
      </c>
      <c r="I52" s="72" t="s">
        <v>17</v>
      </c>
      <c r="J52" s="72" t="s">
        <v>187</v>
      </c>
      <c r="K52" s="74">
        <v>6.75</v>
      </c>
      <c r="L52" s="74">
        <f t="shared" si="0"/>
        <v>3.375</v>
      </c>
      <c r="M52" s="75">
        <f>prodnorm98</f>
        <v>0</v>
      </c>
      <c r="N52" s="76">
        <f>dagwerk98</f>
        <v>0</v>
      </c>
      <c r="O52" s="72" t="s">
        <v>54</v>
      </c>
      <c r="P52" s="77">
        <f>uurtarief98</f>
        <v>0</v>
      </c>
      <c r="Q52" s="74" t="e">
        <f t="shared" si="6"/>
        <v>#DIV/0!</v>
      </c>
      <c r="R52" s="74" t="e">
        <f t="shared" si="2"/>
        <v>#DIV/0!</v>
      </c>
      <c r="S52" s="77" t="e">
        <f t="shared" si="3"/>
        <v>#DIV/0!</v>
      </c>
      <c r="T52" s="74" t="e">
        <f t="shared" si="4"/>
        <v>#DIV/0!</v>
      </c>
      <c r="U52" s="78" t="e">
        <f t="shared" si="5"/>
        <v>#DIV/0!</v>
      </c>
    </row>
    <row r="53" spans="1:21" x14ac:dyDescent="0.2">
      <c r="A53" s="71" t="s">
        <v>299</v>
      </c>
      <c r="B53" s="72" t="s">
        <v>300</v>
      </c>
      <c r="C53" s="72" t="s">
        <v>330</v>
      </c>
      <c r="D53" s="72" t="s">
        <v>373</v>
      </c>
      <c r="E53" s="72" t="s">
        <v>300</v>
      </c>
      <c r="F53" s="73" t="s">
        <v>374</v>
      </c>
      <c r="G53" s="72" t="s">
        <v>309</v>
      </c>
      <c r="H53" s="72" t="s">
        <v>218</v>
      </c>
      <c r="I53" s="72" t="s">
        <v>17</v>
      </c>
      <c r="J53" s="72" t="s">
        <v>187</v>
      </c>
      <c r="K53" s="74">
        <v>6.75</v>
      </c>
      <c r="L53" s="74">
        <f t="shared" si="0"/>
        <v>3.375</v>
      </c>
      <c r="M53" s="75">
        <f>prodnorm70</f>
        <v>0</v>
      </c>
      <c r="N53" s="76">
        <f>dagwerk70</f>
        <v>0</v>
      </c>
      <c r="O53" s="72" t="s">
        <v>54</v>
      </c>
      <c r="P53" s="77">
        <f>uurtarief70</f>
        <v>0</v>
      </c>
      <c r="Q53" s="74" t="e">
        <f t="shared" si="6"/>
        <v>#DIV/0!</v>
      </c>
      <c r="R53" s="74" t="e">
        <f t="shared" si="2"/>
        <v>#DIV/0!</v>
      </c>
      <c r="S53" s="77" t="e">
        <f t="shared" si="3"/>
        <v>#DIV/0!</v>
      </c>
      <c r="T53" s="74" t="e">
        <f t="shared" si="4"/>
        <v>#DIV/0!</v>
      </c>
      <c r="U53" s="78" t="e">
        <f t="shared" si="5"/>
        <v>#DIV/0!</v>
      </c>
    </row>
    <row r="54" spans="1:21" x14ac:dyDescent="0.2">
      <c r="A54" s="71" t="s">
        <v>299</v>
      </c>
      <c r="B54" s="72" t="s">
        <v>300</v>
      </c>
      <c r="C54" s="72" t="s">
        <v>330</v>
      </c>
      <c r="D54" s="72" t="s">
        <v>373</v>
      </c>
      <c r="E54" s="72" t="s">
        <v>300</v>
      </c>
      <c r="F54" s="73" t="s">
        <v>374</v>
      </c>
      <c r="G54" s="72" t="s">
        <v>309</v>
      </c>
      <c r="H54" s="72" t="s">
        <v>239</v>
      </c>
      <c r="I54" s="72" t="s">
        <v>17</v>
      </c>
      <c r="J54" s="72" t="s">
        <v>187</v>
      </c>
      <c r="K54" s="74">
        <v>6.75</v>
      </c>
      <c r="L54" s="74">
        <f t="shared" si="0"/>
        <v>3.375</v>
      </c>
      <c r="M54" s="75">
        <f>prodnorm114</f>
        <v>0</v>
      </c>
      <c r="N54" s="76">
        <f>dagwerk114</f>
        <v>0</v>
      </c>
      <c r="O54" s="72" t="s">
        <v>54</v>
      </c>
      <c r="P54" s="77">
        <f>uurtarief114</f>
        <v>0</v>
      </c>
      <c r="Q54" s="74" t="e">
        <f t="shared" si="6"/>
        <v>#DIV/0!</v>
      </c>
      <c r="R54" s="74" t="e">
        <f t="shared" si="2"/>
        <v>#DIV/0!</v>
      </c>
      <c r="S54" s="77" t="e">
        <f t="shared" si="3"/>
        <v>#DIV/0!</v>
      </c>
      <c r="T54" s="74" t="e">
        <f t="shared" si="4"/>
        <v>#DIV/0!</v>
      </c>
      <c r="U54" s="78" t="e">
        <f t="shared" si="5"/>
        <v>#DIV/0!</v>
      </c>
    </row>
    <row r="55" spans="1:21" x14ac:dyDescent="0.2">
      <c r="A55" s="71" t="s">
        <v>299</v>
      </c>
      <c r="B55" s="72" t="s">
        <v>300</v>
      </c>
      <c r="C55" s="72" t="s">
        <v>330</v>
      </c>
      <c r="D55" s="72" t="s">
        <v>375</v>
      </c>
      <c r="E55" s="72" t="s">
        <v>300</v>
      </c>
      <c r="F55" s="73" t="s">
        <v>376</v>
      </c>
      <c r="G55" s="72" t="s">
        <v>309</v>
      </c>
      <c r="H55" s="72" t="s">
        <v>222</v>
      </c>
      <c r="I55" s="72" t="s">
        <v>10</v>
      </c>
      <c r="J55" s="72" t="s">
        <v>187</v>
      </c>
      <c r="K55" s="74">
        <v>6.45</v>
      </c>
      <c r="L55" s="74">
        <f t="shared" si="0"/>
        <v>6.45</v>
      </c>
      <c r="M55" s="75">
        <f>prodnorm85</f>
        <v>0</v>
      </c>
      <c r="N55" s="76">
        <f>dagwerk85</f>
        <v>0</v>
      </c>
      <c r="O55" s="72" t="s">
        <v>54</v>
      </c>
      <c r="P55" s="77">
        <f>uurtarief85</f>
        <v>0</v>
      </c>
      <c r="Q55" s="74" t="e">
        <f t="shared" si="6"/>
        <v>#DIV/0!</v>
      </c>
      <c r="R55" s="74" t="e">
        <f t="shared" si="2"/>
        <v>#DIV/0!</v>
      </c>
      <c r="S55" s="77" t="e">
        <f t="shared" si="3"/>
        <v>#DIV/0!</v>
      </c>
      <c r="T55" s="74" t="e">
        <f t="shared" si="4"/>
        <v>#DIV/0!</v>
      </c>
      <c r="U55" s="78" t="e">
        <f t="shared" si="5"/>
        <v>#DIV/0!</v>
      </c>
    </row>
    <row r="56" spans="1:21" x14ac:dyDescent="0.2">
      <c r="A56" s="71" t="s">
        <v>299</v>
      </c>
      <c r="B56" s="72" t="s">
        <v>300</v>
      </c>
      <c r="C56" s="72" t="s">
        <v>330</v>
      </c>
      <c r="D56" s="72" t="s">
        <v>375</v>
      </c>
      <c r="E56" s="72" t="s">
        <v>300</v>
      </c>
      <c r="F56" s="73" t="s">
        <v>376</v>
      </c>
      <c r="G56" s="72" t="s">
        <v>309</v>
      </c>
      <c r="H56" s="72" t="s">
        <v>224</v>
      </c>
      <c r="I56" s="72" t="s">
        <v>10</v>
      </c>
      <c r="J56" s="72" t="s">
        <v>187</v>
      </c>
      <c r="K56" s="74">
        <v>6.45</v>
      </c>
      <c r="L56" s="74">
        <f t="shared" si="0"/>
        <v>6.45</v>
      </c>
      <c r="M56" s="75">
        <f>prodnorm88</f>
        <v>0</v>
      </c>
      <c r="N56" s="76">
        <f>dagwerk88</f>
        <v>0</v>
      </c>
      <c r="O56" s="72" t="s">
        <v>54</v>
      </c>
      <c r="P56" s="77">
        <f>uurtarief88</f>
        <v>0</v>
      </c>
      <c r="Q56" s="74" t="e">
        <f t="shared" si="6"/>
        <v>#DIV/0!</v>
      </c>
      <c r="R56" s="74" t="e">
        <f t="shared" si="2"/>
        <v>#DIV/0!</v>
      </c>
      <c r="S56" s="77" t="e">
        <f t="shared" si="3"/>
        <v>#DIV/0!</v>
      </c>
      <c r="T56" s="74" t="e">
        <f t="shared" si="4"/>
        <v>#DIV/0!</v>
      </c>
      <c r="U56" s="78" t="e">
        <f t="shared" si="5"/>
        <v>#DIV/0!</v>
      </c>
    </row>
    <row r="57" spans="1:21" x14ac:dyDescent="0.2">
      <c r="A57" s="71" t="s">
        <v>299</v>
      </c>
      <c r="B57" s="72" t="s">
        <v>300</v>
      </c>
      <c r="C57" s="72" t="s">
        <v>330</v>
      </c>
      <c r="D57" s="72" t="s">
        <v>377</v>
      </c>
      <c r="E57" s="72" t="s">
        <v>300</v>
      </c>
      <c r="F57" s="73" t="s">
        <v>378</v>
      </c>
      <c r="G57" s="72" t="s">
        <v>309</v>
      </c>
      <c r="H57" s="72" t="s">
        <v>222</v>
      </c>
      <c r="I57" s="72" t="s">
        <v>10</v>
      </c>
      <c r="J57" s="72" t="s">
        <v>187</v>
      </c>
      <c r="K57" s="74">
        <v>6.45</v>
      </c>
      <c r="L57" s="74">
        <f t="shared" si="0"/>
        <v>6.45</v>
      </c>
      <c r="M57" s="75">
        <f>prodnorm85</f>
        <v>0</v>
      </c>
      <c r="N57" s="76">
        <f>dagwerk85</f>
        <v>0</v>
      </c>
      <c r="O57" s="72" t="s">
        <v>54</v>
      </c>
      <c r="P57" s="77">
        <f>uurtarief85</f>
        <v>0</v>
      </c>
      <c r="Q57" s="74" t="e">
        <f t="shared" si="6"/>
        <v>#DIV/0!</v>
      </c>
      <c r="R57" s="74" t="e">
        <f t="shared" si="2"/>
        <v>#DIV/0!</v>
      </c>
      <c r="S57" s="77" t="e">
        <f t="shared" si="3"/>
        <v>#DIV/0!</v>
      </c>
      <c r="T57" s="74" t="e">
        <f t="shared" si="4"/>
        <v>#DIV/0!</v>
      </c>
      <c r="U57" s="78" t="e">
        <f t="shared" si="5"/>
        <v>#DIV/0!</v>
      </c>
    </row>
    <row r="58" spans="1:21" x14ac:dyDescent="0.2">
      <c r="A58" s="71" t="s">
        <v>299</v>
      </c>
      <c r="B58" s="72" t="s">
        <v>300</v>
      </c>
      <c r="C58" s="72" t="s">
        <v>330</v>
      </c>
      <c r="D58" s="72" t="s">
        <v>377</v>
      </c>
      <c r="E58" s="72" t="s">
        <v>300</v>
      </c>
      <c r="F58" s="73" t="s">
        <v>378</v>
      </c>
      <c r="G58" s="72" t="s">
        <v>309</v>
      </c>
      <c r="H58" s="72" t="s">
        <v>224</v>
      </c>
      <c r="I58" s="72" t="s">
        <v>10</v>
      </c>
      <c r="J58" s="72" t="s">
        <v>187</v>
      </c>
      <c r="K58" s="74">
        <v>6.45</v>
      </c>
      <c r="L58" s="74">
        <f t="shared" si="0"/>
        <v>6.45</v>
      </c>
      <c r="M58" s="75">
        <f>prodnorm88</f>
        <v>0</v>
      </c>
      <c r="N58" s="76">
        <f>dagwerk88</f>
        <v>0</v>
      </c>
      <c r="O58" s="72" t="s">
        <v>54</v>
      </c>
      <c r="P58" s="77">
        <f>uurtarief88</f>
        <v>0</v>
      </c>
      <c r="Q58" s="74" t="e">
        <f t="shared" si="6"/>
        <v>#DIV/0!</v>
      </c>
      <c r="R58" s="74" t="e">
        <f t="shared" si="2"/>
        <v>#DIV/0!</v>
      </c>
      <c r="S58" s="77" t="e">
        <f t="shared" si="3"/>
        <v>#DIV/0!</v>
      </c>
      <c r="T58" s="74" t="e">
        <f t="shared" si="4"/>
        <v>#DIV/0!</v>
      </c>
      <c r="U58" s="78" t="e">
        <f t="shared" si="5"/>
        <v>#DIV/0!</v>
      </c>
    </row>
    <row r="59" spans="1:21" x14ac:dyDescent="0.2">
      <c r="A59" s="71" t="s">
        <v>299</v>
      </c>
      <c r="B59" s="72" t="s">
        <v>300</v>
      </c>
      <c r="C59" s="72" t="s">
        <v>330</v>
      </c>
      <c r="D59" s="72" t="s">
        <v>379</v>
      </c>
      <c r="E59" s="72" t="s">
        <v>300</v>
      </c>
      <c r="F59" s="73" t="s">
        <v>380</v>
      </c>
      <c r="G59" s="72" t="s">
        <v>309</v>
      </c>
      <c r="H59" s="72" t="s">
        <v>208</v>
      </c>
      <c r="I59" s="72" t="s">
        <v>10</v>
      </c>
      <c r="J59" s="72" t="s">
        <v>187</v>
      </c>
      <c r="K59" s="74">
        <v>2.2400000000000002</v>
      </c>
      <c r="L59" s="74">
        <f t="shared" si="0"/>
        <v>2.2400000000000002</v>
      </c>
      <c r="M59" s="75">
        <f>prodnorm58</f>
        <v>0</v>
      </c>
      <c r="N59" s="76">
        <f>dagwerk58</f>
        <v>0</v>
      </c>
      <c r="O59" s="72" t="s">
        <v>54</v>
      </c>
      <c r="P59" s="77">
        <f>uurtarief58</f>
        <v>0</v>
      </c>
      <c r="Q59" s="74" t="e">
        <f t="shared" si="6"/>
        <v>#DIV/0!</v>
      </c>
      <c r="R59" s="74" t="e">
        <f t="shared" si="2"/>
        <v>#DIV/0!</v>
      </c>
      <c r="S59" s="77" t="e">
        <f t="shared" si="3"/>
        <v>#DIV/0!</v>
      </c>
      <c r="T59" s="74" t="e">
        <f t="shared" si="4"/>
        <v>#DIV/0!</v>
      </c>
      <c r="U59" s="78" t="e">
        <f t="shared" si="5"/>
        <v>#DIV/0!</v>
      </c>
    </row>
    <row r="60" spans="1:21" x14ac:dyDescent="0.2">
      <c r="A60" s="71" t="s">
        <v>299</v>
      </c>
      <c r="B60" s="72" t="s">
        <v>300</v>
      </c>
      <c r="C60" s="72" t="s">
        <v>330</v>
      </c>
      <c r="D60" s="72" t="s">
        <v>381</v>
      </c>
      <c r="E60" s="72" t="s">
        <v>300</v>
      </c>
      <c r="F60" s="73" t="s">
        <v>380</v>
      </c>
      <c r="G60" s="72" t="s">
        <v>309</v>
      </c>
      <c r="H60" s="72" t="s">
        <v>208</v>
      </c>
      <c r="I60" s="72" t="s">
        <v>10</v>
      </c>
      <c r="J60" s="72" t="s">
        <v>187</v>
      </c>
      <c r="K60" s="74">
        <v>2.2400000000000002</v>
      </c>
      <c r="L60" s="74">
        <f t="shared" si="0"/>
        <v>2.2400000000000002</v>
      </c>
      <c r="M60" s="75">
        <f>prodnorm58</f>
        <v>0</v>
      </c>
      <c r="N60" s="76">
        <f>dagwerk58</f>
        <v>0</v>
      </c>
      <c r="O60" s="72" t="s">
        <v>54</v>
      </c>
      <c r="P60" s="77">
        <f>uurtarief58</f>
        <v>0</v>
      </c>
      <c r="Q60" s="74" t="e">
        <f t="shared" si="6"/>
        <v>#DIV/0!</v>
      </c>
      <c r="R60" s="74" t="e">
        <f t="shared" si="2"/>
        <v>#DIV/0!</v>
      </c>
      <c r="S60" s="77" t="e">
        <f t="shared" si="3"/>
        <v>#DIV/0!</v>
      </c>
      <c r="T60" s="74" t="e">
        <f t="shared" si="4"/>
        <v>#DIV/0!</v>
      </c>
      <c r="U60" s="78" t="e">
        <f t="shared" si="5"/>
        <v>#DIV/0!</v>
      </c>
    </row>
    <row r="61" spans="1:21" x14ac:dyDescent="0.2">
      <c r="A61" s="71" t="s">
        <v>299</v>
      </c>
      <c r="B61" s="72" t="s">
        <v>300</v>
      </c>
      <c r="C61" s="72" t="s">
        <v>330</v>
      </c>
      <c r="D61" s="72" t="s">
        <v>382</v>
      </c>
      <c r="E61" s="72" t="s">
        <v>300</v>
      </c>
      <c r="F61" s="73" t="s">
        <v>383</v>
      </c>
      <c r="G61" s="72" t="s">
        <v>323</v>
      </c>
      <c r="H61" s="72" t="s">
        <v>229</v>
      </c>
      <c r="I61" s="72" t="s">
        <v>10</v>
      </c>
      <c r="J61" s="72" t="s">
        <v>187</v>
      </c>
      <c r="K61" s="74">
        <v>27.5</v>
      </c>
      <c r="L61" s="74">
        <f t="shared" si="0"/>
        <v>27.5</v>
      </c>
      <c r="M61" s="75">
        <f>prodnorm95</f>
        <v>0</v>
      </c>
      <c r="N61" s="76">
        <f>dagwerk95</f>
        <v>0</v>
      </c>
      <c r="O61" s="72" t="s">
        <v>54</v>
      </c>
      <c r="P61" s="77">
        <f>uurtarief95</f>
        <v>0</v>
      </c>
      <c r="Q61" s="74" t="e">
        <f t="shared" si="6"/>
        <v>#DIV/0!</v>
      </c>
      <c r="R61" s="74" t="e">
        <f t="shared" si="2"/>
        <v>#DIV/0!</v>
      </c>
      <c r="S61" s="77" t="e">
        <f t="shared" si="3"/>
        <v>#DIV/0!</v>
      </c>
      <c r="T61" s="74" t="e">
        <f t="shared" si="4"/>
        <v>#DIV/0!</v>
      </c>
      <c r="U61" s="78" t="e">
        <f t="shared" si="5"/>
        <v>#DIV/0!</v>
      </c>
    </row>
    <row r="62" spans="1:21" x14ac:dyDescent="0.2">
      <c r="A62" s="71" t="s">
        <v>299</v>
      </c>
      <c r="B62" s="72" t="s">
        <v>300</v>
      </c>
      <c r="C62" s="72" t="s">
        <v>330</v>
      </c>
      <c r="D62" s="72" t="s">
        <v>384</v>
      </c>
      <c r="E62" s="72" t="s">
        <v>300</v>
      </c>
      <c r="F62" s="73" t="s">
        <v>385</v>
      </c>
      <c r="G62" s="72" t="s">
        <v>323</v>
      </c>
      <c r="H62" s="72" t="s">
        <v>216</v>
      </c>
      <c r="I62" s="72" t="s">
        <v>17</v>
      </c>
      <c r="J62" s="72" t="s">
        <v>187</v>
      </c>
      <c r="K62" s="74">
        <v>6.46</v>
      </c>
      <c r="L62" s="74">
        <f t="shared" si="0"/>
        <v>3.23</v>
      </c>
      <c r="M62" s="75">
        <f t="shared" ref="M62:M69" si="7">prodnorm65</f>
        <v>0</v>
      </c>
      <c r="N62" s="76">
        <f t="shared" ref="N62:N69" si="8">dagwerk65</f>
        <v>0</v>
      </c>
      <c r="O62" s="72" t="s">
        <v>54</v>
      </c>
      <c r="P62" s="77">
        <f t="shared" ref="P62:P69" si="9">uurtarief65</f>
        <v>0</v>
      </c>
      <c r="Q62" s="74" t="e">
        <f t="shared" si="6"/>
        <v>#DIV/0!</v>
      </c>
      <c r="R62" s="74" t="e">
        <f t="shared" si="2"/>
        <v>#DIV/0!</v>
      </c>
      <c r="S62" s="77" t="e">
        <f t="shared" si="3"/>
        <v>#DIV/0!</v>
      </c>
      <c r="T62" s="74" t="e">
        <f t="shared" si="4"/>
        <v>#DIV/0!</v>
      </c>
      <c r="U62" s="78" t="e">
        <f t="shared" si="5"/>
        <v>#DIV/0!</v>
      </c>
    </row>
    <row r="63" spans="1:21" x14ac:dyDescent="0.2">
      <c r="A63" s="71" t="s">
        <v>299</v>
      </c>
      <c r="B63" s="72" t="s">
        <v>300</v>
      </c>
      <c r="C63" s="72" t="s">
        <v>330</v>
      </c>
      <c r="D63" s="72" t="s">
        <v>386</v>
      </c>
      <c r="E63" s="72" t="s">
        <v>300</v>
      </c>
      <c r="F63" s="73" t="s">
        <v>385</v>
      </c>
      <c r="G63" s="72" t="s">
        <v>323</v>
      </c>
      <c r="H63" s="72" t="s">
        <v>216</v>
      </c>
      <c r="I63" s="72" t="s">
        <v>17</v>
      </c>
      <c r="J63" s="72" t="s">
        <v>187</v>
      </c>
      <c r="K63" s="74">
        <v>6.46</v>
      </c>
      <c r="L63" s="74">
        <f t="shared" si="0"/>
        <v>3.23</v>
      </c>
      <c r="M63" s="75">
        <f t="shared" si="7"/>
        <v>0</v>
      </c>
      <c r="N63" s="76">
        <f t="shared" si="8"/>
        <v>0</v>
      </c>
      <c r="O63" s="72" t="s">
        <v>54</v>
      </c>
      <c r="P63" s="77">
        <f t="shared" si="9"/>
        <v>0</v>
      </c>
      <c r="Q63" s="74" t="e">
        <f t="shared" si="6"/>
        <v>#DIV/0!</v>
      </c>
      <c r="R63" s="74" t="e">
        <f t="shared" si="2"/>
        <v>#DIV/0!</v>
      </c>
      <c r="S63" s="77" t="e">
        <f t="shared" si="3"/>
        <v>#DIV/0!</v>
      </c>
      <c r="T63" s="74" t="e">
        <f t="shared" si="4"/>
        <v>#DIV/0!</v>
      </c>
      <c r="U63" s="78" t="e">
        <f t="shared" si="5"/>
        <v>#DIV/0!</v>
      </c>
    </row>
    <row r="64" spans="1:21" x14ac:dyDescent="0.2">
      <c r="A64" s="71" t="s">
        <v>299</v>
      </c>
      <c r="B64" s="72" t="s">
        <v>300</v>
      </c>
      <c r="C64" s="72" t="s">
        <v>330</v>
      </c>
      <c r="D64" s="72" t="s">
        <v>387</v>
      </c>
      <c r="E64" s="72" t="s">
        <v>300</v>
      </c>
      <c r="F64" s="73" t="s">
        <v>385</v>
      </c>
      <c r="G64" s="72" t="s">
        <v>323</v>
      </c>
      <c r="H64" s="72" t="s">
        <v>216</v>
      </c>
      <c r="I64" s="72" t="s">
        <v>17</v>
      </c>
      <c r="J64" s="72" t="s">
        <v>187</v>
      </c>
      <c r="K64" s="74">
        <v>6.46</v>
      </c>
      <c r="L64" s="74">
        <f t="shared" si="0"/>
        <v>3.23</v>
      </c>
      <c r="M64" s="75">
        <f t="shared" si="7"/>
        <v>0</v>
      </c>
      <c r="N64" s="76">
        <f t="shared" si="8"/>
        <v>0</v>
      </c>
      <c r="O64" s="72" t="s">
        <v>54</v>
      </c>
      <c r="P64" s="77">
        <f t="shared" si="9"/>
        <v>0</v>
      </c>
      <c r="Q64" s="74" t="e">
        <f t="shared" si="6"/>
        <v>#DIV/0!</v>
      </c>
      <c r="R64" s="74" t="e">
        <f t="shared" si="2"/>
        <v>#DIV/0!</v>
      </c>
      <c r="S64" s="77" t="e">
        <f t="shared" si="3"/>
        <v>#DIV/0!</v>
      </c>
      <c r="T64" s="74" t="e">
        <f t="shared" si="4"/>
        <v>#DIV/0!</v>
      </c>
      <c r="U64" s="78" t="e">
        <f t="shared" si="5"/>
        <v>#DIV/0!</v>
      </c>
    </row>
    <row r="65" spans="1:21" x14ac:dyDescent="0.2">
      <c r="A65" s="71" t="s">
        <v>299</v>
      </c>
      <c r="B65" s="72" t="s">
        <v>300</v>
      </c>
      <c r="C65" s="72" t="s">
        <v>330</v>
      </c>
      <c r="D65" s="72" t="s">
        <v>388</v>
      </c>
      <c r="E65" s="72" t="s">
        <v>300</v>
      </c>
      <c r="F65" s="73" t="s">
        <v>385</v>
      </c>
      <c r="G65" s="72" t="s">
        <v>323</v>
      </c>
      <c r="H65" s="72" t="s">
        <v>216</v>
      </c>
      <c r="I65" s="72" t="s">
        <v>17</v>
      </c>
      <c r="J65" s="72" t="s">
        <v>187</v>
      </c>
      <c r="K65" s="74">
        <v>6.46</v>
      </c>
      <c r="L65" s="74">
        <f t="shared" si="0"/>
        <v>3.23</v>
      </c>
      <c r="M65" s="75">
        <f t="shared" si="7"/>
        <v>0</v>
      </c>
      <c r="N65" s="76">
        <f t="shared" si="8"/>
        <v>0</v>
      </c>
      <c r="O65" s="72" t="s">
        <v>54</v>
      </c>
      <c r="P65" s="77">
        <f t="shared" si="9"/>
        <v>0</v>
      </c>
      <c r="Q65" s="74" t="e">
        <f t="shared" si="6"/>
        <v>#DIV/0!</v>
      </c>
      <c r="R65" s="74" t="e">
        <f t="shared" si="2"/>
        <v>#DIV/0!</v>
      </c>
      <c r="S65" s="77" t="e">
        <f t="shared" si="3"/>
        <v>#DIV/0!</v>
      </c>
      <c r="T65" s="74" t="e">
        <f t="shared" si="4"/>
        <v>#DIV/0!</v>
      </c>
      <c r="U65" s="78" t="e">
        <f t="shared" si="5"/>
        <v>#DIV/0!</v>
      </c>
    </row>
    <row r="66" spans="1:21" x14ac:dyDescent="0.2">
      <c r="A66" s="71" t="s">
        <v>299</v>
      </c>
      <c r="B66" s="72" t="s">
        <v>300</v>
      </c>
      <c r="C66" s="72" t="s">
        <v>330</v>
      </c>
      <c r="D66" s="72" t="s">
        <v>389</v>
      </c>
      <c r="E66" s="72" t="s">
        <v>300</v>
      </c>
      <c r="F66" s="73" t="s">
        <v>385</v>
      </c>
      <c r="G66" s="72" t="s">
        <v>323</v>
      </c>
      <c r="H66" s="72" t="s">
        <v>216</v>
      </c>
      <c r="I66" s="72" t="s">
        <v>17</v>
      </c>
      <c r="J66" s="72" t="s">
        <v>187</v>
      </c>
      <c r="K66" s="74">
        <v>6.46</v>
      </c>
      <c r="L66" s="74">
        <f t="shared" si="0"/>
        <v>3.23</v>
      </c>
      <c r="M66" s="75">
        <f t="shared" si="7"/>
        <v>0</v>
      </c>
      <c r="N66" s="76">
        <f t="shared" si="8"/>
        <v>0</v>
      </c>
      <c r="O66" s="72" t="s">
        <v>54</v>
      </c>
      <c r="P66" s="77">
        <f t="shared" si="9"/>
        <v>0</v>
      </c>
      <c r="Q66" s="74" t="e">
        <f t="shared" si="6"/>
        <v>#DIV/0!</v>
      </c>
      <c r="R66" s="74" t="e">
        <f t="shared" si="2"/>
        <v>#DIV/0!</v>
      </c>
      <c r="S66" s="77" t="e">
        <f t="shared" si="3"/>
        <v>#DIV/0!</v>
      </c>
      <c r="T66" s="74" t="e">
        <f t="shared" si="4"/>
        <v>#DIV/0!</v>
      </c>
      <c r="U66" s="78" t="e">
        <f t="shared" si="5"/>
        <v>#DIV/0!</v>
      </c>
    </row>
    <row r="67" spans="1:21" x14ac:dyDescent="0.2">
      <c r="A67" s="71" t="s">
        <v>299</v>
      </c>
      <c r="B67" s="72" t="s">
        <v>300</v>
      </c>
      <c r="C67" s="72" t="s">
        <v>330</v>
      </c>
      <c r="D67" s="72" t="s">
        <v>390</v>
      </c>
      <c r="E67" s="72" t="s">
        <v>300</v>
      </c>
      <c r="F67" s="73" t="s">
        <v>385</v>
      </c>
      <c r="G67" s="72" t="s">
        <v>323</v>
      </c>
      <c r="H67" s="72" t="s">
        <v>216</v>
      </c>
      <c r="I67" s="72" t="s">
        <v>17</v>
      </c>
      <c r="J67" s="72" t="s">
        <v>187</v>
      </c>
      <c r="K67" s="74">
        <v>6.46</v>
      </c>
      <c r="L67" s="74">
        <f t="shared" si="0"/>
        <v>3.23</v>
      </c>
      <c r="M67" s="75">
        <f t="shared" si="7"/>
        <v>0</v>
      </c>
      <c r="N67" s="76">
        <f t="shared" si="8"/>
        <v>0</v>
      </c>
      <c r="O67" s="72" t="s">
        <v>54</v>
      </c>
      <c r="P67" s="77">
        <f t="shared" si="9"/>
        <v>0</v>
      </c>
      <c r="Q67" s="74" t="e">
        <f t="shared" si="6"/>
        <v>#DIV/0!</v>
      </c>
      <c r="R67" s="74" t="e">
        <f t="shared" si="2"/>
        <v>#DIV/0!</v>
      </c>
      <c r="S67" s="77" t="e">
        <f t="shared" si="3"/>
        <v>#DIV/0!</v>
      </c>
      <c r="T67" s="74" t="e">
        <f t="shared" si="4"/>
        <v>#DIV/0!</v>
      </c>
      <c r="U67" s="78" t="e">
        <f t="shared" si="5"/>
        <v>#DIV/0!</v>
      </c>
    </row>
    <row r="68" spans="1:21" x14ac:dyDescent="0.2">
      <c r="A68" s="71" t="s">
        <v>299</v>
      </c>
      <c r="B68" s="72" t="s">
        <v>300</v>
      </c>
      <c r="C68" s="72" t="s">
        <v>330</v>
      </c>
      <c r="D68" s="72" t="s">
        <v>391</v>
      </c>
      <c r="E68" s="72" t="s">
        <v>300</v>
      </c>
      <c r="F68" s="73" t="s">
        <v>385</v>
      </c>
      <c r="G68" s="72" t="s">
        <v>323</v>
      </c>
      <c r="H68" s="72" t="s">
        <v>216</v>
      </c>
      <c r="I68" s="72" t="s">
        <v>17</v>
      </c>
      <c r="J68" s="72" t="s">
        <v>187</v>
      </c>
      <c r="K68" s="74">
        <v>6.46</v>
      </c>
      <c r="L68" s="74">
        <f t="shared" si="0"/>
        <v>3.23</v>
      </c>
      <c r="M68" s="75">
        <f t="shared" si="7"/>
        <v>0</v>
      </c>
      <c r="N68" s="76">
        <f t="shared" si="8"/>
        <v>0</v>
      </c>
      <c r="O68" s="72" t="s">
        <v>54</v>
      </c>
      <c r="P68" s="77">
        <f t="shared" si="9"/>
        <v>0</v>
      </c>
      <c r="Q68" s="74" t="e">
        <f t="shared" si="6"/>
        <v>#DIV/0!</v>
      </c>
      <c r="R68" s="74" t="e">
        <f t="shared" si="2"/>
        <v>#DIV/0!</v>
      </c>
      <c r="S68" s="77" t="e">
        <f t="shared" si="3"/>
        <v>#DIV/0!</v>
      </c>
      <c r="T68" s="74" t="e">
        <f t="shared" si="4"/>
        <v>#DIV/0!</v>
      </c>
      <c r="U68" s="78" t="e">
        <f t="shared" si="5"/>
        <v>#DIV/0!</v>
      </c>
    </row>
    <row r="69" spans="1:21" x14ac:dyDescent="0.2">
      <c r="A69" s="71" t="s">
        <v>299</v>
      </c>
      <c r="B69" s="72" t="s">
        <v>300</v>
      </c>
      <c r="C69" s="72" t="s">
        <v>330</v>
      </c>
      <c r="D69" s="72" t="s">
        <v>392</v>
      </c>
      <c r="E69" s="72" t="s">
        <v>300</v>
      </c>
      <c r="F69" s="73" t="s">
        <v>385</v>
      </c>
      <c r="G69" s="72" t="s">
        <v>323</v>
      </c>
      <c r="H69" s="72" t="s">
        <v>216</v>
      </c>
      <c r="I69" s="72" t="s">
        <v>17</v>
      </c>
      <c r="J69" s="72" t="s">
        <v>187</v>
      </c>
      <c r="K69" s="74">
        <v>13.58</v>
      </c>
      <c r="L69" s="74">
        <f t="shared" ref="L69:L132" si="10">K69*VLOOKUP(I69,dagsoorttabel1,2,FALSE)</f>
        <v>6.79</v>
      </c>
      <c r="M69" s="75">
        <f t="shared" si="7"/>
        <v>0</v>
      </c>
      <c r="N69" s="76">
        <f t="shared" si="8"/>
        <v>0</v>
      </c>
      <c r="O69" s="72" t="s">
        <v>54</v>
      </c>
      <c r="P69" s="77">
        <f t="shared" si="9"/>
        <v>0</v>
      </c>
      <c r="Q69" s="74" t="e">
        <f t="shared" si="6"/>
        <v>#DIV/0!</v>
      </c>
      <c r="R69" s="74" t="e">
        <f t="shared" ref="R69:R132" si="11">IF(ISBLANK(M69),0,Q69*ROUND(N69,2))</f>
        <v>#DIV/0!</v>
      </c>
      <c r="S69" s="77" t="e">
        <f t="shared" ref="S69:S132" si="12">ROUND(P69,2)*Q69</f>
        <v>#DIV/0!</v>
      </c>
      <c r="T69" s="74" t="e">
        <f t="shared" ref="T69:T132" si="13">Q69*dagenperjaar1</f>
        <v>#DIV/0!</v>
      </c>
      <c r="U69" s="78" t="e">
        <f t="shared" ref="U69:U132" si="14">T69*ROUND(P69,2)</f>
        <v>#DIV/0!</v>
      </c>
    </row>
    <row r="70" spans="1:21" x14ac:dyDescent="0.2">
      <c r="A70" s="71" t="s">
        <v>299</v>
      </c>
      <c r="B70" s="72" t="s">
        <v>300</v>
      </c>
      <c r="C70" s="72" t="s">
        <v>330</v>
      </c>
      <c r="D70" s="72" t="s">
        <v>393</v>
      </c>
      <c r="E70" s="72" t="s">
        <v>300</v>
      </c>
      <c r="F70" s="73" t="s">
        <v>359</v>
      </c>
      <c r="G70" s="72" t="s">
        <v>309</v>
      </c>
      <c r="H70" s="72" t="s">
        <v>191</v>
      </c>
      <c r="I70" s="72" t="s">
        <v>17</v>
      </c>
      <c r="J70" s="72" t="s">
        <v>187</v>
      </c>
      <c r="K70" s="74">
        <v>16.630000000000003</v>
      </c>
      <c r="L70" s="74">
        <f t="shared" si="10"/>
        <v>8.3150000000000013</v>
      </c>
      <c r="M70" s="75">
        <f>prodnorm32</f>
        <v>0</v>
      </c>
      <c r="N70" s="76">
        <f>dagwerk32</f>
        <v>0</v>
      </c>
      <c r="O70" s="72" t="s">
        <v>54</v>
      </c>
      <c r="P70" s="77">
        <f>uurtarief32</f>
        <v>0</v>
      </c>
      <c r="Q70" s="74" t="e">
        <f t="shared" si="6"/>
        <v>#DIV/0!</v>
      </c>
      <c r="R70" s="74" t="e">
        <f t="shared" si="11"/>
        <v>#DIV/0!</v>
      </c>
      <c r="S70" s="77" t="e">
        <f t="shared" si="12"/>
        <v>#DIV/0!</v>
      </c>
      <c r="T70" s="74" t="e">
        <f t="shared" si="13"/>
        <v>#DIV/0!</v>
      </c>
      <c r="U70" s="78" t="e">
        <f t="shared" si="14"/>
        <v>#DIV/0!</v>
      </c>
    </row>
    <row r="71" spans="1:21" x14ac:dyDescent="0.2">
      <c r="A71" s="71" t="s">
        <v>299</v>
      </c>
      <c r="B71" s="72" t="s">
        <v>300</v>
      </c>
      <c r="C71" s="72" t="s">
        <v>330</v>
      </c>
      <c r="D71" s="72" t="s">
        <v>394</v>
      </c>
      <c r="E71" s="72" t="s">
        <v>300</v>
      </c>
      <c r="F71" s="73" t="s">
        <v>395</v>
      </c>
      <c r="G71" s="72" t="s">
        <v>309</v>
      </c>
      <c r="H71" s="72" t="s">
        <v>222</v>
      </c>
      <c r="I71" s="72" t="s">
        <v>10</v>
      </c>
      <c r="J71" s="72" t="s">
        <v>187</v>
      </c>
      <c r="K71" s="74">
        <v>4.34</v>
      </c>
      <c r="L71" s="74">
        <f t="shared" si="10"/>
        <v>4.34</v>
      </c>
      <c r="M71" s="75">
        <f>prodnorm85</f>
        <v>0</v>
      </c>
      <c r="N71" s="76">
        <f>dagwerk85</f>
        <v>0</v>
      </c>
      <c r="O71" s="72" t="s">
        <v>54</v>
      </c>
      <c r="P71" s="77">
        <f>uurtarief85</f>
        <v>0</v>
      </c>
      <c r="Q71" s="74" t="e">
        <f t="shared" si="6"/>
        <v>#DIV/0!</v>
      </c>
      <c r="R71" s="74" t="e">
        <f t="shared" si="11"/>
        <v>#DIV/0!</v>
      </c>
      <c r="S71" s="77" t="e">
        <f t="shared" si="12"/>
        <v>#DIV/0!</v>
      </c>
      <c r="T71" s="74" t="e">
        <f t="shared" si="13"/>
        <v>#DIV/0!</v>
      </c>
      <c r="U71" s="78" t="e">
        <f t="shared" si="14"/>
        <v>#DIV/0!</v>
      </c>
    </row>
    <row r="72" spans="1:21" x14ac:dyDescent="0.2">
      <c r="A72" s="71" t="s">
        <v>299</v>
      </c>
      <c r="B72" s="72" t="s">
        <v>300</v>
      </c>
      <c r="C72" s="72" t="s">
        <v>330</v>
      </c>
      <c r="D72" s="72" t="s">
        <v>394</v>
      </c>
      <c r="E72" s="72" t="s">
        <v>300</v>
      </c>
      <c r="F72" s="73" t="s">
        <v>395</v>
      </c>
      <c r="G72" s="72" t="s">
        <v>309</v>
      </c>
      <c r="H72" s="72" t="s">
        <v>224</v>
      </c>
      <c r="I72" s="72" t="s">
        <v>10</v>
      </c>
      <c r="J72" s="72" t="s">
        <v>187</v>
      </c>
      <c r="K72" s="74">
        <v>4.34</v>
      </c>
      <c r="L72" s="74">
        <f t="shared" si="10"/>
        <v>4.34</v>
      </c>
      <c r="M72" s="75">
        <f>prodnorm88</f>
        <v>0</v>
      </c>
      <c r="N72" s="76">
        <f>dagwerk88</f>
        <v>0</v>
      </c>
      <c r="O72" s="72" t="s">
        <v>54</v>
      </c>
      <c r="P72" s="77">
        <f>uurtarief88</f>
        <v>0</v>
      </c>
      <c r="Q72" s="74" t="e">
        <f t="shared" si="6"/>
        <v>#DIV/0!</v>
      </c>
      <c r="R72" s="74" t="e">
        <f t="shared" si="11"/>
        <v>#DIV/0!</v>
      </c>
      <c r="S72" s="77" t="e">
        <f t="shared" si="12"/>
        <v>#DIV/0!</v>
      </c>
      <c r="T72" s="74" t="e">
        <f t="shared" si="13"/>
        <v>#DIV/0!</v>
      </c>
      <c r="U72" s="78" t="e">
        <f t="shared" si="14"/>
        <v>#DIV/0!</v>
      </c>
    </row>
    <row r="73" spans="1:21" x14ac:dyDescent="0.2">
      <c r="A73" s="71" t="s">
        <v>299</v>
      </c>
      <c r="B73" s="72" t="s">
        <v>300</v>
      </c>
      <c r="C73" s="72" t="s">
        <v>330</v>
      </c>
      <c r="D73" s="72" t="s">
        <v>396</v>
      </c>
      <c r="E73" s="72" t="s">
        <v>300</v>
      </c>
      <c r="F73" s="73" t="s">
        <v>374</v>
      </c>
      <c r="G73" s="72" t="s">
        <v>326</v>
      </c>
      <c r="H73" s="72" t="s">
        <v>218</v>
      </c>
      <c r="I73" s="72" t="s">
        <v>17</v>
      </c>
      <c r="J73" s="72" t="s">
        <v>187</v>
      </c>
      <c r="K73" s="74">
        <v>10.229999999999999</v>
      </c>
      <c r="L73" s="74">
        <f t="shared" si="10"/>
        <v>5.1149999999999993</v>
      </c>
      <c r="M73" s="75">
        <f>prodnorm70</f>
        <v>0</v>
      </c>
      <c r="N73" s="76">
        <f>dagwerk70</f>
        <v>0</v>
      </c>
      <c r="O73" s="72" t="s">
        <v>54</v>
      </c>
      <c r="P73" s="77">
        <f>uurtarief70</f>
        <v>0</v>
      </c>
      <c r="Q73" s="74" t="e">
        <f t="shared" si="6"/>
        <v>#DIV/0!</v>
      </c>
      <c r="R73" s="74" t="e">
        <f t="shared" si="11"/>
        <v>#DIV/0!</v>
      </c>
      <c r="S73" s="77" t="e">
        <f t="shared" si="12"/>
        <v>#DIV/0!</v>
      </c>
      <c r="T73" s="74" t="e">
        <f t="shared" si="13"/>
        <v>#DIV/0!</v>
      </c>
      <c r="U73" s="78" t="e">
        <f t="shared" si="14"/>
        <v>#DIV/0!</v>
      </c>
    </row>
    <row r="74" spans="1:21" x14ac:dyDescent="0.2">
      <c r="A74" s="71" t="s">
        <v>299</v>
      </c>
      <c r="B74" s="72" t="s">
        <v>300</v>
      </c>
      <c r="C74" s="72" t="s">
        <v>330</v>
      </c>
      <c r="D74" s="72" t="s">
        <v>396</v>
      </c>
      <c r="E74" s="72" t="s">
        <v>300</v>
      </c>
      <c r="F74" s="73" t="s">
        <v>374</v>
      </c>
      <c r="G74" s="72" t="s">
        <v>326</v>
      </c>
      <c r="H74" s="72" t="s">
        <v>239</v>
      </c>
      <c r="I74" s="72" t="s">
        <v>17</v>
      </c>
      <c r="J74" s="72" t="s">
        <v>187</v>
      </c>
      <c r="K74" s="74">
        <v>10.229999999999999</v>
      </c>
      <c r="L74" s="74">
        <f t="shared" si="10"/>
        <v>5.1149999999999993</v>
      </c>
      <c r="M74" s="75">
        <f>prodnorm114</f>
        <v>0</v>
      </c>
      <c r="N74" s="76">
        <f>dagwerk114</f>
        <v>0</v>
      </c>
      <c r="O74" s="72" t="s">
        <v>54</v>
      </c>
      <c r="P74" s="77">
        <f>uurtarief114</f>
        <v>0</v>
      </c>
      <c r="Q74" s="74" t="e">
        <f t="shared" si="6"/>
        <v>#DIV/0!</v>
      </c>
      <c r="R74" s="74" t="e">
        <f t="shared" si="11"/>
        <v>#DIV/0!</v>
      </c>
      <c r="S74" s="77" t="e">
        <f t="shared" si="12"/>
        <v>#DIV/0!</v>
      </c>
      <c r="T74" s="74" t="e">
        <f t="shared" si="13"/>
        <v>#DIV/0!</v>
      </c>
      <c r="U74" s="78" t="e">
        <f t="shared" si="14"/>
        <v>#DIV/0!</v>
      </c>
    </row>
    <row r="75" spans="1:21" x14ac:dyDescent="0.2">
      <c r="A75" s="71" t="s">
        <v>299</v>
      </c>
      <c r="B75" s="72" t="s">
        <v>300</v>
      </c>
      <c r="C75" s="72" t="s">
        <v>330</v>
      </c>
      <c r="D75" s="72" t="s">
        <v>396</v>
      </c>
      <c r="E75" s="72" t="s">
        <v>300</v>
      </c>
      <c r="F75" s="73" t="s">
        <v>374</v>
      </c>
      <c r="G75" s="72" t="s">
        <v>326</v>
      </c>
      <c r="H75" s="72" t="s">
        <v>241</v>
      </c>
      <c r="I75" s="72" t="s">
        <v>41</v>
      </c>
      <c r="J75" s="72" t="s">
        <v>242</v>
      </c>
      <c r="K75" s="74">
        <v>10.229999999999999</v>
      </c>
      <c r="L75" s="74">
        <f t="shared" si="10"/>
        <v>4.0117647058823522E-2</v>
      </c>
      <c r="M75" s="75">
        <f>prodnorm117</f>
        <v>0</v>
      </c>
      <c r="N75" s="76">
        <f>dagwerk117</f>
        <v>0</v>
      </c>
      <c r="O75" s="72" t="s">
        <v>54</v>
      </c>
      <c r="P75" s="77">
        <f>uurtarief117</f>
        <v>0</v>
      </c>
      <c r="Q75" s="74" t="e">
        <f t="shared" si="6"/>
        <v>#DIV/0!</v>
      </c>
      <c r="R75" s="74" t="e">
        <f t="shared" si="11"/>
        <v>#DIV/0!</v>
      </c>
      <c r="S75" s="77" t="e">
        <f t="shared" si="12"/>
        <v>#DIV/0!</v>
      </c>
      <c r="T75" s="74" t="e">
        <f t="shared" si="13"/>
        <v>#DIV/0!</v>
      </c>
      <c r="U75" s="78" t="e">
        <f t="shared" si="14"/>
        <v>#DIV/0!</v>
      </c>
    </row>
    <row r="76" spans="1:21" x14ac:dyDescent="0.2">
      <c r="A76" s="71" t="s">
        <v>299</v>
      </c>
      <c r="B76" s="72" t="s">
        <v>300</v>
      </c>
      <c r="C76" s="72" t="s">
        <v>330</v>
      </c>
      <c r="D76" s="72" t="s">
        <v>397</v>
      </c>
      <c r="E76" s="72" t="s">
        <v>300</v>
      </c>
      <c r="F76" s="73" t="s">
        <v>372</v>
      </c>
      <c r="G76" s="72" t="s">
        <v>326</v>
      </c>
      <c r="H76" s="72" t="s">
        <v>231</v>
      </c>
      <c r="I76" s="72" t="s">
        <v>17</v>
      </c>
      <c r="J76" s="72" t="s">
        <v>187</v>
      </c>
      <c r="K76" s="74">
        <v>5.56</v>
      </c>
      <c r="L76" s="74">
        <f t="shared" si="10"/>
        <v>2.78</v>
      </c>
      <c r="M76" s="75">
        <f>prodnorm98</f>
        <v>0</v>
      </c>
      <c r="N76" s="76">
        <f>dagwerk98</f>
        <v>0</v>
      </c>
      <c r="O76" s="72" t="s">
        <v>54</v>
      </c>
      <c r="P76" s="77">
        <f>uurtarief98</f>
        <v>0</v>
      </c>
      <c r="Q76" s="74" t="e">
        <f t="shared" si="6"/>
        <v>#DIV/0!</v>
      </c>
      <c r="R76" s="74" t="e">
        <f t="shared" si="11"/>
        <v>#DIV/0!</v>
      </c>
      <c r="S76" s="77" t="e">
        <f t="shared" si="12"/>
        <v>#DIV/0!</v>
      </c>
      <c r="T76" s="74" t="e">
        <f t="shared" si="13"/>
        <v>#DIV/0!</v>
      </c>
      <c r="U76" s="78" t="e">
        <f t="shared" si="14"/>
        <v>#DIV/0!</v>
      </c>
    </row>
    <row r="77" spans="1:21" x14ac:dyDescent="0.2">
      <c r="A77" s="71" t="s">
        <v>299</v>
      </c>
      <c r="B77" s="72" t="s">
        <v>300</v>
      </c>
      <c r="C77" s="72" t="s">
        <v>330</v>
      </c>
      <c r="D77" s="72" t="s">
        <v>397</v>
      </c>
      <c r="E77" s="72" t="s">
        <v>300</v>
      </c>
      <c r="F77" s="73" t="s">
        <v>372</v>
      </c>
      <c r="G77" s="72" t="s">
        <v>326</v>
      </c>
      <c r="H77" s="72" t="s">
        <v>241</v>
      </c>
      <c r="I77" s="72" t="s">
        <v>41</v>
      </c>
      <c r="J77" s="72" t="s">
        <v>242</v>
      </c>
      <c r="K77" s="74">
        <v>5.56</v>
      </c>
      <c r="L77" s="74">
        <f t="shared" si="10"/>
        <v>2.1803921568627448E-2</v>
      </c>
      <c r="M77" s="75">
        <f>prodnorm117</f>
        <v>0</v>
      </c>
      <c r="N77" s="76">
        <f>dagwerk117</f>
        <v>0</v>
      </c>
      <c r="O77" s="72" t="s">
        <v>54</v>
      </c>
      <c r="P77" s="77">
        <f>uurtarief117</f>
        <v>0</v>
      </c>
      <c r="Q77" s="74" t="e">
        <f t="shared" si="6"/>
        <v>#DIV/0!</v>
      </c>
      <c r="R77" s="74" t="e">
        <f t="shared" si="11"/>
        <v>#DIV/0!</v>
      </c>
      <c r="S77" s="77" t="e">
        <f t="shared" si="12"/>
        <v>#DIV/0!</v>
      </c>
      <c r="T77" s="74" t="e">
        <f t="shared" si="13"/>
        <v>#DIV/0!</v>
      </c>
      <c r="U77" s="78" t="e">
        <f t="shared" si="14"/>
        <v>#DIV/0!</v>
      </c>
    </row>
    <row r="78" spans="1:21" x14ac:dyDescent="0.2">
      <c r="A78" s="71" t="s">
        <v>299</v>
      </c>
      <c r="B78" s="72" t="s">
        <v>300</v>
      </c>
      <c r="C78" s="72" t="s">
        <v>330</v>
      </c>
      <c r="D78" s="72" t="s">
        <v>398</v>
      </c>
      <c r="E78" s="72" t="s">
        <v>300</v>
      </c>
      <c r="F78" s="73" t="s">
        <v>380</v>
      </c>
      <c r="G78" s="72" t="s">
        <v>309</v>
      </c>
      <c r="H78" s="72" t="s">
        <v>208</v>
      </c>
      <c r="I78" s="72" t="s">
        <v>10</v>
      </c>
      <c r="J78" s="72" t="s">
        <v>187</v>
      </c>
      <c r="K78" s="74">
        <v>1.05</v>
      </c>
      <c r="L78" s="74">
        <f t="shared" si="10"/>
        <v>1.05</v>
      </c>
      <c r="M78" s="75">
        <f>prodnorm58</f>
        <v>0</v>
      </c>
      <c r="N78" s="76">
        <f>dagwerk58</f>
        <v>0</v>
      </c>
      <c r="O78" s="72" t="s">
        <v>54</v>
      </c>
      <c r="P78" s="77">
        <f>uurtarief58</f>
        <v>0</v>
      </c>
      <c r="Q78" s="74" t="e">
        <f t="shared" si="6"/>
        <v>#DIV/0!</v>
      </c>
      <c r="R78" s="74" t="e">
        <f t="shared" si="11"/>
        <v>#DIV/0!</v>
      </c>
      <c r="S78" s="77" t="e">
        <f t="shared" si="12"/>
        <v>#DIV/0!</v>
      </c>
      <c r="T78" s="74" t="e">
        <f t="shared" si="13"/>
        <v>#DIV/0!</v>
      </c>
      <c r="U78" s="78" t="e">
        <f t="shared" si="14"/>
        <v>#DIV/0!</v>
      </c>
    </row>
    <row r="79" spans="1:21" x14ac:dyDescent="0.2">
      <c r="A79" s="71" t="s">
        <v>299</v>
      </c>
      <c r="B79" s="72" t="s">
        <v>300</v>
      </c>
      <c r="C79" s="72" t="s">
        <v>330</v>
      </c>
      <c r="D79" s="72" t="s">
        <v>399</v>
      </c>
      <c r="E79" s="72" t="s">
        <v>300</v>
      </c>
      <c r="F79" s="73" t="s">
        <v>322</v>
      </c>
      <c r="G79" s="72" t="s">
        <v>323</v>
      </c>
      <c r="H79" s="72" t="s">
        <v>229</v>
      </c>
      <c r="I79" s="72" t="s">
        <v>10</v>
      </c>
      <c r="J79" s="72" t="s">
        <v>187</v>
      </c>
      <c r="K79" s="74">
        <v>27.5</v>
      </c>
      <c r="L79" s="74">
        <f t="shared" si="10"/>
        <v>27.5</v>
      </c>
      <c r="M79" s="75">
        <f>prodnorm95</f>
        <v>0</v>
      </c>
      <c r="N79" s="76">
        <f>dagwerk95</f>
        <v>0</v>
      </c>
      <c r="O79" s="72" t="s">
        <v>54</v>
      </c>
      <c r="P79" s="77">
        <f>uurtarief95</f>
        <v>0</v>
      </c>
      <c r="Q79" s="74" t="e">
        <f t="shared" si="6"/>
        <v>#DIV/0!</v>
      </c>
      <c r="R79" s="74" t="e">
        <f t="shared" si="11"/>
        <v>#DIV/0!</v>
      </c>
      <c r="S79" s="77" t="e">
        <f t="shared" si="12"/>
        <v>#DIV/0!</v>
      </c>
      <c r="T79" s="74" t="e">
        <f t="shared" si="13"/>
        <v>#DIV/0!</v>
      </c>
      <c r="U79" s="78" t="e">
        <f t="shared" si="14"/>
        <v>#DIV/0!</v>
      </c>
    </row>
    <row r="80" spans="1:21" x14ac:dyDescent="0.2">
      <c r="A80" s="71" t="s">
        <v>299</v>
      </c>
      <c r="B80" s="72" t="s">
        <v>300</v>
      </c>
      <c r="C80" s="72" t="s">
        <v>330</v>
      </c>
      <c r="D80" s="72" t="s">
        <v>400</v>
      </c>
      <c r="E80" s="72" t="s">
        <v>300</v>
      </c>
      <c r="F80" s="73" t="s">
        <v>401</v>
      </c>
      <c r="G80" s="72" t="s">
        <v>309</v>
      </c>
      <c r="H80" s="72" t="s">
        <v>222</v>
      </c>
      <c r="I80" s="72" t="s">
        <v>10</v>
      </c>
      <c r="J80" s="72" t="s">
        <v>187</v>
      </c>
      <c r="K80" s="74">
        <v>7.25</v>
      </c>
      <c r="L80" s="74">
        <f t="shared" si="10"/>
        <v>7.25</v>
      </c>
      <c r="M80" s="75">
        <f>prodnorm85</f>
        <v>0</v>
      </c>
      <c r="N80" s="76">
        <f>dagwerk85</f>
        <v>0</v>
      </c>
      <c r="O80" s="72" t="s">
        <v>54</v>
      </c>
      <c r="P80" s="77">
        <f>uurtarief85</f>
        <v>0</v>
      </c>
      <c r="Q80" s="74" t="e">
        <f t="shared" si="6"/>
        <v>#DIV/0!</v>
      </c>
      <c r="R80" s="74" t="e">
        <f t="shared" si="11"/>
        <v>#DIV/0!</v>
      </c>
      <c r="S80" s="77" t="e">
        <f t="shared" si="12"/>
        <v>#DIV/0!</v>
      </c>
      <c r="T80" s="74" t="e">
        <f t="shared" si="13"/>
        <v>#DIV/0!</v>
      </c>
      <c r="U80" s="78" t="e">
        <f t="shared" si="14"/>
        <v>#DIV/0!</v>
      </c>
    </row>
    <row r="81" spans="1:21" x14ac:dyDescent="0.2">
      <c r="A81" s="71" t="s">
        <v>299</v>
      </c>
      <c r="B81" s="72" t="s">
        <v>300</v>
      </c>
      <c r="C81" s="72" t="s">
        <v>330</v>
      </c>
      <c r="D81" s="72" t="s">
        <v>400</v>
      </c>
      <c r="E81" s="72" t="s">
        <v>300</v>
      </c>
      <c r="F81" s="73" t="s">
        <v>401</v>
      </c>
      <c r="G81" s="72" t="s">
        <v>309</v>
      </c>
      <c r="H81" s="72" t="s">
        <v>224</v>
      </c>
      <c r="I81" s="72" t="s">
        <v>10</v>
      </c>
      <c r="J81" s="72" t="s">
        <v>187</v>
      </c>
      <c r="K81" s="74">
        <v>7.25</v>
      </c>
      <c r="L81" s="74">
        <f t="shared" si="10"/>
        <v>7.25</v>
      </c>
      <c r="M81" s="75">
        <f>prodnorm88</f>
        <v>0</v>
      </c>
      <c r="N81" s="76">
        <f>dagwerk88</f>
        <v>0</v>
      </c>
      <c r="O81" s="72" t="s">
        <v>54</v>
      </c>
      <c r="P81" s="77">
        <f>uurtarief88</f>
        <v>0</v>
      </c>
      <c r="Q81" s="74" t="e">
        <f t="shared" si="6"/>
        <v>#DIV/0!</v>
      </c>
      <c r="R81" s="74" t="e">
        <f t="shared" si="11"/>
        <v>#DIV/0!</v>
      </c>
      <c r="S81" s="77" t="e">
        <f t="shared" si="12"/>
        <v>#DIV/0!</v>
      </c>
      <c r="T81" s="74" t="e">
        <f t="shared" si="13"/>
        <v>#DIV/0!</v>
      </c>
      <c r="U81" s="78" t="e">
        <f t="shared" si="14"/>
        <v>#DIV/0!</v>
      </c>
    </row>
    <row r="82" spans="1:21" x14ac:dyDescent="0.2">
      <c r="A82" s="71" t="s">
        <v>299</v>
      </c>
      <c r="B82" s="72" t="s">
        <v>300</v>
      </c>
      <c r="C82" s="72" t="s">
        <v>330</v>
      </c>
      <c r="D82" s="72" t="s">
        <v>402</v>
      </c>
      <c r="E82" s="72" t="s">
        <v>300</v>
      </c>
      <c r="F82" s="73" t="s">
        <v>403</v>
      </c>
      <c r="G82" s="72" t="s">
        <v>309</v>
      </c>
      <c r="H82" s="72" t="s">
        <v>222</v>
      </c>
      <c r="I82" s="72" t="s">
        <v>10</v>
      </c>
      <c r="J82" s="72" t="s">
        <v>187</v>
      </c>
      <c r="K82" s="74">
        <v>7.25</v>
      </c>
      <c r="L82" s="74">
        <f t="shared" si="10"/>
        <v>7.25</v>
      </c>
      <c r="M82" s="75">
        <f>prodnorm85</f>
        <v>0</v>
      </c>
      <c r="N82" s="76">
        <f>dagwerk85</f>
        <v>0</v>
      </c>
      <c r="O82" s="72" t="s">
        <v>54</v>
      </c>
      <c r="P82" s="77">
        <f>uurtarief85</f>
        <v>0</v>
      </c>
      <c r="Q82" s="74" t="e">
        <f t="shared" si="6"/>
        <v>#DIV/0!</v>
      </c>
      <c r="R82" s="74" t="e">
        <f t="shared" si="11"/>
        <v>#DIV/0!</v>
      </c>
      <c r="S82" s="77" t="e">
        <f t="shared" si="12"/>
        <v>#DIV/0!</v>
      </c>
      <c r="T82" s="74" t="e">
        <f t="shared" si="13"/>
        <v>#DIV/0!</v>
      </c>
      <c r="U82" s="78" t="e">
        <f t="shared" si="14"/>
        <v>#DIV/0!</v>
      </c>
    </row>
    <row r="83" spans="1:21" x14ac:dyDescent="0.2">
      <c r="A83" s="71" t="s">
        <v>299</v>
      </c>
      <c r="B83" s="72" t="s">
        <v>300</v>
      </c>
      <c r="C83" s="72" t="s">
        <v>330</v>
      </c>
      <c r="D83" s="72" t="s">
        <v>402</v>
      </c>
      <c r="E83" s="72" t="s">
        <v>300</v>
      </c>
      <c r="F83" s="73" t="s">
        <v>403</v>
      </c>
      <c r="G83" s="72" t="s">
        <v>309</v>
      </c>
      <c r="H83" s="72" t="s">
        <v>224</v>
      </c>
      <c r="I83" s="72" t="s">
        <v>10</v>
      </c>
      <c r="J83" s="72" t="s">
        <v>187</v>
      </c>
      <c r="K83" s="74">
        <v>7.25</v>
      </c>
      <c r="L83" s="74">
        <f t="shared" si="10"/>
        <v>7.25</v>
      </c>
      <c r="M83" s="75">
        <f>prodnorm88</f>
        <v>0</v>
      </c>
      <c r="N83" s="76">
        <f>dagwerk88</f>
        <v>0</v>
      </c>
      <c r="O83" s="72" t="s">
        <v>54</v>
      </c>
      <c r="P83" s="77">
        <f>uurtarief88</f>
        <v>0</v>
      </c>
      <c r="Q83" s="74" t="e">
        <f t="shared" si="6"/>
        <v>#DIV/0!</v>
      </c>
      <c r="R83" s="74" t="e">
        <f t="shared" si="11"/>
        <v>#DIV/0!</v>
      </c>
      <c r="S83" s="77" t="e">
        <f t="shared" si="12"/>
        <v>#DIV/0!</v>
      </c>
      <c r="T83" s="74" t="e">
        <f t="shared" si="13"/>
        <v>#DIV/0!</v>
      </c>
      <c r="U83" s="78" t="e">
        <f t="shared" si="14"/>
        <v>#DIV/0!</v>
      </c>
    </row>
    <row r="84" spans="1:21" x14ac:dyDescent="0.2">
      <c r="A84" s="71" t="s">
        <v>299</v>
      </c>
      <c r="B84" s="72" t="s">
        <v>300</v>
      </c>
      <c r="C84" s="72" t="s">
        <v>330</v>
      </c>
      <c r="D84" s="72" t="s">
        <v>404</v>
      </c>
      <c r="E84" s="72" t="s">
        <v>300</v>
      </c>
      <c r="F84" s="73" t="s">
        <v>405</v>
      </c>
      <c r="G84" s="72" t="s">
        <v>309</v>
      </c>
      <c r="H84" s="72" t="s">
        <v>227</v>
      </c>
      <c r="I84" s="72" t="s">
        <v>10</v>
      </c>
      <c r="J84" s="72" t="s">
        <v>187</v>
      </c>
      <c r="K84" s="74">
        <v>23.4</v>
      </c>
      <c r="L84" s="74">
        <f t="shared" si="10"/>
        <v>23.4</v>
      </c>
      <c r="M84" s="75">
        <f>prodnorm93</f>
        <v>0</v>
      </c>
      <c r="N84" s="76">
        <f>dagwerk93</f>
        <v>0</v>
      </c>
      <c r="O84" s="72" t="s">
        <v>54</v>
      </c>
      <c r="P84" s="77">
        <f>uurtarief93</f>
        <v>0</v>
      </c>
      <c r="Q84" s="74" t="e">
        <f t="shared" si="6"/>
        <v>#DIV/0!</v>
      </c>
      <c r="R84" s="74" t="e">
        <f t="shared" si="11"/>
        <v>#DIV/0!</v>
      </c>
      <c r="S84" s="77" t="e">
        <f t="shared" si="12"/>
        <v>#DIV/0!</v>
      </c>
      <c r="T84" s="74" t="e">
        <f t="shared" si="13"/>
        <v>#DIV/0!</v>
      </c>
      <c r="U84" s="78" t="e">
        <f t="shared" si="14"/>
        <v>#DIV/0!</v>
      </c>
    </row>
    <row r="85" spans="1:21" x14ac:dyDescent="0.2">
      <c r="A85" s="71" t="s">
        <v>299</v>
      </c>
      <c r="B85" s="72" t="s">
        <v>300</v>
      </c>
      <c r="C85" s="72" t="s">
        <v>406</v>
      </c>
      <c r="D85" s="72" t="s">
        <v>407</v>
      </c>
      <c r="E85" s="72" t="s">
        <v>300</v>
      </c>
      <c r="F85" s="73" t="s">
        <v>359</v>
      </c>
      <c r="G85" s="72" t="s">
        <v>323</v>
      </c>
      <c r="H85" s="72" t="s">
        <v>193</v>
      </c>
      <c r="I85" s="72" t="s">
        <v>17</v>
      </c>
      <c r="J85" s="72" t="s">
        <v>187</v>
      </c>
      <c r="K85" s="74">
        <v>36.08</v>
      </c>
      <c r="L85" s="74">
        <f t="shared" si="10"/>
        <v>18.04</v>
      </c>
      <c r="M85" s="75">
        <f>prodnorm36</f>
        <v>0</v>
      </c>
      <c r="N85" s="76">
        <f>dagwerk36</f>
        <v>0</v>
      </c>
      <c r="O85" s="72" t="s">
        <v>54</v>
      </c>
      <c r="P85" s="77">
        <f>uurtarief36</f>
        <v>0</v>
      </c>
      <c r="Q85" s="74" t="e">
        <f t="shared" si="6"/>
        <v>#DIV/0!</v>
      </c>
      <c r="R85" s="74" t="e">
        <f t="shared" si="11"/>
        <v>#DIV/0!</v>
      </c>
      <c r="S85" s="77" t="e">
        <f t="shared" si="12"/>
        <v>#DIV/0!</v>
      </c>
      <c r="T85" s="74" t="e">
        <f t="shared" si="13"/>
        <v>#DIV/0!</v>
      </c>
      <c r="U85" s="78" t="e">
        <f t="shared" si="14"/>
        <v>#DIV/0!</v>
      </c>
    </row>
    <row r="86" spans="1:21" x14ac:dyDescent="0.2">
      <c r="A86" s="71" t="s">
        <v>299</v>
      </c>
      <c r="B86" s="72" t="s">
        <v>300</v>
      </c>
      <c r="C86" s="72" t="s">
        <v>406</v>
      </c>
      <c r="D86" s="72" t="s">
        <v>408</v>
      </c>
      <c r="E86" s="72" t="s">
        <v>300</v>
      </c>
      <c r="F86" s="73" t="s">
        <v>359</v>
      </c>
      <c r="G86" s="72" t="s">
        <v>323</v>
      </c>
      <c r="H86" s="72" t="s">
        <v>193</v>
      </c>
      <c r="I86" s="72" t="s">
        <v>17</v>
      </c>
      <c r="J86" s="72" t="s">
        <v>187</v>
      </c>
      <c r="K86" s="74">
        <v>26.24</v>
      </c>
      <c r="L86" s="74">
        <f t="shared" si="10"/>
        <v>13.12</v>
      </c>
      <c r="M86" s="75">
        <f>prodnorm36</f>
        <v>0</v>
      </c>
      <c r="N86" s="76">
        <f>dagwerk36</f>
        <v>0</v>
      </c>
      <c r="O86" s="72" t="s">
        <v>54</v>
      </c>
      <c r="P86" s="77">
        <f>uurtarief36</f>
        <v>0</v>
      </c>
      <c r="Q86" s="74" t="e">
        <f t="shared" ref="Q86:Q149" si="15">IF(ISBLANK(M86),0,L86/ROUND(M86,4))</f>
        <v>#DIV/0!</v>
      </c>
      <c r="R86" s="74" t="e">
        <f t="shared" si="11"/>
        <v>#DIV/0!</v>
      </c>
      <c r="S86" s="77" t="e">
        <f t="shared" si="12"/>
        <v>#DIV/0!</v>
      </c>
      <c r="T86" s="74" t="e">
        <f t="shared" si="13"/>
        <v>#DIV/0!</v>
      </c>
      <c r="U86" s="78" t="e">
        <f t="shared" si="14"/>
        <v>#DIV/0!</v>
      </c>
    </row>
    <row r="87" spans="1:21" x14ac:dyDescent="0.2">
      <c r="A87" s="71" t="s">
        <v>299</v>
      </c>
      <c r="B87" s="72" t="s">
        <v>300</v>
      </c>
      <c r="C87" s="72" t="s">
        <v>406</v>
      </c>
      <c r="D87" s="72" t="s">
        <v>409</v>
      </c>
      <c r="E87" s="72" t="s">
        <v>300</v>
      </c>
      <c r="F87" s="73" t="s">
        <v>359</v>
      </c>
      <c r="G87" s="72" t="s">
        <v>323</v>
      </c>
      <c r="H87" s="72" t="s">
        <v>193</v>
      </c>
      <c r="I87" s="72" t="s">
        <v>17</v>
      </c>
      <c r="J87" s="72" t="s">
        <v>187</v>
      </c>
      <c r="K87" s="74">
        <v>40.17</v>
      </c>
      <c r="L87" s="74">
        <f t="shared" si="10"/>
        <v>20.085000000000001</v>
      </c>
      <c r="M87" s="75">
        <f>prodnorm36</f>
        <v>0</v>
      </c>
      <c r="N87" s="76">
        <f>dagwerk36</f>
        <v>0</v>
      </c>
      <c r="O87" s="72" t="s">
        <v>54</v>
      </c>
      <c r="P87" s="77">
        <f>uurtarief36</f>
        <v>0</v>
      </c>
      <c r="Q87" s="74" t="e">
        <f t="shared" si="15"/>
        <v>#DIV/0!</v>
      </c>
      <c r="R87" s="74" t="e">
        <f t="shared" si="11"/>
        <v>#DIV/0!</v>
      </c>
      <c r="S87" s="77" t="e">
        <f t="shared" si="12"/>
        <v>#DIV/0!</v>
      </c>
      <c r="T87" s="74" t="e">
        <f t="shared" si="13"/>
        <v>#DIV/0!</v>
      </c>
      <c r="U87" s="78" t="e">
        <f t="shared" si="14"/>
        <v>#DIV/0!</v>
      </c>
    </row>
    <row r="88" spans="1:21" x14ac:dyDescent="0.2">
      <c r="A88" s="71" t="s">
        <v>299</v>
      </c>
      <c r="B88" s="72" t="s">
        <v>300</v>
      </c>
      <c r="C88" s="72" t="s">
        <v>406</v>
      </c>
      <c r="D88" s="72" t="s">
        <v>410</v>
      </c>
      <c r="E88" s="72" t="s">
        <v>300</v>
      </c>
      <c r="F88" s="73" t="s">
        <v>355</v>
      </c>
      <c r="G88" s="72" t="s">
        <v>323</v>
      </c>
      <c r="H88" s="72" t="s">
        <v>193</v>
      </c>
      <c r="I88" s="72" t="s">
        <v>17</v>
      </c>
      <c r="J88" s="72" t="s">
        <v>187</v>
      </c>
      <c r="K88" s="74">
        <v>384.98999999999995</v>
      </c>
      <c r="L88" s="74">
        <f t="shared" si="10"/>
        <v>192.49499999999998</v>
      </c>
      <c r="M88" s="75">
        <f>prodnorm36</f>
        <v>0</v>
      </c>
      <c r="N88" s="76">
        <f>dagwerk36</f>
        <v>0</v>
      </c>
      <c r="O88" s="72" t="s">
        <v>54</v>
      </c>
      <c r="P88" s="77">
        <f>uurtarief36</f>
        <v>0</v>
      </c>
      <c r="Q88" s="74" t="e">
        <f t="shared" si="15"/>
        <v>#DIV/0!</v>
      </c>
      <c r="R88" s="74" t="e">
        <f t="shared" si="11"/>
        <v>#DIV/0!</v>
      </c>
      <c r="S88" s="77" t="e">
        <f t="shared" si="12"/>
        <v>#DIV/0!</v>
      </c>
      <c r="T88" s="74" t="e">
        <f t="shared" si="13"/>
        <v>#DIV/0!</v>
      </c>
      <c r="U88" s="78" t="e">
        <f t="shared" si="14"/>
        <v>#DIV/0!</v>
      </c>
    </row>
    <row r="89" spans="1:21" x14ac:dyDescent="0.2">
      <c r="A89" s="71" t="s">
        <v>299</v>
      </c>
      <c r="B89" s="72" t="s">
        <v>300</v>
      </c>
      <c r="C89" s="72" t="s">
        <v>406</v>
      </c>
      <c r="D89" s="72" t="s">
        <v>411</v>
      </c>
      <c r="E89" s="72" t="s">
        <v>300</v>
      </c>
      <c r="F89" s="73" t="s">
        <v>355</v>
      </c>
      <c r="G89" s="72" t="s">
        <v>323</v>
      </c>
      <c r="H89" s="72" t="s">
        <v>193</v>
      </c>
      <c r="I89" s="72" t="s">
        <v>17</v>
      </c>
      <c r="J89" s="72" t="s">
        <v>187</v>
      </c>
      <c r="K89" s="74">
        <v>414.34000000000003</v>
      </c>
      <c r="L89" s="74">
        <f t="shared" si="10"/>
        <v>207.17000000000002</v>
      </c>
      <c r="M89" s="75">
        <f>prodnorm36</f>
        <v>0</v>
      </c>
      <c r="N89" s="76">
        <f>dagwerk36</f>
        <v>0</v>
      </c>
      <c r="O89" s="72" t="s">
        <v>54</v>
      </c>
      <c r="P89" s="77">
        <f>uurtarief36</f>
        <v>0</v>
      </c>
      <c r="Q89" s="74" t="e">
        <f t="shared" si="15"/>
        <v>#DIV/0!</v>
      </c>
      <c r="R89" s="74" t="e">
        <f t="shared" si="11"/>
        <v>#DIV/0!</v>
      </c>
      <c r="S89" s="77" t="e">
        <f t="shared" si="12"/>
        <v>#DIV/0!</v>
      </c>
      <c r="T89" s="74" t="e">
        <f t="shared" si="13"/>
        <v>#DIV/0!</v>
      </c>
      <c r="U89" s="78" t="e">
        <f t="shared" si="14"/>
        <v>#DIV/0!</v>
      </c>
    </row>
    <row r="90" spans="1:21" x14ac:dyDescent="0.2">
      <c r="A90" s="71" t="s">
        <v>299</v>
      </c>
      <c r="B90" s="72" t="s">
        <v>300</v>
      </c>
      <c r="C90" s="72" t="s">
        <v>406</v>
      </c>
      <c r="D90" s="72" t="s">
        <v>412</v>
      </c>
      <c r="E90" s="72" t="s">
        <v>300</v>
      </c>
      <c r="F90" s="73" t="s">
        <v>413</v>
      </c>
      <c r="G90" s="72" t="s">
        <v>364</v>
      </c>
      <c r="H90" s="72" t="s">
        <v>220</v>
      </c>
      <c r="I90" s="72" t="s">
        <v>10</v>
      </c>
      <c r="J90" s="72" t="s">
        <v>187</v>
      </c>
      <c r="K90" s="74">
        <v>21.66</v>
      </c>
      <c r="L90" s="74">
        <f t="shared" si="10"/>
        <v>21.66</v>
      </c>
      <c r="M90" s="75">
        <f>prodnorm72</f>
        <v>0</v>
      </c>
      <c r="N90" s="76">
        <f>dagwerk72</f>
        <v>0</v>
      </c>
      <c r="O90" s="72" t="s">
        <v>54</v>
      </c>
      <c r="P90" s="77">
        <f>uurtarief72</f>
        <v>0</v>
      </c>
      <c r="Q90" s="74" t="e">
        <f t="shared" si="15"/>
        <v>#DIV/0!</v>
      </c>
      <c r="R90" s="74" t="e">
        <f t="shared" si="11"/>
        <v>#DIV/0!</v>
      </c>
      <c r="S90" s="77" t="e">
        <f t="shared" si="12"/>
        <v>#DIV/0!</v>
      </c>
      <c r="T90" s="74" t="e">
        <f t="shared" si="13"/>
        <v>#DIV/0!</v>
      </c>
      <c r="U90" s="78" t="e">
        <f t="shared" si="14"/>
        <v>#DIV/0!</v>
      </c>
    </row>
    <row r="91" spans="1:21" x14ac:dyDescent="0.2">
      <c r="A91" s="71" t="s">
        <v>299</v>
      </c>
      <c r="B91" s="72" t="s">
        <v>300</v>
      </c>
      <c r="C91" s="72" t="s">
        <v>406</v>
      </c>
      <c r="D91" s="72" t="s">
        <v>414</v>
      </c>
      <c r="E91" s="72" t="s">
        <v>300</v>
      </c>
      <c r="F91" s="73" t="s">
        <v>355</v>
      </c>
      <c r="G91" s="72" t="s">
        <v>323</v>
      </c>
      <c r="H91" s="72" t="s">
        <v>193</v>
      </c>
      <c r="I91" s="72" t="s">
        <v>17</v>
      </c>
      <c r="J91" s="72" t="s">
        <v>187</v>
      </c>
      <c r="K91" s="74">
        <v>186.34</v>
      </c>
      <c r="L91" s="74">
        <f t="shared" si="10"/>
        <v>93.17</v>
      </c>
      <c r="M91" s="75">
        <f>prodnorm36</f>
        <v>0</v>
      </c>
      <c r="N91" s="76">
        <f>dagwerk36</f>
        <v>0</v>
      </c>
      <c r="O91" s="72" t="s">
        <v>54</v>
      </c>
      <c r="P91" s="77">
        <f>uurtarief36</f>
        <v>0</v>
      </c>
      <c r="Q91" s="74" t="e">
        <f t="shared" si="15"/>
        <v>#DIV/0!</v>
      </c>
      <c r="R91" s="74" t="e">
        <f t="shared" si="11"/>
        <v>#DIV/0!</v>
      </c>
      <c r="S91" s="77" t="e">
        <f t="shared" si="12"/>
        <v>#DIV/0!</v>
      </c>
      <c r="T91" s="74" t="e">
        <f t="shared" si="13"/>
        <v>#DIV/0!</v>
      </c>
      <c r="U91" s="78" t="e">
        <f t="shared" si="14"/>
        <v>#DIV/0!</v>
      </c>
    </row>
    <row r="92" spans="1:21" x14ac:dyDescent="0.2">
      <c r="A92" s="71" t="s">
        <v>299</v>
      </c>
      <c r="B92" s="72" t="s">
        <v>300</v>
      </c>
      <c r="C92" s="72" t="s">
        <v>406</v>
      </c>
      <c r="D92" s="72" t="s">
        <v>414</v>
      </c>
      <c r="E92" s="72" t="s">
        <v>300</v>
      </c>
      <c r="F92" s="73" t="s">
        <v>355</v>
      </c>
      <c r="G92" s="72" t="s">
        <v>323</v>
      </c>
      <c r="H92" s="72" t="s">
        <v>250</v>
      </c>
      <c r="I92" s="72" t="s">
        <v>17</v>
      </c>
      <c r="J92" s="72" t="s">
        <v>242</v>
      </c>
      <c r="K92" s="74">
        <v>186.34</v>
      </c>
      <c r="L92" s="74">
        <f t="shared" si="10"/>
        <v>93.17</v>
      </c>
      <c r="M92" s="75">
        <f>prodnorm123</f>
        <v>0</v>
      </c>
      <c r="N92" s="76">
        <f>dagwerk123</f>
        <v>0</v>
      </c>
      <c r="O92" s="72" t="s">
        <v>54</v>
      </c>
      <c r="P92" s="77">
        <f>uurtarief123</f>
        <v>0</v>
      </c>
      <c r="Q92" s="74" t="e">
        <f t="shared" si="15"/>
        <v>#DIV/0!</v>
      </c>
      <c r="R92" s="74" t="e">
        <f t="shared" si="11"/>
        <v>#DIV/0!</v>
      </c>
      <c r="S92" s="77" t="e">
        <f t="shared" si="12"/>
        <v>#DIV/0!</v>
      </c>
      <c r="T92" s="74" t="e">
        <f t="shared" si="13"/>
        <v>#DIV/0!</v>
      </c>
      <c r="U92" s="78" t="e">
        <f t="shared" si="14"/>
        <v>#DIV/0!</v>
      </c>
    </row>
    <row r="93" spans="1:21" x14ac:dyDescent="0.2">
      <c r="A93" s="71" t="s">
        <v>299</v>
      </c>
      <c r="B93" s="72" t="s">
        <v>300</v>
      </c>
      <c r="C93" s="72" t="s">
        <v>406</v>
      </c>
      <c r="D93" s="72" t="s">
        <v>415</v>
      </c>
      <c r="E93" s="72" t="s">
        <v>300</v>
      </c>
      <c r="F93" s="73" t="s">
        <v>357</v>
      </c>
      <c r="G93" s="72" t="s">
        <v>323</v>
      </c>
      <c r="H93" s="72" t="s">
        <v>216</v>
      </c>
      <c r="I93" s="72" t="s">
        <v>17</v>
      </c>
      <c r="J93" s="72" t="s">
        <v>187</v>
      </c>
      <c r="K93" s="74">
        <v>13.57</v>
      </c>
      <c r="L93" s="74">
        <f t="shared" si="10"/>
        <v>6.7850000000000001</v>
      </c>
      <c r="M93" s="75">
        <f>prodnorm65</f>
        <v>0</v>
      </c>
      <c r="N93" s="76">
        <f>dagwerk65</f>
        <v>0</v>
      </c>
      <c r="O93" s="72" t="s">
        <v>54</v>
      </c>
      <c r="P93" s="77">
        <f>uurtarief65</f>
        <v>0</v>
      </c>
      <c r="Q93" s="74" t="e">
        <f t="shared" si="15"/>
        <v>#DIV/0!</v>
      </c>
      <c r="R93" s="74" t="e">
        <f t="shared" si="11"/>
        <v>#DIV/0!</v>
      </c>
      <c r="S93" s="77" t="e">
        <f t="shared" si="12"/>
        <v>#DIV/0!</v>
      </c>
      <c r="T93" s="74" t="e">
        <f t="shared" si="13"/>
        <v>#DIV/0!</v>
      </c>
      <c r="U93" s="78" t="e">
        <f t="shared" si="14"/>
        <v>#DIV/0!</v>
      </c>
    </row>
    <row r="94" spans="1:21" x14ac:dyDescent="0.2">
      <c r="A94" s="71" t="s">
        <v>299</v>
      </c>
      <c r="B94" s="72" t="s">
        <v>300</v>
      </c>
      <c r="C94" s="72" t="s">
        <v>406</v>
      </c>
      <c r="D94" s="72" t="s">
        <v>415</v>
      </c>
      <c r="E94" s="72" t="s">
        <v>300</v>
      </c>
      <c r="F94" s="73" t="s">
        <v>357</v>
      </c>
      <c r="G94" s="72" t="s">
        <v>323</v>
      </c>
      <c r="H94" s="72" t="s">
        <v>250</v>
      </c>
      <c r="I94" s="72" t="s">
        <v>17</v>
      </c>
      <c r="J94" s="72" t="s">
        <v>242</v>
      </c>
      <c r="K94" s="74">
        <v>13.57</v>
      </c>
      <c r="L94" s="74">
        <f t="shared" si="10"/>
        <v>6.7850000000000001</v>
      </c>
      <c r="M94" s="75">
        <f>prodnorm123</f>
        <v>0</v>
      </c>
      <c r="N94" s="76">
        <f>dagwerk123</f>
        <v>0</v>
      </c>
      <c r="O94" s="72" t="s">
        <v>54</v>
      </c>
      <c r="P94" s="77">
        <f>uurtarief123</f>
        <v>0</v>
      </c>
      <c r="Q94" s="74" t="e">
        <f t="shared" si="15"/>
        <v>#DIV/0!</v>
      </c>
      <c r="R94" s="74" t="e">
        <f t="shared" si="11"/>
        <v>#DIV/0!</v>
      </c>
      <c r="S94" s="77" t="e">
        <f t="shared" si="12"/>
        <v>#DIV/0!</v>
      </c>
      <c r="T94" s="74" t="e">
        <f t="shared" si="13"/>
        <v>#DIV/0!</v>
      </c>
      <c r="U94" s="78" t="e">
        <f t="shared" si="14"/>
        <v>#DIV/0!</v>
      </c>
    </row>
    <row r="95" spans="1:21" x14ac:dyDescent="0.2">
      <c r="A95" s="71" t="s">
        <v>299</v>
      </c>
      <c r="B95" s="72" t="s">
        <v>300</v>
      </c>
      <c r="C95" s="72" t="s">
        <v>406</v>
      </c>
      <c r="D95" s="72" t="s">
        <v>416</v>
      </c>
      <c r="E95" s="72" t="s">
        <v>300</v>
      </c>
      <c r="F95" s="73" t="s">
        <v>357</v>
      </c>
      <c r="G95" s="72" t="s">
        <v>323</v>
      </c>
      <c r="H95" s="72" t="s">
        <v>216</v>
      </c>
      <c r="I95" s="72" t="s">
        <v>17</v>
      </c>
      <c r="J95" s="72" t="s">
        <v>187</v>
      </c>
      <c r="K95" s="74">
        <v>13.57</v>
      </c>
      <c r="L95" s="74">
        <f t="shared" si="10"/>
        <v>6.7850000000000001</v>
      </c>
      <c r="M95" s="75">
        <f>prodnorm65</f>
        <v>0</v>
      </c>
      <c r="N95" s="76">
        <f>dagwerk65</f>
        <v>0</v>
      </c>
      <c r="O95" s="72" t="s">
        <v>54</v>
      </c>
      <c r="P95" s="77">
        <f>uurtarief65</f>
        <v>0</v>
      </c>
      <c r="Q95" s="74" t="e">
        <f t="shared" si="15"/>
        <v>#DIV/0!</v>
      </c>
      <c r="R95" s="74" t="e">
        <f t="shared" si="11"/>
        <v>#DIV/0!</v>
      </c>
      <c r="S95" s="77" t="e">
        <f t="shared" si="12"/>
        <v>#DIV/0!</v>
      </c>
      <c r="T95" s="74" t="e">
        <f t="shared" si="13"/>
        <v>#DIV/0!</v>
      </c>
      <c r="U95" s="78" t="e">
        <f t="shared" si="14"/>
        <v>#DIV/0!</v>
      </c>
    </row>
    <row r="96" spans="1:21" x14ac:dyDescent="0.2">
      <c r="A96" s="71" t="s">
        <v>299</v>
      </c>
      <c r="B96" s="72" t="s">
        <v>300</v>
      </c>
      <c r="C96" s="72" t="s">
        <v>406</v>
      </c>
      <c r="D96" s="72" t="s">
        <v>416</v>
      </c>
      <c r="E96" s="72" t="s">
        <v>300</v>
      </c>
      <c r="F96" s="73" t="s">
        <v>357</v>
      </c>
      <c r="G96" s="72" t="s">
        <v>323</v>
      </c>
      <c r="H96" s="72" t="s">
        <v>250</v>
      </c>
      <c r="I96" s="72" t="s">
        <v>17</v>
      </c>
      <c r="J96" s="72" t="s">
        <v>242</v>
      </c>
      <c r="K96" s="74">
        <v>13.57</v>
      </c>
      <c r="L96" s="74">
        <f t="shared" si="10"/>
        <v>6.7850000000000001</v>
      </c>
      <c r="M96" s="75">
        <f>prodnorm123</f>
        <v>0</v>
      </c>
      <c r="N96" s="76">
        <f>dagwerk123</f>
        <v>0</v>
      </c>
      <c r="O96" s="72" t="s">
        <v>54</v>
      </c>
      <c r="P96" s="77">
        <f>uurtarief123</f>
        <v>0</v>
      </c>
      <c r="Q96" s="74" t="e">
        <f t="shared" si="15"/>
        <v>#DIV/0!</v>
      </c>
      <c r="R96" s="74" t="e">
        <f t="shared" si="11"/>
        <v>#DIV/0!</v>
      </c>
      <c r="S96" s="77" t="e">
        <f t="shared" si="12"/>
        <v>#DIV/0!</v>
      </c>
      <c r="T96" s="74" t="e">
        <f t="shared" si="13"/>
        <v>#DIV/0!</v>
      </c>
      <c r="U96" s="78" t="e">
        <f t="shared" si="14"/>
        <v>#DIV/0!</v>
      </c>
    </row>
    <row r="97" spans="1:21" x14ac:dyDescent="0.2">
      <c r="A97" s="71" t="s">
        <v>299</v>
      </c>
      <c r="B97" s="72" t="s">
        <v>300</v>
      </c>
      <c r="C97" s="72" t="s">
        <v>406</v>
      </c>
      <c r="D97" s="72" t="s">
        <v>417</v>
      </c>
      <c r="E97" s="72" t="s">
        <v>300</v>
      </c>
      <c r="F97" s="73" t="s">
        <v>306</v>
      </c>
      <c r="G97" s="72" t="s">
        <v>323</v>
      </c>
      <c r="H97" s="72" t="s">
        <v>233</v>
      </c>
      <c r="I97" s="72" t="s">
        <v>17</v>
      </c>
      <c r="J97" s="72" t="s">
        <v>187</v>
      </c>
      <c r="K97" s="74">
        <v>27.19</v>
      </c>
      <c r="L97" s="74">
        <f t="shared" si="10"/>
        <v>13.595000000000001</v>
      </c>
      <c r="M97" s="75">
        <f>prodnorm106</f>
        <v>0</v>
      </c>
      <c r="N97" s="76">
        <f>dagwerk106</f>
        <v>0</v>
      </c>
      <c r="O97" s="72" t="s">
        <v>54</v>
      </c>
      <c r="P97" s="77">
        <f>uurtarief106</f>
        <v>0</v>
      </c>
      <c r="Q97" s="74" t="e">
        <f t="shared" si="15"/>
        <v>#DIV/0!</v>
      </c>
      <c r="R97" s="74" t="e">
        <f t="shared" si="11"/>
        <v>#DIV/0!</v>
      </c>
      <c r="S97" s="77" t="e">
        <f t="shared" si="12"/>
        <v>#DIV/0!</v>
      </c>
      <c r="T97" s="74" t="e">
        <f t="shared" si="13"/>
        <v>#DIV/0!</v>
      </c>
      <c r="U97" s="78" t="e">
        <f t="shared" si="14"/>
        <v>#DIV/0!</v>
      </c>
    </row>
    <row r="98" spans="1:21" x14ac:dyDescent="0.2">
      <c r="A98" s="71" t="s">
        <v>299</v>
      </c>
      <c r="B98" s="72" t="s">
        <v>300</v>
      </c>
      <c r="C98" s="72" t="s">
        <v>406</v>
      </c>
      <c r="D98" s="72" t="s">
        <v>418</v>
      </c>
      <c r="E98" s="72" t="s">
        <v>300</v>
      </c>
      <c r="F98" s="73" t="s">
        <v>405</v>
      </c>
      <c r="G98" s="72" t="s">
        <v>323</v>
      </c>
      <c r="H98" s="72" t="s">
        <v>229</v>
      </c>
      <c r="I98" s="72" t="s">
        <v>24</v>
      </c>
      <c r="J98" s="72" t="s">
        <v>187</v>
      </c>
      <c r="K98" s="74">
        <v>27.5</v>
      </c>
      <c r="L98" s="74">
        <f t="shared" si="10"/>
        <v>5.5</v>
      </c>
      <c r="M98" s="75">
        <f>prodnorm94</f>
        <v>0</v>
      </c>
      <c r="N98" s="76">
        <f>dagwerk94</f>
        <v>0</v>
      </c>
      <c r="O98" s="72" t="s">
        <v>54</v>
      </c>
      <c r="P98" s="77">
        <f>uurtarief94</f>
        <v>0</v>
      </c>
      <c r="Q98" s="74" t="e">
        <f t="shared" si="15"/>
        <v>#DIV/0!</v>
      </c>
      <c r="R98" s="74" t="e">
        <f t="shared" si="11"/>
        <v>#DIV/0!</v>
      </c>
      <c r="S98" s="77" t="e">
        <f t="shared" si="12"/>
        <v>#DIV/0!</v>
      </c>
      <c r="T98" s="74" t="e">
        <f t="shared" si="13"/>
        <v>#DIV/0!</v>
      </c>
      <c r="U98" s="78" t="e">
        <f t="shared" si="14"/>
        <v>#DIV/0!</v>
      </c>
    </row>
    <row r="99" spans="1:21" x14ac:dyDescent="0.2">
      <c r="A99" s="71" t="s">
        <v>299</v>
      </c>
      <c r="B99" s="72" t="s">
        <v>300</v>
      </c>
      <c r="C99" s="72" t="s">
        <v>406</v>
      </c>
      <c r="D99" s="72" t="s">
        <v>419</v>
      </c>
      <c r="E99" s="72" t="s">
        <v>300</v>
      </c>
      <c r="F99" s="73" t="s">
        <v>376</v>
      </c>
      <c r="G99" s="72" t="s">
        <v>309</v>
      </c>
      <c r="H99" s="72" t="s">
        <v>222</v>
      </c>
      <c r="I99" s="72" t="s">
        <v>10</v>
      </c>
      <c r="J99" s="72" t="s">
        <v>187</v>
      </c>
      <c r="K99" s="74">
        <v>6.6599999999999993</v>
      </c>
      <c r="L99" s="74">
        <f t="shared" si="10"/>
        <v>6.6599999999999993</v>
      </c>
      <c r="M99" s="75">
        <f>prodnorm85</f>
        <v>0</v>
      </c>
      <c r="N99" s="76">
        <f>dagwerk85</f>
        <v>0</v>
      </c>
      <c r="O99" s="72" t="s">
        <v>54</v>
      </c>
      <c r="P99" s="77">
        <f>uurtarief85</f>
        <v>0</v>
      </c>
      <c r="Q99" s="74" t="e">
        <f t="shared" si="15"/>
        <v>#DIV/0!</v>
      </c>
      <c r="R99" s="74" t="e">
        <f t="shared" si="11"/>
        <v>#DIV/0!</v>
      </c>
      <c r="S99" s="77" t="e">
        <f t="shared" si="12"/>
        <v>#DIV/0!</v>
      </c>
      <c r="T99" s="74" t="e">
        <f t="shared" si="13"/>
        <v>#DIV/0!</v>
      </c>
      <c r="U99" s="78" t="e">
        <f t="shared" si="14"/>
        <v>#DIV/0!</v>
      </c>
    </row>
    <row r="100" spans="1:21" x14ac:dyDescent="0.2">
      <c r="A100" s="71" t="s">
        <v>299</v>
      </c>
      <c r="B100" s="72" t="s">
        <v>300</v>
      </c>
      <c r="C100" s="72" t="s">
        <v>406</v>
      </c>
      <c r="D100" s="72" t="s">
        <v>419</v>
      </c>
      <c r="E100" s="72" t="s">
        <v>300</v>
      </c>
      <c r="F100" s="73" t="s">
        <v>376</v>
      </c>
      <c r="G100" s="72" t="s">
        <v>309</v>
      </c>
      <c r="H100" s="72" t="s">
        <v>224</v>
      </c>
      <c r="I100" s="72" t="s">
        <v>10</v>
      </c>
      <c r="J100" s="72" t="s">
        <v>187</v>
      </c>
      <c r="K100" s="74">
        <v>6.6599999999999993</v>
      </c>
      <c r="L100" s="74">
        <f t="shared" si="10"/>
        <v>6.6599999999999993</v>
      </c>
      <c r="M100" s="75">
        <f>prodnorm88</f>
        <v>0</v>
      </c>
      <c r="N100" s="76">
        <f>dagwerk88</f>
        <v>0</v>
      </c>
      <c r="O100" s="72" t="s">
        <v>54</v>
      </c>
      <c r="P100" s="77">
        <f>uurtarief88</f>
        <v>0</v>
      </c>
      <c r="Q100" s="74" t="e">
        <f t="shared" si="15"/>
        <v>#DIV/0!</v>
      </c>
      <c r="R100" s="74" t="e">
        <f t="shared" si="11"/>
        <v>#DIV/0!</v>
      </c>
      <c r="S100" s="77" t="e">
        <f t="shared" si="12"/>
        <v>#DIV/0!</v>
      </c>
      <c r="T100" s="74" t="e">
        <f t="shared" si="13"/>
        <v>#DIV/0!</v>
      </c>
      <c r="U100" s="78" t="e">
        <f t="shared" si="14"/>
        <v>#DIV/0!</v>
      </c>
    </row>
    <row r="101" spans="1:21" x14ac:dyDescent="0.2">
      <c r="A101" s="71" t="s">
        <v>299</v>
      </c>
      <c r="B101" s="72" t="s">
        <v>300</v>
      </c>
      <c r="C101" s="72" t="s">
        <v>406</v>
      </c>
      <c r="D101" s="72" t="s">
        <v>420</v>
      </c>
      <c r="E101" s="72" t="s">
        <v>300</v>
      </c>
      <c r="F101" s="73" t="s">
        <v>378</v>
      </c>
      <c r="G101" s="72" t="s">
        <v>309</v>
      </c>
      <c r="H101" s="72" t="s">
        <v>222</v>
      </c>
      <c r="I101" s="72" t="s">
        <v>10</v>
      </c>
      <c r="J101" s="72" t="s">
        <v>187</v>
      </c>
      <c r="K101" s="74">
        <v>6.6599999999999993</v>
      </c>
      <c r="L101" s="74">
        <f t="shared" si="10"/>
        <v>6.6599999999999993</v>
      </c>
      <c r="M101" s="75">
        <f>prodnorm85</f>
        <v>0</v>
      </c>
      <c r="N101" s="76">
        <f>dagwerk85</f>
        <v>0</v>
      </c>
      <c r="O101" s="72" t="s">
        <v>54</v>
      </c>
      <c r="P101" s="77">
        <f>uurtarief85</f>
        <v>0</v>
      </c>
      <c r="Q101" s="74" t="e">
        <f t="shared" si="15"/>
        <v>#DIV/0!</v>
      </c>
      <c r="R101" s="74" t="e">
        <f t="shared" si="11"/>
        <v>#DIV/0!</v>
      </c>
      <c r="S101" s="77" t="e">
        <f t="shared" si="12"/>
        <v>#DIV/0!</v>
      </c>
      <c r="T101" s="74" t="e">
        <f t="shared" si="13"/>
        <v>#DIV/0!</v>
      </c>
      <c r="U101" s="78" t="e">
        <f t="shared" si="14"/>
        <v>#DIV/0!</v>
      </c>
    </row>
    <row r="102" spans="1:21" x14ac:dyDescent="0.2">
      <c r="A102" s="71" t="s">
        <v>299</v>
      </c>
      <c r="B102" s="72" t="s">
        <v>300</v>
      </c>
      <c r="C102" s="72" t="s">
        <v>406</v>
      </c>
      <c r="D102" s="72" t="s">
        <v>420</v>
      </c>
      <c r="E102" s="72" t="s">
        <v>300</v>
      </c>
      <c r="F102" s="73" t="s">
        <v>378</v>
      </c>
      <c r="G102" s="72" t="s">
        <v>309</v>
      </c>
      <c r="H102" s="72" t="s">
        <v>224</v>
      </c>
      <c r="I102" s="72" t="s">
        <v>10</v>
      </c>
      <c r="J102" s="72" t="s">
        <v>187</v>
      </c>
      <c r="K102" s="74">
        <v>6.6599999999999993</v>
      </c>
      <c r="L102" s="74">
        <f t="shared" si="10"/>
        <v>6.6599999999999993</v>
      </c>
      <c r="M102" s="75">
        <f>prodnorm88</f>
        <v>0</v>
      </c>
      <c r="N102" s="76">
        <f>dagwerk88</f>
        <v>0</v>
      </c>
      <c r="O102" s="72" t="s">
        <v>54</v>
      </c>
      <c r="P102" s="77">
        <f>uurtarief88</f>
        <v>0</v>
      </c>
      <c r="Q102" s="74" t="e">
        <f t="shared" si="15"/>
        <v>#DIV/0!</v>
      </c>
      <c r="R102" s="74" t="e">
        <f t="shared" si="11"/>
        <v>#DIV/0!</v>
      </c>
      <c r="S102" s="77" t="e">
        <f t="shared" si="12"/>
        <v>#DIV/0!</v>
      </c>
      <c r="T102" s="74" t="e">
        <f t="shared" si="13"/>
        <v>#DIV/0!</v>
      </c>
      <c r="U102" s="78" t="e">
        <f t="shared" si="14"/>
        <v>#DIV/0!</v>
      </c>
    </row>
    <row r="103" spans="1:21" x14ac:dyDescent="0.2">
      <c r="A103" s="71" t="s">
        <v>299</v>
      </c>
      <c r="B103" s="72" t="s">
        <v>300</v>
      </c>
      <c r="C103" s="72" t="s">
        <v>406</v>
      </c>
      <c r="D103" s="72" t="s">
        <v>421</v>
      </c>
      <c r="E103" s="72" t="s">
        <v>300</v>
      </c>
      <c r="F103" s="73" t="s">
        <v>372</v>
      </c>
      <c r="G103" s="72" t="s">
        <v>326</v>
      </c>
      <c r="H103" s="72" t="s">
        <v>231</v>
      </c>
      <c r="I103" s="72" t="s">
        <v>17</v>
      </c>
      <c r="J103" s="72" t="s">
        <v>187</v>
      </c>
      <c r="K103" s="74">
        <v>5.25</v>
      </c>
      <c r="L103" s="74">
        <f t="shared" si="10"/>
        <v>2.625</v>
      </c>
      <c r="M103" s="75">
        <f>prodnorm98</f>
        <v>0</v>
      </c>
      <c r="N103" s="76">
        <f>dagwerk98</f>
        <v>0</v>
      </c>
      <c r="O103" s="72" t="s">
        <v>54</v>
      </c>
      <c r="P103" s="77">
        <f>uurtarief98</f>
        <v>0</v>
      </c>
      <c r="Q103" s="74" t="e">
        <f t="shared" si="15"/>
        <v>#DIV/0!</v>
      </c>
      <c r="R103" s="74" t="e">
        <f t="shared" si="11"/>
        <v>#DIV/0!</v>
      </c>
      <c r="S103" s="77" t="e">
        <f t="shared" si="12"/>
        <v>#DIV/0!</v>
      </c>
      <c r="T103" s="74" t="e">
        <f t="shared" si="13"/>
        <v>#DIV/0!</v>
      </c>
      <c r="U103" s="78" t="e">
        <f t="shared" si="14"/>
        <v>#DIV/0!</v>
      </c>
    </row>
    <row r="104" spans="1:21" x14ac:dyDescent="0.2">
      <c r="A104" s="71" t="s">
        <v>299</v>
      </c>
      <c r="B104" s="72" t="s">
        <v>300</v>
      </c>
      <c r="C104" s="72" t="s">
        <v>406</v>
      </c>
      <c r="D104" s="72" t="s">
        <v>421</v>
      </c>
      <c r="E104" s="72" t="s">
        <v>300</v>
      </c>
      <c r="F104" s="73" t="s">
        <v>372</v>
      </c>
      <c r="G104" s="72" t="s">
        <v>326</v>
      </c>
      <c r="H104" s="72" t="s">
        <v>241</v>
      </c>
      <c r="I104" s="72" t="s">
        <v>41</v>
      </c>
      <c r="J104" s="72" t="s">
        <v>242</v>
      </c>
      <c r="K104" s="74">
        <v>5.25</v>
      </c>
      <c r="L104" s="74">
        <f t="shared" si="10"/>
        <v>2.0588235294117647E-2</v>
      </c>
      <c r="M104" s="75">
        <f>prodnorm117</f>
        <v>0</v>
      </c>
      <c r="N104" s="76">
        <f>dagwerk117</f>
        <v>0</v>
      </c>
      <c r="O104" s="72" t="s">
        <v>54</v>
      </c>
      <c r="P104" s="77">
        <f>uurtarief117</f>
        <v>0</v>
      </c>
      <c r="Q104" s="74" t="e">
        <f t="shared" si="15"/>
        <v>#DIV/0!</v>
      </c>
      <c r="R104" s="74" t="e">
        <f t="shared" si="11"/>
        <v>#DIV/0!</v>
      </c>
      <c r="S104" s="77" t="e">
        <f t="shared" si="12"/>
        <v>#DIV/0!</v>
      </c>
      <c r="T104" s="74" t="e">
        <f t="shared" si="13"/>
        <v>#DIV/0!</v>
      </c>
      <c r="U104" s="78" t="e">
        <f t="shared" si="14"/>
        <v>#DIV/0!</v>
      </c>
    </row>
    <row r="105" spans="1:21" x14ac:dyDescent="0.2">
      <c r="A105" s="71" t="s">
        <v>299</v>
      </c>
      <c r="B105" s="72" t="s">
        <v>300</v>
      </c>
      <c r="C105" s="72" t="s">
        <v>406</v>
      </c>
      <c r="D105" s="72" t="s">
        <v>422</v>
      </c>
      <c r="E105" s="72" t="s">
        <v>300</v>
      </c>
      <c r="F105" s="73" t="s">
        <v>374</v>
      </c>
      <c r="G105" s="72" t="s">
        <v>326</v>
      </c>
      <c r="H105" s="72" t="s">
        <v>218</v>
      </c>
      <c r="I105" s="72" t="s">
        <v>17</v>
      </c>
      <c r="J105" s="72" t="s">
        <v>187</v>
      </c>
      <c r="K105" s="74">
        <v>5.25</v>
      </c>
      <c r="L105" s="74">
        <f t="shared" si="10"/>
        <v>2.625</v>
      </c>
      <c r="M105" s="75">
        <f>prodnorm70</f>
        <v>0</v>
      </c>
      <c r="N105" s="76">
        <f>dagwerk70</f>
        <v>0</v>
      </c>
      <c r="O105" s="72" t="s">
        <v>54</v>
      </c>
      <c r="P105" s="77">
        <f>uurtarief70</f>
        <v>0</v>
      </c>
      <c r="Q105" s="74" t="e">
        <f t="shared" si="15"/>
        <v>#DIV/0!</v>
      </c>
      <c r="R105" s="74" t="e">
        <f t="shared" si="11"/>
        <v>#DIV/0!</v>
      </c>
      <c r="S105" s="77" t="e">
        <f t="shared" si="12"/>
        <v>#DIV/0!</v>
      </c>
      <c r="T105" s="74" t="e">
        <f t="shared" si="13"/>
        <v>#DIV/0!</v>
      </c>
      <c r="U105" s="78" t="e">
        <f t="shared" si="14"/>
        <v>#DIV/0!</v>
      </c>
    </row>
    <row r="106" spans="1:21" x14ac:dyDescent="0.2">
      <c r="A106" s="71" t="s">
        <v>299</v>
      </c>
      <c r="B106" s="72" t="s">
        <v>300</v>
      </c>
      <c r="C106" s="72" t="s">
        <v>406</v>
      </c>
      <c r="D106" s="72" t="s">
        <v>422</v>
      </c>
      <c r="E106" s="72" t="s">
        <v>300</v>
      </c>
      <c r="F106" s="73" t="s">
        <v>374</v>
      </c>
      <c r="G106" s="72" t="s">
        <v>326</v>
      </c>
      <c r="H106" s="72" t="s">
        <v>239</v>
      </c>
      <c r="I106" s="72" t="s">
        <v>17</v>
      </c>
      <c r="J106" s="72" t="s">
        <v>187</v>
      </c>
      <c r="K106" s="74">
        <v>5.25</v>
      </c>
      <c r="L106" s="74">
        <f t="shared" si="10"/>
        <v>2.625</v>
      </c>
      <c r="M106" s="75">
        <f>prodnorm114</f>
        <v>0</v>
      </c>
      <c r="N106" s="76">
        <f>dagwerk114</f>
        <v>0</v>
      </c>
      <c r="O106" s="72" t="s">
        <v>54</v>
      </c>
      <c r="P106" s="77">
        <f>uurtarief114</f>
        <v>0</v>
      </c>
      <c r="Q106" s="74" t="e">
        <f t="shared" si="15"/>
        <v>#DIV/0!</v>
      </c>
      <c r="R106" s="74" t="e">
        <f t="shared" si="11"/>
        <v>#DIV/0!</v>
      </c>
      <c r="S106" s="77" t="e">
        <f t="shared" si="12"/>
        <v>#DIV/0!</v>
      </c>
      <c r="T106" s="74" t="e">
        <f t="shared" si="13"/>
        <v>#DIV/0!</v>
      </c>
      <c r="U106" s="78" t="e">
        <f t="shared" si="14"/>
        <v>#DIV/0!</v>
      </c>
    </row>
    <row r="107" spans="1:21" x14ac:dyDescent="0.2">
      <c r="A107" s="71" t="s">
        <v>299</v>
      </c>
      <c r="B107" s="72" t="s">
        <v>300</v>
      </c>
      <c r="C107" s="72" t="s">
        <v>406</v>
      </c>
      <c r="D107" s="72" t="s">
        <v>422</v>
      </c>
      <c r="E107" s="72" t="s">
        <v>300</v>
      </c>
      <c r="F107" s="73" t="s">
        <v>374</v>
      </c>
      <c r="G107" s="72" t="s">
        <v>326</v>
      </c>
      <c r="H107" s="72" t="s">
        <v>241</v>
      </c>
      <c r="I107" s="72" t="s">
        <v>41</v>
      </c>
      <c r="J107" s="72" t="s">
        <v>242</v>
      </c>
      <c r="K107" s="74">
        <v>5.25</v>
      </c>
      <c r="L107" s="74">
        <f t="shared" si="10"/>
        <v>2.0588235294117647E-2</v>
      </c>
      <c r="M107" s="75">
        <f>prodnorm117</f>
        <v>0</v>
      </c>
      <c r="N107" s="76">
        <f>dagwerk117</f>
        <v>0</v>
      </c>
      <c r="O107" s="72" t="s">
        <v>54</v>
      </c>
      <c r="P107" s="77">
        <f>uurtarief117</f>
        <v>0</v>
      </c>
      <c r="Q107" s="74" t="e">
        <f t="shared" si="15"/>
        <v>#DIV/0!</v>
      </c>
      <c r="R107" s="74" t="e">
        <f t="shared" si="11"/>
        <v>#DIV/0!</v>
      </c>
      <c r="S107" s="77" t="e">
        <f t="shared" si="12"/>
        <v>#DIV/0!</v>
      </c>
      <c r="T107" s="74" t="e">
        <f t="shared" si="13"/>
        <v>#DIV/0!</v>
      </c>
      <c r="U107" s="78" t="e">
        <f t="shared" si="14"/>
        <v>#DIV/0!</v>
      </c>
    </row>
    <row r="108" spans="1:21" x14ac:dyDescent="0.2">
      <c r="A108" s="71" t="s">
        <v>299</v>
      </c>
      <c r="B108" s="72" t="s">
        <v>300</v>
      </c>
      <c r="C108" s="72" t="s">
        <v>406</v>
      </c>
      <c r="D108" s="72" t="s">
        <v>423</v>
      </c>
      <c r="E108" s="72" t="s">
        <v>300</v>
      </c>
      <c r="F108" s="73" t="s">
        <v>345</v>
      </c>
      <c r="G108" s="72" t="s">
        <v>323</v>
      </c>
      <c r="H108" s="72" t="s">
        <v>233</v>
      </c>
      <c r="I108" s="72" t="s">
        <v>17</v>
      </c>
      <c r="J108" s="72" t="s">
        <v>187</v>
      </c>
      <c r="K108" s="74">
        <v>1</v>
      </c>
      <c r="L108" s="74">
        <f t="shared" si="10"/>
        <v>0.5</v>
      </c>
      <c r="M108" s="75">
        <f>prodnorm106</f>
        <v>0</v>
      </c>
      <c r="N108" s="76">
        <f>dagwerk106</f>
        <v>0</v>
      </c>
      <c r="O108" s="72" t="s">
        <v>54</v>
      </c>
      <c r="P108" s="77">
        <f>uurtarief106</f>
        <v>0</v>
      </c>
      <c r="Q108" s="74" t="e">
        <f t="shared" si="15"/>
        <v>#DIV/0!</v>
      </c>
      <c r="R108" s="74" t="e">
        <f t="shared" si="11"/>
        <v>#DIV/0!</v>
      </c>
      <c r="S108" s="77" t="e">
        <f t="shared" si="12"/>
        <v>#DIV/0!</v>
      </c>
      <c r="T108" s="74" t="e">
        <f t="shared" si="13"/>
        <v>#DIV/0!</v>
      </c>
      <c r="U108" s="78" t="e">
        <f t="shared" si="14"/>
        <v>#DIV/0!</v>
      </c>
    </row>
    <row r="109" spans="1:21" x14ac:dyDescent="0.2">
      <c r="A109" s="71" t="s">
        <v>299</v>
      </c>
      <c r="B109" s="72" t="s">
        <v>300</v>
      </c>
      <c r="C109" s="72" t="s">
        <v>406</v>
      </c>
      <c r="D109" s="72" t="s">
        <v>424</v>
      </c>
      <c r="E109" s="72" t="s">
        <v>300</v>
      </c>
      <c r="F109" s="73" t="s">
        <v>425</v>
      </c>
      <c r="G109" s="72" t="s">
        <v>323</v>
      </c>
      <c r="H109" s="72" t="s">
        <v>233</v>
      </c>
      <c r="I109" s="72" t="s">
        <v>17</v>
      </c>
      <c r="J109" s="72" t="s">
        <v>187</v>
      </c>
      <c r="K109" s="74">
        <v>13.5</v>
      </c>
      <c r="L109" s="74">
        <f t="shared" si="10"/>
        <v>6.75</v>
      </c>
      <c r="M109" s="75">
        <f>prodnorm106</f>
        <v>0</v>
      </c>
      <c r="N109" s="76">
        <f>dagwerk106</f>
        <v>0</v>
      </c>
      <c r="O109" s="72" t="s">
        <v>54</v>
      </c>
      <c r="P109" s="77">
        <f>uurtarief106</f>
        <v>0</v>
      </c>
      <c r="Q109" s="74" t="e">
        <f t="shared" si="15"/>
        <v>#DIV/0!</v>
      </c>
      <c r="R109" s="74" t="e">
        <f t="shared" si="11"/>
        <v>#DIV/0!</v>
      </c>
      <c r="S109" s="77" t="e">
        <f t="shared" si="12"/>
        <v>#DIV/0!</v>
      </c>
      <c r="T109" s="74" t="e">
        <f t="shared" si="13"/>
        <v>#DIV/0!</v>
      </c>
      <c r="U109" s="78" t="e">
        <f t="shared" si="14"/>
        <v>#DIV/0!</v>
      </c>
    </row>
    <row r="110" spans="1:21" x14ac:dyDescent="0.2">
      <c r="A110" s="71" t="s">
        <v>299</v>
      </c>
      <c r="B110" s="72" t="s">
        <v>300</v>
      </c>
      <c r="C110" s="72" t="s">
        <v>406</v>
      </c>
      <c r="D110" s="72" t="s">
        <v>426</v>
      </c>
      <c r="E110" s="72" t="s">
        <v>300</v>
      </c>
      <c r="F110" s="73" t="s">
        <v>427</v>
      </c>
      <c r="G110" s="72" t="s">
        <v>323</v>
      </c>
      <c r="H110" s="72" t="s">
        <v>216</v>
      </c>
      <c r="I110" s="72" t="s">
        <v>17</v>
      </c>
      <c r="J110" s="72" t="s">
        <v>187</v>
      </c>
      <c r="K110" s="74">
        <v>13.5</v>
      </c>
      <c r="L110" s="74">
        <f t="shared" si="10"/>
        <v>6.75</v>
      </c>
      <c r="M110" s="75">
        <f>prodnorm65</f>
        <v>0</v>
      </c>
      <c r="N110" s="76">
        <f>dagwerk65</f>
        <v>0</v>
      </c>
      <c r="O110" s="72" t="s">
        <v>54</v>
      </c>
      <c r="P110" s="77">
        <f>uurtarief65</f>
        <v>0</v>
      </c>
      <c r="Q110" s="74" t="e">
        <f t="shared" si="15"/>
        <v>#DIV/0!</v>
      </c>
      <c r="R110" s="74" t="e">
        <f t="shared" si="11"/>
        <v>#DIV/0!</v>
      </c>
      <c r="S110" s="77" t="e">
        <f t="shared" si="12"/>
        <v>#DIV/0!</v>
      </c>
      <c r="T110" s="74" t="e">
        <f t="shared" si="13"/>
        <v>#DIV/0!</v>
      </c>
      <c r="U110" s="78" t="e">
        <f t="shared" si="14"/>
        <v>#DIV/0!</v>
      </c>
    </row>
    <row r="111" spans="1:21" x14ac:dyDescent="0.2">
      <c r="A111" s="71" t="s">
        <v>299</v>
      </c>
      <c r="B111" s="72" t="s">
        <v>300</v>
      </c>
      <c r="C111" s="72" t="s">
        <v>406</v>
      </c>
      <c r="D111" s="72" t="s">
        <v>428</v>
      </c>
      <c r="E111" s="72" t="s">
        <v>300</v>
      </c>
      <c r="F111" s="73" t="s">
        <v>359</v>
      </c>
      <c r="G111" s="72" t="s">
        <v>323</v>
      </c>
      <c r="H111" s="72" t="s">
        <v>193</v>
      </c>
      <c r="I111" s="72" t="s">
        <v>17</v>
      </c>
      <c r="J111" s="72" t="s">
        <v>187</v>
      </c>
      <c r="K111" s="74">
        <v>13.5</v>
      </c>
      <c r="L111" s="74">
        <f t="shared" si="10"/>
        <v>6.75</v>
      </c>
      <c r="M111" s="75">
        <f>prodnorm36</f>
        <v>0</v>
      </c>
      <c r="N111" s="76">
        <f>dagwerk36</f>
        <v>0</v>
      </c>
      <c r="O111" s="72" t="s">
        <v>54</v>
      </c>
      <c r="P111" s="77">
        <f>uurtarief36</f>
        <v>0</v>
      </c>
      <c r="Q111" s="74" t="e">
        <f t="shared" si="15"/>
        <v>#DIV/0!</v>
      </c>
      <c r="R111" s="74" t="e">
        <f t="shared" si="11"/>
        <v>#DIV/0!</v>
      </c>
      <c r="S111" s="77" t="e">
        <f t="shared" si="12"/>
        <v>#DIV/0!</v>
      </c>
      <c r="T111" s="74" t="e">
        <f t="shared" si="13"/>
        <v>#DIV/0!</v>
      </c>
      <c r="U111" s="78" t="e">
        <f t="shared" si="14"/>
        <v>#DIV/0!</v>
      </c>
    </row>
    <row r="112" spans="1:21" x14ac:dyDescent="0.2">
      <c r="A112" s="71" t="s">
        <v>299</v>
      </c>
      <c r="B112" s="72" t="s">
        <v>300</v>
      </c>
      <c r="C112" s="72" t="s">
        <v>406</v>
      </c>
      <c r="D112" s="72" t="s">
        <v>429</v>
      </c>
      <c r="E112" s="72" t="s">
        <v>300</v>
      </c>
      <c r="F112" s="73" t="s">
        <v>430</v>
      </c>
      <c r="G112" s="72" t="s">
        <v>323</v>
      </c>
      <c r="H112" s="72" t="s">
        <v>193</v>
      </c>
      <c r="I112" s="72" t="s">
        <v>17</v>
      </c>
      <c r="J112" s="72" t="s">
        <v>187</v>
      </c>
      <c r="K112" s="74">
        <v>20.62</v>
      </c>
      <c r="L112" s="74">
        <f t="shared" si="10"/>
        <v>10.31</v>
      </c>
      <c r="M112" s="75">
        <f>prodnorm36</f>
        <v>0</v>
      </c>
      <c r="N112" s="76">
        <f>dagwerk36</f>
        <v>0</v>
      </c>
      <c r="O112" s="72" t="s">
        <v>54</v>
      </c>
      <c r="P112" s="77">
        <f>uurtarief36</f>
        <v>0</v>
      </c>
      <c r="Q112" s="74" t="e">
        <f t="shared" si="15"/>
        <v>#DIV/0!</v>
      </c>
      <c r="R112" s="74" t="e">
        <f t="shared" si="11"/>
        <v>#DIV/0!</v>
      </c>
      <c r="S112" s="77" t="e">
        <f t="shared" si="12"/>
        <v>#DIV/0!</v>
      </c>
      <c r="T112" s="74" t="e">
        <f t="shared" si="13"/>
        <v>#DIV/0!</v>
      </c>
      <c r="U112" s="78" t="e">
        <f t="shared" si="14"/>
        <v>#DIV/0!</v>
      </c>
    </row>
    <row r="113" spans="1:21" x14ac:dyDescent="0.2">
      <c r="A113" s="71" t="s">
        <v>299</v>
      </c>
      <c r="B113" s="72" t="s">
        <v>300</v>
      </c>
      <c r="C113" s="72" t="s">
        <v>406</v>
      </c>
      <c r="D113" s="72" t="s">
        <v>431</v>
      </c>
      <c r="E113" s="72" t="s">
        <v>300</v>
      </c>
      <c r="F113" s="73" t="s">
        <v>306</v>
      </c>
      <c r="G113" s="72" t="s">
        <v>323</v>
      </c>
      <c r="H113" s="72" t="s">
        <v>233</v>
      </c>
      <c r="I113" s="72" t="s">
        <v>17</v>
      </c>
      <c r="J113" s="72" t="s">
        <v>187</v>
      </c>
      <c r="K113" s="74">
        <v>27.19</v>
      </c>
      <c r="L113" s="74">
        <f t="shared" si="10"/>
        <v>13.595000000000001</v>
      </c>
      <c r="M113" s="75">
        <f>prodnorm106</f>
        <v>0</v>
      </c>
      <c r="N113" s="76">
        <f>dagwerk106</f>
        <v>0</v>
      </c>
      <c r="O113" s="72" t="s">
        <v>54</v>
      </c>
      <c r="P113" s="77">
        <f>uurtarief106</f>
        <v>0</v>
      </c>
      <c r="Q113" s="74" t="e">
        <f t="shared" si="15"/>
        <v>#DIV/0!</v>
      </c>
      <c r="R113" s="74" t="e">
        <f t="shared" si="11"/>
        <v>#DIV/0!</v>
      </c>
      <c r="S113" s="77" t="e">
        <f t="shared" si="12"/>
        <v>#DIV/0!</v>
      </c>
      <c r="T113" s="74" t="e">
        <f t="shared" si="13"/>
        <v>#DIV/0!</v>
      </c>
      <c r="U113" s="78" t="e">
        <f t="shared" si="14"/>
        <v>#DIV/0!</v>
      </c>
    </row>
    <row r="114" spans="1:21" x14ac:dyDescent="0.2">
      <c r="A114" s="71" t="s">
        <v>299</v>
      </c>
      <c r="B114" s="72" t="s">
        <v>300</v>
      </c>
      <c r="C114" s="72" t="s">
        <v>406</v>
      </c>
      <c r="D114" s="72" t="s">
        <v>432</v>
      </c>
      <c r="E114" s="72" t="s">
        <v>300</v>
      </c>
      <c r="F114" s="73" t="s">
        <v>383</v>
      </c>
      <c r="G114" s="72" t="s">
        <v>323</v>
      </c>
      <c r="H114" s="72" t="s">
        <v>229</v>
      </c>
      <c r="I114" s="72" t="s">
        <v>24</v>
      </c>
      <c r="J114" s="72" t="s">
        <v>187</v>
      </c>
      <c r="K114" s="74">
        <v>27.5</v>
      </c>
      <c r="L114" s="74">
        <f t="shared" si="10"/>
        <v>5.5</v>
      </c>
      <c r="M114" s="75">
        <f>prodnorm94</f>
        <v>0</v>
      </c>
      <c r="N114" s="76">
        <f>dagwerk94</f>
        <v>0</v>
      </c>
      <c r="O114" s="72" t="s">
        <v>54</v>
      </c>
      <c r="P114" s="77">
        <f>uurtarief94</f>
        <v>0</v>
      </c>
      <c r="Q114" s="74" t="e">
        <f t="shared" si="15"/>
        <v>#DIV/0!</v>
      </c>
      <c r="R114" s="74" t="e">
        <f t="shared" si="11"/>
        <v>#DIV/0!</v>
      </c>
      <c r="S114" s="77" t="e">
        <f t="shared" si="12"/>
        <v>#DIV/0!</v>
      </c>
      <c r="T114" s="74" t="e">
        <f t="shared" si="13"/>
        <v>#DIV/0!</v>
      </c>
      <c r="U114" s="78" t="e">
        <f t="shared" si="14"/>
        <v>#DIV/0!</v>
      </c>
    </row>
    <row r="115" spans="1:21" x14ac:dyDescent="0.2">
      <c r="A115" s="71" t="s">
        <v>299</v>
      </c>
      <c r="B115" s="72" t="s">
        <v>300</v>
      </c>
      <c r="C115" s="72" t="s">
        <v>406</v>
      </c>
      <c r="D115" s="72" t="s">
        <v>433</v>
      </c>
      <c r="E115" s="72" t="s">
        <v>300</v>
      </c>
      <c r="F115" s="73" t="s">
        <v>359</v>
      </c>
      <c r="G115" s="72" t="s">
        <v>323</v>
      </c>
      <c r="H115" s="72" t="s">
        <v>193</v>
      </c>
      <c r="I115" s="72" t="s">
        <v>17</v>
      </c>
      <c r="J115" s="72" t="s">
        <v>187</v>
      </c>
      <c r="K115" s="74">
        <v>20.47</v>
      </c>
      <c r="L115" s="74">
        <f t="shared" si="10"/>
        <v>10.234999999999999</v>
      </c>
      <c r="M115" s="75">
        <f>prodnorm36</f>
        <v>0</v>
      </c>
      <c r="N115" s="76">
        <f>dagwerk36</f>
        <v>0</v>
      </c>
      <c r="O115" s="72" t="s">
        <v>54</v>
      </c>
      <c r="P115" s="77">
        <f>uurtarief36</f>
        <v>0</v>
      </c>
      <c r="Q115" s="74" t="e">
        <f t="shared" si="15"/>
        <v>#DIV/0!</v>
      </c>
      <c r="R115" s="74" t="e">
        <f t="shared" si="11"/>
        <v>#DIV/0!</v>
      </c>
      <c r="S115" s="77" t="e">
        <f t="shared" si="12"/>
        <v>#DIV/0!</v>
      </c>
      <c r="T115" s="74" t="e">
        <f t="shared" si="13"/>
        <v>#DIV/0!</v>
      </c>
      <c r="U115" s="78" t="e">
        <f t="shared" si="14"/>
        <v>#DIV/0!</v>
      </c>
    </row>
    <row r="116" spans="1:21" x14ac:dyDescent="0.2">
      <c r="A116" s="71" t="s">
        <v>299</v>
      </c>
      <c r="B116" s="72" t="s">
        <v>300</v>
      </c>
      <c r="C116" s="72" t="s">
        <v>406</v>
      </c>
      <c r="D116" s="72" t="s">
        <v>434</v>
      </c>
      <c r="E116" s="72" t="s">
        <v>300</v>
      </c>
      <c r="F116" s="73" t="s">
        <v>427</v>
      </c>
      <c r="G116" s="72" t="s">
        <v>323</v>
      </c>
      <c r="H116" s="72" t="s">
        <v>216</v>
      </c>
      <c r="I116" s="72" t="s">
        <v>17</v>
      </c>
      <c r="J116" s="72" t="s">
        <v>187</v>
      </c>
      <c r="K116" s="74">
        <v>13.07</v>
      </c>
      <c r="L116" s="74">
        <f t="shared" si="10"/>
        <v>6.5350000000000001</v>
      </c>
      <c r="M116" s="75">
        <f>prodnorm65</f>
        <v>0</v>
      </c>
      <c r="N116" s="76">
        <f>dagwerk65</f>
        <v>0</v>
      </c>
      <c r="O116" s="72" t="s">
        <v>54</v>
      </c>
      <c r="P116" s="77">
        <f>uurtarief65</f>
        <v>0</v>
      </c>
      <c r="Q116" s="74" t="e">
        <f t="shared" si="15"/>
        <v>#DIV/0!</v>
      </c>
      <c r="R116" s="74" t="e">
        <f t="shared" si="11"/>
        <v>#DIV/0!</v>
      </c>
      <c r="S116" s="77" t="e">
        <f t="shared" si="12"/>
        <v>#DIV/0!</v>
      </c>
      <c r="T116" s="74" t="e">
        <f t="shared" si="13"/>
        <v>#DIV/0!</v>
      </c>
      <c r="U116" s="78" t="e">
        <f t="shared" si="14"/>
        <v>#DIV/0!</v>
      </c>
    </row>
    <row r="117" spans="1:21" x14ac:dyDescent="0.2">
      <c r="A117" s="71" t="s">
        <v>299</v>
      </c>
      <c r="B117" s="72" t="s">
        <v>300</v>
      </c>
      <c r="C117" s="72" t="s">
        <v>406</v>
      </c>
      <c r="D117" s="72" t="s">
        <v>435</v>
      </c>
      <c r="E117" s="72" t="s">
        <v>300</v>
      </c>
      <c r="F117" s="73" t="s">
        <v>427</v>
      </c>
      <c r="G117" s="72" t="s">
        <v>323</v>
      </c>
      <c r="H117" s="72" t="s">
        <v>216</v>
      </c>
      <c r="I117" s="72" t="s">
        <v>17</v>
      </c>
      <c r="J117" s="72" t="s">
        <v>187</v>
      </c>
      <c r="K117" s="74">
        <v>13.07</v>
      </c>
      <c r="L117" s="74">
        <f t="shared" si="10"/>
        <v>6.5350000000000001</v>
      </c>
      <c r="M117" s="75">
        <f>prodnorm65</f>
        <v>0</v>
      </c>
      <c r="N117" s="76">
        <f>dagwerk65</f>
        <v>0</v>
      </c>
      <c r="O117" s="72" t="s">
        <v>54</v>
      </c>
      <c r="P117" s="77">
        <f>uurtarief65</f>
        <v>0</v>
      </c>
      <c r="Q117" s="74" t="e">
        <f t="shared" si="15"/>
        <v>#DIV/0!</v>
      </c>
      <c r="R117" s="74" t="e">
        <f t="shared" si="11"/>
        <v>#DIV/0!</v>
      </c>
      <c r="S117" s="77" t="e">
        <f t="shared" si="12"/>
        <v>#DIV/0!</v>
      </c>
      <c r="T117" s="74" t="e">
        <f t="shared" si="13"/>
        <v>#DIV/0!</v>
      </c>
      <c r="U117" s="78" t="e">
        <f t="shared" si="14"/>
        <v>#DIV/0!</v>
      </c>
    </row>
    <row r="118" spans="1:21" x14ac:dyDescent="0.2">
      <c r="A118" s="71" t="s">
        <v>299</v>
      </c>
      <c r="B118" s="72" t="s">
        <v>300</v>
      </c>
      <c r="C118" s="72" t="s">
        <v>406</v>
      </c>
      <c r="D118" s="72" t="s">
        <v>436</v>
      </c>
      <c r="E118" s="72" t="s">
        <v>300</v>
      </c>
      <c r="F118" s="73" t="s">
        <v>306</v>
      </c>
      <c r="G118" s="72" t="s">
        <v>323</v>
      </c>
      <c r="H118" s="72" t="s">
        <v>233</v>
      </c>
      <c r="I118" s="72" t="s">
        <v>17</v>
      </c>
      <c r="J118" s="72" t="s">
        <v>187</v>
      </c>
      <c r="K118" s="74">
        <v>27.19</v>
      </c>
      <c r="L118" s="74">
        <f t="shared" si="10"/>
        <v>13.595000000000001</v>
      </c>
      <c r="M118" s="75">
        <f>prodnorm106</f>
        <v>0</v>
      </c>
      <c r="N118" s="76">
        <f>dagwerk106</f>
        <v>0</v>
      </c>
      <c r="O118" s="72" t="s">
        <v>54</v>
      </c>
      <c r="P118" s="77">
        <f>uurtarief106</f>
        <v>0</v>
      </c>
      <c r="Q118" s="74" t="e">
        <f t="shared" si="15"/>
        <v>#DIV/0!</v>
      </c>
      <c r="R118" s="74" t="e">
        <f t="shared" si="11"/>
        <v>#DIV/0!</v>
      </c>
      <c r="S118" s="77" t="e">
        <f t="shared" si="12"/>
        <v>#DIV/0!</v>
      </c>
      <c r="T118" s="74" t="e">
        <f t="shared" si="13"/>
        <v>#DIV/0!</v>
      </c>
      <c r="U118" s="78" t="e">
        <f t="shared" si="14"/>
        <v>#DIV/0!</v>
      </c>
    </row>
    <row r="119" spans="1:21" x14ac:dyDescent="0.2">
      <c r="A119" s="71" t="s">
        <v>299</v>
      </c>
      <c r="B119" s="72" t="s">
        <v>300</v>
      </c>
      <c r="C119" s="72" t="s">
        <v>406</v>
      </c>
      <c r="D119" s="72" t="s">
        <v>436</v>
      </c>
      <c r="E119" s="72" t="s">
        <v>300</v>
      </c>
      <c r="F119" s="73" t="s">
        <v>306</v>
      </c>
      <c r="G119" s="72" t="s">
        <v>323</v>
      </c>
      <c r="H119" s="72" t="s">
        <v>233</v>
      </c>
      <c r="I119" s="72" t="s">
        <v>17</v>
      </c>
      <c r="J119" s="72" t="s">
        <v>187</v>
      </c>
      <c r="K119" s="74">
        <v>17.2</v>
      </c>
      <c r="L119" s="74">
        <f t="shared" si="10"/>
        <v>8.6</v>
      </c>
      <c r="M119" s="75">
        <f>prodnorm106</f>
        <v>0</v>
      </c>
      <c r="N119" s="76">
        <f>dagwerk106</f>
        <v>0</v>
      </c>
      <c r="O119" s="72" t="s">
        <v>54</v>
      </c>
      <c r="P119" s="77">
        <f>uurtarief106</f>
        <v>0</v>
      </c>
      <c r="Q119" s="74" t="e">
        <f t="shared" si="15"/>
        <v>#DIV/0!</v>
      </c>
      <c r="R119" s="74" t="e">
        <f t="shared" si="11"/>
        <v>#DIV/0!</v>
      </c>
      <c r="S119" s="77" t="e">
        <f t="shared" si="12"/>
        <v>#DIV/0!</v>
      </c>
      <c r="T119" s="74" t="e">
        <f t="shared" si="13"/>
        <v>#DIV/0!</v>
      </c>
      <c r="U119" s="78" t="e">
        <f t="shared" si="14"/>
        <v>#DIV/0!</v>
      </c>
    </row>
    <row r="120" spans="1:21" x14ac:dyDescent="0.2">
      <c r="A120" s="71" t="s">
        <v>299</v>
      </c>
      <c r="B120" s="72" t="s">
        <v>300</v>
      </c>
      <c r="C120" s="72" t="s">
        <v>406</v>
      </c>
      <c r="D120" s="72" t="s">
        <v>437</v>
      </c>
      <c r="E120" s="72" t="s">
        <v>300</v>
      </c>
      <c r="F120" s="73" t="s">
        <v>372</v>
      </c>
      <c r="G120" s="72" t="s">
        <v>326</v>
      </c>
      <c r="H120" s="72" t="s">
        <v>231</v>
      </c>
      <c r="I120" s="72" t="s">
        <v>17</v>
      </c>
      <c r="J120" s="72" t="s">
        <v>187</v>
      </c>
      <c r="K120" s="74">
        <v>5.25</v>
      </c>
      <c r="L120" s="74">
        <f t="shared" si="10"/>
        <v>2.625</v>
      </c>
      <c r="M120" s="75">
        <f>prodnorm98</f>
        <v>0</v>
      </c>
      <c r="N120" s="76">
        <f>dagwerk98</f>
        <v>0</v>
      </c>
      <c r="O120" s="72" t="s">
        <v>54</v>
      </c>
      <c r="P120" s="77">
        <f>uurtarief98</f>
        <v>0</v>
      </c>
      <c r="Q120" s="74" t="e">
        <f t="shared" si="15"/>
        <v>#DIV/0!</v>
      </c>
      <c r="R120" s="74" t="e">
        <f t="shared" si="11"/>
        <v>#DIV/0!</v>
      </c>
      <c r="S120" s="77" t="e">
        <f t="shared" si="12"/>
        <v>#DIV/0!</v>
      </c>
      <c r="T120" s="74" t="e">
        <f t="shared" si="13"/>
        <v>#DIV/0!</v>
      </c>
      <c r="U120" s="78" t="e">
        <f t="shared" si="14"/>
        <v>#DIV/0!</v>
      </c>
    </row>
    <row r="121" spans="1:21" x14ac:dyDescent="0.2">
      <c r="A121" s="71" t="s">
        <v>299</v>
      </c>
      <c r="B121" s="72" t="s">
        <v>300</v>
      </c>
      <c r="C121" s="72" t="s">
        <v>406</v>
      </c>
      <c r="D121" s="72" t="s">
        <v>437</v>
      </c>
      <c r="E121" s="72" t="s">
        <v>300</v>
      </c>
      <c r="F121" s="73" t="s">
        <v>372</v>
      </c>
      <c r="G121" s="72" t="s">
        <v>326</v>
      </c>
      <c r="H121" s="72" t="s">
        <v>241</v>
      </c>
      <c r="I121" s="72" t="s">
        <v>41</v>
      </c>
      <c r="J121" s="72" t="s">
        <v>242</v>
      </c>
      <c r="K121" s="74">
        <v>5.25</v>
      </c>
      <c r="L121" s="74">
        <f t="shared" si="10"/>
        <v>2.0588235294117647E-2</v>
      </c>
      <c r="M121" s="75">
        <f>prodnorm117</f>
        <v>0</v>
      </c>
      <c r="N121" s="76">
        <f>dagwerk117</f>
        <v>0</v>
      </c>
      <c r="O121" s="72" t="s">
        <v>54</v>
      </c>
      <c r="P121" s="77">
        <f>uurtarief117</f>
        <v>0</v>
      </c>
      <c r="Q121" s="74" t="e">
        <f t="shared" si="15"/>
        <v>#DIV/0!</v>
      </c>
      <c r="R121" s="74" t="e">
        <f t="shared" si="11"/>
        <v>#DIV/0!</v>
      </c>
      <c r="S121" s="77" t="e">
        <f t="shared" si="12"/>
        <v>#DIV/0!</v>
      </c>
      <c r="T121" s="74" t="e">
        <f t="shared" si="13"/>
        <v>#DIV/0!</v>
      </c>
      <c r="U121" s="78" t="e">
        <f t="shared" si="14"/>
        <v>#DIV/0!</v>
      </c>
    </row>
    <row r="122" spans="1:21" x14ac:dyDescent="0.2">
      <c r="A122" s="71" t="s">
        <v>299</v>
      </c>
      <c r="B122" s="72" t="s">
        <v>300</v>
      </c>
      <c r="C122" s="72" t="s">
        <v>406</v>
      </c>
      <c r="D122" s="72" t="s">
        <v>438</v>
      </c>
      <c r="E122" s="72" t="s">
        <v>300</v>
      </c>
      <c r="F122" s="73" t="s">
        <v>374</v>
      </c>
      <c r="G122" s="72" t="s">
        <v>326</v>
      </c>
      <c r="H122" s="72" t="s">
        <v>218</v>
      </c>
      <c r="I122" s="72" t="s">
        <v>17</v>
      </c>
      <c r="J122" s="72" t="s">
        <v>187</v>
      </c>
      <c r="K122" s="74">
        <v>5.25</v>
      </c>
      <c r="L122" s="74">
        <f t="shared" si="10"/>
        <v>2.625</v>
      </c>
      <c r="M122" s="75">
        <f>prodnorm70</f>
        <v>0</v>
      </c>
      <c r="N122" s="76">
        <f>dagwerk70</f>
        <v>0</v>
      </c>
      <c r="O122" s="72" t="s">
        <v>54</v>
      </c>
      <c r="P122" s="77">
        <f>uurtarief70</f>
        <v>0</v>
      </c>
      <c r="Q122" s="74" t="e">
        <f t="shared" si="15"/>
        <v>#DIV/0!</v>
      </c>
      <c r="R122" s="74" t="e">
        <f t="shared" si="11"/>
        <v>#DIV/0!</v>
      </c>
      <c r="S122" s="77" t="e">
        <f t="shared" si="12"/>
        <v>#DIV/0!</v>
      </c>
      <c r="T122" s="74" t="e">
        <f t="shared" si="13"/>
        <v>#DIV/0!</v>
      </c>
      <c r="U122" s="78" t="e">
        <f t="shared" si="14"/>
        <v>#DIV/0!</v>
      </c>
    </row>
    <row r="123" spans="1:21" x14ac:dyDescent="0.2">
      <c r="A123" s="71" t="s">
        <v>299</v>
      </c>
      <c r="B123" s="72" t="s">
        <v>300</v>
      </c>
      <c r="C123" s="72" t="s">
        <v>406</v>
      </c>
      <c r="D123" s="72" t="s">
        <v>438</v>
      </c>
      <c r="E123" s="72" t="s">
        <v>300</v>
      </c>
      <c r="F123" s="73" t="s">
        <v>374</v>
      </c>
      <c r="G123" s="72" t="s">
        <v>326</v>
      </c>
      <c r="H123" s="72" t="s">
        <v>239</v>
      </c>
      <c r="I123" s="72" t="s">
        <v>17</v>
      </c>
      <c r="J123" s="72" t="s">
        <v>187</v>
      </c>
      <c r="K123" s="74">
        <v>5.25</v>
      </c>
      <c r="L123" s="74">
        <f t="shared" si="10"/>
        <v>2.625</v>
      </c>
      <c r="M123" s="75">
        <f>prodnorm114</f>
        <v>0</v>
      </c>
      <c r="N123" s="76">
        <f>dagwerk114</f>
        <v>0</v>
      </c>
      <c r="O123" s="72" t="s">
        <v>54</v>
      </c>
      <c r="P123" s="77">
        <f>uurtarief114</f>
        <v>0</v>
      </c>
      <c r="Q123" s="74" t="e">
        <f t="shared" si="15"/>
        <v>#DIV/0!</v>
      </c>
      <c r="R123" s="74" t="e">
        <f t="shared" si="11"/>
        <v>#DIV/0!</v>
      </c>
      <c r="S123" s="77" t="e">
        <f t="shared" si="12"/>
        <v>#DIV/0!</v>
      </c>
      <c r="T123" s="74" t="e">
        <f t="shared" si="13"/>
        <v>#DIV/0!</v>
      </c>
      <c r="U123" s="78" t="e">
        <f t="shared" si="14"/>
        <v>#DIV/0!</v>
      </c>
    </row>
    <row r="124" spans="1:21" x14ac:dyDescent="0.2">
      <c r="A124" s="71" t="s">
        <v>299</v>
      </c>
      <c r="B124" s="72" t="s">
        <v>300</v>
      </c>
      <c r="C124" s="72" t="s">
        <v>406</v>
      </c>
      <c r="D124" s="72" t="s">
        <v>438</v>
      </c>
      <c r="E124" s="72" t="s">
        <v>300</v>
      </c>
      <c r="F124" s="73" t="s">
        <v>374</v>
      </c>
      <c r="G124" s="72" t="s">
        <v>326</v>
      </c>
      <c r="H124" s="72" t="s">
        <v>241</v>
      </c>
      <c r="I124" s="72" t="s">
        <v>41</v>
      </c>
      <c r="J124" s="72" t="s">
        <v>242</v>
      </c>
      <c r="K124" s="74">
        <v>5.25</v>
      </c>
      <c r="L124" s="74">
        <f t="shared" si="10"/>
        <v>2.0588235294117647E-2</v>
      </c>
      <c r="M124" s="75">
        <f>prodnorm117</f>
        <v>0</v>
      </c>
      <c r="N124" s="76">
        <f>dagwerk117</f>
        <v>0</v>
      </c>
      <c r="O124" s="72" t="s">
        <v>54</v>
      </c>
      <c r="P124" s="77">
        <f>uurtarief117</f>
        <v>0</v>
      </c>
      <c r="Q124" s="74" t="e">
        <f t="shared" si="15"/>
        <v>#DIV/0!</v>
      </c>
      <c r="R124" s="74" t="e">
        <f t="shared" si="11"/>
        <v>#DIV/0!</v>
      </c>
      <c r="S124" s="77" t="e">
        <f t="shared" si="12"/>
        <v>#DIV/0!</v>
      </c>
      <c r="T124" s="74" t="e">
        <f t="shared" si="13"/>
        <v>#DIV/0!</v>
      </c>
      <c r="U124" s="78" t="e">
        <f t="shared" si="14"/>
        <v>#DIV/0!</v>
      </c>
    </row>
    <row r="125" spans="1:21" x14ac:dyDescent="0.2">
      <c r="A125" s="71" t="s">
        <v>299</v>
      </c>
      <c r="B125" s="72" t="s">
        <v>300</v>
      </c>
      <c r="C125" s="72" t="s">
        <v>406</v>
      </c>
      <c r="D125" s="72" t="s">
        <v>439</v>
      </c>
      <c r="E125" s="72" t="s">
        <v>300</v>
      </c>
      <c r="F125" s="73" t="s">
        <v>359</v>
      </c>
      <c r="G125" s="72" t="s">
        <v>323</v>
      </c>
      <c r="H125" s="72" t="s">
        <v>193</v>
      </c>
      <c r="I125" s="72" t="s">
        <v>17</v>
      </c>
      <c r="J125" s="72" t="s">
        <v>187</v>
      </c>
      <c r="K125" s="74">
        <v>19.59</v>
      </c>
      <c r="L125" s="74">
        <f t="shared" si="10"/>
        <v>9.7949999999999999</v>
      </c>
      <c r="M125" s="75">
        <f>prodnorm36</f>
        <v>0</v>
      </c>
      <c r="N125" s="76">
        <f>dagwerk36</f>
        <v>0</v>
      </c>
      <c r="O125" s="72" t="s">
        <v>54</v>
      </c>
      <c r="P125" s="77">
        <f>uurtarief36</f>
        <v>0</v>
      </c>
      <c r="Q125" s="74" t="e">
        <f t="shared" si="15"/>
        <v>#DIV/0!</v>
      </c>
      <c r="R125" s="74" t="e">
        <f t="shared" si="11"/>
        <v>#DIV/0!</v>
      </c>
      <c r="S125" s="77" t="e">
        <f t="shared" si="12"/>
        <v>#DIV/0!</v>
      </c>
      <c r="T125" s="74" t="e">
        <f t="shared" si="13"/>
        <v>#DIV/0!</v>
      </c>
      <c r="U125" s="78" t="e">
        <f t="shared" si="14"/>
        <v>#DIV/0!</v>
      </c>
    </row>
    <row r="126" spans="1:21" x14ac:dyDescent="0.2">
      <c r="A126" s="71" t="s">
        <v>299</v>
      </c>
      <c r="B126" s="72" t="s">
        <v>300</v>
      </c>
      <c r="C126" s="72" t="s">
        <v>406</v>
      </c>
      <c r="D126" s="72" t="s">
        <v>440</v>
      </c>
      <c r="E126" s="72" t="s">
        <v>300</v>
      </c>
      <c r="F126" s="73" t="s">
        <v>306</v>
      </c>
      <c r="G126" s="72" t="s">
        <v>323</v>
      </c>
      <c r="H126" s="72" t="s">
        <v>233</v>
      </c>
      <c r="I126" s="72" t="s">
        <v>17</v>
      </c>
      <c r="J126" s="72" t="s">
        <v>187</v>
      </c>
      <c r="K126" s="74">
        <v>124.34</v>
      </c>
      <c r="L126" s="74">
        <f t="shared" si="10"/>
        <v>62.17</v>
      </c>
      <c r="M126" s="75">
        <f>prodnorm106</f>
        <v>0</v>
      </c>
      <c r="N126" s="76">
        <f>dagwerk106</f>
        <v>0</v>
      </c>
      <c r="O126" s="72" t="s">
        <v>54</v>
      </c>
      <c r="P126" s="77">
        <f>uurtarief106</f>
        <v>0</v>
      </c>
      <c r="Q126" s="74" t="e">
        <f t="shared" si="15"/>
        <v>#DIV/0!</v>
      </c>
      <c r="R126" s="74" t="e">
        <f t="shared" si="11"/>
        <v>#DIV/0!</v>
      </c>
      <c r="S126" s="77" t="e">
        <f t="shared" si="12"/>
        <v>#DIV/0!</v>
      </c>
      <c r="T126" s="74" t="e">
        <f t="shared" si="13"/>
        <v>#DIV/0!</v>
      </c>
      <c r="U126" s="78" t="e">
        <f t="shared" si="14"/>
        <v>#DIV/0!</v>
      </c>
    </row>
    <row r="127" spans="1:21" x14ac:dyDescent="0.2">
      <c r="A127" s="71" t="s">
        <v>299</v>
      </c>
      <c r="B127" s="72" t="s">
        <v>300</v>
      </c>
      <c r="C127" s="72" t="s">
        <v>406</v>
      </c>
      <c r="D127" s="72" t="s">
        <v>441</v>
      </c>
      <c r="E127" s="72" t="s">
        <v>300</v>
      </c>
      <c r="F127" s="73" t="s">
        <v>345</v>
      </c>
      <c r="G127" s="72" t="s">
        <v>323</v>
      </c>
      <c r="H127" s="72" t="s">
        <v>233</v>
      </c>
      <c r="I127" s="72" t="s">
        <v>17</v>
      </c>
      <c r="J127" s="72" t="s">
        <v>187</v>
      </c>
      <c r="K127" s="74">
        <v>1.85</v>
      </c>
      <c r="L127" s="74">
        <f t="shared" si="10"/>
        <v>0.92500000000000004</v>
      </c>
      <c r="M127" s="75">
        <f>prodnorm106</f>
        <v>0</v>
      </c>
      <c r="N127" s="76">
        <f>dagwerk106</f>
        <v>0</v>
      </c>
      <c r="O127" s="72" t="s">
        <v>54</v>
      </c>
      <c r="P127" s="77">
        <f>uurtarief106</f>
        <v>0</v>
      </c>
      <c r="Q127" s="74" t="e">
        <f t="shared" si="15"/>
        <v>#DIV/0!</v>
      </c>
      <c r="R127" s="74" t="e">
        <f t="shared" si="11"/>
        <v>#DIV/0!</v>
      </c>
      <c r="S127" s="77" t="e">
        <f t="shared" si="12"/>
        <v>#DIV/0!</v>
      </c>
      <c r="T127" s="74" t="e">
        <f t="shared" si="13"/>
        <v>#DIV/0!</v>
      </c>
      <c r="U127" s="78" t="e">
        <f t="shared" si="14"/>
        <v>#DIV/0!</v>
      </c>
    </row>
    <row r="128" spans="1:21" x14ac:dyDescent="0.2">
      <c r="A128" s="71" t="s">
        <v>299</v>
      </c>
      <c r="B128" s="72" t="s">
        <v>300</v>
      </c>
      <c r="C128" s="72" t="s">
        <v>406</v>
      </c>
      <c r="D128" s="72" t="s">
        <v>442</v>
      </c>
      <c r="E128" s="72" t="s">
        <v>300</v>
      </c>
      <c r="F128" s="73" t="s">
        <v>322</v>
      </c>
      <c r="G128" s="72" t="s">
        <v>323</v>
      </c>
      <c r="H128" s="72" t="s">
        <v>229</v>
      </c>
      <c r="I128" s="72" t="s">
        <v>24</v>
      </c>
      <c r="J128" s="72" t="s">
        <v>187</v>
      </c>
      <c r="K128" s="74">
        <v>27.5</v>
      </c>
      <c r="L128" s="74">
        <f t="shared" si="10"/>
        <v>5.5</v>
      </c>
      <c r="M128" s="75">
        <f>prodnorm94</f>
        <v>0</v>
      </c>
      <c r="N128" s="76">
        <f>dagwerk94</f>
        <v>0</v>
      </c>
      <c r="O128" s="72" t="s">
        <v>54</v>
      </c>
      <c r="P128" s="77">
        <f>uurtarief94</f>
        <v>0</v>
      </c>
      <c r="Q128" s="74" t="e">
        <f t="shared" si="15"/>
        <v>#DIV/0!</v>
      </c>
      <c r="R128" s="74" t="e">
        <f t="shared" si="11"/>
        <v>#DIV/0!</v>
      </c>
      <c r="S128" s="77" t="e">
        <f t="shared" si="12"/>
        <v>#DIV/0!</v>
      </c>
      <c r="T128" s="74" t="e">
        <f t="shared" si="13"/>
        <v>#DIV/0!</v>
      </c>
      <c r="U128" s="78" t="e">
        <f t="shared" si="14"/>
        <v>#DIV/0!</v>
      </c>
    </row>
    <row r="129" spans="1:21" x14ac:dyDescent="0.2">
      <c r="A129" s="71" t="s">
        <v>299</v>
      </c>
      <c r="B129" s="72" t="s">
        <v>300</v>
      </c>
      <c r="C129" s="72" t="s">
        <v>406</v>
      </c>
      <c r="D129" s="72" t="s">
        <v>443</v>
      </c>
      <c r="E129" s="72" t="s">
        <v>300</v>
      </c>
      <c r="F129" s="73" t="s">
        <v>444</v>
      </c>
      <c r="G129" s="72" t="s">
        <v>309</v>
      </c>
      <c r="H129" s="72" t="s">
        <v>222</v>
      </c>
      <c r="I129" s="72" t="s">
        <v>10</v>
      </c>
      <c r="J129" s="72" t="s">
        <v>187</v>
      </c>
      <c r="K129" s="74">
        <v>6.6599999999999993</v>
      </c>
      <c r="L129" s="74">
        <f t="shared" si="10"/>
        <v>6.6599999999999993</v>
      </c>
      <c r="M129" s="75">
        <f>prodnorm85</f>
        <v>0</v>
      </c>
      <c r="N129" s="76">
        <f>dagwerk85</f>
        <v>0</v>
      </c>
      <c r="O129" s="72" t="s">
        <v>54</v>
      </c>
      <c r="P129" s="77">
        <f>uurtarief85</f>
        <v>0</v>
      </c>
      <c r="Q129" s="74" t="e">
        <f t="shared" si="15"/>
        <v>#DIV/0!</v>
      </c>
      <c r="R129" s="74" t="e">
        <f t="shared" si="11"/>
        <v>#DIV/0!</v>
      </c>
      <c r="S129" s="77" t="e">
        <f t="shared" si="12"/>
        <v>#DIV/0!</v>
      </c>
      <c r="T129" s="74" t="e">
        <f t="shared" si="13"/>
        <v>#DIV/0!</v>
      </c>
      <c r="U129" s="78" t="e">
        <f t="shared" si="14"/>
        <v>#DIV/0!</v>
      </c>
    </row>
    <row r="130" spans="1:21" x14ac:dyDescent="0.2">
      <c r="A130" s="71" t="s">
        <v>299</v>
      </c>
      <c r="B130" s="72" t="s">
        <v>300</v>
      </c>
      <c r="C130" s="72" t="s">
        <v>406</v>
      </c>
      <c r="D130" s="72" t="s">
        <v>443</v>
      </c>
      <c r="E130" s="72" t="s">
        <v>300</v>
      </c>
      <c r="F130" s="73" t="s">
        <v>444</v>
      </c>
      <c r="G130" s="72" t="s">
        <v>309</v>
      </c>
      <c r="H130" s="72" t="s">
        <v>224</v>
      </c>
      <c r="I130" s="72" t="s">
        <v>10</v>
      </c>
      <c r="J130" s="72" t="s">
        <v>187</v>
      </c>
      <c r="K130" s="74">
        <v>6.6599999999999993</v>
      </c>
      <c r="L130" s="74">
        <f t="shared" si="10"/>
        <v>6.6599999999999993</v>
      </c>
      <c r="M130" s="75">
        <f>prodnorm88</f>
        <v>0</v>
      </c>
      <c r="N130" s="76">
        <f>dagwerk88</f>
        <v>0</v>
      </c>
      <c r="O130" s="72" t="s">
        <v>54</v>
      </c>
      <c r="P130" s="77">
        <f>uurtarief88</f>
        <v>0</v>
      </c>
      <c r="Q130" s="74" t="e">
        <f t="shared" si="15"/>
        <v>#DIV/0!</v>
      </c>
      <c r="R130" s="74" t="e">
        <f t="shared" si="11"/>
        <v>#DIV/0!</v>
      </c>
      <c r="S130" s="77" t="e">
        <f t="shared" si="12"/>
        <v>#DIV/0!</v>
      </c>
      <c r="T130" s="74" t="e">
        <f t="shared" si="13"/>
        <v>#DIV/0!</v>
      </c>
      <c r="U130" s="78" t="e">
        <f t="shared" si="14"/>
        <v>#DIV/0!</v>
      </c>
    </row>
    <row r="131" spans="1:21" x14ac:dyDescent="0.2">
      <c r="A131" s="71" t="s">
        <v>299</v>
      </c>
      <c r="B131" s="72" t="s">
        <v>300</v>
      </c>
      <c r="C131" s="72" t="s">
        <v>406</v>
      </c>
      <c r="D131" s="72" t="s">
        <v>445</v>
      </c>
      <c r="E131" s="72" t="s">
        <v>300</v>
      </c>
      <c r="F131" s="73" t="s">
        <v>446</v>
      </c>
      <c r="G131" s="72" t="s">
        <v>309</v>
      </c>
      <c r="H131" s="72" t="s">
        <v>222</v>
      </c>
      <c r="I131" s="72" t="s">
        <v>10</v>
      </c>
      <c r="J131" s="72" t="s">
        <v>187</v>
      </c>
      <c r="K131" s="74">
        <v>6.6599999999999993</v>
      </c>
      <c r="L131" s="74">
        <f t="shared" si="10"/>
        <v>6.6599999999999993</v>
      </c>
      <c r="M131" s="75">
        <f>prodnorm85</f>
        <v>0</v>
      </c>
      <c r="N131" s="76">
        <f>dagwerk85</f>
        <v>0</v>
      </c>
      <c r="O131" s="72" t="s">
        <v>54</v>
      </c>
      <c r="P131" s="77">
        <f>uurtarief85</f>
        <v>0</v>
      </c>
      <c r="Q131" s="74" t="e">
        <f t="shared" si="15"/>
        <v>#DIV/0!</v>
      </c>
      <c r="R131" s="74" t="e">
        <f t="shared" si="11"/>
        <v>#DIV/0!</v>
      </c>
      <c r="S131" s="77" t="e">
        <f t="shared" si="12"/>
        <v>#DIV/0!</v>
      </c>
      <c r="T131" s="74" t="e">
        <f t="shared" si="13"/>
        <v>#DIV/0!</v>
      </c>
      <c r="U131" s="78" t="e">
        <f t="shared" si="14"/>
        <v>#DIV/0!</v>
      </c>
    </row>
    <row r="132" spans="1:21" x14ac:dyDescent="0.2">
      <c r="A132" s="71" t="s">
        <v>299</v>
      </c>
      <c r="B132" s="72" t="s">
        <v>300</v>
      </c>
      <c r="C132" s="72" t="s">
        <v>406</v>
      </c>
      <c r="D132" s="72" t="s">
        <v>445</v>
      </c>
      <c r="E132" s="72" t="s">
        <v>300</v>
      </c>
      <c r="F132" s="73" t="s">
        <v>446</v>
      </c>
      <c r="G132" s="72" t="s">
        <v>309</v>
      </c>
      <c r="H132" s="72" t="s">
        <v>224</v>
      </c>
      <c r="I132" s="72" t="s">
        <v>10</v>
      </c>
      <c r="J132" s="72" t="s">
        <v>187</v>
      </c>
      <c r="K132" s="74">
        <v>6.6599999999999993</v>
      </c>
      <c r="L132" s="74">
        <f t="shared" si="10"/>
        <v>6.6599999999999993</v>
      </c>
      <c r="M132" s="75">
        <f>prodnorm88</f>
        <v>0</v>
      </c>
      <c r="N132" s="76">
        <f>dagwerk88</f>
        <v>0</v>
      </c>
      <c r="O132" s="72" t="s">
        <v>54</v>
      </c>
      <c r="P132" s="77">
        <f>uurtarief88</f>
        <v>0</v>
      </c>
      <c r="Q132" s="74" t="e">
        <f t="shared" si="15"/>
        <v>#DIV/0!</v>
      </c>
      <c r="R132" s="74" t="e">
        <f t="shared" si="11"/>
        <v>#DIV/0!</v>
      </c>
      <c r="S132" s="77" t="e">
        <f t="shared" si="12"/>
        <v>#DIV/0!</v>
      </c>
      <c r="T132" s="74" t="e">
        <f t="shared" si="13"/>
        <v>#DIV/0!</v>
      </c>
      <c r="U132" s="78" t="e">
        <f t="shared" si="14"/>
        <v>#DIV/0!</v>
      </c>
    </row>
    <row r="133" spans="1:21" x14ac:dyDescent="0.2">
      <c r="A133" s="71" t="s">
        <v>299</v>
      </c>
      <c r="B133" s="72" t="s">
        <v>300</v>
      </c>
      <c r="C133" s="72" t="s">
        <v>447</v>
      </c>
      <c r="D133" s="72" t="s">
        <v>448</v>
      </c>
      <c r="E133" s="72" t="s">
        <v>300</v>
      </c>
      <c r="F133" s="73" t="s">
        <v>359</v>
      </c>
      <c r="G133" s="72" t="s">
        <v>323</v>
      </c>
      <c r="H133" s="72" t="s">
        <v>193</v>
      </c>
      <c r="I133" s="72" t="s">
        <v>17</v>
      </c>
      <c r="J133" s="72" t="s">
        <v>187</v>
      </c>
      <c r="K133" s="74">
        <v>42.83</v>
      </c>
      <c r="L133" s="74">
        <f t="shared" ref="L133:L196" si="16">K133*VLOOKUP(I133,dagsoorttabel1,2,FALSE)</f>
        <v>21.414999999999999</v>
      </c>
      <c r="M133" s="75">
        <f>prodnorm36</f>
        <v>0</v>
      </c>
      <c r="N133" s="76">
        <f>dagwerk36</f>
        <v>0</v>
      </c>
      <c r="O133" s="72" t="s">
        <v>54</v>
      </c>
      <c r="P133" s="77">
        <f>uurtarief36</f>
        <v>0</v>
      </c>
      <c r="Q133" s="74" t="e">
        <f t="shared" si="15"/>
        <v>#DIV/0!</v>
      </c>
      <c r="R133" s="74" t="e">
        <f t="shared" ref="R133:R196" si="17">IF(ISBLANK(M133),0,Q133*ROUND(N133,2))</f>
        <v>#DIV/0!</v>
      </c>
      <c r="S133" s="77" t="e">
        <f t="shared" ref="S133:S196" si="18">ROUND(P133,2)*Q133</f>
        <v>#DIV/0!</v>
      </c>
      <c r="T133" s="74" t="e">
        <f t="shared" ref="T133:T196" si="19">Q133*dagenperjaar1</f>
        <v>#DIV/0!</v>
      </c>
      <c r="U133" s="78" t="e">
        <f t="shared" ref="U133:U196" si="20">T133*ROUND(P133,2)</f>
        <v>#DIV/0!</v>
      </c>
    </row>
    <row r="134" spans="1:21" x14ac:dyDescent="0.2">
      <c r="A134" s="71" t="s">
        <v>299</v>
      </c>
      <c r="B134" s="72" t="s">
        <v>300</v>
      </c>
      <c r="C134" s="72" t="s">
        <v>447</v>
      </c>
      <c r="D134" s="72" t="s">
        <v>449</v>
      </c>
      <c r="E134" s="72" t="s">
        <v>300</v>
      </c>
      <c r="F134" s="73" t="s">
        <v>359</v>
      </c>
      <c r="G134" s="72" t="s">
        <v>323</v>
      </c>
      <c r="H134" s="72" t="s">
        <v>193</v>
      </c>
      <c r="I134" s="72" t="s">
        <v>17</v>
      </c>
      <c r="J134" s="72" t="s">
        <v>187</v>
      </c>
      <c r="K134" s="74">
        <v>39.75</v>
      </c>
      <c r="L134" s="74">
        <f t="shared" si="16"/>
        <v>19.875</v>
      </c>
      <c r="M134" s="75">
        <f>prodnorm36</f>
        <v>0</v>
      </c>
      <c r="N134" s="76">
        <f>dagwerk36</f>
        <v>0</v>
      </c>
      <c r="O134" s="72" t="s">
        <v>54</v>
      </c>
      <c r="P134" s="77">
        <f>uurtarief36</f>
        <v>0</v>
      </c>
      <c r="Q134" s="74" t="e">
        <f t="shared" si="15"/>
        <v>#DIV/0!</v>
      </c>
      <c r="R134" s="74" t="e">
        <f t="shared" si="17"/>
        <v>#DIV/0!</v>
      </c>
      <c r="S134" s="77" t="e">
        <f t="shared" si="18"/>
        <v>#DIV/0!</v>
      </c>
      <c r="T134" s="74" t="e">
        <f t="shared" si="19"/>
        <v>#DIV/0!</v>
      </c>
      <c r="U134" s="78" t="e">
        <f t="shared" si="20"/>
        <v>#DIV/0!</v>
      </c>
    </row>
    <row r="135" spans="1:21" x14ac:dyDescent="0.2">
      <c r="A135" s="71" t="s">
        <v>299</v>
      </c>
      <c r="B135" s="72" t="s">
        <v>300</v>
      </c>
      <c r="C135" s="72" t="s">
        <v>447</v>
      </c>
      <c r="D135" s="72" t="s">
        <v>450</v>
      </c>
      <c r="E135" s="72" t="s">
        <v>300</v>
      </c>
      <c r="F135" s="73" t="s">
        <v>359</v>
      </c>
      <c r="G135" s="72" t="s">
        <v>323</v>
      </c>
      <c r="H135" s="72" t="s">
        <v>193</v>
      </c>
      <c r="I135" s="72" t="s">
        <v>17</v>
      </c>
      <c r="J135" s="72" t="s">
        <v>187</v>
      </c>
      <c r="K135" s="74">
        <v>26.43</v>
      </c>
      <c r="L135" s="74">
        <f t="shared" si="16"/>
        <v>13.215</v>
      </c>
      <c r="M135" s="75">
        <f>prodnorm36</f>
        <v>0</v>
      </c>
      <c r="N135" s="76">
        <f>dagwerk36</f>
        <v>0</v>
      </c>
      <c r="O135" s="72" t="s">
        <v>54</v>
      </c>
      <c r="P135" s="77">
        <f>uurtarief36</f>
        <v>0</v>
      </c>
      <c r="Q135" s="74" t="e">
        <f t="shared" si="15"/>
        <v>#DIV/0!</v>
      </c>
      <c r="R135" s="74" t="e">
        <f t="shared" si="17"/>
        <v>#DIV/0!</v>
      </c>
      <c r="S135" s="77" t="e">
        <f t="shared" si="18"/>
        <v>#DIV/0!</v>
      </c>
      <c r="T135" s="74" t="e">
        <f t="shared" si="19"/>
        <v>#DIV/0!</v>
      </c>
      <c r="U135" s="78" t="e">
        <f t="shared" si="20"/>
        <v>#DIV/0!</v>
      </c>
    </row>
    <row r="136" spans="1:21" x14ac:dyDescent="0.2">
      <c r="A136" s="71" t="s">
        <v>299</v>
      </c>
      <c r="B136" s="72" t="s">
        <v>300</v>
      </c>
      <c r="C136" s="72" t="s">
        <v>447</v>
      </c>
      <c r="D136" s="72" t="s">
        <v>451</v>
      </c>
      <c r="E136" s="72" t="s">
        <v>300</v>
      </c>
      <c r="F136" s="73" t="s">
        <v>359</v>
      </c>
      <c r="G136" s="72" t="s">
        <v>323</v>
      </c>
      <c r="H136" s="72" t="s">
        <v>193</v>
      </c>
      <c r="I136" s="72" t="s">
        <v>17</v>
      </c>
      <c r="J136" s="72" t="s">
        <v>187</v>
      </c>
      <c r="K136" s="74">
        <v>26.43</v>
      </c>
      <c r="L136" s="74">
        <f t="shared" si="16"/>
        <v>13.215</v>
      </c>
      <c r="M136" s="75">
        <f>prodnorm36</f>
        <v>0</v>
      </c>
      <c r="N136" s="76">
        <f>dagwerk36</f>
        <v>0</v>
      </c>
      <c r="O136" s="72" t="s">
        <v>54</v>
      </c>
      <c r="P136" s="77">
        <f>uurtarief36</f>
        <v>0</v>
      </c>
      <c r="Q136" s="74" t="e">
        <f t="shared" si="15"/>
        <v>#DIV/0!</v>
      </c>
      <c r="R136" s="74" t="e">
        <f t="shared" si="17"/>
        <v>#DIV/0!</v>
      </c>
      <c r="S136" s="77" t="e">
        <f t="shared" si="18"/>
        <v>#DIV/0!</v>
      </c>
      <c r="T136" s="74" t="e">
        <f t="shared" si="19"/>
        <v>#DIV/0!</v>
      </c>
      <c r="U136" s="78" t="e">
        <f t="shared" si="20"/>
        <v>#DIV/0!</v>
      </c>
    </row>
    <row r="137" spans="1:21" x14ac:dyDescent="0.2">
      <c r="A137" s="71" t="s">
        <v>299</v>
      </c>
      <c r="B137" s="72" t="s">
        <v>300</v>
      </c>
      <c r="C137" s="72" t="s">
        <v>447</v>
      </c>
      <c r="D137" s="72" t="s">
        <v>452</v>
      </c>
      <c r="E137" s="72" t="s">
        <v>300</v>
      </c>
      <c r="F137" s="73" t="s">
        <v>359</v>
      </c>
      <c r="G137" s="72" t="s">
        <v>323</v>
      </c>
      <c r="H137" s="72" t="s">
        <v>193</v>
      </c>
      <c r="I137" s="72" t="s">
        <v>17</v>
      </c>
      <c r="J137" s="72" t="s">
        <v>187</v>
      </c>
      <c r="K137" s="74">
        <v>26.43</v>
      </c>
      <c r="L137" s="74">
        <f t="shared" si="16"/>
        <v>13.215</v>
      </c>
      <c r="M137" s="75">
        <f>prodnorm36</f>
        <v>0</v>
      </c>
      <c r="N137" s="76">
        <f>dagwerk36</f>
        <v>0</v>
      </c>
      <c r="O137" s="72" t="s">
        <v>54</v>
      </c>
      <c r="P137" s="77">
        <f>uurtarief36</f>
        <v>0</v>
      </c>
      <c r="Q137" s="74" t="e">
        <f t="shared" si="15"/>
        <v>#DIV/0!</v>
      </c>
      <c r="R137" s="74" t="e">
        <f t="shared" si="17"/>
        <v>#DIV/0!</v>
      </c>
      <c r="S137" s="77" t="e">
        <f t="shared" si="18"/>
        <v>#DIV/0!</v>
      </c>
      <c r="T137" s="74" t="e">
        <f t="shared" si="19"/>
        <v>#DIV/0!</v>
      </c>
      <c r="U137" s="78" t="e">
        <f t="shared" si="20"/>
        <v>#DIV/0!</v>
      </c>
    </row>
    <row r="138" spans="1:21" x14ac:dyDescent="0.2">
      <c r="A138" s="71" t="s">
        <v>299</v>
      </c>
      <c r="B138" s="72" t="s">
        <v>300</v>
      </c>
      <c r="C138" s="72" t="s">
        <v>447</v>
      </c>
      <c r="D138" s="72" t="s">
        <v>453</v>
      </c>
      <c r="E138" s="72" t="s">
        <v>300</v>
      </c>
      <c r="F138" s="73" t="s">
        <v>427</v>
      </c>
      <c r="G138" s="72" t="s">
        <v>323</v>
      </c>
      <c r="H138" s="72" t="s">
        <v>216</v>
      </c>
      <c r="I138" s="72" t="s">
        <v>17</v>
      </c>
      <c r="J138" s="72" t="s">
        <v>187</v>
      </c>
      <c r="K138" s="74">
        <v>26.43</v>
      </c>
      <c r="L138" s="74">
        <f t="shared" si="16"/>
        <v>13.215</v>
      </c>
      <c r="M138" s="75">
        <f>prodnorm65</f>
        <v>0</v>
      </c>
      <c r="N138" s="76">
        <f>dagwerk65</f>
        <v>0</v>
      </c>
      <c r="O138" s="72" t="s">
        <v>54</v>
      </c>
      <c r="P138" s="77">
        <f>uurtarief65</f>
        <v>0</v>
      </c>
      <c r="Q138" s="74" t="e">
        <f t="shared" si="15"/>
        <v>#DIV/0!</v>
      </c>
      <c r="R138" s="74" t="e">
        <f t="shared" si="17"/>
        <v>#DIV/0!</v>
      </c>
      <c r="S138" s="77" t="e">
        <f t="shared" si="18"/>
        <v>#DIV/0!</v>
      </c>
      <c r="T138" s="74" t="e">
        <f t="shared" si="19"/>
        <v>#DIV/0!</v>
      </c>
      <c r="U138" s="78" t="e">
        <f t="shared" si="20"/>
        <v>#DIV/0!</v>
      </c>
    </row>
    <row r="139" spans="1:21" x14ac:dyDescent="0.2">
      <c r="A139" s="71" t="s">
        <v>299</v>
      </c>
      <c r="B139" s="72" t="s">
        <v>300</v>
      </c>
      <c r="C139" s="72" t="s">
        <v>447</v>
      </c>
      <c r="D139" s="72" t="s">
        <v>454</v>
      </c>
      <c r="E139" s="72" t="s">
        <v>300</v>
      </c>
      <c r="F139" s="73" t="s">
        <v>355</v>
      </c>
      <c r="G139" s="72" t="s">
        <v>323</v>
      </c>
      <c r="H139" s="72" t="s">
        <v>193</v>
      </c>
      <c r="I139" s="72" t="s">
        <v>17</v>
      </c>
      <c r="J139" s="72" t="s">
        <v>187</v>
      </c>
      <c r="K139" s="74">
        <v>251</v>
      </c>
      <c r="L139" s="74">
        <f t="shared" si="16"/>
        <v>125.5</v>
      </c>
      <c r="M139" s="75">
        <f>prodnorm36</f>
        <v>0</v>
      </c>
      <c r="N139" s="76">
        <f>dagwerk36</f>
        <v>0</v>
      </c>
      <c r="O139" s="72" t="s">
        <v>54</v>
      </c>
      <c r="P139" s="77">
        <f>uurtarief36</f>
        <v>0</v>
      </c>
      <c r="Q139" s="74" t="e">
        <f t="shared" si="15"/>
        <v>#DIV/0!</v>
      </c>
      <c r="R139" s="74" t="e">
        <f t="shared" si="17"/>
        <v>#DIV/0!</v>
      </c>
      <c r="S139" s="77" t="e">
        <f t="shared" si="18"/>
        <v>#DIV/0!</v>
      </c>
      <c r="T139" s="74" t="e">
        <f t="shared" si="19"/>
        <v>#DIV/0!</v>
      </c>
      <c r="U139" s="78" t="e">
        <f t="shared" si="20"/>
        <v>#DIV/0!</v>
      </c>
    </row>
    <row r="140" spans="1:21" x14ac:dyDescent="0.2">
      <c r="A140" s="71" t="s">
        <v>299</v>
      </c>
      <c r="B140" s="72" t="s">
        <v>300</v>
      </c>
      <c r="C140" s="72" t="s">
        <v>447</v>
      </c>
      <c r="D140" s="72" t="s">
        <v>455</v>
      </c>
      <c r="E140" s="72" t="s">
        <v>300</v>
      </c>
      <c r="F140" s="73" t="s">
        <v>306</v>
      </c>
      <c r="G140" s="72" t="s">
        <v>323</v>
      </c>
      <c r="H140" s="72" t="s">
        <v>233</v>
      </c>
      <c r="I140" s="72" t="s">
        <v>17</v>
      </c>
      <c r="J140" s="72" t="s">
        <v>187</v>
      </c>
      <c r="K140" s="74">
        <v>78.56</v>
      </c>
      <c r="L140" s="74">
        <f t="shared" si="16"/>
        <v>39.28</v>
      </c>
      <c r="M140" s="75">
        <f>prodnorm106</f>
        <v>0</v>
      </c>
      <c r="N140" s="76">
        <f>dagwerk106</f>
        <v>0</v>
      </c>
      <c r="O140" s="72" t="s">
        <v>54</v>
      </c>
      <c r="P140" s="77">
        <f>uurtarief106</f>
        <v>0</v>
      </c>
      <c r="Q140" s="74" t="e">
        <f t="shared" si="15"/>
        <v>#DIV/0!</v>
      </c>
      <c r="R140" s="74" t="e">
        <f t="shared" si="17"/>
        <v>#DIV/0!</v>
      </c>
      <c r="S140" s="77" t="e">
        <f t="shared" si="18"/>
        <v>#DIV/0!</v>
      </c>
      <c r="T140" s="74" t="e">
        <f t="shared" si="19"/>
        <v>#DIV/0!</v>
      </c>
      <c r="U140" s="78" t="e">
        <f t="shared" si="20"/>
        <v>#DIV/0!</v>
      </c>
    </row>
    <row r="141" spans="1:21" x14ac:dyDescent="0.2">
      <c r="A141" s="71" t="s">
        <v>299</v>
      </c>
      <c r="B141" s="72" t="s">
        <v>300</v>
      </c>
      <c r="C141" s="72" t="s">
        <v>447</v>
      </c>
      <c r="D141" s="72" t="s">
        <v>456</v>
      </c>
      <c r="E141" s="72" t="s">
        <v>300</v>
      </c>
      <c r="F141" s="73" t="s">
        <v>359</v>
      </c>
      <c r="G141" s="72" t="s">
        <v>323</v>
      </c>
      <c r="H141" s="72" t="s">
        <v>193</v>
      </c>
      <c r="I141" s="72" t="s">
        <v>17</v>
      </c>
      <c r="J141" s="72" t="s">
        <v>187</v>
      </c>
      <c r="K141" s="74">
        <v>49.07</v>
      </c>
      <c r="L141" s="74">
        <f t="shared" si="16"/>
        <v>24.535</v>
      </c>
      <c r="M141" s="75">
        <f>prodnorm36</f>
        <v>0</v>
      </c>
      <c r="N141" s="76">
        <f>dagwerk36</f>
        <v>0</v>
      </c>
      <c r="O141" s="72" t="s">
        <v>54</v>
      </c>
      <c r="P141" s="77">
        <f>uurtarief36</f>
        <v>0</v>
      </c>
      <c r="Q141" s="74" t="e">
        <f t="shared" si="15"/>
        <v>#DIV/0!</v>
      </c>
      <c r="R141" s="74" t="e">
        <f t="shared" si="17"/>
        <v>#DIV/0!</v>
      </c>
      <c r="S141" s="77" t="e">
        <f t="shared" si="18"/>
        <v>#DIV/0!</v>
      </c>
      <c r="T141" s="74" t="e">
        <f t="shared" si="19"/>
        <v>#DIV/0!</v>
      </c>
      <c r="U141" s="78" t="e">
        <f t="shared" si="20"/>
        <v>#DIV/0!</v>
      </c>
    </row>
    <row r="142" spans="1:21" x14ac:dyDescent="0.2">
      <c r="A142" s="71" t="s">
        <v>299</v>
      </c>
      <c r="B142" s="72" t="s">
        <v>300</v>
      </c>
      <c r="C142" s="72" t="s">
        <v>447</v>
      </c>
      <c r="D142" s="72" t="s">
        <v>457</v>
      </c>
      <c r="E142" s="72" t="s">
        <v>300</v>
      </c>
      <c r="F142" s="73" t="s">
        <v>355</v>
      </c>
      <c r="G142" s="72" t="s">
        <v>323</v>
      </c>
      <c r="H142" s="72" t="s">
        <v>193</v>
      </c>
      <c r="I142" s="72" t="s">
        <v>17</v>
      </c>
      <c r="J142" s="72" t="s">
        <v>187</v>
      </c>
      <c r="K142" s="74">
        <v>439.36</v>
      </c>
      <c r="L142" s="74">
        <f t="shared" si="16"/>
        <v>219.68</v>
      </c>
      <c r="M142" s="75">
        <f>prodnorm36</f>
        <v>0</v>
      </c>
      <c r="N142" s="76">
        <f>dagwerk36</f>
        <v>0</v>
      </c>
      <c r="O142" s="72" t="s">
        <v>54</v>
      </c>
      <c r="P142" s="77">
        <f>uurtarief36</f>
        <v>0</v>
      </c>
      <c r="Q142" s="74" t="e">
        <f t="shared" si="15"/>
        <v>#DIV/0!</v>
      </c>
      <c r="R142" s="74" t="e">
        <f t="shared" si="17"/>
        <v>#DIV/0!</v>
      </c>
      <c r="S142" s="77" t="e">
        <f t="shared" si="18"/>
        <v>#DIV/0!</v>
      </c>
      <c r="T142" s="74" t="e">
        <f t="shared" si="19"/>
        <v>#DIV/0!</v>
      </c>
      <c r="U142" s="78" t="e">
        <f t="shared" si="20"/>
        <v>#DIV/0!</v>
      </c>
    </row>
    <row r="143" spans="1:21" x14ac:dyDescent="0.2">
      <c r="A143" s="71" t="s">
        <v>299</v>
      </c>
      <c r="B143" s="72" t="s">
        <v>300</v>
      </c>
      <c r="C143" s="72" t="s">
        <v>447</v>
      </c>
      <c r="D143" s="72" t="s">
        <v>458</v>
      </c>
      <c r="E143" s="72" t="s">
        <v>300</v>
      </c>
      <c r="F143" s="73" t="s">
        <v>359</v>
      </c>
      <c r="G143" s="72" t="s">
        <v>323</v>
      </c>
      <c r="H143" s="72" t="s">
        <v>193</v>
      </c>
      <c r="I143" s="72" t="s">
        <v>17</v>
      </c>
      <c r="J143" s="72" t="s">
        <v>187</v>
      </c>
      <c r="K143" s="74">
        <v>55.41</v>
      </c>
      <c r="L143" s="74">
        <f t="shared" si="16"/>
        <v>27.704999999999998</v>
      </c>
      <c r="M143" s="75">
        <f>prodnorm36</f>
        <v>0</v>
      </c>
      <c r="N143" s="76">
        <f>dagwerk36</f>
        <v>0</v>
      </c>
      <c r="O143" s="72" t="s">
        <v>54</v>
      </c>
      <c r="P143" s="77">
        <f>uurtarief36</f>
        <v>0</v>
      </c>
      <c r="Q143" s="74" t="e">
        <f t="shared" si="15"/>
        <v>#DIV/0!</v>
      </c>
      <c r="R143" s="74" t="e">
        <f t="shared" si="17"/>
        <v>#DIV/0!</v>
      </c>
      <c r="S143" s="77" t="e">
        <f t="shared" si="18"/>
        <v>#DIV/0!</v>
      </c>
      <c r="T143" s="74" t="e">
        <f t="shared" si="19"/>
        <v>#DIV/0!</v>
      </c>
      <c r="U143" s="78" t="e">
        <f t="shared" si="20"/>
        <v>#DIV/0!</v>
      </c>
    </row>
    <row r="144" spans="1:21" x14ac:dyDescent="0.2">
      <c r="A144" s="71" t="s">
        <v>299</v>
      </c>
      <c r="B144" s="72" t="s">
        <v>300</v>
      </c>
      <c r="C144" s="72" t="s">
        <v>447</v>
      </c>
      <c r="D144" s="72" t="s">
        <v>459</v>
      </c>
      <c r="E144" s="72" t="s">
        <v>300</v>
      </c>
      <c r="F144" s="73" t="s">
        <v>355</v>
      </c>
      <c r="G144" s="72" t="s">
        <v>323</v>
      </c>
      <c r="H144" s="72" t="s">
        <v>193</v>
      </c>
      <c r="I144" s="72" t="s">
        <v>17</v>
      </c>
      <c r="J144" s="72" t="s">
        <v>187</v>
      </c>
      <c r="K144" s="74">
        <v>118.8</v>
      </c>
      <c r="L144" s="74">
        <f t="shared" si="16"/>
        <v>59.4</v>
      </c>
      <c r="M144" s="75">
        <f>prodnorm36</f>
        <v>0</v>
      </c>
      <c r="N144" s="76">
        <f>dagwerk36</f>
        <v>0</v>
      </c>
      <c r="O144" s="72" t="s">
        <v>54</v>
      </c>
      <c r="P144" s="77">
        <f>uurtarief36</f>
        <v>0</v>
      </c>
      <c r="Q144" s="74" t="e">
        <f t="shared" si="15"/>
        <v>#DIV/0!</v>
      </c>
      <c r="R144" s="74" t="e">
        <f t="shared" si="17"/>
        <v>#DIV/0!</v>
      </c>
      <c r="S144" s="77" t="e">
        <f t="shared" si="18"/>
        <v>#DIV/0!</v>
      </c>
      <c r="T144" s="74" t="e">
        <f t="shared" si="19"/>
        <v>#DIV/0!</v>
      </c>
      <c r="U144" s="78" t="e">
        <f t="shared" si="20"/>
        <v>#DIV/0!</v>
      </c>
    </row>
    <row r="145" spans="1:21" x14ac:dyDescent="0.2">
      <c r="A145" s="71" t="s">
        <v>299</v>
      </c>
      <c r="B145" s="72" t="s">
        <v>300</v>
      </c>
      <c r="C145" s="72" t="s">
        <v>447</v>
      </c>
      <c r="D145" s="72" t="s">
        <v>460</v>
      </c>
      <c r="E145" s="72" t="s">
        <v>300</v>
      </c>
      <c r="F145" s="73" t="s">
        <v>427</v>
      </c>
      <c r="G145" s="72" t="s">
        <v>323</v>
      </c>
      <c r="H145" s="72" t="s">
        <v>216</v>
      </c>
      <c r="I145" s="72" t="s">
        <v>17</v>
      </c>
      <c r="J145" s="72" t="s">
        <v>187</v>
      </c>
      <c r="K145" s="74">
        <v>13.6</v>
      </c>
      <c r="L145" s="74">
        <f t="shared" si="16"/>
        <v>6.8</v>
      </c>
      <c r="M145" s="75">
        <f>prodnorm65</f>
        <v>0</v>
      </c>
      <c r="N145" s="76">
        <f>dagwerk65</f>
        <v>0</v>
      </c>
      <c r="O145" s="72" t="s">
        <v>54</v>
      </c>
      <c r="P145" s="77">
        <f>uurtarief65</f>
        <v>0</v>
      </c>
      <c r="Q145" s="74" t="e">
        <f t="shared" si="15"/>
        <v>#DIV/0!</v>
      </c>
      <c r="R145" s="74" t="e">
        <f t="shared" si="17"/>
        <v>#DIV/0!</v>
      </c>
      <c r="S145" s="77" t="e">
        <f t="shared" si="18"/>
        <v>#DIV/0!</v>
      </c>
      <c r="T145" s="74" t="e">
        <f t="shared" si="19"/>
        <v>#DIV/0!</v>
      </c>
      <c r="U145" s="78" t="e">
        <f t="shared" si="20"/>
        <v>#DIV/0!</v>
      </c>
    </row>
    <row r="146" spans="1:21" x14ac:dyDescent="0.2">
      <c r="A146" s="71" t="s">
        <v>299</v>
      </c>
      <c r="B146" s="72" t="s">
        <v>300</v>
      </c>
      <c r="C146" s="72" t="s">
        <v>447</v>
      </c>
      <c r="D146" s="72" t="s">
        <v>461</v>
      </c>
      <c r="E146" s="72" t="s">
        <v>300</v>
      </c>
      <c r="F146" s="73" t="s">
        <v>427</v>
      </c>
      <c r="G146" s="72" t="s">
        <v>323</v>
      </c>
      <c r="H146" s="72" t="s">
        <v>216</v>
      </c>
      <c r="I146" s="72" t="s">
        <v>17</v>
      </c>
      <c r="J146" s="72" t="s">
        <v>187</v>
      </c>
      <c r="K146" s="74">
        <v>13.6</v>
      </c>
      <c r="L146" s="74">
        <f t="shared" si="16"/>
        <v>6.8</v>
      </c>
      <c r="M146" s="75">
        <f>prodnorm65</f>
        <v>0</v>
      </c>
      <c r="N146" s="76">
        <f>dagwerk65</f>
        <v>0</v>
      </c>
      <c r="O146" s="72" t="s">
        <v>54</v>
      </c>
      <c r="P146" s="77">
        <f>uurtarief65</f>
        <v>0</v>
      </c>
      <c r="Q146" s="74" t="e">
        <f t="shared" si="15"/>
        <v>#DIV/0!</v>
      </c>
      <c r="R146" s="74" t="e">
        <f t="shared" si="17"/>
        <v>#DIV/0!</v>
      </c>
      <c r="S146" s="77" t="e">
        <f t="shared" si="18"/>
        <v>#DIV/0!</v>
      </c>
      <c r="T146" s="74" t="e">
        <f t="shared" si="19"/>
        <v>#DIV/0!</v>
      </c>
      <c r="U146" s="78" t="e">
        <f t="shared" si="20"/>
        <v>#DIV/0!</v>
      </c>
    </row>
    <row r="147" spans="1:21" x14ac:dyDescent="0.2">
      <c r="A147" s="71" t="s">
        <v>299</v>
      </c>
      <c r="B147" s="72" t="s">
        <v>300</v>
      </c>
      <c r="C147" s="72" t="s">
        <v>447</v>
      </c>
      <c r="D147" s="72" t="s">
        <v>462</v>
      </c>
      <c r="E147" s="72" t="s">
        <v>300</v>
      </c>
      <c r="F147" s="73" t="s">
        <v>306</v>
      </c>
      <c r="G147" s="72" t="s">
        <v>323</v>
      </c>
      <c r="H147" s="72" t="s">
        <v>233</v>
      </c>
      <c r="I147" s="72" t="s">
        <v>17</v>
      </c>
      <c r="J147" s="72" t="s">
        <v>187</v>
      </c>
      <c r="K147" s="74">
        <v>27.19</v>
      </c>
      <c r="L147" s="74">
        <f t="shared" si="16"/>
        <v>13.595000000000001</v>
      </c>
      <c r="M147" s="75">
        <f>prodnorm106</f>
        <v>0</v>
      </c>
      <c r="N147" s="76">
        <f>dagwerk106</f>
        <v>0</v>
      </c>
      <c r="O147" s="72" t="s">
        <v>54</v>
      </c>
      <c r="P147" s="77">
        <f>uurtarief106</f>
        <v>0</v>
      </c>
      <c r="Q147" s="74" t="e">
        <f t="shared" si="15"/>
        <v>#DIV/0!</v>
      </c>
      <c r="R147" s="74" t="e">
        <f t="shared" si="17"/>
        <v>#DIV/0!</v>
      </c>
      <c r="S147" s="77" t="e">
        <f t="shared" si="18"/>
        <v>#DIV/0!</v>
      </c>
      <c r="T147" s="74" t="e">
        <f t="shared" si="19"/>
        <v>#DIV/0!</v>
      </c>
      <c r="U147" s="78" t="e">
        <f t="shared" si="20"/>
        <v>#DIV/0!</v>
      </c>
    </row>
    <row r="148" spans="1:21" x14ac:dyDescent="0.2">
      <c r="A148" s="71" t="s">
        <v>299</v>
      </c>
      <c r="B148" s="72" t="s">
        <v>300</v>
      </c>
      <c r="C148" s="72" t="s">
        <v>447</v>
      </c>
      <c r="D148" s="72" t="s">
        <v>463</v>
      </c>
      <c r="E148" s="72" t="s">
        <v>300</v>
      </c>
      <c r="F148" s="73" t="s">
        <v>306</v>
      </c>
      <c r="G148" s="72" t="s">
        <v>323</v>
      </c>
      <c r="H148" s="72" t="s">
        <v>233</v>
      </c>
      <c r="I148" s="72" t="s">
        <v>17</v>
      </c>
      <c r="J148" s="72" t="s">
        <v>187</v>
      </c>
      <c r="K148" s="74">
        <v>20.779999999999998</v>
      </c>
      <c r="L148" s="74">
        <f t="shared" si="16"/>
        <v>10.389999999999999</v>
      </c>
      <c r="M148" s="75">
        <f>prodnorm106</f>
        <v>0</v>
      </c>
      <c r="N148" s="76">
        <f>dagwerk106</f>
        <v>0</v>
      </c>
      <c r="O148" s="72" t="s">
        <v>54</v>
      </c>
      <c r="P148" s="77">
        <f>uurtarief106</f>
        <v>0</v>
      </c>
      <c r="Q148" s="74" t="e">
        <f t="shared" si="15"/>
        <v>#DIV/0!</v>
      </c>
      <c r="R148" s="74" t="e">
        <f t="shared" si="17"/>
        <v>#DIV/0!</v>
      </c>
      <c r="S148" s="77" t="e">
        <f t="shared" si="18"/>
        <v>#DIV/0!</v>
      </c>
      <c r="T148" s="74" t="e">
        <f t="shared" si="19"/>
        <v>#DIV/0!</v>
      </c>
      <c r="U148" s="78" t="e">
        <f t="shared" si="20"/>
        <v>#DIV/0!</v>
      </c>
    </row>
    <row r="149" spans="1:21" x14ac:dyDescent="0.2">
      <c r="A149" s="71" t="s">
        <v>299</v>
      </c>
      <c r="B149" s="72" t="s">
        <v>300</v>
      </c>
      <c r="C149" s="72" t="s">
        <v>447</v>
      </c>
      <c r="D149" s="72" t="s">
        <v>464</v>
      </c>
      <c r="E149" s="72" t="s">
        <v>300</v>
      </c>
      <c r="F149" s="73" t="s">
        <v>405</v>
      </c>
      <c r="G149" s="72" t="s">
        <v>323</v>
      </c>
      <c r="H149" s="72" t="s">
        <v>229</v>
      </c>
      <c r="I149" s="72" t="s">
        <v>24</v>
      </c>
      <c r="J149" s="72" t="s">
        <v>187</v>
      </c>
      <c r="K149" s="74">
        <v>21.75</v>
      </c>
      <c r="L149" s="74">
        <f t="shared" si="16"/>
        <v>4.3500000000000005</v>
      </c>
      <c r="M149" s="75">
        <f>prodnorm94</f>
        <v>0</v>
      </c>
      <c r="N149" s="76">
        <f>dagwerk94</f>
        <v>0</v>
      </c>
      <c r="O149" s="72" t="s">
        <v>54</v>
      </c>
      <c r="P149" s="77">
        <f>uurtarief94</f>
        <v>0</v>
      </c>
      <c r="Q149" s="74" t="e">
        <f t="shared" si="15"/>
        <v>#DIV/0!</v>
      </c>
      <c r="R149" s="74" t="e">
        <f t="shared" si="17"/>
        <v>#DIV/0!</v>
      </c>
      <c r="S149" s="77" t="e">
        <f t="shared" si="18"/>
        <v>#DIV/0!</v>
      </c>
      <c r="T149" s="74" t="e">
        <f t="shared" si="19"/>
        <v>#DIV/0!</v>
      </c>
      <c r="U149" s="78" t="e">
        <f t="shared" si="20"/>
        <v>#DIV/0!</v>
      </c>
    </row>
    <row r="150" spans="1:21" x14ac:dyDescent="0.2">
      <c r="A150" s="71" t="s">
        <v>299</v>
      </c>
      <c r="B150" s="72" t="s">
        <v>300</v>
      </c>
      <c r="C150" s="72" t="s">
        <v>447</v>
      </c>
      <c r="D150" s="72" t="s">
        <v>465</v>
      </c>
      <c r="E150" s="72" t="s">
        <v>300</v>
      </c>
      <c r="F150" s="73" t="s">
        <v>376</v>
      </c>
      <c r="G150" s="72" t="s">
        <v>309</v>
      </c>
      <c r="H150" s="72" t="s">
        <v>222</v>
      </c>
      <c r="I150" s="72" t="s">
        <v>10</v>
      </c>
      <c r="J150" s="72" t="s">
        <v>187</v>
      </c>
      <c r="K150" s="74">
        <v>6.6599999999999993</v>
      </c>
      <c r="L150" s="74">
        <f t="shared" si="16"/>
        <v>6.6599999999999993</v>
      </c>
      <c r="M150" s="75">
        <f>prodnorm85</f>
        <v>0</v>
      </c>
      <c r="N150" s="76">
        <f>dagwerk85</f>
        <v>0</v>
      </c>
      <c r="O150" s="72" t="s">
        <v>54</v>
      </c>
      <c r="P150" s="77">
        <f>uurtarief85</f>
        <v>0</v>
      </c>
      <c r="Q150" s="74" t="e">
        <f t="shared" ref="Q150:Q213" si="21">IF(ISBLANK(M150),0,L150/ROUND(M150,4))</f>
        <v>#DIV/0!</v>
      </c>
      <c r="R150" s="74" t="e">
        <f t="shared" si="17"/>
        <v>#DIV/0!</v>
      </c>
      <c r="S150" s="77" t="e">
        <f t="shared" si="18"/>
        <v>#DIV/0!</v>
      </c>
      <c r="T150" s="74" t="e">
        <f t="shared" si="19"/>
        <v>#DIV/0!</v>
      </c>
      <c r="U150" s="78" t="e">
        <f t="shared" si="20"/>
        <v>#DIV/0!</v>
      </c>
    </row>
    <row r="151" spans="1:21" x14ac:dyDescent="0.2">
      <c r="A151" s="71" t="s">
        <v>299</v>
      </c>
      <c r="B151" s="72" t="s">
        <v>300</v>
      </c>
      <c r="C151" s="72" t="s">
        <v>447</v>
      </c>
      <c r="D151" s="72" t="s">
        <v>465</v>
      </c>
      <c r="E151" s="72" t="s">
        <v>300</v>
      </c>
      <c r="F151" s="73" t="s">
        <v>376</v>
      </c>
      <c r="G151" s="72" t="s">
        <v>309</v>
      </c>
      <c r="H151" s="72" t="s">
        <v>224</v>
      </c>
      <c r="I151" s="72" t="s">
        <v>10</v>
      </c>
      <c r="J151" s="72" t="s">
        <v>187</v>
      </c>
      <c r="K151" s="74">
        <v>6.6599999999999993</v>
      </c>
      <c r="L151" s="74">
        <f t="shared" si="16"/>
        <v>6.6599999999999993</v>
      </c>
      <c r="M151" s="75">
        <f>prodnorm88</f>
        <v>0</v>
      </c>
      <c r="N151" s="76">
        <f>dagwerk88</f>
        <v>0</v>
      </c>
      <c r="O151" s="72" t="s">
        <v>54</v>
      </c>
      <c r="P151" s="77">
        <f>uurtarief88</f>
        <v>0</v>
      </c>
      <c r="Q151" s="74" t="e">
        <f t="shared" si="21"/>
        <v>#DIV/0!</v>
      </c>
      <c r="R151" s="74" t="e">
        <f t="shared" si="17"/>
        <v>#DIV/0!</v>
      </c>
      <c r="S151" s="77" t="e">
        <f t="shared" si="18"/>
        <v>#DIV/0!</v>
      </c>
      <c r="T151" s="74" t="e">
        <f t="shared" si="19"/>
        <v>#DIV/0!</v>
      </c>
      <c r="U151" s="78" t="e">
        <f t="shared" si="20"/>
        <v>#DIV/0!</v>
      </c>
    </row>
    <row r="152" spans="1:21" x14ac:dyDescent="0.2">
      <c r="A152" s="71" t="s">
        <v>299</v>
      </c>
      <c r="B152" s="72" t="s">
        <v>300</v>
      </c>
      <c r="C152" s="72" t="s">
        <v>447</v>
      </c>
      <c r="D152" s="72" t="s">
        <v>466</v>
      </c>
      <c r="E152" s="72" t="s">
        <v>300</v>
      </c>
      <c r="F152" s="73" t="s">
        <v>467</v>
      </c>
      <c r="G152" s="72" t="s">
        <v>323</v>
      </c>
      <c r="H152" s="72" t="s">
        <v>233</v>
      </c>
      <c r="I152" s="72" t="s">
        <v>17</v>
      </c>
      <c r="J152" s="72" t="s">
        <v>187</v>
      </c>
      <c r="K152" s="74">
        <v>89.6</v>
      </c>
      <c r="L152" s="74">
        <f t="shared" si="16"/>
        <v>44.8</v>
      </c>
      <c r="M152" s="75">
        <f>prodnorm106</f>
        <v>0</v>
      </c>
      <c r="N152" s="76">
        <f>dagwerk106</f>
        <v>0</v>
      </c>
      <c r="O152" s="72" t="s">
        <v>54</v>
      </c>
      <c r="P152" s="77">
        <f>uurtarief106</f>
        <v>0</v>
      </c>
      <c r="Q152" s="74" t="e">
        <f t="shared" si="21"/>
        <v>#DIV/0!</v>
      </c>
      <c r="R152" s="74" t="e">
        <f t="shared" si="17"/>
        <v>#DIV/0!</v>
      </c>
      <c r="S152" s="77" t="e">
        <f t="shared" si="18"/>
        <v>#DIV/0!</v>
      </c>
      <c r="T152" s="74" t="e">
        <f t="shared" si="19"/>
        <v>#DIV/0!</v>
      </c>
      <c r="U152" s="78" t="e">
        <f t="shared" si="20"/>
        <v>#DIV/0!</v>
      </c>
    </row>
    <row r="153" spans="1:21" x14ac:dyDescent="0.2">
      <c r="A153" s="71" t="s">
        <v>299</v>
      </c>
      <c r="B153" s="72" t="s">
        <v>300</v>
      </c>
      <c r="C153" s="72" t="s">
        <v>447</v>
      </c>
      <c r="D153" s="72" t="s">
        <v>468</v>
      </c>
      <c r="E153" s="72" t="s">
        <v>300</v>
      </c>
      <c r="F153" s="73" t="s">
        <v>378</v>
      </c>
      <c r="G153" s="72" t="s">
        <v>309</v>
      </c>
      <c r="H153" s="72" t="s">
        <v>222</v>
      </c>
      <c r="I153" s="72" t="s">
        <v>10</v>
      </c>
      <c r="J153" s="72" t="s">
        <v>187</v>
      </c>
      <c r="K153" s="74">
        <v>6.6599999999999993</v>
      </c>
      <c r="L153" s="74">
        <f t="shared" si="16"/>
        <v>6.6599999999999993</v>
      </c>
      <c r="M153" s="75">
        <f>prodnorm85</f>
        <v>0</v>
      </c>
      <c r="N153" s="76">
        <f>dagwerk85</f>
        <v>0</v>
      </c>
      <c r="O153" s="72" t="s">
        <v>54</v>
      </c>
      <c r="P153" s="77">
        <f>uurtarief85</f>
        <v>0</v>
      </c>
      <c r="Q153" s="74" t="e">
        <f t="shared" si="21"/>
        <v>#DIV/0!</v>
      </c>
      <c r="R153" s="74" t="e">
        <f t="shared" si="17"/>
        <v>#DIV/0!</v>
      </c>
      <c r="S153" s="77" t="e">
        <f t="shared" si="18"/>
        <v>#DIV/0!</v>
      </c>
      <c r="T153" s="74" t="e">
        <f t="shared" si="19"/>
        <v>#DIV/0!</v>
      </c>
      <c r="U153" s="78" t="e">
        <f t="shared" si="20"/>
        <v>#DIV/0!</v>
      </c>
    </row>
    <row r="154" spans="1:21" x14ac:dyDescent="0.2">
      <c r="A154" s="71" t="s">
        <v>299</v>
      </c>
      <c r="B154" s="72" t="s">
        <v>300</v>
      </c>
      <c r="C154" s="72" t="s">
        <v>447</v>
      </c>
      <c r="D154" s="72" t="s">
        <v>468</v>
      </c>
      <c r="E154" s="72" t="s">
        <v>300</v>
      </c>
      <c r="F154" s="73" t="s">
        <v>378</v>
      </c>
      <c r="G154" s="72" t="s">
        <v>309</v>
      </c>
      <c r="H154" s="72" t="s">
        <v>224</v>
      </c>
      <c r="I154" s="72" t="s">
        <v>10</v>
      </c>
      <c r="J154" s="72" t="s">
        <v>187</v>
      </c>
      <c r="K154" s="74">
        <v>6.6599999999999993</v>
      </c>
      <c r="L154" s="74">
        <f t="shared" si="16"/>
        <v>6.6599999999999993</v>
      </c>
      <c r="M154" s="75">
        <f>prodnorm88</f>
        <v>0</v>
      </c>
      <c r="N154" s="76">
        <f>dagwerk88</f>
        <v>0</v>
      </c>
      <c r="O154" s="72" t="s">
        <v>54</v>
      </c>
      <c r="P154" s="77">
        <f>uurtarief88</f>
        <v>0</v>
      </c>
      <c r="Q154" s="74" t="e">
        <f t="shared" si="21"/>
        <v>#DIV/0!</v>
      </c>
      <c r="R154" s="74" t="e">
        <f t="shared" si="17"/>
        <v>#DIV/0!</v>
      </c>
      <c r="S154" s="77" t="e">
        <f t="shared" si="18"/>
        <v>#DIV/0!</v>
      </c>
      <c r="T154" s="74" t="e">
        <f t="shared" si="19"/>
        <v>#DIV/0!</v>
      </c>
      <c r="U154" s="78" t="e">
        <f t="shared" si="20"/>
        <v>#DIV/0!</v>
      </c>
    </row>
    <row r="155" spans="1:21" x14ac:dyDescent="0.2">
      <c r="A155" s="71" t="s">
        <v>299</v>
      </c>
      <c r="B155" s="72" t="s">
        <v>300</v>
      </c>
      <c r="C155" s="72" t="s">
        <v>447</v>
      </c>
      <c r="D155" s="72" t="s">
        <v>469</v>
      </c>
      <c r="E155" s="72" t="s">
        <v>300</v>
      </c>
      <c r="F155" s="73" t="s">
        <v>372</v>
      </c>
      <c r="G155" s="72" t="s">
        <v>326</v>
      </c>
      <c r="H155" s="72" t="s">
        <v>231</v>
      </c>
      <c r="I155" s="72" t="s">
        <v>17</v>
      </c>
      <c r="J155" s="72" t="s">
        <v>187</v>
      </c>
      <c r="K155" s="74">
        <v>5.25</v>
      </c>
      <c r="L155" s="74">
        <f t="shared" si="16"/>
        <v>2.625</v>
      </c>
      <c r="M155" s="75">
        <f>prodnorm98</f>
        <v>0</v>
      </c>
      <c r="N155" s="76">
        <f>dagwerk98</f>
        <v>0</v>
      </c>
      <c r="O155" s="72" t="s">
        <v>54</v>
      </c>
      <c r="P155" s="77">
        <f>uurtarief98</f>
        <v>0</v>
      </c>
      <c r="Q155" s="74" t="e">
        <f t="shared" si="21"/>
        <v>#DIV/0!</v>
      </c>
      <c r="R155" s="74" t="e">
        <f t="shared" si="17"/>
        <v>#DIV/0!</v>
      </c>
      <c r="S155" s="77" t="e">
        <f t="shared" si="18"/>
        <v>#DIV/0!</v>
      </c>
      <c r="T155" s="74" t="e">
        <f t="shared" si="19"/>
        <v>#DIV/0!</v>
      </c>
      <c r="U155" s="78" t="e">
        <f t="shared" si="20"/>
        <v>#DIV/0!</v>
      </c>
    </row>
    <row r="156" spans="1:21" x14ac:dyDescent="0.2">
      <c r="A156" s="71" t="s">
        <v>299</v>
      </c>
      <c r="B156" s="72" t="s">
        <v>300</v>
      </c>
      <c r="C156" s="72" t="s">
        <v>447</v>
      </c>
      <c r="D156" s="72" t="s">
        <v>469</v>
      </c>
      <c r="E156" s="72" t="s">
        <v>300</v>
      </c>
      <c r="F156" s="73" t="s">
        <v>372</v>
      </c>
      <c r="G156" s="72" t="s">
        <v>326</v>
      </c>
      <c r="H156" s="72" t="s">
        <v>241</v>
      </c>
      <c r="I156" s="72" t="s">
        <v>41</v>
      </c>
      <c r="J156" s="72" t="s">
        <v>242</v>
      </c>
      <c r="K156" s="74">
        <v>5.25</v>
      </c>
      <c r="L156" s="74">
        <f t="shared" si="16"/>
        <v>2.0588235294117647E-2</v>
      </c>
      <c r="M156" s="75">
        <f>prodnorm117</f>
        <v>0</v>
      </c>
      <c r="N156" s="76">
        <f>dagwerk117</f>
        <v>0</v>
      </c>
      <c r="O156" s="72" t="s">
        <v>54</v>
      </c>
      <c r="P156" s="77">
        <f>uurtarief117</f>
        <v>0</v>
      </c>
      <c r="Q156" s="74" t="e">
        <f t="shared" si="21"/>
        <v>#DIV/0!</v>
      </c>
      <c r="R156" s="74" t="e">
        <f t="shared" si="17"/>
        <v>#DIV/0!</v>
      </c>
      <c r="S156" s="77" t="e">
        <f t="shared" si="18"/>
        <v>#DIV/0!</v>
      </c>
      <c r="T156" s="74" t="e">
        <f t="shared" si="19"/>
        <v>#DIV/0!</v>
      </c>
      <c r="U156" s="78" t="e">
        <f t="shared" si="20"/>
        <v>#DIV/0!</v>
      </c>
    </row>
    <row r="157" spans="1:21" x14ac:dyDescent="0.2">
      <c r="A157" s="71" t="s">
        <v>299</v>
      </c>
      <c r="B157" s="72" t="s">
        <v>300</v>
      </c>
      <c r="C157" s="72" t="s">
        <v>447</v>
      </c>
      <c r="D157" s="72" t="s">
        <v>470</v>
      </c>
      <c r="E157" s="72" t="s">
        <v>300</v>
      </c>
      <c r="F157" s="73" t="s">
        <v>374</v>
      </c>
      <c r="G157" s="72" t="s">
        <v>326</v>
      </c>
      <c r="H157" s="72" t="s">
        <v>218</v>
      </c>
      <c r="I157" s="72" t="s">
        <v>17</v>
      </c>
      <c r="J157" s="72" t="s">
        <v>187</v>
      </c>
      <c r="K157" s="74">
        <v>5.25</v>
      </c>
      <c r="L157" s="74">
        <f t="shared" si="16"/>
        <v>2.625</v>
      </c>
      <c r="M157" s="75">
        <f>prodnorm70</f>
        <v>0</v>
      </c>
      <c r="N157" s="76">
        <f>dagwerk70</f>
        <v>0</v>
      </c>
      <c r="O157" s="72" t="s">
        <v>54</v>
      </c>
      <c r="P157" s="77">
        <f>uurtarief70</f>
        <v>0</v>
      </c>
      <c r="Q157" s="74" t="e">
        <f t="shared" si="21"/>
        <v>#DIV/0!</v>
      </c>
      <c r="R157" s="74" t="e">
        <f t="shared" si="17"/>
        <v>#DIV/0!</v>
      </c>
      <c r="S157" s="77" t="e">
        <f t="shared" si="18"/>
        <v>#DIV/0!</v>
      </c>
      <c r="T157" s="74" t="e">
        <f t="shared" si="19"/>
        <v>#DIV/0!</v>
      </c>
      <c r="U157" s="78" t="e">
        <f t="shared" si="20"/>
        <v>#DIV/0!</v>
      </c>
    </row>
    <row r="158" spans="1:21" x14ac:dyDescent="0.2">
      <c r="A158" s="71" t="s">
        <v>299</v>
      </c>
      <c r="B158" s="72" t="s">
        <v>300</v>
      </c>
      <c r="C158" s="72" t="s">
        <v>447</v>
      </c>
      <c r="D158" s="72" t="s">
        <v>470</v>
      </c>
      <c r="E158" s="72" t="s">
        <v>300</v>
      </c>
      <c r="F158" s="73" t="s">
        <v>374</v>
      </c>
      <c r="G158" s="72" t="s">
        <v>326</v>
      </c>
      <c r="H158" s="72" t="s">
        <v>239</v>
      </c>
      <c r="I158" s="72" t="s">
        <v>17</v>
      </c>
      <c r="J158" s="72" t="s">
        <v>187</v>
      </c>
      <c r="K158" s="74">
        <v>5.25</v>
      </c>
      <c r="L158" s="74">
        <f t="shared" si="16"/>
        <v>2.625</v>
      </c>
      <c r="M158" s="75">
        <f>prodnorm114</f>
        <v>0</v>
      </c>
      <c r="N158" s="76">
        <f>dagwerk114</f>
        <v>0</v>
      </c>
      <c r="O158" s="72" t="s">
        <v>54</v>
      </c>
      <c r="P158" s="77">
        <f>uurtarief114</f>
        <v>0</v>
      </c>
      <c r="Q158" s="74" t="e">
        <f t="shared" si="21"/>
        <v>#DIV/0!</v>
      </c>
      <c r="R158" s="74" t="e">
        <f t="shared" si="17"/>
        <v>#DIV/0!</v>
      </c>
      <c r="S158" s="77" t="e">
        <f t="shared" si="18"/>
        <v>#DIV/0!</v>
      </c>
      <c r="T158" s="74" t="e">
        <f t="shared" si="19"/>
        <v>#DIV/0!</v>
      </c>
      <c r="U158" s="78" t="e">
        <f t="shared" si="20"/>
        <v>#DIV/0!</v>
      </c>
    </row>
    <row r="159" spans="1:21" x14ac:dyDescent="0.2">
      <c r="A159" s="71" t="s">
        <v>299</v>
      </c>
      <c r="B159" s="72" t="s">
        <v>300</v>
      </c>
      <c r="C159" s="72" t="s">
        <v>447</v>
      </c>
      <c r="D159" s="72" t="s">
        <v>470</v>
      </c>
      <c r="E159" s="72" t="s">
        <v>300</v>
      </c>
      <c r="F159" s="73" t="s">
        <v>374</v>
      </c>
      <c r="G159" s="72" t="s">
        <v>326</v>
      </c>
      <c r="H159" s="72" t="s">
        <v>241</v>
      </c>
      <c r="I159" s="72" t="s">
        <v>41</v>
      </c>
      <c r="J159" s="72" t="s">
        <v>242</v>
      </c>
      <c r="K159" s="74">
        <v>5.25</v>
      </c>
      <c r="L159" s="74">
        <f t="shared" si="16"/>
        <v>2.0588235294117647E-2</v>
      </c>
      <c r="M159" s="75">
        <f>prodnorm117</f>
        <v>0</v>
      </c>
      <c r="N159" s="76">
        <f>dagwerk117</f>
        <v>0</v>
      </c>
      <c r="O159" s="72" t="s">
        <v>54</v>
      </c>
      <c r="P159" s="77">
        <f>uurtarief117</f>
        <v>0</v>
      </c>
      <c r="Q159" s="74" t="e">
        <f t="shared" si="21"/>
        <v>#DIV/0!</v>
      </c>
      <c r="R159" s="74" t="e">
        <f t="shared" si="17"/>
        <v>#DIV/0!</v>
      </c>
      <c r="S159" s="77" t="e">
        <f t="shared" si="18"/>
        <v>#DIV/0!</v>
      </c>
      <c r="T159" s="74" t="e">
        <f t="shared" si="19"/>
        <v>#DIV/0!</v>
      </c>
      <c r="U159" s="78" t="e">
        <f t="shared" si="20"/>
        <v>#DIV/0!</v>
      </c>
    </row>
    <row r="160" spans="1:21" x14ac:dyDescent="0.2">
      <c r="A160" s="71" t="s">
        <v>299</v>
      </c>
      <c r="B160" s="72" t="s">
        <v>300</v>
      </c>
      <c r="C160" s="72" t="s">
        <v>447</v>
      </c>
      <c r="D160" s="72" t="s">
        <v>471</v>
      </c>
      <c r="E160" s="72" t="s">
        <v>300</v>
      </c>
      <c r="F160" s="73" t="s">
        <v>345</v>
      </c>
      <c r="G160" s="72" t="s">
        <v>323</v>
      </c>
      <c r="H160" s="72" t="s">
        <v>233</v>
      </c>
      <c r="I160" s="72" t="s">
        <v>17</v>
      </c>
      <c r="J160" s="72" t="s">
        <v>187</v>
      </c>
      <c r="K160" s="74">
        <v>1</v>
      </c>
      <c r="L160" s="74">
        <f t="shared" si="16"/>
        <v>0.5</v>
      </c>
      <c r="M160" s="75">
        <f>prodnorm106</f>
        <v>0</v>
      </c>
      <c r="N160" s="76">
        <f>dagwerk106</f>
        <v>0</v>
      </c>
      <c r="O160" s="72" t="s">
        <v>54</v>
      </c>
      <c r="P160" s="77">
        <f>uurtarief106</f>
        <v>0</v>
      </c>
      <c r="Q160" s="74" t="e">
        <f t="shared" si="21"/>
        <v>#DIV/0!</v>
      </c>
      <c r="R160" s="74" t="e">
        <f t="shared" si="17"/>
        <v>#DIV/0!</v>
      </c>
      <c r="S160" s="77" t="e">
        <f t="shared" si="18"/>
        <v>#DIV/0!</v>
      </c>
      <c r="T160" s="74" t="e">
        <f t="shared" si="19"/>
        <v>#DIV/0!</v>
      </c>
      <c r="U160" s="78" t="e">
        <f t="shared" si="20"/>
        <v>#DIV/0!</v>
      </c>
    </row>
    <row r="161" spans="1:21" x14ac:dyDescent="0.2">
      <c r="A161" s="71" t="s">
        <v>299</v>
      </c>
      <c r="B161" s="72" t="s">
        <v>300</v>
      </c>
      <c r="C161" s="72" t="s">
        <v>447</v>
      </c>
      <c r="D161" s="72" t="s">
        <v>472</v>
      </c>
      <c r="E161" s="72" t="s">
        <v>300</v>
      </c>
      <c r="F161" s="73" t="s">
        <v>427</v>
      </c>
      <c r="G161" s="72" t="s">
        <v>323</v>
      </c>
      <c r="H161" s="72" t="s">
        <v>216</v>
      </c>
      <c r="I161" s="72" t="s">
        <v>17</v>
      </c>
      <c r="J161" s="72" t="s">
        <v>187</v>
      </c>
      <c r="K161" s="74">
        <v>9.09</v>
      </c>
      <c r="L161" s="74">
        <f t="shared" si="16"/>
        <v>4.5449999999999999</v>
      </c>
      <c r="M161" s="75">
        <f>prodnorm65</f>
        <v>0</v>
      </c>
      <c r="N161" s="76">
        <f>dagwerk65</f>
        <v>0</v>
      </c>
      <c r="O161" s="72" t="s">
        <v>54</v>
      </c>
      <c r="P161" s="77">
        <f>uurtarief65</f>
        <v>0</v>
      </c>
      <c r="Q161" s="74" t="e">
        <f t="shared" si="21"/>
        <v>#DIV/0!</v>
      </c>
      <c r="R161" s="74" t="e">
        <f t="shared" si="17"/>
        <v>#DIV/0!</v>
      </c>
      <c r="S161" s="77" t="e">
        <f t="shared" si="18"/>
        <v>#DIV/0!</v>
      </c>
      <c r="T161" s="74" t="e">
        <f t="shared" si="19"/>
        <v>#DIV/0!</v>
      </c>
      <c r="U161" s="78" t="e">
        <f t="shared" si="20"/>
        <v>#DIV/0!</v>
      </c>
    </row>
    <row r="162" spans="1:21" x14ac:dyDescent="0.2">
      <c r="A162" s="71" t="s">
        <v>299</v>
      </c>
      <c r="B162" s="72" t="s">
        <v>300</v>
      </c>
      <c r="C162" s="72" t="s">
        <v>447</v>
      </c>
      <c r="D162" s="72" t="s">
        <v>473</v>
      </c>
      <c r="E162" s="72" t="s">
        <v>300</v>
      </c>
      <c r="F162" s="73" t="s">
        <v>359</v>
      </c>
      <c r="G162" s="72" t="s">
        <v>323</v>
      </c>
      <c r="H162" s="72" t="s">
        <v>193</v>
      </c>
      <c r="I162" s="72" t="s">
        <v>17</v>
      </c>
      <c r="J162" s="72" t="s">
        <v>187</v>
      </c>
      <c r="K162" s="74">
        <v>13.67</v>
      </c>
      <c r="L162" s="74">
        <f t="shared" si="16"/>
        <v>6.835</v>
      </c>
      <c r="M162" s="75">
        <f>prodnorm36</f>
        <v>0</v>
      </c>
      <c r="N162" s="76">
        <f>dagwerk36</f>
        <v>0</v>
      </c>
      <c r="O162" s="72" t="s">
        <v>54</v>
      </c>
      <c r="P162" s="77">
        <f>uurtarief36</f>
        <v>0</v>
      </c>
      <c r="Q162" s="74" t="e">
        <f t="shared" si="21"/>
        <v>#DIV/0!</v>
      </c>
      <c r="R162" s="74" t="e">
        <f t="shared" si="17"/>
        <v>#DIV/0!</v>
      </c>
      <c r="S162" s="77" t="e">
        <f t="shared" si="18"/>
        <v>#DIV/0!</v>
      </c>
      <c r="T162" s="74" t="e">
        <f t="shared" si="19"/>
        <v>#DIV/0!</v>
      </c>
      <c r="U162" s="78" t="e">
        <f t="shared" si="20"/>
        <v>#DIV/0!</v>
      </c>
    </row>
    <row r="163" spans="1:21" x14ac:dyDescent="0.2">
      <c r="A163" s="71" t="s">
        <v>299</v>
      </c>
      <c r="B163" s="72" t="s">
        <v>300</v>
      </c>
      <c r="C163" s="72" t="s">
        <v>447</v>
      </c>
      <c r="D163" s="72" t="s">
        <v>474</v>
      </c>
      <c r="E163" s="72" t="s">
        <v>300</v>
      </c>
      <c r="F163" s="73" t="s">
        <v>427</v>
      </c>
      <c r="G163" s="72" t="s">
        <v>323</v>
      </c>
      <c r="H163" s="72" t="s">
        <v>216</v>
      </c>
      <c r="I163" s="72" t="s">
        <v>17</v>
      </c>
      <c r="J163" s="72" t="s">
        <v>187</v>
      </c>
      <c r="K163" s="74">
        <v>13.719999999999999</v>
      </c>
      <c r="L163" s="74">
        <f t="shared" si="16"/>
        <v>6.8599999999999994</v>
      </c>
      <c r="M163" s="75">
        <f>prodnorm65</f>
        <v>0</v>
      </c>
      <c r="N163" s="76">
        <f>dagwerk65</f>
        <v>0</v>
      </c>
      <c r="O163" s="72" t="s">
        <v>54</v>
      </c>
      <c r="P163" s="77">
        <f>uurtarief65</f>
        <v>0</v>
      </c>
      <c r="Q163" s="74" t="e">
        <f t="shared" si="21"/>
        <v>#DIV/0!</v>
      </c>
      <c r="R163" s="74" t="e">
        <f t="shared" si="17"/>
        <v>#DIV/0!</v>
      </c>
      <c r="S163" s="77" t="e">
        <f t="shared" si="18"/>
        <v>#DIV/0!</v>
      </c>
      <c r="T163" s="74" t="e">
        <f t="shared" si="19"/>
        <v>#DIV/0!</v>
      </c>
      <c r="U163" s="78" t="e">
        <f t="shared" si="20"/>
        <v>#DIV/0!</v>
      </c>
    </row>
    <row r="164" spans="1:21" x14ac:dyDescent="0.2">
      <c r="A164" s="71" t="s">
        <v>299</v>
      </c>
      <c r="B164" s="72" t="s">
        <v>300</v>
      </c>
      <c r="C164" s="72" t="s">
        <v>447</v>
      </c>
      <c r="D164" s="72" t="s">
        <v>475</v>
      </c>
      <c r="E164" s="72" t="s">
        <v>300</v>
      </c>
      <c r="F164" s="73" t="s">
        <v>427</v>
      </c>
      <c r="G164" s="72" t="s">
        <v>323</v>
      </c>
      <c r="H164" s="72" t="s">
        <v>216</v>
      </c>
      <c r="I164" s="72" t="s">
        <v>17</v>
      </c>
      <c r="J164" s="72" t="s">
        <v>187</v>
      </c>
      <c r="K164" s="74">
        <v>13.719999999999999</v>
      </c>
      <c r="L164" s="74">
        <f t="shared" si="16"/>
        <v>6.8599999999999994</v>
      </c>
      <c r="M164" s="75">
        <f>prodnorm65</f>
        <v>0</v>
      </c>
      <c r="N164" s="76">
        <f>dagwerk65</f>
        <v>0</v>
      </c>
      <c r="O164" s="72" t="s">
        <v>54</v>
      </c>
      <c r="P164" s="77">
        <f>uurtarief65</f>
        <v>0</v>
      </c>
      <c r="Q164" s="74" t="e">
        <f t="shared" si="21"/>
        <v>#DIV/0!</v>
      </c>
      <c r="R164" s="74" t="e">
        <f t="shared" si="17"/>
        <v>#DIV/0!</v>
      </c>
      <c r="S164" s="77" t="e">
        <f t="shared" si="18"/>
        <v>#DIV/0!</v>
      </c>
      <c r="T164" s="74" t="e">
        <f t="shared" si="19"/>
        <v>#DIV/0!</v>
      </c>
      <c r="U164" s="78" t="e">
        <f t="shared" si="20"/>
        <v>#DIV/0!</v>
      </c>
    </row>
    <row r="165" spans="1:21" x14ac:dyDescent="0.2">
      <c r="A165" s="71" t="s">
        <v>299</v>
      </c>
      <c r="B165" s="72" t="s">
        <v>300</v>
      </c>
      <c r="C165" s="72" t="s">
        <v>447</v>
      </c>
      <c r="D165" s="72" t="s">
        <v>476</v>
      </c>
      <c r="E165" s="72" t="s">
        <v>300</v>
      </c>
      <c r="F165" s="73" t="s">
        <v>430</v>
      </c>
      <c r="G165" s="72" t="s">
        <v>323</v>
      </c>
      <c r="H165" s="72" t="s">
        <v>193</v>
      </c>
      <c r="I165" s="72" t="s">
        <v>17</v>
      </c>
      <c r="J165" s="72" t="s">
        <v>187</v>
      </c>
      <c r="K165" s="74">
        <v>20.610000000000003</v>
      </c>
      <c r="L165" s="74">
        <f t="shared" si="16"/>
        <v>10.305000000000001</v>
      </c>
      <c r="M165" s="75">
        <f>prodnorm36</f>
        <v>0</v>
      </c>
      <c r="N165" s="76">
        <f>dagwerk36</f>
        <v>0</v>
      </c>
      <c r="O165" s="72" t="s">
        <v>54</v>
      </c>
      <c r="P165" s="77">
        <f>uurtarief36</f>
        <v>0</v>
      </c>
      <c r="Q165" s="74" t="e">
        <f t="shared" si="21"/>
        <v>#DIV/0!</v>
      </c>
      <c r="R165" s="74" t="e">
        <f t="shared" si="17"/>
        <v>#DIV/0!</v>
      </c>
      <c r="S165" s="77" t="e">
        <f t="shared" si="18"/>
        <v>#DIV/0!</v>
      </c>
      <c r="T165" s="74" t="e">
        <f t="shared" si="19"/>
        <v>#DIV/0!</v>
      </c>
      <c r="U165" s="78" t="e">
        <f t="shared" si="20"/>
        <v>#DIV/0!</v>
      </c>
    </row>
    <row r="166" spans="1:21" x14ac:dyDescent="0.2">
      <c r="A166" s="71" t="s">
        <v>299</v>
      </c>
      <c r="B166" s="72" t="s">
        <v>300</v>
      </c>
      <c r="C166" s="72" t="s">
        <v>447</v>
      </c>
      <c r="D166" s="72" t="s">
        <v>477</v>
      </c>
      <c r="E166" s="72" t="s">
        <v>300</v>
      </c>
      <c r="F166" s="73" t="s">
        <v>478</v>
      </c>
      <c r="G166" s="72" t="s">
        <v>323</v>
      </c>
      <c r="H166" s="72" t="s">
        <v>233</v>
      </c>
      <c r="I166" s="72" t="s">
        <v>17</v>
      </c>
      <c r="J166" s="72" t="s">
        <v>187</v>
      </c>
      <c r="K166" s="74">
        <v>27.650000000000002</v>
      </c>
      <c r="L166" s="74">
        <f t="shared" si="16"/>
        <v>13.825000000000001</v>
      </c>
      <c r="M166" s="75">
        <f>prodnorm106</f>
        <v>0</v>
      </c>
      <c r="N166" s="76">
        <f>dagwerk106</f>
        <v>0</v>
      </c>
      <c r="O166" s="72" t="s">
        <v>54</v>
      </c>
      <c r="P166" s="77">
        <f>uurtarief106</f>
        <v>0</v>
      </c>
      <c r="Q166" s="74" t="e">
        <f t="shared" si="21"/>
        <v>#DIV/0!</v>
      </c>
      <c r="R166" s="74" t="e">
        <f t="shared" si="17"/>
        <v>#DIV/0!</v>
      </c>
      <c r="S166" s="77" t="e">
        <f t="shared" si="18"/>
        <v>#DIV/0!</v>
      </c>
      <c r="T166" s="74" t="e">
        <f t="shared" si="19"/>
        <v>#DIV/0!</v>
      </c>
      <c r="U166" s="78" t="e">
        <f t="shared" si="20"/>
        <v>#DIV/0!</v>
      </c>
    </row>
    <row r="167" spans="1:21" x14ac:dyDescent="0.2">
      <c r="A167" s="71" t="s">
        <v>299</v>
      </c>
      <c r="B167" s="72" t="s">
        <v>300</v>
      </c>
      <c r="C167" s="72" t="s">
        <v>447</v>
      </c>
      <c r="D167" s="72" t="s">
        <v>479</v>
      </c>
      <c r="E167" s="72" t="s">
        <v>300</v>
      </c>
      <c r="F167" s="73" t="s">
        <v>383</v>
      </c>
      <c r="G167" s="72" t="s">
        <v>323</v>
      </c>
      <c r="H167" s="72" t="s">
        <v>229</v>
      </c>
      <c r="I167" s="72" t="s">
        <v>24</v>
      </c>
      <c r="J167" s="72" t="s">
        <v>187</v>
      </c>
      <c r="K167" s="74">
        <v>21.75</v>
      </c>
      <c r="L167" s="74">
        <f t="shared" si="16"/>
        <v>4.3500000000000005</v>
      </c>
      <c r="M167" s="75">
        <f>prodnorm94</f>
        <v>0</v>
      </c>
      <c r="N167" s="76">
        <f>dagwerk94</f>
        <v>0</v>
      </c>
      <c r="O167" s="72" t="s">
        <v>54</v>
      </c>
      <c r="P167" s="77">
        <f>uurtarief94</f>
        <v>0</v>
      </c>
      <c r="Q167" s="74" t="e">
        <f t="shared" si="21"/>
        <v>#DIV/0!</v>
      </c>
      <c r="R167" s="74" t="e">
        <f t="shared" si="17"/>
        <v>#DIV/0!</v>
      </c>
      <c r="S167" s="77" t="e">
        <f t="shared" si="18"/>
        <v>#DIV/0!</v>
      </c>
      <c r="T167" s="74" t="e">
        <f t="shared" si="19"/>
        <v>#DIV/0!</v>
      </c>
      <c r="U167" s="78" t="e">
        <f t="shared" si="20"/>
        <v>#DIV/0!</v>
      </c>
    </row>
    <row r="168" spans="1:21" x14ac:dyDescent="0.2">
      <c r="A168" s="71" t="s">
        <v>299</v>
      </c>
      <c r="B168" s="72" t="s">
        <v>300</v>
      </c>
      <c r="C168" s="72" t="s">
        <v>447</v>
      </c>
      <c r="D168" s="72" t="s">
        <v>480</v>
      </c>
      <c r="E168" s="72" t="s">
        <v>300</v>
      </c>
      <c r="F168" s="73" t="s">
        <v>359</v>
      </c>
      <c r="G168" s="72" t="s">
        <v>323</v>
      </c>
      <c r="H168" s="72" t="s">
        <v>193</v>
      </c>
      <c r="I168" s="72" t="s">
        <v>17</v>
      </c>
      <c r="J168" s="72" t="s">
        <v>187</v>
      </c>
      <c r="K168" s="74">
        <v>20.14</v>
      </c>
      <c r="L168" s="74">
        <f t="shared" si="16"/>
        <v>10.07</v>
      </c>
      <c r="M168" s="75">
        <f>prodnorm36</f>
        <v>0</v>
      </c>
      <c r="N168" s="76">
        <f>dagwerk36</f>
        <v>0</v>
      </c>
      <c r="O168" s="72" t="s">
        <v>54</v>
      </c>
      <c r="P168" s="77">
        <f>uurtarief36</f>
        <v>0</v>
      </c>
      <c r="Q168" s="74" t="e">
        <f t="shared" si="21"/>
        <v>#DIV/0!</v>
      </c>
      <c r="R168" s="74" t="e">
        <f t="shared" si="17"/>
        <v>#DIV/0!</v>
      </c>
      <c r="S168" s="77" t="e">
        <f t="shared" si="18"/>
        <v>#DIV/0!</v>
      </c>
      <c r="T168" s="74" t="e">
        <f t="shared" si="19"/>
        <v>#DIV/0!</v>
      </c>
      <c r="U168" s="78" t="e">
        <f t="shared" si="20"/>
        <v>#DIV/0!</v>
      </c>
    </row>
    <row r="169" spans="1:21" x14ac:dyDescent="0.2">
      <c r="A169" s="71" t="s">
        <v>299</v>
      </c>
      <c r="B169" s="72" t="s">
        <v>300</v>
      </c>
      <c r="C169" s="72" t="s">
        <v>447</v>
      </c>
      <c r="D169" s="72" t="s">
        <v>481</v>
      </c>
      <c r="E169" s="72" t="s">
        <v>300</v>
      </c>
      <c r="F169" s="73" t="s">
        <v>372</v>
      </c>
      <c r="G169" s="72" t="s">
        <v>326</v>
      </c>
      <c r="H169" s="72" t="s">
        <v>231</v>
      </c>
      <c r="I169" s="72" t="s">
        <v>17</v>
      </c>
      <c r="J169" s="72" t="s">
        <v>187</v>
      </c>
      <c r="K169" s="74">
        <v>91.89</v>
      </c>
      <c r="L169" s="74">
        <f t="shared" si="16"/>
        <v>45.945</v>
      </c>
      <c r="M169" s="75">
        <f>prodnorm98</f>
        <v>0</v>
      </c>
      <c r="N169" s="76">
        <f>dagwerk98</f>
        <v>0</v>
      </c>
      <c r="O169" s="72" t="s">
        <v>54</v>
      </c>
      <c r="P169" s="77">
        <f>uurtarief98</f>
        <v>0</v>
      </c>
      <c r="Q169" s="74" t="e">
        <f t="shared" si="21"/>
        <v>#DIV/0!</v>
      </c>
      <c r="R169" s="74" t="e">
        <f t="shared" si="17"/>
        <v>#DIV/0!</v>
      </c>
      <c r="S169" s="77" t="e">
        <f t="shared" si="18"/>
        <v>#DIV/0!</v>
      </c>
      <c r="T169" s="74" t="e">
        <f t="shared" si="19"/>
        <v>#DIV/0!</v>
      </c>
      <c r="U169" s="78" t="e">
        <f t="shared" si="20"/>
        <v>#DIV/0!</v>
      </c>
    </row>
    <row r="170" spans="1:21" x14ac:dyDescent="0.2">
      <c r="A170" s="71" t="s">
        <v>299</v>
      </c>
      <c r="B170" s="72" t="s">
        <v>300</v>
      </c>
      <c r="C170" s="72" t="s">
        <v>447</v>
      </c>
      <c r="D170" s="72" t="s">
        <v>481</v>
      </c>
      <c r="E170" s="72" t="s">
        <v>300</v>
      </c>
      <c r="F170" s="73" t="s">
        <v>372</v>
      </c>
      <c r="G170" s="72" t="s">
        <v>326</v>
      </c>
      <c r="H170" s="72" t="s">
        <v>241</v>
      </c>
      <c r="I170" s="72" t="s">
        <v>41</v>
      </c>
      <c r="J170" s="72" t="s">
        <v>242</v>
      </c>
      <c r="K170" s="74">
        <v>91.89</v>
      </c>
      <c r="L170" s="74">
        <f t="shared" si="16"/>
        <v>0.3603529411764706</v>
      </c>
      <c r="M170" s="75">
        <f>prodnorm117</f>
        <v>0</v>
      </c>
      <c r="N170" s="76">
        <f>dagwerk117</f>
        <v>0</v>
      </c>
      <c r="O170" s="72" t="s">
        <v>54</v>
      </c>
      <c r="P170" s="77">
        <f>uurtarief117</f>
        <v>0</v>
      </c>
      <c r="Q170" s="74" t="e">
        <f t="shared" si="21"/>
        <v>#DIV/0!</v>
      </c>
      <c r="R170" s="74" t="e">
        <f t="shared" si="17"/>
        <v>#DIV/0!</v>
      </c>
      <c r="S170" s="77" t="e">
        <f t="shared" si="18"/>
        <v>#DIV/0!</v>
      </c>
      <c r="T170" s="74" t="e">
        <f t="shared" si="19"/>
        <v>#DIV/0!</v>
      </c>
      <c r="U170" s="78" t="e">
        <f t="shared" si="20"/>
        <v>#DIV/0!</v>
      </c>
    </row>
    <row r="171" spans="1:21" x14ac:dyDescent="0.2">
      <c r="A171" s="71" t="s">
        <v>299</v>
      </c>
      <c r="B171" s="72" t="s">
        <v>300</v>
      </c>
      <c r="C171" s="72" t="s">
        <v>447</v>
      </c>
      <c r="D171" s="72" t="s">
        <v>482</v>
      </c>
      <c r="E171" s="72" t="s">
        <v>300</v>
      </c>
      <c r="F171" s="73" t="s">
        <v>359</v>
      </c>
      <c r="G171" s="72" t="s">
        <v>323</v>
      </c>
      <c r="H171" s="72" t="s">
        <v>193</v>
      </c>
      <c r="I171" s="72" t="s">
        <v>17</v>
      </c>
      <c r="J171" s="72" t="s">
        <v>187</v>
      </c>
      <c r="K171" s="74">
        <v>27.45</v>
      </c>
      <c r="L171" s="74">
        <f t="shared" si="16"/>
        <v>13.725</v>
      </c>
      <c r="M171" s="75">
        <f>prodnorm36</f>
        <v>0</v>
      </c>
      <c r="N171" s="76">
        <f>dagwerk36</f>
        <v>0</v>
      </c>
      <c r="O171" s="72" t="s">
        <v>54</v>
      </c>
      <c r="P171" s="77">
        <f>uurtarief36</f>
        <v>0</v>
      </c>
      <c r="Q171" s="74" t="e">
        <f t="shared" si="21"/>
        <v>#DIV/0!</v>
      </c>
      <c r="R171" s="74" t="e">
        <f t="shared" si="17"/>
        <v>#DIV/0!</v>
      </c>
      <c r="S171" s="77" t="e">
        <f t="shared" si="18"/>
        <v>#DIV/0!</v>
      </c>
      <c r="T171" s="74" t="e">
        <f t="shared" si="19"/>
        <v>#DIV/0!</v>
      </c>
      <c r="U171" s="78" t="e">
        <f t="shared" si="20"/>
        <v>#DIV/0!</v>
      </c>
    </row>
    <row r="172" spans="1:21" x14ac:dyDescent="0.2">
      <c r="A172" s="71" t="s">
        <v>299</v>
      </c>
      <c r="B172" s="72" t="s">
        <v>300</v>
      </c>
      <c r="C172" s="72" t="s">
        <v>447</v>
      </c>
      <c r="D172" s="72" t="s">
        <v>483</v>
      </c>
      <c r="E172" s="72" t="s">
        <v>300</v>
      </c>
      <c r="F172" s="73" t="s">
        <v>306</v>
      </c>
      <c r="G172" s="72" t="s">
        <v>323</v>
      </c>
      <c r="H172" s="72" t="s">
        <v>233</v>
      </c>
      <c r="I172" s="72" t="s">
        <v>17</v>
      </c>
      <c r="J172" s="72" t="s">
        <v>187</v>
      </c>
      <c r="K172" s="74">
        <v>93.13</v>
      </c>
      <c r="L172" s="74">
        <f t="shared" si="16"/>
        <v>46.564999999999998</v>
      </c>
      <c r="M172" s="75">
        <f>prodnorm106</f>
        <v>0</v>
      </c>
      <c r="N172" s="76">
        <f>dagwerk106</f>
        <v>0</v>
      </c>
      <c r="O172" s="72" t="s">
        <v>54</v>
      </c>
      <c r="P172" s="77">
        <f>uurtarief106</f>
        <v>0</v>
      </c>
      <c r="Q172" s="74" t="e">
        <f t="shared" si="21"/>
        <v>#DIV/0!</v>
      </c>
      <c r="R172" s="74" t="e">
        <f t="shared" si="17"/>
        <v>#DIV/0!</v>
      </c>
      <c r="S172" s="77" t="e">
        <f t="shared" si="18"/>
        <v>#DIV/0!</v>
      </c>
      <c r="T172" s="74" t="e">
        <f t="shared" si="19"/>
        <v>#DIV/0!</v>
      </c>
      <c r="U172" s="78" t="e">
        <f t="shared" si="20"/>
        <v>#DIV/0!</v>
      </c>
    </row>
    <row r="173" spans="1:21" x14ac:dyDescent="0.2">
      <c r="A173" s="71" t="s">
        <v>299</v>
      </c>
      <c r="B173" s="72" t="s">
        <v>300</v>
      </c>
      <c r="C173" s="72" t="s">
        <v>447</v>
      </c>
      <c r="D173" s="72" t="s">
        <v>484</v>
      </c>
      <c r="E173" s="72" t="s">
        <v>300</v>
      </c>
      <c r="F173" s="73" t="s">
        <v>374</v>
      </c>
      <c r="G173" s="72" t="s">
        <v>326</v>
      </c>
      <c r="H173" s="72" t="s">
        <v>218</v>
      </c>
      <c r="I173" s="72" t="s">
        <v>17</v>
      </c>
      <c r="J173" s="72" t="s">
        <v>187</v>
      </c>
      <c r="K173" s="74">
        <v>5.25</v>
      </c>
      <c r="L173" s="74">
        <f t="shared" si="16"/>
        <v>2.625</v>
      </c>
      <c r="M173" s="75">
        <f>prodnorm70</f>
        <v>0</v>
      </c>
      <c r="N173" s="76">
        <f>dagwerk70</f>
        <v>0</v>
      </c>
      <c r="O173" s="72" t="s">
        <v>54</v>
      </c>
      <c r="P173" s="77">
        <f>uurtarief70</f>
        <v>0</v>
      </c>
      <c r="Q173" s="74" t="e">
        <f t="shared" si="21"/>
        <v>#DIV/0!</v>
      </c>
      <c r="R173" s="74" t="e">
        <f t="shared" si="17"/>
        <v>#DIV/0!</v>
      </c>
      <c r="S173" s="77" t="e">
        <f t="shared" si="18"/>
        <v>#DIV/0!</v>
      </c>
      <c r="T173" s="74" t="e">
        <f t="shared" si="19"/>
        <v>#DIV/0!</v>
      </c>
      <c r="U173" s="78" t="e">
        <f t="shared" si="20"/>
        <v>#DIV/0!</v>
      </c>
    </row>
    <row r="174" spans="1:21" x14ac:dyDescent="0.2">
      <c r="A174" s="71" t="s">
        <v>299</v>
      </c>
      <c r="B174" s="72" t="s">
        <v>300</v>
      </c>
      <c r="C174" s="72" t="s">
        <v>447</v>
      </c>
      <c r="D174" s="72" t="s">
        <v>484</v>
      </c>
      <c r="E174" s="72" t="s">
        <v>300</v>
      </c>
      <c r="F174" s="73" t="s">
        <v>374</v>
      </c>
      <c r="G174" s="72" t="s">
        <v>326</v>
      </c>
      <c r="H174" s="72" t="s">
        <v>239</v>
      </c>
      <c r="I174" s="72" t="s">
        <v>17</v>
      </c>
      <c r="J174" s="72" t="s">
        <v>187</v>
      </c>
      <c r="K174" s="74">
        <v>5.25</v>
      </c>
      <c r="L174" s="74">
        <f t="shared" si="16"/>
        <v>2.625</v>
      </c>
      <c r="M174" s="75">
        <f>prodnorm114</f>
        <v>0</v>
      </c>
      <c r="N174" s="76">
        <f>dagwerk114</f>
        <v>0</v>
      </c>
      <c r="O174" s="72" t="s">
        <v>54</v>
      </c>
      <c r="P174" s="77">
        <f>uurtarief114</f>
        <v>0</v>
      </c>
      <c r="Q174" s="74" t="e">
        <f t="shared" si="21"/>
        <v>#DIV/0!</v>
      </c>
      <c r="R174" s="74" t="e">
        <f t="shared" si="17"/>
        <v>#DIV/0!</v>
      </c>
      <c r="S174" s="77" t="e">
        <f t="shared" si="18"/>
        <v>#DIV/0!</v>
      </c>
      <c r="T174" s="74" t="e">
        <f t="shared" si="19"/>
        <v>#DIV/0!</v>
      </c>
      <c r="U174" s="78" t="e">
        <f t="shared" si="20"/>
        <v>#DIV/0!</v>
      </c>
    </row>
    <row r="175" spans="1:21" x14ac:dyDescent="0.2">
      <c r="A175" s="71" t="s">
        <v>299</v>
      </c>
      <c r="B175" s="72" t="s">
        <v>300</v>
      </c>
      <c r="C175" s="72" t="s">
        <v>447</v>
      </c>
      <c r="D175" s="72" t="s">
        <v>484</v>
      </c>
      <c r="E175" s="72" t="s">
        <v>300</v>
      </c>
      <c r="F175" s="73" t="s">
        <v>374</v>
      </c>
      <c r="G175" s="72" t="s">
        <v>326</v>
      </c>
      <c r="H175" s="72" t="s">
        <v>241</v>
      </c>
      <c r="I175" s="72" t="s">
        <v>41</v>
      </c>
      <c r="J175" s="72" t="s">
        <v>242</v>
      </c>
      <c r="K175" s="74">
        <v>5.25</v>
      </c>
      <c r="L175" s="74">
        <f t="shared" si="16"/>
        <v>2.0588235294117647E-2</v>
      </c>
      <c r="M175" s="75">
        <f>prodnorm117</f>
        <v>0</v>
      </c>
      <c r="N175" s="76">
        <f>dagwerk117</f>
        <v>0</v>
      </c>
      <c r="O175" s="72" t="s">
        <v>54</v>
      </c>
      <c r="P175" s="77">
        <f>uurtarief117</f>
        <v>0</v>
      </c>
      <c r="Q175" s="74" t="e">
        <f t="shared" si="21"/>
        <v>#DIV/0!</v>
      </c>
      <c r="R175" s="74" t="e">
        <f t="shared" si="17"/>
        <v>#DIV/0!</v>
      </c>
      <c r="S175" s="77" t="e">
        <f t="shared" si="18"/>
        <v>#DIV/0!</v>
      </c>
      <c r="T175" s="74" t="e">
        <f t="shared" si="19"/>
        <v>#DIV/0!</v>
      </c>
      <c r="U175" s="78" t="e">
        <f t="shared" si="20"/>
        <v>#DIV/0!</v>
      </c>
    </row>
    <row r="176" spans="1:21" x14ac:dyDescent="0.2">
      <c r="A176" s="71" t="s">
        <v>299</v>
      </c>
      <c r="B176" s="72" t="s">
        <v>300</v>
      </c>
      <c r="C176" s="72" t="s">
        <v>447</v>
      </c>
      <c r="D176" s="72" t="s">
        <v>485</v>
      </c>
      <c r="E176" s="72" t="s">
        <v>300</v>
      </c>
      <c r="F176" s="73" t="s">
        <v>372</v>
      </c>
      <c r="G176" s="72" t="s">
        <v>326</v>
      </c>
      <c r="H176" s="72" t="s">
        <v>231</v>
      </c>
      <c r="I176" s="72" t="s">
        <v>17</v>
      </c>
      <c r="J176" s="72" t="s">
        <v>187</v>
      </c>
      <c r="K176" s="74">
        <v>5.25</v>
      </c>
      <c r="L176" s="74">
        <f t="shared" si="16"/>
        <v>2.625</v>
      </c>
      <c r="M176" s="75">
        <f>prodnorm98</f>
        <v>0</v>
      </c>
      <c r="N176" s="76">
        <f>dagwerk98</f>
        <v>0</v>
      </c>
      <c r="O176" s="72" t="s">
        <v>54</v>
      </c>
      <c r="P176" s="77">
        <f>uurtarief98</f>
        <v>0</v>
      </c>
      <c r="Q176" s="74" t="e">
        <f t="shared" si="21"/>
        <v>#DIV/0!</v>
      </c>
      <c r="R176" s="74" t="e">
        <f t="shared" si="17"/>
        <v>#DIV/0!</v>
      </c>
      <c r="S176" s="77" t="e">
        <f t="shared" si="18"/>
        <v>#DIV/0!</v>
      </c>
      <c r="T176" s="74" t="e">
        <f t="shared" si="19"/>
        <v>#DIV/0!</v>
      </c>
      <c r="U176" s="78" t="e">
        <f t="shared" si="20"/>
        <v>#DIV/0!</v>
      </c>
    </row>
    <row r="177" spans="1:21" x14ac:dyDescent="0.2">
      <c r="A177" s="71" t="s">
        <v>299</v>
      </c>
      <c r="B177" s="72" t="s">
        <v>300</v>
      </c>
      <c r="C177" s="72" t="s">
        <v>447</v>
      </c>
      <c r="D177" s="72" t="s">
        <v>485</v>
      </c>
      <c r="E177" s="72" t="s">
        <v>300</v>
      </c>
      <c r="F177" s="73" t="s">
        <v>372</v>
      </c>
      <c r="G177" s="72" t="s">
        <v>326</v>
      </c>
      <c r="H177" s="72" t="s">
        <v>241</v>
      </c>
      <c r="I177" s="72" t="s">
        <v>41</v>
      </c>
      <c r="J177" s="72" t="s">
        <v>242</v>
      </c>
      <c r="K177" s="74">
        <v>5.25</v>
      </c>
      <c r="L177" s="74">
        <f t="shared" si="16"/>
        <v>2.0588235294117647E-2</v>
      </c>
      <c r="M177" s="75">
        <f>prodnorm117</f>
        <v>0</v>
      </c>
      <c r="N177" s="76">
        <f>dagwerk117</f>
        <v>0</v>
      </c>
      <c r="O177" s="72" t="s">
        <v>54</v>
      </c>
      <c r="P177" s="77">
        <f>uurtarief117</f>
        <v>0</v>
      </c>
      <c r="Q177" s="74" t="e">
        <f t="shared" si="21"/>
        <v>#DIV/0!</v>
      </c>
      <c r="R177" s="74" t="e">
        <f t="shared" si="17"/>
        <v>#DIV/0!</v>
      </c>
      <c r="S177" s="77" t="e">
        <f t="shared" si="18"/>
        <v>#DIV/0!</v>
      </c>
      <c r="T177" s="74" t="e">
        <f t="shared" si="19"/>
        <v>#DIV/0!</v>
      </c>
      <c r="U177" s="78" t="e">
        <f t="shared" si="20"/>
        <v>#DIV/0!</v>
      </c>
    </row>
    <row r="178" spans="1:21" x14ac:dyDescent="0.2">
      <c r="A178" s="71" t="s">
        <v>299</v>
      </c>
      <c r="B178" s="72" t="s">
        <v>300</v>
      </c>
      <c r="C178" s="72" t="s">
        <v>447</v>
      </c>
      <c r="D178" s="72" t="s">
        <v>486</v>
      </c>
      <c r="E178" s="72" t="s">
        <v>300</v>
      </c>
      <c r="F178" s="73" t="s">
        <v>427</v>
      </c>
      <c r="G178" s="72" t="s">
        <v>323</v>
      </c>
      <c r="H178" s="72" t="s">
        <v>216</v>
      </c>
      <c r="I178" s="72" t="s">
        <v>17</v>
      </c>
      <c r="J178" s="72" t="s">
        <v>187</v>
      </c>
      <c r="K178" s="74">
        <v>19.32</v>
      </c>
      <c r="L178" s="74">
        <f t="shared" si="16"/>
        <v>9.66</v>
      </c>
      <c r="M178" s="75">
        <f>prodnorm65</f>
        <v>0</v>
      </c>
      <c r="N178" s="76">
        <f>dagwerk65</f>
        <v>0</v>
      </c>
      <c r="O178" s="72" t="s">
        <v>54</v>
      </c>
      <c r="P178" s="77">
        <f>uurtarief65</f>
        <v>0</v>
      </c>
      <c r="Q178" s="74" t="e">
        <f t="shared" si="21"/>
        <v>#DIV/0!</v>
      </c>
      <c r="R178" s="74" t="e">
        <f t="shared" si="17"/>
        <v>#DIV/0!</v>
      </c>
      <c r="S178" s="77" t="e">
        <f t="shared" si="18"/>
        <v>#DIV/0!</v>
      </c>
      <c r="T178" s="74" t="e">
        <f t="shared" si="19"/>
        <v>#DIV/0!</v>
      </c>
      <c r="U178" s="78" t="e">
        <f t="shared" si="20"/>
        <v>#DIV/0!</v>
      </c>
    </row>
    <row r="179" spans="1:21" x14ac:dyDescent="0.2">
      <c r="A179" s="71" t="s">
        <v>299</v>
      </c>
      <c r="B179" s="72" t="s">
        <v>300</v>
      </c>
      <c r="C179" s="72" t="s">
        <v>447</v>
      </c>
      <c r="D179" s="72" t="s">
        <v>487</v>
      </c>
      <c r="E179" s="72" t="s">
        <v>300</v>
      </c>
      <c r="F179" s="73" t="s">
        <v>322</v>
      </c>
      <c r="G179" s="72" t="s">
        <v>323</v>
      </c>
      <c r="H179" s="72" t="s">
        <v>229</v>
      </c>
      <c r="I179" s="72" t="s">
        <v>24</v>
      </c>
      <c r="J179" s="72" t="s">
        <v>187</v>
      </c>
      <c r="K179" s="74">
        <v>21.75</v>
      </c>
      <c r="L179" s="74">
        <f t="shared" si="16"/>
        <v>4.3500000000000005</v>
      </c>
      <c r="M179" s="75">
        <f>prodnorm94</f>
        <v>0</v>
      </c>
      <c r="N179" s="76">
        <f>dagwerk94</f>
        <v>0</v>
      </c>
      <c r="O179" s="72" t="s">
        <v>54</v>
      </c>
      <c r="P179" s="77">
        <f>uurtarief94</f>
        <v>0</v>
      </c>
      <c r="Q179" s="74" t="e">
        <f t="shared" si="21"/>
        <v>#DIV/0!</v>
      </c>
      <c r="R179" s="74" t="e">
        <f t="shared" si="17"/>
        <v>#DIV/0!</v>
      </c>
      <c r="S179" s="77" t="e">
        <f t="shared" si="18"/>
        <v>#DIV/0!</v>
      </c>
      <c r="T179" s="74" t="e">
        <f t="shared" si="19"/>
        <v>#DIV/0!</v>
      </c>
      <c r="U179" s="78" t="e">
        <f t="shared" si="20"/>
        <v>#DIV/0!</v>
      </c>
    </row>
    <row r="180" spans="1:21" x14ac:dyDescent="0.2">
      <c r="A180" s="71" t="s">
        <v>299</v>
      </c>
      <c r="B180" s="72" t="s">
        <v>300</v>
      </c>
      <c r="C180" s="72" t="s">
        <v>447</v>
      </c>
      <c r="D180" s="72" t="s">
        <v>488</v>
      </c>
      <c r="E180" s="72" t="s">
        <v>300</v>
      </c>
      <c r="F180" s="73" t="s">
        <v>444</v>
      </c>
      <c r="G180" s="72" t="s">
        <v>309</v>
      </c>
      <c r="H180" s="72" t="s">
        <v>222</v>
      </c>
      <c r="I180" s="72" t="s">
        <v>10</v>
      </c>
      <c r="J180" s="72" t="s">
        <v>187</v>
      </c>
      <c r="K180" s="74">
        <v>6.6599999999999993</v>
      </c>
      <c r="L180" s="74">
        <f t="shared" si="16"/>
        <v>6.6599999999999993</v>
      </c>
      <c r="M180" s="75">
        <f>prodnorm85</f>
        <v>0</v>
      </c>
      <c r="N180" s="76">
        <f>dagwerk85</f>
        <v>0</v>
      </c>
      <c r="O180" s="72" t="s">
        <v>54</v>
      </c>
      <c r="P180" s="77">
        <f>uurtarief85</f>
        <v>0</v>
      </c>
      <c r="Q180" s="74" t="e">
        <f t="shared" si="21"/>
        <v>#DIV/0!</v>
      </c>
      <c r="R180" s="74" t="e">
        <f t="shared" si="17"/>
        <v>#DIV/0!</v>
      </c>
      <c r="S180" s="77" t="e">
        <f t="shared" si="18"/>
        <v>#DIV/0!</v>
      </c>
      <c r="T180" s="74" t="e">
        <f t="shared" si="19"/>
        <v>#DIV/0!</v>
      </c>
      <c r="U180" s="78" t="e">
        <f t="shared" si="20"/>
        <v>#DIV/0!</v>
      </c>
    </row>
    <row r="181" spans="1:21" x14ac:dyDescent="0.2">
      <c r="A181" s="71" t="s">
        <v>299</v>
      </c>
      <c r="B181" s="72" t="s">
        <v>300</v>
      </c>
      <c r="C181" s="72" t="s">
        <v>447</v>
      </c>
      <c r="D181" s="72" t="s">
        <v>488</v>
      </c>
      <c r="E181" s="72" t="s">
        <v>300</v>
      </c>
      <c r="F181" s="73" t="s">
        <v>444</v>
      </c>
      <c r="G181" s="72" t="s">
        <v>309</v>
      </c>
      <c r="H181" s="72" t="s">
        <v>224</v>
      </c>
      <c r="I181" s="72" t="s">
        <v>10</v>
      </c>
      <c r="J181" s="72" t="s">
        <v>187</v>
      </c>
      <c r="K181" s="74">
        <v>6.6599999999999993</v>
      </c>
      <c r="L181" s="74">
        <f t="shared" si="16"/>
        <v>6.6599999999999993</v>
      </c>
      <c r="M181" s="75">
        <f>prodnorm88</f>
        <v>0</v>
      </c>
      <c r="N181" s="76">
        <f>dagwerk88</f>
        <v>0</v>
      </c>
      <c r="O181" s="72" t="s">
        <v>54</v>
      </c>
      <c r="P181" s="77">
        <f>uurtarief88</f>
        <v>0</v>
      </c>
      <c r="Q181" s="74" t="e">
        <f t="shared" si="21"/>
        <v>#DIV/0!</v>
      </c>
      <c r="R181" s="74" t="e">
        <f t="shared" si="17"/>
        <v>#DIV/0!</v>
      </c>
      <c r="S181" s="77" t="e">
        <f t="shared" si="18"/>
        <v>#DIV/0!</v>
      </c>
      <c r="T181" s="74" t="e">
        <f t="shared" si="19"/>
        <v>#DIV/0!</v>
      </c>
      <c r="U181" s="78" t="e">
        <f t="shared" si="20"/>
        <v>#DIV/0!</v>
      </c>
    </row>
    <row r="182" spans="1:21" x14ac:dyDescent="0.2">
      <c r="A182" s="71" t="s">
        <v>299</v>
      </c>
      <c r="B182" s="72" t="s">
        <v>300</v>
      </c>
      <c r="C182" s="72" t="s">
        <v>447</v>
      </c>
      <c r="D182" s="72" t="s">
        <v>489</v>
      </c>
      <c r="E182" s="72" t="s">
        <v>300</v>
      </c>
      <c r="F182" s="73" t="s">
        <v>446</v>
      </c>
      <c r="G182" s="72" t="s">
        <v>309</v>
      </c>
      <c r="H182" s="72" t="s">
        <v>222</v>
      </c>
      <c r="I182" s="72" t="s">
        <v>10</v>
      </c>
      <c r="J182" s="72" t="s">
        <v>187</v>
      </c>
      <c r="K182" s="74">
        <v>6.6599999999999993</v>
      </c>
      <c r="L182" s="74">
        <f t="shared" si="16"/>
        <v>6.6599999999999993</v>
      </c>
      <c r="M182" s="75">
        <f>prodnorm85</f>
        <v>0</v>
      </c>
      <c r="N182" s="76">
        <f>dagwerk85</f>
        <v>0</v>
      </c>
      <c r="O182" s="72" t="s">
        <v>54</v>
      </c>
      <c r="P182" s="77">
        <f>uurtarief85</f>
        <v>0</v>
      </c>
      <c r="Q182" s="74" t="e">
        <f t="shared" si="21"/>
        <v>#DIV/0!</v>
      </c>
      <c r="R182" s="74" t="e">
        <f t="shared" si="17"/>
        <v>#DIV/0!</v>
      </c>
      <c r="S182" s="77" t="e">
        <f t="shared" si="18"/>
        <v>#DIV/0!</v>
      </c>
      <c r="T182" s="74" t="e">
        <f t="shared" si="19"/>
        <v>#DIV/0!</v>
      </c>
      <c r="U182" s="78" t="e">
        <f t="shared" si="20"/>
        <v>#DIV/0!</v>
      </c>
    </row>
    <row r="183" spans="1:21" x14ac:dyDescent="0.2">
      <c r="A183" s="71" t="s">
        <v>299</v>
      </c>
      <c r="B183" s="72" t="s">
        <v>300</v>
      </c>
      <c r="C183" s="72" t="s">
        <v>447</v>
      </c>
      <c r="D183" s="72" t="s">
        <v>489</v>
      </c>
      <c r="E183" s="72" t="s">
        <v>300</v>
      </c>
      <c r="F183" s="73" t="s">
        <v>446</v>
      </c>
      <c r="G183" s="72" t="s">
        <v>309</v>
      </c>
      <c r="H183" s="72" t="s">
        <v>224</v>
      </c>
      <c r="I183" s="72" t="s">
        <v>10</v>
      </c>
      <c r="J183" s="72" t="s">
        <v>187</v>
      </c>
      <c r="K183" s="74">
        <v>6.6599999999999993</v>
      </c>
      <c r="L183" s="74">
        <f t="shared" si="16"/>
        <v>6.6599999999999993</v>
      </c>
      <c r="M183" s="75">
        <f>prodnorm88</f>
        <v>0</v>
      </c>
      <c r="N183" s="76">
        <f>dagwerk88</f>
        <v>0</v>
      </c>
      <c r="O183" s="72" t="s">
        <v>54</v>
      </c>
      <c r="P183" s="77">
        <f>uurtarief88</f>
        <v>0</v>
      </c>
      <c r="Q183" s="74" t="e">
        <f t="shared" si="21"/>
        <v>#DIV/0!</v>
      </c>
      <c r="R183" s="74" t="e">
        <f t="shared" si="17"/>
        <v>#DIV/0!</v>
      </c>
      <c r="S183" s="77" t="e">
        <f t="shared" si="18"/>
        <v>#DIV/0!</v>
      </c>
      <c r="T183" s="74" t="e">
        <f t="shared" si="19"/>
        <v>#DIV/0!</v>
      </c>
      <c r="U183" s="78" t="e">
        <f t="shared" si="20"/>
        <v>#DIV/0!</v>
      </c>
    </row>
    <row r="184" spans="1:21" x14ac:dyDescent="0.2">
      <c r="A184" s="71" t="s">
        <v>299</v>
      </c>
      <c r="B184" s="72" t="s">
        <v>300</v>
      </c>
      <c r="C184" s="72" t="s">
        <v>447</v>
      </c>
      <c r="D184" s="72" t="s">
        <v>490</v>
      </c>
      <c r="E184" s="72" t="s">
        <v>300</v>
      </c>
      <c r="F184" s="73" t="s">
        <v>359</v>
      </c>
      <c r="G184" s="72" t="s">
        <v>323</v>
      </c>
      <c r="H184" s="72" t="s">
        <v>193</v>
      </c>
      <c r="I184" s="72" t="s">
        <v>17</v>
      </c>
      <c r="J184" s="72" t="s">
        <v>187</v>
      </c>
      <c r="K184" s="74">
        <v>29.93</v>
      </c>
      <c r="L184" s="74">
        <f t="shared" si="16"/>
        <v>14.965</v>
      </c>
      <c r="M184" s="75">
        <f>prodnorm36</f>
        <v>0</v>
      </c>
      <c r="N184" s="76">
        <f>dagwerk36</f>
        <v>0</v>
      </c>
      <c r="O184" s="72" t="s">
        <v>54</v>
      </c>
      <c r="P184" s="77">
        <f>uurtarief36</f>
        <v>0</v>
      </c>
      <c r="Q184" s="74" t="e">
        <f t="shared" si="21"/>
        <v>#DIV/0!</v>
      </c>
      <c r="R184" s="74" t="e">
        <f t="shared" si="17"/>
        <v>#DIV/0!</v>
      </c>
      <c r="S184" s="77" t="e">
        <f t="shared" si="18"/>
        <v>#DIV/0!</v>
      </c>
      <c r="T184" s="74" t="e">
        <f t="shared" si="19"/>
        <v>#DIV/0!</v>
      </c>
      <c r="U184" s="78" t="e">
        <f t="shared" si="20"/>
        <v>#DIV/0!</v>
      </c>
    </row>
    <row r="185" spans="1:21" x14ac:dyDescent="0.2">
      <c r="A185" s="71" t="s">
        <v>299</v>
      </c>
      <c r="B185" s="72" t="s">
        <v>300</v>
      </c>
      <c r="C185" s="72" t="s">
        <v>447</v>
      </c>
      <c r="D185" s="72" t="s">
        <v>491</v>
      </c>
      <c r="E185" s="72" t="s">
        <v>300</v>
      </c>
      <c r="F185" s="73" t="s">
        <v>359</v>
      </c>
      <c r="G185" s="72" t="s">
        <v>323</v>
      </c>
      <c r="H185" s="72" t="s">
        <v>193</v>
      </c>
      <c r="I185" s="72" t="s">
        <v>17</v>
      </c>
      <c r="J185" s="72" t="s">
        <v>187</v>
      </c>
      <c r="K185" s="74">
        <v>30.32</v>
      </c>
      <c r="L185" s="74">
        <f t="shared" si="16"/>
        <v>15.16</v>
      </c>
      <c r="M185" s="75">
        <f>prodnorm36</f>
        <v>0</v>
      </c>
      <c r="N185" s="76">
        <f>dagwerk36</f>
        <v>0</v>
      </c>
      <c r="O185" s="72" t="s">
        <v>54</v>
      </c>
      <c r="P185" s="77">
        <f>uurtarief36</f>
        <v>0</v>
      </c>
      <c r="Q185" s="74" t="e">
        <f t="shared" si="21"/>
        <v>#DIV/0!</v>
      </c>
      <c r="R185" s="74" t="e">
        <f t="shared" si="17"/>
        <v>#DIV/0!</v>
      </c>
      <c r="S185" s="77" t="e">
        <f t="shared" si="18"/>
        <v>#DIV/0!</v>
      </c>
      <c r="T185" s="74" t="e">
        <f t="shared" si="19"/>
        <v>#DIV/0!</v>
      </c>
      <c r="U185" s="78" t="e">
        <f t="shared" si="20"/>
        <v>#DIV/0!</v>
      </c>
    </row>
    <row r="186" spans="1:21" x14ac:dyDescent="0.2">
      <c r="A186" s="71" t="s">
        <v>299</v>
      </c>
      <c r="B186" s="72" t="s">
        <v>300</v>
      </c>
      <c r="C186" s="72" t="s">
        <v>447</v>
      </c>
      <c r="D186" s="72" t="s">
        <v>492</v>
      </c>
      <c r="E186" s="72" t="s">
        <v>300</v>
      </c>
      <c r="F186" s="73" t="s">
        <v>359</v>
      </c>
      <c r="G186" s="72" t="s">
        <v>323</v>
      </c>
      <c r="H186" s="72" t="s">
        <v>193</v>
      </c>
      <c r="I186" s="72" t="s">
        <v>17</v>
      </c>
      <c r="J186" s="72" t="s">
        <v>187</v>
      </c>
      <c r="K186" s="74">
        <v>22.74</v>
      </c>
      <c r="L186" s="74">
        <f t="shared" si="16"/>
        <v>11.37</v>
      </c>
      <c r="M186" s="75">
        <f>prodnorm36</f>
        <v>0</v>
      </c>
      <c r="N186" s="76">
        <f>dagwerk36</f>
        <v>0</v>
      </c>
      <c r="O186" s="72" t="s">
        <v>54</v>
      </c>
      <c r="P186" s="77">
        <f>uurtarief36</f>
        <v>0</v>
      </c>
      <c r="Q186" s="74" t="e">
        <f t="shared" si="21"/>
        <v>#DIV/0!</v>
      </c>
      <c r="R186" s="74" t="e">
        <f t="shared" si="17"/>
        <v>#DIV/0!</v>
      </c>
      <c r="S186" s="77" t="e">
        <f t="shared" si="18"/>
        <v>#DIV/0!</v>
      </c>
      <c r="T186" s="74" t="e">
        <f t="shared" si="19"/>
        <v>#DIV/0!</v>
      </c>
      <c r="U186" s="78" t="e">
        <f t="shared" si="20"/>
        <v>#DIV/0!</v>
      </c>
    </row>
    <row r="187" spans="1:21" x14ac:dyDescent="0.2">
      <c r="A187" s="71" t="s">
        <v>299</v>
      </c>
      <c r="B187" s="72" t="s">
        <v>300</v>
      </c>
      <c r="C187" s="72" t="s">
        <v>493</v>
      </c>
      <c r="D187" s="72" t="s">
        <v>494</v>
      </c>
      <c r="E187" s="72" t="s">
        <v>300</v>
      </c>
      <c r="F187" s="73" t="s">
        <v>495</v>
      </c>
      <c r="G187" s="72" t="s">
        <v>304</v>
      </c>
      <c r="H187" s="72" t="s">
        <v>220</v>
      </c>
      <c r="I187" s="72" t="s">
        <v>10</v>
      </c>
      <c r="J187" s="72" t="s">
        <v>187</v>
      </c>
      <c r="K187" s="74">
        <v>183.58</v>
      </c>
      <c r="L187" s="74">
        <f t="shared" si="16"/>
        <v>183.58</v>
      </c>
      <c r="M187" s="75">
        <f>prodnorm72</f>
        <v>0</v>
      </c>
      <c r="N187" s="76">
        <f>dagwerk72</f>
        <v>0</v>
      </c>
      <c r="O187" s="72" t="s">
        <v>54</v>
      </c>
      <c r="P187" s="77">
        <f>uurtarief72</f>
        <v>0</v>
      </c>
      <c r="Q187" s="74" t="e">
        <f t="shared" si="21"/>
        <v>#DIV/0!</v>
      </c>
      <c r="R187" s="74" t="e">
        <f t="shared" si="17"/>
        <v>#DIV/0!</v>
      </c>
      <c r="S187" s="77" t="e">
        <f t="shared" si="18"/>
        <v>#DIV/0!</v>
      </c>
      <c r="T187" s="74" t="e">
        <f t="shared" si="19"/>
        <v>#DIV/0!</v>
      </c>
      <c r="U187" s="78" t="e">
        <f t="shared" si="20"/>
        <v>#DIV/0!</v>
      </c>
    </row>
    <row r="188" spans="1:21" x14ac:dyDescent="0.2">
      <c r="A188" s="71" t="s">
        <v>299</v>
      </c>
      <c r="B188" s="72" t="s">
        <v>300</v>
      </c>
      <c r="C188" s="72" t="s">
        <v>493</v>
      </c>
      <c r="D188" s="72" t="s">
        <v>496</v>
      </c>
      <c r="E188" s="72" t="s">
        <v>300</v>
      </c>
      <c r="F188" s="73" t="s">
        <v>497</v>
      </c>
      <c r="G188" s="72" t="s">
        <v>309</v>
      </c>
      <c r="H188" s="72" t="s">
        <v>246</v>
      </c>
      <c r="I188" s="72" t="s">
        <v>24</v>
      </c>
      <c r="J188" s="72" t="s">
        <v>242</v>
      </c>
      <c r="K188" s="74">
        <v>15.32</v>
      </c>
      <c r="L188" s="74">
        <f t="shared" si="16"/>
        <v>3.0640000000000001</v>
      </c>
      <c r="M188" s="75">
        <f>prodnorm119</f>
        <v>0</v>
      </c>
      <c r="N188" s="76">
        <f>dagwerk119</f>
        <v>0</v>
      </c>
      <c r="O188" s="72" t="s">
        <v>54</v>
      </c>
      <c r="P188" s="77">
        <f>uurtarief119</f>
        <v>0</v>
      </c>
      <c r="Q188" s="74" t="e">
        <f t="shared" si="21"/>
        <v>#DIV/0!</v>
      </c>
      <c r="R188" s="74" t="e">
        <f t="shared" si="17"/>
        <v>#DIV/0!</v>
      </c>
      <c r="S188" s="77" t="e">
        <f t="shared" si="18"/>
        <v>#DIV/0!</v>
      </c>
      <c r="T188" s="74" t="e">
        <f t="shared" si="19"/>
        <v>#DIV/0!</v>
      </c>
      <c r="U188" s="78" t="e">
        <f t="shared" si="20"/>
        <v>#DIV/0!</v>
      </c>
    </row>
    <row r="189" spans="1:21" x14ac:dyDescent="0.2">
      <c r="A189" s="71" t="s">
        <v>299</v>
      </c>
      <c r="B189" s="72" t="s">
        <v>300</v>
      </c>
      <c r="C189" s="72" t="s">
        <v>493</v>
      </c>
      <c r="D189" s="72" t="s">
        <v>498</v>
      </c>
      <c r="E189" s="72" t="s">
        <v>300</v>
      </c>
      <c r="F189" s="73" t="s">
        <v>345</v>
      </c>
      <c r="G189" s="72" t="s">
        <v>323</v>
      </c>
      <c r="H189" s="72" t="s">
        <v>233</v>
      </c>
      <c r="I189" s="72" t="s">
        <v>17</v>
      </c>
      <c r="J189" s="72" t="s">
        <v>187</v>
      </c>
      <c r="K189" s="74">
        <v>26.279999999999998</v>
      </c>
      <c r="L189" s="74">
        <f t="shared" si="16"/>
        <v>13.139999999999999</v>
      </c>
      <c r="M189" s="75">
        <f>prodnorm106</f>
        <v>0</v>
      </c>
      <c r="N189" s="76">
        <f>dagwerk106</f>
        <v>0</v>
      </c>
      <c r="O189" s="72" t="s">
        <v>54</v>
      </c>
      <c r="P189" s="77">
        <f>uurtarief106</f>
        <v>0</v>
      </c>
      <c r="Q189" s="74" t="e">
        <f t="shared" si="21"/>
        <v>#DIV/0!</v>
      </c>
      <c r="R189" s="74" t="e">
        <f t="shared" si="17"/>
        <v>#DIV/0!</v>
      </c>
      <c r="S189" s="77" t="e">
        <f t="shared" si="18"/>
        <v>#DIV/0!</v>
      </c>
      <c r="T189" s="74" t="e">
        <f t="shared" si="19"/>
        <v>#DIV/0!</v>
      </c>
      <c r="U189" s="78" t="e">
        <f t="shared" si="20"/>
        <v>#DIV/0!</v>
      </c>
    </row>
    <row r="190" spans="1:21" x14ac:dyDescent="0.2">
      <c r="A190" s="71" t="s">
        <v>299</v>
      </c>
      <c r="B190" s="72" t="s">
        <v>300</v>
      </c>
      <c r="C190" s="72" t="s">
        <v>493</v>
      </c>
      <c r="D190" s="72" t="s">
        <v>499</v>
      </c>
      <c r="E190" s="72" t="s">
        <v>300</v>
      </c>
      <c r="F190" s="73" t="s">
        <v>427</v>
      </c>
      <c r="G190" s="72" t="s">
        <v>323</v>
      </c>
      <c r="H190" s="72" t="s">
        <v>216</v>
      </c>
      <c r="I190" s="72" t="s">
        <v>17</v>
      </c>
      <c r="J190" s="72" t="s">
        <v>187</v>
      </c>
      <c r="K190" s="74">
        <v>82.77</v>
      </c>
      <c r="L190" s="74">
        <f t="shared" si="16"/>
        <v>41.384999999999998</v>
      </c>
      <c r="M190" s="75">
        <f>prodnorm65</f>
        <v>0</v>
      </c>
      <c r="N190" s="76">
        <f>dagwerk65</f>
        <v>0</v>
      </c>
      <c r="O190" s="72" t="s">
        <v>54</v>
      </c>
      <c r="P190" s="77">
        <f>uurtarief65</f>
        <v>0</v>
      </c>
      <c r="Q190" s="74" t="e">
        <f t="shared" si="21"/>
        <v>#DIV/0!</v>
      </c>
      <c r="R190" s="74" t="e">
        <f t="shared" si="17"/>
        <v>#DIV/0!</v>
      </c>
      <c r="S190" s="77" t="e">
        <f t="shared" si="18"/>
        <v>#DIV/0!</v>
      </c>
      <c r="T190" s="74" t="e">
        <f t="shared" si="19"/>
        <v>#DIV/0!</v>
      </c>
      <c r="U190" s="78" t="e">
        <f t="shared" si="20"/>
        <v>#DIV/0!</v>
      </c>
    </row>
    <row r="191" spans="1:21" x14ac:dyDescent="0.2">
      <c r="A191" s="71" t="s">
        <v>299</v>
      </c>
      <c r="B191" s="72" t="s">
        <v>300</v>
      </c>
      <c r="C191" s="72" t="s">
        <v>493</v>
      </c>
      <c r="D191" s="72" t="s">
        <v>500</v>
      </c>
      <c r="E191" s="72" t="s">
        <v>300</v>
      </c>
      <c r="F191" s="73" t="s">
        <v>427</v>
      </c>
      <c r="G191" s="72" t="s">
        <v>323</v>
      </c>
      <c r="H191" s="72" t="s">
        <v>216</v>
      </c>
      <c r="I191" s="72" t="s">
        <v>17</v>
      </c>
      <c r="J191" s="72" t="s">
        <v>187</v>
      </c>
      <c r="K191" s="74">
        <v>66.14</v>
      </c>
      <c r="L191" s="74">
        <f t="shared" si="16"/>
        <v>33.07</v>
      </c>
      <c r="M191" s="75">
        <f>prodnorm65</f>
        <v>0</v>
      </c>
      <c r="N191" s="76">
        <f>dagwerk65</f>
        <v>0</v>
      </c>
      <c r="O191" s="72" t="s">
        <v>54</v>
      </c>
      <c r="P191" s="77">
        <f>uurtarief65</f>
        <v>0</v>
      </c>
      <c r="Q191" s="74" t="e">
        <f t="shared" si="21"/>
        <v>#DIV/0!</v>
      </c>
      <c r="R191" s="74" t="e">
        <f t="shared" si="17"/>
        <v>#DIV/0!</v>
      </c>
      <c r="S191" s="77" t="e">
        <f t="shared" si="18"/>
        <v>#DIV/0!</v>
      </c>
      <c r="T191" s="74" t="e">
        <f t="shared" si="19"/>
        <v>#DIV/0!</v>
      </c>
      <c r="U191" s="78" t="e">
        <f t="shared" si="20"/>
        <v>#DIV/0!</v>
      </c>
    </row>
    <row r="192" spans="1:21" x14ac:dyDescent="0.2">
      <c r="A192" s="71" t="s">
        <v>299</v>
      </c>
      <c r="B192" s="72" t="s">
        <v>300</v>
      </c>
      <c r="C192" s="72" t="s">
        <v>493</v>
      </c>
      <c r="D192" s="72" t="s">
        <v>501</v>
      </c>
      <c r="E192" s="72" t="s">
        <v>300</v>
      </c>
      <c r="F192" s="73" t="s">
        <v>427</v>
      </c>
      <c r="G192" s="72" t="s">
        <v>323</v>
      </c>
      <c r="H192" s="72" t="s">
        <v>216</v>
      </c>
      <c r="I192" s="72" t="s">
        <v>17</v>
      </c>
      <c r="J192" s="72" t="s">
        <v>187</v>
      </c>
      <c r="K192" s="74">
        <v>53.5</v>
      </c>
      <c r="L192" s="74">
        <f t="shared" si="16"/>
        <v>26.75</v>
      </c>
      <c r="M192" s="75">
        <f>prodnorm65</f>
        <v>0</v>
      </c>
      <c r="N192" s="76">
        <f>dagwerk65</f>
        <v>0</v>
      </c>
      <c r="O192" s="72" t="s">
        <v>54</v>
      </c>
      <c r="P192" s="77">
        <f>uurtarief65</f>
        <v>0</v>
      </c>
      <c r="Q192" s="74" t="e">
        <f t="shared" si="21"/>
        <v>#DIV/0!</v>
      </c>
      <c r="R192" s="74" t="e">
        <f t="shared" si="17"/>
        <v>#DIV/0!</v>
      </c>
      <c r="S192" s="77" t="e">
        <f t="shared" si="18"/>
        <v>#DIV/0!</v>
      </c>
      <c r="T192" s="74" t="e">
        <f t="shared" si="19"/>
        <v>#DIV/0!</v>
      </c>
      <c r="U192" s="78" t="e">
        <f t="shared" si="20"/>
        <v>#DIV/0!</v>
      </c>
    </row>
    <row r="193" spans="1:21" x14ac:dyDescent="0.2">
      <c r="A193" s="71" t="s">
        <v>299</v>
      </c>
      <c r="B193" s="72" t="s">
        <v>300</v>
      </c>
      <c r="C193" s="72" t="s">
        <v>493</v>
      </c>
      <c r="D193" s="72" t="s">
        <v>502</v>
      </c>
      <c r="E193" s="72" t="s">
        <v>300</v>
      </c>
      <c r="F193" s="73" t="s">
        <v>503</v>
      </c>
      <c r="G193" s="72" t="s">
        <v>323</v>
      </c>
      <c r="H193" s="72" t="s">
        <v>216</v>
      </c>
      <c r="I193" s="72" t="s">
        <v>17</v>
      </c>
      <c r="J193" s="72" t="s">
        <v>187</v>
      </c>
      <c r="K193" s="74">
        <v>65.88</v>
      </c>
      <c r="L193" s="74">
        <f t="shared" si="16"/>
        <v>32.94</v>
      </c>
      <c r="M193" s="75">
        <f>prodnorm65</f>
        <v>0</v>
      </c>
      <c r="N193" s="76">
        <f>dagwerk65</f>
        <v>0</v>
      </c>
      <c r="O193" s="72" t="s">
        <v>54</v>
      </c>
      <c r="P193" s="77">
        <f>uurtarief65</f>
        <v>0</v>
      </c>
      <c r="Q193" s="74" t="e">
        <f t="shared" si="21"/>
        <v>#DIV/0!</v>
      </c>
      <c r="R193" s="74" t="e">
        <f t="shared" si="17"/>
        <v>#DIV/0!</v>
      </c>
      <c r="S193" s="77" t="e">
        <f t="shared" si="18"/>
        <v>#DIV/0!</v>
      </c>
      <c r="T193" s="74" t="e">
        <f t="shared" si="19"/>
        <v>#DIV/0!</v>
      </c>
      <c r="U193" s="78" t="e">
        <f t="shared" si="20"/>
        <v>#DIV/0!</v>
      </c>
    </row>
    <row r="194" spans="1:21" x14ac:dyDescent="0.2">
      <c r="A194" s="71" t="s">
        <v>299</v>
      </c>
      <c r="B194" s="72" t="s">
        <v>300</v>
      </c>
      <c r="C194" s="72" t="s">
        <v>493</v>
      </c>
      <c r="D194" s="72" t="s">
        <v>504</v>
      </c>
      <c r="E194" s="72" t="s">
        <v>300</v>
      </c>
      <c r="F194" s="73" t="s">
        <v>359</v>
      </c>
      <c r="G194" s="72" t="s">
        <v>323</v>
      </c>
      <c r="H194" s="72" t="s">
        <v>193</v>
      </c>
      <c r="I194" s="72" t="s">
        <v>17</v>
      </c>
      <c r="J194" s="72" t="s">
        <v>187</v>
      </c>
      <c r="K194" s="74">
        <v>27.52</v>
      </c>
      <c r="L194" s="74">
        <f t="shared" si="16"/>
        <v>13.76</v>
      </c>
      <c r="M194" s="75">
        <f>prodnorm36</f>
        <v>0</v>
      </c>
      <c r="N194" s="76">
        <f>dagwerk36</f>
        <v>0</v>
      </c>
      <c r="O194" s="72" t="s">
        <v>54</v>
      </c>
      <c r="P194" s="77">
        <f>uurtarief36</f>
        <v>0</v>
      </c>
      <c r="Q194" s="74" t="e">
        <f t="shared" si="21"/>
        <v>#DIV/0!</v>
      </c>
      <c r="R194" s="74" t="e">
        <f t="shared" si="17"/>
        <v>#DIV/0!</v>
      </c>
      <c r="S194" s="77" t="e">
        <f t="shared" si="18"/>
        <v>#DIV/0!</v>
      </c>
      <c r="T194" s="74" t="e">
        <f t="shared" si="19"/>
        <v>#DIV/0!</v>
      </c>
      <c r="U194" s="78" t="e">
        <f t="shared" si="20"/>
        <v>#DIV/0!</v>
      </c>
    </row>
    <row r="195" spans="1:21" x14ac:dyDescent="0.2">
      <c r="A195" s="71" t="s">
        <v>299</v>
      </c>
      <c r="B195" s="72" t="s">
        <v>300</v>
      </c>
      <c r="C195" s="72" t="s">
        <v>493</v>
      </c>
      <c r="D195" s="72" t="s">
        <v>505</v>
      </c>
      <c r="E195" s="72" t="s">
        <v>300</v>
      </c>
      <c r="F195" s="73" t="s">
        <v>355</v>
      </c>
      <c r="G195" s="72" t="s">
        <v>323</v>
      </c>
      <c r="H195" s="72" t="s">
        <v>193</v>
      </c>
      <c r="I195" s="72" t="s">
        <v>17</v>
      </c>
      <c r="J195" s="72" t="s">
        <v>187</v>
      </c>
      <c r="K195" s="74">
        <v>333.58</v>
      </c>
      <c r="L195" s="74">
        <f t="shared" si="16"/>
        <v>166.79</v>
      </c>
      <c r="M195" s="75">
        <f>prodnorm36</f>
        <v>0</v>
      </c>
      <c r="N195" s="76">
        <f>dagwerk36</f>
        <v>0</v>
      </c>
      <c r="O195" s="72" t="s">
        <v>54</v>
      </c>
      <c r="P195" s="77">
        <f>uurtarief36</f>
        <v>0</v>
      </c>
      <c r="Q195" s="74" t="e">
        <f t="shared" si="21"/>
        <v>#DIV/0!</v>
      </c>
      <c r="R195" s="74" t="e">
        <f t="shared" si="17"/>
        <v>#DIV/0!</v>
      </c>
      <c r="S195" s="77" t="e">
        <f t="shared" si="18"/>
        <v>#DIV/0!</v>
      </c>
      <c r="T195" s="74" t="e">
        <f t="shared" si="19"/>
        <v>#DIV/0!</v>
      </c>
      <c r="U195" s="78" t="e">
        <f t="shared" si="20"/>
        <v>#DIV/0!</v>
      </c>
    </row>
    <row r="196" spans="1:21" x14ac:dyDescent="0.2">
      <c r="A196" s="71" t="s">
        <v>299</v>
      </c>
      <c r="B196" s="72" t="s">
        <v>300</v>
      </c>
      <c r="C196" s="72" t="s">
        <v>493</v>
      </c>
      <c r="D196" s="72" t="s">
        <v>506</v>
      </c>
      <c r="E196" s="72" t="s">
        <v>300</v>
      </c>
      <c r="F196" s="73" t="s">
        <v>355</v>
      </c>
      <c r="G196" s="72" t="s">
        <v>323</v>
      </c>
      <c r="H196" s="72" t="s">
        <v>193</v>
      </c>
      <c r="I196" s="72" t="s">
        <v>17</v>
      </c>
      <c r="J196" s="72" t="s">
        <v>187</v>
      </c>
      <c r="K196" s="74">
        <v>207</v>
      </c>
      <c r="L196" s="74">
        <f t="shared" si="16"/>
        <v>103.5</v>
      </c>
      <c r="M196" s="75">
        <f>prodnorm36</f>
        <v>0</v>
      </c>
      <c r="N196" s="76">
        <f>dagwerk36</f>
        <v>0</v>
      </c>
      <c r="O196" s="72" t="s">
        <v>54</v>
      </c>
      <c r="P196" s="77">
        <f>uurtarief36</f>
        <v>0</v>
      </c>
      <c r="Q196" s="74" t="e">
        <f t="shared" si="21"/>
        <v>#DIV/0!</v>
      </c>
      <c r="R196" s="74" t="e">
        <f t="shared" si="17"/>
        <v>#DIV/0!</v>
      </c>
      <c r="S196" s="77" t="e">
        <f t="shared" si="18"/>
        <v>#DIV/0!</v>
      </c>
      <c r="T196" s="74" t="e">
        <f t="shared" si="19"/>
        <v>#DIV/0!</v>
      </c>
      <c r="U196" s="78" t="e">
        <f t="shared" si="20"/>
        <v>#DIV/0!</v>
      </c>
    </row>
    <row r="197" spans="1:21" x14ac:dyDescent="0.2">
      <c r="A197" s="71" t="s">
        <v>299</v>
      </c>
      <c r="B197" s="72" t="s">
        <v>300</v>
      </c>
      <c r="C197" s="72" t="s">
        <v>493</v>
      </c>
      <c r="D197" s="72" t="s">
        <v>507</v>
      </c>
      <c r="E197" s="72" t="s">
        <v>300</v>
      </c>
      <c r="F197" s="73" t="s">
        <v>427</v>
      </c>
      <c r="G197" s="72" t="s">
        <v>323</v>
      </c>
      <c r="H197" s="72" t="s">
        <v>216</v>
      </c>
      <c r="I197" s="72" t="s">
        <v>17</v>
      </c>
      <c r="J197" s="72" t="s">
        <v>187</v>
      </c>
      <c r="K197" s="74">
        <v>13.65</v>
      </c>
      <c r="L197" s="74">
        <f t="shared" ref="L197:L260" si="22">K197*VLOOKUP(I197,dagsoorttabel1,2,FALSE)</f>
        <v>6.8250000000000002</v>
      </c>
      <c r="M197" s="75">
        <f>prodnorm65</f>
        <v>0</v>
      </c>
      <c r="N197" s="76">
        <f>dagwerk65</f>
        <v>0</v>
      </c>
      <c r="O197" s="72" t="s">
        <v>54</v>
      </c>
      <c r="P197" s="77">
        <f>uurtarief65</f>
        <v>0</v>
      </c>
      <c r="Q197" s="74" t="e">
        <f t="shared" si="21"/>
        <v>#DIV/0!</v>
      </c>
      <c r="R197" s="74" t="e">
        <f t="shared" ref="R197:R260" si="23">IF(ISBLANK(M197),0,Q197*ROUND(N197,2))</f>
        <v>#DIV/0!</v>
      </c>
      <c r="S197" s="77" t="e">
        <f t="shared" ref="S197:S232" si="24">ROUND(P197,2)*Q197</f>
        <v>#DIV/0!</v>
      </c>
      <c r="T197" s="74" t="e">
        <f t="shared" ref="T197:T232" si="25">Q197*dagenperjaar1</f>
        <v>#DIV/0!</v>
      </c>
      <c r="U197" s="78" t="e">
        <f t="shared" ref="U197:U260" si="26">T197*ROUND(P197,2)</f>
        <v>#DIV/0!</v>
      </c>
    </row>
    <row r="198" spans="1:21" x14ac:dyDescent="0.2">
      <c r="A198" s="71" t="s">
        <v>299</v>
      </c>
      <c r="B198" s="72" t="s">
        <v>300</v>
      </c>
      <c r="C198" s="72" t="s">
        <v>493</v>
      </c>
      <c r="D198" s="72" t="s">
        <v>508</v>
      </c>
      <c r="E198" s="72" t="s">
        <v>300</v>
      </c>
      <c r="F198" s="73" t="s">
        <v>359</v>
      </c>
      <c r="G198" s="72" t="s">
        <v>323</v>
      </c>
      <c r="H198" s="72" t="s">
        <v>193</v>
      </c>
      <c r="I198" s="72" t="s">
        <v>17</v>
      </c>
      <c r="J198" s="72" t="s">
        <v>187</v>
      </c>
      <c r="K198" s="74">
        <v>13.65</v>
      </c>
      <c r="L198" s="74">
        <f t="shared" si="22"/>
        <v>6.8250000000000002</v>
      </c>
      <c r="M198" s="75">
        <f>prodnorm36</f>
        <v>0</v>
      </c>
      <c r="N198" s="76">
        <f>dagwerk36</f>
        <v>0</v>
      </c>
      <c r="O198" s="72" t="s">
        <v>54</v>
      </c>
      <c r="P198" s="77">
        <f>uurtarief36</f>
        <v>0</v>
      </c>
      <c r="Q198" s="74" t="e">
        <f t="shared" si="21"/>
        <v>#DIV/0!</v>
      </c>
      <c r="R198" s="74" t="e">
        <f t="shared" si="23"/>
        <v>#DIV/0!</v>
      </c>
      <c r="S198" s="77" t="e">
        <f t="shared" si="24"/>
        <v>#DIV/0!</v>
      </c>
      <c r="T198" s="74" t="e">
        <f t="shared" si="25"/>
        <v>#DIV/0!</v>
      </c>
      <c r="U198" s="78" t="e">
        <f t="shared" si="26"/>
        <v>#DIV/0!</v>
      </c>
    </row>
    <row r="199" spans="1:21" x14ac:dyDescent="0.2">
      <c r="A199" s="71" t="s">
        <v>299</v>
      </c>
      <c r="B199" s="72" t="s">
        <v>300</v>
      </c>
      <c r="C199" s="72" t="s">
        <v>493</v>
      </c>
      <c r="D199" s="72" t="s">
        <v>509</v>
      </c>
      <c r="E199" s="72" t="s">
        <v>300</v>
      </c>
      <c r="F199" s="73" t="s">
        <v>306</v>
      </c>
      <c r="G199" s="72" t="s">
        <v>323</v>
      </c>
      <c r="H199" s="72" t="s">
        <v>233</v>
      </c>
      <c r="I199" s="72" t="s">
        <v>17</v>
      </c>
      <c r="J199" s="72" t="s">
        <v>187</v>
      </c>
      <c r="K199" s="74">
        <v>27.19</v>
      </c>
      <c r="L199" s="74">
        <f t="shared" si="22"/>
        <v>13.595000000000001</v>
      </c>
      <c r="M199" s="75">
        <f>prodnorm106</f>
        <v>0</v>
      </c>
      <c r="N199" s="76">
        <f>dagwerk106</f>
        <v>0</v>
      </c>
      <c r="O199" s="72" t="s">
        <v>54</v>
      </c>
      <c r="P199" s="77">
        <f>uurtarief106</f>
        <v>0</v>
      </c>
      <c r="Q199" s="74" t="e">
        <f t="shared" si="21"/>
        <v>#DIV/0!</v>
      </c>
      <c r="R199" s="74" t="e">
        <f t="shared" si="23"/>
        <v>#DIV/0!</v>
      </c>
      <c r="S199" s="77" t="e">
        <f t="shared" si="24"/>
        <v>#DIV/0!</v>
      </c>
      <c r="T199" s="74" t="e">
        <f t="shared" si="25"/>
        <v>#DIV/0!</v>
      </c>
      <c r="U199" s="78" t="e">
        <f t="shared" si="26"/>
        <v>#DIV/0!</v>
      </c>
    </row>
    <row r="200" spans="1:21" x14ac:dyDescent="0.2">
      <c r="A200" s="71" t="s">
        <v>299</v>
      </c>
      <c r="B200" s="72" t="s">
        <v>300</v>
      </c>
      <c r="C200" s="72" t="s">
        <v>493</v>
      </c>
      <c r="D200" s="72" t="s">
        <v>510</v>
      </c>
      <c r="E200" s="72" t="s">
        <v>300</v>
      </c>
      <c r="F200" s="73" t="s">
        <v>405</v>
      </c>
      <c r="G200" s="72" t="s">
        <v>323</v>
      </c>
      <c r="H200" s="72" t="s">
        <v>229</v>
      </c>
      <c r="I200" s="72" t="s">
        <v>24</v>
      </c>
      <c r="J200" s="72" t="s">
        <v>187</v>
      </c>
      <c r="K200" s="74">
        <v>21.75</v>
      </c>
      <c r="L200" s="74">
        <f t="shared" si="22"/>
        <v>4.3500000000000005</v>
      </c>
      <c r="M200" s="75">
        <f>prodnorm94</f>
        <v>0</v>
      </c>
      <c r="N200" s="76">
        <f>dagwerk94</f>
        <v>0</v>
      </c>
      <c r="O200" s="72" t="s">
        <v>54</v>
      </c>
      <c r="P200" s="77">
        <f>uurtarief94</f>
        <v>0</v>
      </c>
      <c r="Q200" s="74" t="e">
        <f t="shared" si="21"/>
        <v>#DIV/0!</v>
      </c>
      <c r="R200" s="74" t="e">
        <f t="shared" si="23"/>
        <v>#DIV/0!</v>
      </c>
      <c r="S200" s="77" t="e">
        <f t="shared" si="24"/>
        <v>#DIV/0!</v>
      </c>
      <c r="T200" s="74" t="e">
        <f t="shared" si="25"/>
        <v>#DIV/0!</v>
      </c>
      <c r="U200" s="78" t="e">
        <f t="shared" si="26"/>
        <v>#DIV/0!</v>
      </c>
    </row>
    <row r="201" spans="1:21" x14ac:dyDescent="0.2">
      <c r="A201" s="71" t="s">
        <v>299</v>
      </c>
      <c r="B201" s="72" t="s">
        <v>300</v>
      </c>
      <c r="C201" s="72" t="s">
        <v>493</v>
      </c>
      <c r="D201" s="72" t="s">
        <v>511</v>
      </c>
      <c r="E201" s="72" t="s">
        <v>300</v>
      </c>
      <c r="F201" s="73" t="s">
        <v>306</v>
      </c>
      <c r="G201" s="72" t="s">
        <v>323</v>
      </c>
      <c r="H201" s="72" t="s">
        <v>233</v>
      </c>
      <c r="I201" s="72" t="s">
        <v>17</v>
      </c>
      <c r="J201" s="72" t="s">
        <v>187</v>
      </c>
      <c r="K201" s="74">
        <v>93.31</v>
      </c>
      <c r="L201" s="74">
        <f t="shared" si="22"/>
        <v>46.655000000000001</v>
      </c>
      <c r="M201" s="75">
        <f>prodnorm106</f>
        <v>0</v>
      </c>
      <c r="N201" s="76">
        <f>dagwerk106</f>
        <v>0</v>
      </c>
      <c r="O201" s="72" t="s">
        <v>54</v>
      </c>
      <c r="P201" s="77">
        <f>uurtarief106</f>
        <v>0</v>
      </c>
      <c r="Q201" s="74" t="e">
        <f t="shared" si="21"/>
        <v>#DIV/0!</v>
      </c>
      <c r="R201" s="74" t="e">
        <f t="shared" si="23"/>
        <v>#DIV/0!</v>
      </c>
      <c r="S201" s="77" t="e">
        <f t="shared" si="24"/>
        <v>#DIV/0!</v>
      </c>
      <c r="T201" s="74" t="e">
        <f t="shared" si="25"/>
        <v>#DIV/0!</v>
      </c>
      <c r="U201" s="78" t="e">
        <f t="shared" si="26"/>
        <v>#DIV/0!</v>
      </c>
    </row>
    <row r="202" spans="1:21" x14ac:dyDescent="0.2">
      <c r="A202" s="71" t="s">
        <v>299</v>
      </c>
      <c r="B202" s="72" t="s">
        <v>300</v>
      </c>
      <c r="C202" s="72" t="s">
        <v>493</v>
      </c>
      <c r="D202" s="72" t="s">
        <v>512</v>
      </c>
      <c r="E202" s="72" t="s">
        <v>300</v>
      </c>
      <c r="F202" s="73" t="s">
        <v>376</v>
      </c>
      <c r="G202" s="72" t="s">
        <v>309</v>
      </c>
      <c r="H202" s="72" t="s">
        <v>222</v>
      </c>
      <c r="I202" s="72" t="s">
        <v>10</v>
      </c>
      <c r="J202" s="72" t="s">
        <v>187</v>
      </c>
      <c r="K202" s="74">
        <v>6.6599999999999993</v>
      </c>
      <c r="L202" s="74">
        <f t="shared" si="22"/>
        <v>6.6599999999999993</v>
      </c>
      <c r="M202" s="75">
        <f>prodnorm85</f>
        <v>0</v>
      </c>
      <c r="N202" s="76">
        <f>dagwerk85</f>
        <v>0</v>
      </c>
      <c r="O202" s="72" t="s">
        <v>54</v>
      </c>
      <c r="P202" s="77">
        <f>uurtarief85</f>
        <v>0</v>
      </c>
      <c r="Q202" s="74" t="e">
        <f t="shared" si="21"/>
        <v>#DIV/0!</v>
      </c>
      <c r="R202" s="74" t="e">
        <f t="shared" si="23"/>
        <v>#DIV/0!</v>
      </c>
      <c r="S202" s="77" t="e">
        <f t="shared" si="24"/>
        <v>#DIV/0!</v>
      </c>
      <c r="T202" s="74" t="e">
        <f t="shared" si="25"/>
        <v>#DIV/0!</v>
      </c>
      <c r="U202" s="78" t="e">
        <f t="shared" si="26"/>
        <v>#DIV/0!</v>
      </c>
    </row>
    <row r="203" spans="1:21" x14ac:dyDescent="0.2">
      <c r="A203" s="71" t="s">
        <v>299</v>
      </c>
      <c r="B203" s="72" t="s">
        <v>300</v>
      </c>
      <c r="C203" s="72" t="s">
        <v>493</v>
      </c>
      <c r="D203" s="72" t="s">
        <v>512</v>
      </c>
      <c r="E203" s="72" t="s">
        <v>300</v>
      </c>
      <c r="F203" s="73" t="s">
        <v>376</v>
      </c>
      <c r="G203" s="72" t="s">
        <v>309</v>
      </c>
      <c r="H203" s="72" t="s">
        <v>224</v>
      </c>
      <c r="I203" s="72" t="s">
        <v>10</v>
      </c>
      <c r="J203" s="72" t="s">
        <v>187</v>
      </c>
      <c r="K203" s="74">
        <v>6.6599999999999993</v>
      </c>
      <c r="L203" s="74">
        <f t="shared" si="22"/>
        <v>6.6599999999999993</v>
      </c>
      <c r="M203" s="75">
        <f>prodnorm88</f>
        <v>0</v>
      </c>
      <c r="N203" s="76">
        <f>dagwerk88</f>
        <v>0</v>
      </c>
      <c r="O203" s="72" t="s">
        <v>54</v>
      </c>
      <c r="P203" s="77">
        <f>uurtarief88</f>
        <v>0</v>
      </c>
      <c r="Q203" s="74" t="e">
        <f t="shared" si="21"/>
        <v>#DIV/0!</v>
      </c>
      <c r="R203" s="74" t="e">
        <f t="shared" si="23"/>
        <v>#DIV/0!</v>
      </c>
      <c r="S203" s="77" t="e">
        <f t="shared" si="24"/>
        <v>#DIV/0!</v>
      </c>
      <c r="T203" s="74" t="e">
        <f t="shared" si="25"/>
        <v>#DIV/0!</v>
      </c>
      <c r="U203" s="78" t="e">
        <f t="shared" si="26"/>
        <v>#DIV/0!</v>
      </c>
    </row>
    <row r="204" spans="1:21" x14ac:dyDescent="0.2">
      <c r="A204" s="71" t="s">
        <v>299</v>
      </c>
      <c r="B204" s="72" t="s">
        <v>300</v>
      </c>
      <c r="C204" s="72" t="s">
        <v>493</v>
      </c>
      <c r="D204" s="72" t="s">
        <v>513</v>
      </c>
      <c r="E204" s="72" t="s">
        <v>300</v>
      </c>
      <c r="F204" s="73" t="s">
        <v>378</v>
      </c>
      <c r="G204" s="72" t="s">
        <v>309</v>
      </c>
      <c r="H204" s="72" t="s">
        <v>222</v>
      </c>
      <c r="I204" s="72" t="s">
        <v>10</v>
      </c>
      <c r="J204" s="72" t="s">
        <v>187</v>
      </c>
      <c r="K204" s="74">
        <v>6.6599999999999993</v>
      </c>
      <c r="L204" s="74">
        <f t="shared" si="22"/>
        <v>6.6599999999999993</v>
      </c>
      <c r="M204" s="75">
        <f>prodnorm85</f>
        <v>0</v>
      </c>
      <c r="N204" s="76">
        <f>dagwerk85</f>
        <v>0</v>
      </c>
      <c r="O204" s="72" t="s">
        <v>54</v>
      </c>
      <c r="P204" s="77">
        <f>uurtarief85</f>
        <v>0</v>
      </c>
      <c r="Q204" s="74" t="e">
        <f t="shared" si="21"/>
        <v>#DIV/0!</v>
      </c>
      <c r="R204" s="74" t="e">
        <f t="shared" si="23"/>
        <v>#DIV/0!</v>
      </c>
      <c r="S204" s="77" t="e">
        <f t="shared" si="24"/>
        <v>#DIV/0!</v>
      </c>
      <c r="T204" s="74" t="e">
        <f t="shared" si="25"/>
        <v>#DIV/0!</v>
      </c>
      <c r="U204" s="78" t="e">
        <f t="shared" si="26"/>
        <v>#DIV/0!</v>
      </c>
    </row>
    <row r="205" spans="1:21" x14ac:dyDescent="0.2">
      <c r="A205" s="71" t="s">
        <v>299</v>
      </c>
      <c r="B205" s="72" t="s">
        <v>300</v>
      </c>
      <c r="C205" s="72" t="s">
        <v>493</v>
      </c>
      <c r="D205" s="72" t="s">
        <v>513</v>
      </c>
      <c r="E205" s="72" t="s">
        <v>300</v>
      </c>
      <c r="F205" s="73" t="s">
        <v>378</v>
      </c>
      <c r="G205" s="72" t="s">
        <v>309</v>
      </c>
      <c r="H205" s="72" t="s">
        <v>224</v>
      </c>
      <c r="I205" s="72" t="s">
        <v>10</v>
      </c>
      <c r="J205" s="72" t="s">
        <v>187</v>
      </c>
      <c r="K205" s="74">
        <v>6.6599999999999993</v>
      </c>
      <c r="L205" s="74">
        <f t="shared" si="22"/>
        <v>6.6599999999999993</v>
      </c>
      <c r="M205" s="75">
        <f>prodnorm88</f>
        <v>0</v>
      </c>
      <c r="N205" s="76">
        <f>dagwerk88</f>
        <v>0</v>
      </c>
      <c r="O205" s="72" t="s">
        <v>54</v>
      </c>
      <c r="P205" s="77">
        <f>uurtarief88</f>
        <v>0</v>
      </c>
      <c r="Q205" s="74" t="e">
        <f t="shared" si="21"/>
        <v>#DIV/0!</v>
      </c>
      <c r="R205" s="74" t="e">
        <f t="shared" si="23"/>
        <v>#DIV/0!</v>
      </c>
      <c r="S205" s="77" t="e">
        <f t="shared" si="24"/>
        <v>#DIV/0!</v>
      </c>
      <c r="T205" s="74" t="e">
        <f t="shared" si="25"/>
        <v>#DIV/0!</v>
      </c>
      <c r="U205" s="78" t="e">
        <f t="shared" si="26"/>
        <v>#DIV/0!</v>
      </c>
    </row>
    <row r="206" spans="1:21" x14ac:dyDescent="0.2">
      <c r="A206" s="71" t="s">
        <v>299</v>
      </c>
      <c r="B206" s="72" t="s">
        <v>300</v>
      </c>
      <c r="C206" s="72" t="s">
        <v>493</v>
      </c>
      <c r="D206" s="72" t="s">
        <v>514</v>
      </c>
      <c r="E206" s="72" t="s">
        <v>300</v>
      </c>
      <c r="F206" s="73" t="s">
        <v>372</v>
      </c>
      <c r="G206" s="72" t="s">
        <v>326</v>
      </c>
      <c r="H206" s="72" t="s">
        <v>231</v>
      </c>
      <c r="I206" s="72" t="s">
        <v>17</v>
      </c>
      <c r="J206" s="72" t="s">
        <v>187</v>
      </c>
      <c r="K206" s="74">
        <v>5.25</v>
      </c>
      <c r="L206" s="74">
        <f t="shared" si="22"/>
        <v>2.625</v>
      </c>
      <c r="M206" s="75">
        <f>prodnorm98</f>
        <v>0</v>
      </c>
      <c r="N206" s="76">
        <f>dagwerk98</f>
        <v>0</v>
      </c>
      <c r="O206" s="72" t="s">
        <v>54</v>
      </c>
      <c r="P206" s="77">
        <f>uurtarief98</f>
        <v>0</v>
      </c>
      <c r="Q206" s="74" t="e">
        <f t="shared" si="21"/>
        <v>#DIV/0!</v>
      </c>
      <c r="R206" s="74" t="e">
        <f t="shared" si="23"/>
        <v>#DIV/0!</v>
      </c>
      <c r="S206" s="77" t="e">
        <f t="shared" si="24"/>
        <v>#DIV/0!</v>
      </c>
      <c r="T206" s="74" t="e">
        <f t="shared" si="25"/>
        <v>#DIV/0!</v>
      </c>
      <c r="U206" s="78" t="e">
        <f t="shared" si="26"/>
        <v>#DIV/0!</v>
      </c>
    </row>
    <row r="207" spans="1:21" x14ac:dyDescent="0.2">
      <c r="A207" s="71" t="s">
        <v>299</v>
      </c>
      <c r="B207" s="72" t="s">
        <v>300</v>
      </c>
      <c r="C207" s="72" t="s">
        <v>493</v>
      </c>
      <c r="D207" s="72" t="s">
        <v>514</v>
      </c>
      <c r="E207" s="72" t="s">
        <v>300</v>
      </c>
      <c r="F207" s="73" t="s">
        <v>372</v>
      </c>
      <c r="G207" s="72" t="s">
        <v>326</v>
      </c>
      <c r="H207" s="72" t="s">
        <v>241</v>
      </c>
      <c r="I207" s="72" t="s">
        <v>41</v>
      </c>
      <c r="J207" s="72" t="s">
        <v>242</v>
      </c>
      <c r="K207" s="74">
        <v>5.25</v>
      </c>
      <c r="L207" s="74">
        <f t="shared" si="22"/>
        <v>2.0588235294117647E-2</v>
      </c>
      <c r="M207" s="75">
        <f>prodnorm117</f>
        <v>0</v>
      </c>
      <c r="N207" s="76">
        <f>dagwerk117</f>
        <v>0</v>
      </c>
      <c r="O207" s="72" t="s">
        <v>54</v>
      </c>
      <c r="P207" s="77">
        <f>uurtarief117</f>
        <v>0</v>
      </c>
      <c r="Q207" s="74" t="e">
        <f t="shared" si="21"/>
        <v>#DIV/0!</v>
      </c>
      <c r="R207" s="74" t="e">
        <f t="shared" si="23"/>
        <v>#DIV/0!</v>
      </c>
      <c r="S207" s="77" t="e">
        <f t="shared" si="24"/>
        <v>#DIV/0!</v>
      </c>
      <c r="T207" s="74" t="e">
        <f t="shared" si="25"/>
        <v>#DIV/0!</v>
      </c>
      <c r="U207" s="78" t="e">
        <f t="shared" si="26"/>
        <v>#DIV/0!</v>
      </c>
    </row>
    <row r="208" spans="1:21" x14ac:dyDescent="0.2">
      <c r="A208" s="71" t="s">
        <v>299</v>
      </c>
      <c r="B208" s="72" t="s">
        <v>300</v>
      </c>
      <c r="C208" s="72" t="s">
        <v>493</v>
      </c>
      <c r="D208" s="72" t="s">
        <v>515</v>
      </c>
      <c r="E208" s="72" t="s">
        <v>300</v>
      </c>
      <c r="F208" s="73" t="s">
        <v>374</v>
      </c>
      <c r="G208" s="72" t="s">
        <v>326</v>
      </c>
      <c r="H208" s="72" t="s">
        <v>218</v>
      </c>
      <c r="I208" s="72" t="s">
        <v>17</v>
      </c>
      <c r="J208" s="72" t="s">
        <v>187</v>
      </c>
      <c r="K208" s="74">
        <v>5.25</v>
      </c>
      <c r="L208" s="74">
        <f t="shared" si="22"/>
        <v>2.625</v>
      </c>
      <c r="M208" s="75">
        <f>prodnorm70</f>
        <v>0</v>
      </c>
      <c r="N208" s="76">
        <f>dagwerk70</f>
        <v>0</v>
      </c>
      <c r="O208" s="72" t="s">
        <v>54</v>
      </c>
      <c r="P208" s="77">
        <f>uurtarief70</f>
        <v>0</v>
      </c>
      <c r="Q208" s="74" t="e">
        <f t="shared" si="21"/>
        <v>#DIV/0!</v>
      </c>
      <c r="R208" s="74" t="e">
        <f t="shared" si="23"/>
        <v>#DIV/0!</v>
      </c>
      <c r="S208" s="77" t="e">
        <f t="shared" si="24"/>
        <v>#DIV/0!</v>
      </c>
      <c r="T208" s="74" t="e">
        <f t="shared" si="25"/>
        <v>#DIV/0!</v>
      </c>
      <c r="U208" s="78" t="e">
        <f t="shared" si="26"/>
        <v>#DIV/0!</v>
      </c>
    </row>
    <row r="209" spans="1:21" x14ac:dyDescent="0.2">
      <c r="A209" s="71" t="s">
        <v>299</v>
      </c>
      <c r="B209" s="72" t="s">
        <v>300</v>
      </c>
      <c r="C209" s="72" t="s">
        <v>493</v>
      </c>
      <c r="D209" s="72" t="s">
        <v>515</v>
      </c>
      <c r="E209" s="72" t="s">
        <v>300</v>
      </c>
      <c r="F209" s="73" t="s">
        <v>374</v>
      </c>
      <c r="G209" s="72" t="s">
        <v>326</v>
      </c>
      <c r="H209" s="72" t="s">
        <v>239</v>
      </c>
      <c r="I209" s="72" t="s">
        <v>17</v>
      </c>
      <c r="J209" s="72" t="s">
        <v>187</v>
      </c>
      <c r="K209" s="74">
        <v>5.25</v>
      </c>
      <c r="L209" s="74">
        <f t="shared" si="22"/>
        <v>2.625</v>
      </c>
      <c r="M209" s="75">
        <f>prodnorm114</f>
        <v>0</v>
      </c>
      <c r="N209" s="76">
        <f>dagwerk114</f>
        <v>0</v>
      </c>
      <c r="O209" s="72" t="s">
        <v>54</v>
      </c>
      <c r="P209" s="77">
        <f>uurtarief114</f>
        <v>0</v>
      </c>
      <c r="Q209" s="74" t="e">
        <f t="shared" si="21"/>
        <v>#DIV/0!</v>
      </c>
      <c r="R209" s="74" t="e">
        <f t="shared" si="23"/>
        <v>#DIV/0!</v>
      </c>
      <c r="S209" s="77" t="e">
        <f t="shared" si="24"/>
        <v>#DIV/0!</v>
      </c>
      <c r="T209" s="74" t="e">
        <f t="shared" si="25"/>
        <v>#DIV/0!</v>
      </c>
      <c r="U209" s="78" t="e">
        <f t="shared" si="26"/>
        <v>#DIV/0!</v>
      </c>
    </row>
    <row r="210" spans="1:21" x14ac:dyDescent="0.2">
      <c r="A210" s="71" t="s">
        <v>299</v>
      </c>
      <c r="B210" s="72" t="s">
        <v>300</v>
      </c>
      <c r="C210" s="72" t="s">
        <v>493</v>
      </c>
      <c r="D210" s="72" t="s">
        <v>515</v>
      </c>
      <c r="E210" s="72" t="s">
        <v>300</v>
      </c>
      <c r="F210" s="73" t="s">
        <v>374</v>
      </c>
      <c r="G210" s="72" t="s">
        <v>326</v>
      </c>
      <c r="H210" s="72" t="s">
        <v>241</v>
      </c>
      <c r="I210" s="72" t="s">
        <v>41</v>
      </c>
      <c r="J210" s="72" t="s">
        <v>242</v>
      </c>
      <c r="K210" s="74">
        <v>5.25</v>
      </c>
      <c r="L210" s="74">
        <f t="shared" si="22"/>
        <v>2.0588235294117647E-2</v>
      </c>
      <c r="M210" s="75">
        <f>prodnorm117</f>
        <v>0</v>
      </c>
      <c r="N210" s="76">
        <f>dagwerk117</f>
        <v>0</v>
      </c>
      <c r="O210" s="72" t="s">
        <v>54</v>
      </c>
      <c r="P210" s="77">
        <f>uurtarief117</f>
        <v>0</v>
      </c>
      <c r="Q210" s="74" t="e">
        <f t="shared" si="21"/>
        <v>#DIV/0!</v>
      </c>
      <c r="R210" s="74" t="e">
        <f t="shared" si="23"/>
        <v>#DIV/0!</v>
      </c>
      <c r="S210" s="77" t="e">
        <f t="shared" si="24"/>
        <v>#DIV/0!</v>
      </c>
      <c r="T210" s="74" t="e">
        <f t="shared" si="25"/>
        <v>#DIV/0!</v>
      </c>
      <c r="U210" s="78" t="e">
        <f t="shared" si="26"/>
        <v>#DIV/0!</v>
      </c>
    </row>
    <row r="211" spans="1:21" x14ac:dyDescent="0.2">
      <c r="A211" s="71" t="s">
        <v>299</v>
      </c>
      <c r="B211" s="72" t="s">
        <v>300</v>
      </c>
      <c r="C211" s="72" t="s">
        <v>493</v>
      </c>
      <c r="D211" s="72" t="s">
        <v>516</v>
      </c>
      <c r="E211" s="72" t="s">
        <v>300</v>
      </c>
      <c r="F211" s="73" t="s">
        <v>359</v>
      </c>
      <c r="G211" s="72" t="s">
        <v>323</v>
      </c>
      <c r="H211" s="72" t="s">
        <v>193</v>
      </c>
      <c r="I211" s="72" t="s">
        <v>17</v>
      </c>
      <c r="J211" s="72" t="s">
        <v>187</v>
      </c>
      <c r="K211" s="74">
        <v>20.439999999999998</v>
      </c>
      <c r="L211" s="74">
        <f t="shared" si="22"/>
        <v>10.219999999999999</v>
      </c>
      <c r="M211" s="75">
        <f>prodnorm36</f>
        <v>0</v>
      </c>
      <c r="N211" s="76">
        <f>dagwerk36</f>
        <v>0</v>
      </c>
      <c r="O211" s="72" t="s">
        <v>54</v>
      </c>
      <c r="P211" s="77">
        <f>uurtarief36</f>
        <v>0</v>
      </c>
      <c r="Q211" s="74" t="e">
        <f t="shared" si="21"/>
        <v>#DIV/0!</v>
      </c>
      <c r="R211" s="74" t="e">
        <f t="shared" si="23"/>
        <v>#DIV/0!</v>
      </c>
      <c r="S211" s="77" t="e">
        <f t="shared" si="24"/>
        <v>#DIV/0!</v>
      </c>
      <c r="T211" s="74" t="e">
        <f t="shared" si="25"/>
        <v>#DIV/0!</v>
      </c>
      <c r="U211" s="78" t="e">
        <f t="shared" si="26"/>
        <v>#DIV/0!</v>
      </c>
    </row>
    <row r="212" spans="1:21" x14ac:dyDescent="0.2">
      <c r="A212" s="71" t="s">
        <v>299</v>
      </c>
      <c r="B212" s="72" t="s">
        <v>300</v>
      </c>
      <c r="C212" s="72" t="s">
        <v>493</v>
      </c>
      <c r="D212" s="72" t="s">
        <v>517</v>
      </c>
      <c r="E212" s="72" t="s">
        <v>300</v>
      </c>
      <c r="F212" s="73" t="s">
        <v>427</v>
      </c>
      <c r="G212" s="72" t="s">
        <v>323</v>
      </c>
      <c r="H212" s="72" t="s">
        <v>216</v>
      </c>
      <c r="I212" s="72" t="s">
        <v>17</v>
      </c>
      <c r="J212" s="72" t="s">
        <v>187</v>
      </c>
      <c r="K212" s="74">
        <v>13.66</v>
      </c>
      <c r="L212" s="74">
        <f t="shared" si="22"/>
        <v>6.83</v>
      </c>
      <c r="M212" s="75">
        <f>prodnorm65</f>
        <v>0</v>
      </c>
      <c r="N212" s="76">
        <f>dagwerk65</f>
        <v>0</v>
      </c>
      <c r="O212" s="72" t="s">
        <v>54</v>
      </c>
      <c r="P212" s="77">
        <f>uurtarief65</f>
        <v>0</v>
      </c>
      <c r="Q212" s="74" t="e">
        <f t="shared" si="21"/>
        <v>#DIV/0!</v>
      </c>
      <c r="R212" s="74" t="e">
        <f t="shared" si="23"/>
        <v>#DIV/0!</v>
      </c>
      <c r="S212" s="77" t="e">
        <f t="shared" si="24"/>
        <v>#DIV/0!</v>
      </c>
      <c r="T212" s="74" t="e">
        <f t="shared" si="25"/>
        <v>#DIV/0!</v>
      </c>
      <c r="U212" s="78" t="e">
        <f t="shared" si="26"/>
        <v>#DIV/0!</v>
      </c>
    </row>
    <row r="213" spans="1:21" x14ac:dyDescent="0.2">
      <c r="A213" s="71" t="s">
        <v>299</v>
      </c>
      <c r="B213" s="72" t="s">
        <v>300</v>
      </c>
      <c r="C213" s="72" t="s">
        <v>493</v>
      </c>
      <c r="D213" s="72" t="s">
        <v>518</v>
      </c>
      <c r="E213" s="72" t="s">
        <v>300</v>
      </c>
      <c r="F213" s="73" t="s">
        <v>359</v>
      </c>
      <c r="G213" s="72" t="s">
        <v>323</v>
      </c>
      <c r="H213" s="72" t="s">
        <v>193</v>
      </c>
      <c r="I213" s="72" t="s">
        <v>17</v>
      </c>
      <c r="J213" s="72" t="s">
        <v>187</v>
      </c>
      <c r="K213" s="74">
        <v>20.439999999999998</v>
      </c>
      <c r="L213" s="74">
        <f t="shared" si="22"/>
        <v>10.219999999999999</v>
      </c>
      <c r="M213" s="75">
        <f>prodnorm36</f>
        <v>0</v>
      </c>
      <c r="N213" s="76">
        <f>dagwerk36</f>
        <v>0</v>
      </c>
      <c r="O213" s="72" t="s">
        <v>54</v>
      </c>
      <c r="P213" s="77">
        <f>uurtarief36</f>
        <v>0</v>
      </c>
      <c r="Q213" s="74" t="e">
        <f t="shared" si="21"/>
        <v>#DIV/0!</v>
      </c>
      <c r="R213" s="74" t="e">
        <f t="shared" si="23"/>
        <v>#DIV/0!</v>
      </c>
      <c r="S213" s="77" t="e">
        <f t="shared" si="24"/>
        <v>#DIV/0!</v>
      </c>
      <c r="T213" s="74" t="e">
        <f t="shared" si="25"/>
        <v>#DIV/0!</v>
      </c>
      <c r="U213" s="78" t="e">
        <f t="shared" si="26"/>
        <v>#DIV/0!</v>
      </c>
    </row>
    <row r="214" spans="1:21" x14ac:dyDescent="0.2">
      <c r="A214" s="71" t="s">
        <v>299</v>
      </c>
      <c r="B214" s="72" t="s">
        <v>300</v>
      </c>
      <c r="C214" s="72" t="s">
        <v>493</v>
      </c>
      <c r="D214" s="72" t="s">
        <v>519</v>
      </c>
      <c r="E214" s="72" t="s">
        <v>300</v>
      </c>
      <c r="F214" s="73" t="s">
        <v>306</v>
      </c>
      <c r="G214" s="72" t="s">
        <v>323</v>
      </c>
      <c r="H214" s="72" t="s">
        <v>233</v>
      </c>
      <c r="I214" s="72" t="s">
        <v>17</v>
      </c>
      <c r="J214" s="72" t="s">
        <v>187</v>
      </c>
      <c r="K214" s="74">
        <v>27.650000000000002</v>
      </c>
      <c r="L214" s="74">
        <f t="shared" si="22"/>
        <v>13.825000000000001</v>
      </c>
      <c r="M214" s="75">
        <f>prodnorm106</f>
        <v>0</v>
      </c>
      <c r="N214" s="76">
        <f>dagwerk106</f>
        <v>0</v>
      </c>
      <c r="O214" s="72" t="s">
        <v>54</v>
      </c>
      <c r="P214" s="77">
        <f>uurtarief106</f>
        <v>0</v>
      </c>
      <c r="Q214" s="74" t="e">
        <f t="shared" ref="Q214:Q232" si="27">IF(ISBLANK(M214),0,L214/ROUND(M214,4))</f>
        <v>#DIV/0!</v>
      </c>
      <c r="R214" s="74" t="e">
        <f t="shared" si="23"/>
        <v>#DIV/0!</v>
      </c>
      <c r="S214" s="77" t="e">
        <f t="shared" si="24"/>
        <v>#DIV/0!</v>
      </c>
      <c r="T214" s="74" t="e">
        <f t="shared" si="25"/>
        <v>#DIV/0!</v>
      </c>
      <c r="U214" s="78" t="e">
        <f t="shared" si="26"/>
        <v>#DIV/0!</v>
      </c>
    </row>
    <row r="215" spans="1:21" x14ac:dyDescent="0.2">
      <c r="A215" s="71" t="s">
        <v>299</v>
      </c>
      <c r="B215" s="72" t="s">
        <v>300</v>
      </c>
      <c r="C215" s="72" t="s">
        <v>493</v>
      </c>
      <c r="D215" s="72" t="s">
        <v>520</v>
      </c>
      <c r="E215" s="72" t="s">
        <v>300</v>
      </c>
      <c r="F215" s="73" t="s">
        <v>383</v>
      </c>
      <c r="G215" s="72" t="s">
        <v>323</v>
      </c>
      <c r="H215" s="72" t="s">
        <v>229</v>
      </c>
      <c r="I215" s="72" t="s">
        <v>24</v>
      </c>
      <c r="J215" s="72" t="s">
        <v>187</v>
      </c>
      <c r="K215" s="74">
        <v>21.75</v>
      </c>
      <c r="L215" s="74">
        <f t="shared" si="22"/>
        <v>4.3500000000000005</v>
      </c>
      <c r="M215" s="75">
        <f>prodnorm94</f>
        <v>0</v>
      </c>
      <c r="N215" s="76">
        <f>dagwerk94</f>
        <v>0</v>
      </c>
      <c r="O215" s="72" t="s">
        <v>54</v>
      </c>
      <c r="P215" s="77">
        <f>uurtarief94</f>
        <v>0</v>
      </c>
      <c r="Q215" s="74" t="e">
        <f t="shared" si="27"/>
        <v>#DIV/0!</v>
      </c>
      <c r="R215" s="74" t="e">
        <f t="shared" si="23"/>
        <v>#DIV/0!</v>
      </c>
      <c r="S215" s="77" t="e">
        <f t="shared" si="24"/>
        <v>#DIV/0!</v>
      </c>
      <c r="T215" s="74" t="e">
        <f t="shared" si="25"/>
        <v>#DIV/0!</v>
      </c>
      <c r="U215" s="78" t="e">
        <f t="shared" si="26"/>
        <v>#DIV/0!</v>
      </c>
    </row>
    <row r="216" spans="1:21" x14ac:dyDescent="0.2">
      <c r="A216" s="71" t="s">
        <v>299</v>
      </c>
      <c r="B216" s="72" t="s">
        <v>300</v>
      </c>
      <c r="C216" s="72" t="s">
        <v>493</v>
      </c>
      <c r="D216" s="72" t="s">
        <v>521</v>
      </c>
      <c r="E216" s="72" t="s">
        <v>300</v>
      </c>
      <c r="F216" s="73" t="s">
        <v>427</v>
      </c>
      <c r="G216" s="72" t="s">
        <v>323</v>
      </c>
      <c r="H216" s="72" t="s">
        <v>216</v>
      </c>
      <c r="I216" s="72" t="s">
        <v>17</v>
      </c>
      <c r="J216" s="72" t="s">
        <v>187</v>
      </c>
      <c r="K216" s="74">
        <v>40.190000000000005</v>
      </c>
      <c r="L216" s="74">
        <f t="shared" si="22"/>
        <v>20.095000000000002</v>
      </c>
      <c r="M216" s="75">
        <f>prodnorm65</f>
        <v>0</v>
      </c>
      <c r="N216" s="76">
        <f>dagwerk65</f>
        <v>0</v>
      </c>
      <c r="O216" s="72" t="s">
        <v>54</v>
      </c>
      <c r="P216" s="77">
        <f>uurtarief65</f>
        <v>0</v>
      </c>
      <c r="Q216" s="74" t="e">
        <f t="shared" si="27"/>
        <v>#DIV/0!</v>
      </c>
      <c r="R216" s="74" t="e">
        <f t="shared" si="23"/>
        <v>#DIV/0!</v>
      </c>
      <c r="S216" s="77" t="e">
        <f t="shared" si="24"/>
        <v>#DIV/0!</v>
      </c>
      <c r="T216" s="74" t="e">
        <f t="shared" si="25"/>
        <v>#DIV/0!</v>
      </c>
      <c r="U216" s="78" t="e">
        <f t="shared" si="26"/>
        <v>#DIV/0!</v>
      </c>
    </row>
    <row r="217" spans="1:21" x14ac:dyDescent="0.2">
      <c r="A217" s="71" t="s">
        <v>299</v>
      </c>
      <c r="B217" s="72" t="s">
        <v>300</v>
      </c>
      <c r="C217" s="72" t="s">
        <v>493</v>
      </c>
      <c r="D217" s="72" t="s">
        <v>522</v>
      </c>
      <c r="E217" s="72" t="s">
        <v>300</v>
      </c>
      <c r="F217" s="73" t="s">
        <v>427</v>
      </c>
      <c r="G217" s="72" t="s">
        <v>323</v>
      </c>
      <c r="H217" s="72" t="s">
        <v>216</v>
      </c>
      <c r="I217" s="72" t="s">
        <v>17</v>
      </c>
      <c r="J217" s="72" t="s">
        <v>187</v>
      </c>
      <c r="K217" s="74">
        <v>13.62</v>
      </c>
      <c r="L217" s="74">
        <f t="shared" si="22"/>
        <v>6.81</v>
      </c>
      <c r="M217" s="75">
        <f>prodnorm65</f>
        <v>0</v>
      </c>
      <c r="N217" s="76">
        <f>dagwerk65</f>
        <v>0</v>
      </c>
      <c r="O217" s="72" t="s">
        <v>54</v>
      </c>
      <c r="P217" s="77">
        <f>uurtarief65</f>
        <v>0</v>
      </c>
      <c r="Q217" s="74" t="e">
        <f t="shared" si="27"/>
        <v>#DIV/0!</v>
      </c>
      <c r="R217" s="74" t="e">
        <f t="shared" si="23"/>
        <v>#DIV/0!</v>
      </c>
      <c r="S217" s="77" t="e">
        <f t="shared" si="24"/>
        <v>#DIV/0!</v>
      </c>
      <c r="T217" s="74" t="e">
        <f t="shared" si="25"/>
        <v>#DIV/0!</v>
      </c>
      <c r="U217" s="78" t="e">
        <f t="shared" si="26"/>
        <v>#DIV/0!</v>
      </c>
    </row>
    <row r="218" spans="1:21" x14ac:dyDescent="0.2">
      <c r="A218" s="71" t="s">
        <v>299</v>
      </c>
      <c r="B218" s="72" t="s">
        <v>300</v>
      </c>
      <c r="C218" s="72" t="s">
        <v>493</v>
      </c>
      <c r="D218" s="72" t="s">
        <v>523</v>
      </c>
      <c r="E218" s="72" t="s">
        <v>300</v>
      </c>
      <c r="F218" s="73" t="s">
        <v>427</v>
      </c>
      <c r="G218" s="72" t="s">
        <v>323</v>
      </c>
      <c r="H218" s="72" t="s">
        <v>216</v>
      </c>
      <c r="I218" s="72" t="s">
        <v>17</v>
      </c>
      <c r="J218" s="72" t="s">
        <v>187</v>
      </c>
      <c r="K218" s="74">
        <v>13.62</v>
      </c>
      <c r="L218" s="74">
        <f t="shared" si="22"/>
        <v>6.81</v>
      </c>
      <c r="M218" s="75">
        <f>prodnorm65</f>
        <v>0</v>
      </c>
      <c r="N218" s="76">
        <f>dagwerk65</f>
        <v>0</v>
      </c>
      <c r="O218" s="72" t="s">
        <v>54</v>
      </c>
      <c r="P218" s="77">
        <f>uurtarief65</f>
        <v>0</v>
      </c>
      <c r="Q218" s="74" t="e">
        <f t="shared" si="27"/>
        <v>#DIV/0!</v>
      </c>
      <c r="R218" s="74" t="e">
        <f t="shared" si="23"/>
        <v>#DIV/0!</v>
      </c>
      <c r="S218" s="77" t="e">
        <f t="shared" si="24"/>
        <v>#DIV/0!</v>
      </c>
      <c r="T218" s="74" t="e">
        <f t="shared" si="25"/>
        <v>#DIV/0!</v>
      </c>
      <c r="U218" s="78" t="e">
        <f t="shared" si="26"/>
        <v>#DIV/0!</v>
      </c>
    </row>
    <row r="219" spans="1:21" x14ac:dyDescent="0.2">
      <c r="A219" s="71" t="s">
        <v>299</v>
      </c>
      <c r="B219" s="72" t="s">
        <v>300</v>
      </c>
      <c r="C219" s="72" t="s">
        <v>493</v>
      </c>
      <c r="D219" s="72" t="s">
        <v>524</v>
      </c>
      <c r="E219" s="72" t="s">
        <v>300</v>
      </c>
      <c r="F219" s="73" t="s">
        <v>359</v>
      </c>
      <c r="G219" s="72" t="s">
        <v>323</v>
      </c>
      <c r="H219" s="72" t="s">
        <v>193</v>
      </c>
      <c r="I219" s="72" t="s">
        <v>17</v>
      </c>
      <c r="J219" s="72" t="s">
        <v>187</v>
      </c>
      <c r="K219" s="74">
        <v>13.62</v>
      </c>
      <c r="L219" s="74">
        <f t="shared" si="22"/>
        <v>6.81</v>
      </c>
      <c r="M219" s="75">
        <f>prodnorm36</f>
        <v>0</v>
      </c>
      <c r="N219" s="76">
        <f>dagwerk36</f>
        <v>0</v>
      </c>
      <c r="O219" s="72" t="s">
        <v>54</v>
      </c>
      <c r="P219" s="77">
        <f>uurtarief36</f>
        <v>0</v>
      </c>
      <c r="Q219" s="74" t="e">
        <f t="shared" si="27"/>
        <v>#DIV/0!</v>
      </c>
      <c r="R219" s="74" t="e">
        <f t="shared" si="23"/>
        <v>#DIV/0!</v>
      </c>
      <c r="S219" s="77" t="e">
        <f t="shared" si="24"/>
        <v>#DIV/0!</v>
      </c>
      <c r="T219" s="74" t="e">
        <f t="shared" si="25"/>
        <v>#DIV/0!</v>
      </c>
      <c r="U219" s="78" t="e">
        <f t="shared" si="26"/>
        <v>#DIV/0!</v>
      </c>
    </row>
    <row r="220" spans="1:21" x14ac:dyDescent="0.2">
      <c r="A220" s="71" t="s">
        <v>299</v>
      </c>
      <c r="B220" s="72" t="s">
        <v>300</v>
      </c>
      <c r="C220" s="72" t="s">
        <v>493</v>
      </c>
      <c r="D220" s="72" t="s">
        <v>525</v>
      </c>
      <c r="E220" s="72" t="s">
        <v>300</v>
      </c>
      <c r="F220" s="73" t="s">
        <v>526</v>
      </c>
      <c r="G220" s="72" t="s">
        <v>323</v>
      </c>
      <c r="H220" s="72" t="s">
        <v>233</v>
      </c>
      <c r="I220" s="72" t="s">
        <v>17</v>
      </c>
      <c r="J220" s="72" t="s">
        <v>187</v>
      </c>
      <c r="K220" s="74">
        <v>76.790000000000006</v>
      </c>
      <c r="L220" s="74">
        <f t="shared" si="22"/>
        <v>38.395000000000003</v>
      </c>
      <c r="M220" s="75">
        <f>prodnorm106</f>
        <v>0</v>
      </c>
      <c r="N220" s="76">
        <f>dagwerk106</f>
        <v>0</v>
      </c>
      <c r="O220" s="72" t="s">
        <v>54</v>
      </c>
      <c r="P220" s="77">
        <f>uurtarief106</f>
        <v>0</v>
      </c>
      <c r="Q220" s="74" t="e">
        <f t="shared" si="27"/>
        <v>#DIV/0!</v>
      </c>
      <c r="R220" s="74" t="e">
        <f t="shared" si="23"/>
        <v>#DIV/0!</v>
      </c>
      <c r="S220" s="77" t="e">
        <f t="shared" si="24"/>
        <v>#DIV/0!</v>
      </c>
      <c r="T220" s="74" t="e">
        <f t="shared" si="25"/>
        <v>#DIV/0!</v>
      </c>
      <c r="U220" s="78" t="e">
        <f t="shared" si="26"/>
        <v>#DIV/0!</v>
      </c>
    </row>
    <row r="221" spans="1:21" x14ac:dyDescent="0.2">
      <c r="A221" s="71" t="s">
        <v>299</v>
      </c>
      <c r="B221" s="72" t="s">
        <v>300</v>
      </c>
      <c r="C221" s="72" t="s">
        <v>493</v>
      </c>
      <c r="D221" s="72" t="s">
        <v>527</v>
      </c>
      <c r="E221" s="72" t="s">
        <v>300</v>
      </c>
      <c r="F221" s="73" t="s">
        <v>372</v>
      </c>
      <c r="G221" s="72" t="s">
        <v>326</v>
      </c>
      <c r="H221" s="72" t="s">
        <v>231</v>
      </c>
      <c r="I221" s="72" t="s">
        <v>17</v>
      </c>
      <c r="J221" s="72" t="s">
        <v>187</v>
      </c>
      <c r="K221" s="74">
        <v>5.25</v>
      </c>
      <c r="L221" s="74">
        <f t="shared" si="22"/>
        <v>2.625</v>
      </c>
      <c r="M221" s="75">
        <f>prodnorm98</f>
        <v>0</v>
      </c>
      <c r="N221" s="76">
        <f>dagwerk98</f>
        <v>0</v>
      </c>
      <c r="O221" s="72" t="s">
        <v>54</v>
      </c>
      <c r="P221" s="77">
        <f>uurtarief98</f>
        <v>0</v>
      </c>
      <c r="Q221" s="74" t="e">
        <f t="shared" si="27"/>
        <v>#DIV/0!</v>
      </c>
      <c r="R221" s="74" t="e">
        <f t="shared" si="23"/>
        <v>#DIV/0!</v>
      </c>
      <c r="S221" s="77" t="e">
        <f t="shared" si="24"/>
        <v>#DIV/0!</v>
      </c>
      <c r="T221" s="74" t="e">
        <f t="shared" si="25"/>
        <v>#DIV/0!</v>
      </c>
      <c r="U221" s="78" t="e">
        <f t="shared" si="26"/>
        <v>#DIV/0!</v>
      </c>
    </row>
    <row r="222" spans="1:21" x14ac:dyDescent="0.2">
      <c r="A222" s="71" t="s">
        <v>299</v>
      </c>
      <c r="B222" s="72" t="s">
        <v>300</v>
      </c>
      <c r="C222" s="72" t="s">
        <v>493</v>
      </c>
      <c r="D222" s="72" t="s">
        <v>527</v>
      </c>
      <c r="E222" s="72" t="s">
        <v>300</v>
      </c>
      <c r="F222" s="73" t="s">
        <v>372</v>
      </c>
      <c r="G222" s="72" t="s">
        <v>326</v>
      </c>
      <c r="H222" s="72" t="s">
        <v>241</v>
      </c>
      <c r="I222" s="72" t="s">
        <v>41</v>
      </c>
      <c r="J222" s="72" t="s">
        <v>242</v>
      </c>
      <c r="K222" s="74">
        <v>5.25</v>
      </c>
      <c r="L222" s="74">
        <f t="shared" si="22"/>
        <v>2.0588235294117647E-2</v>
      </c>
      <c r="M222" s="75">
        <f>prodnorm117</f>
        <v>0</v>
      </c>
      <c r="N222" s="76">
        <f>dagwerk117</f>
        <v>0</v>
      </c>
      <c r="O222" s="72" t="s">
        <v>54</v>
      </c>
      <c r="P222" s="77">
        <f>uurtarief117</f>
        <v>0</v>
      </c>
      <c r="Q222" s="74" t="e">
        <f t="shared" si="27"/>
        <v>#DIV/0!</v>
      </c>
      <c r="R222" s="74" t="e">
        <f t="shared" si="23"/>
        <v>#DIV/0!</v>
      </c>
      <c r="S222" s="77" t="e">
        <f t="shared" si="24"/>
        <v>#DIV/0!</v>
      </c>
      <c r="T222" s="74" t="e">
        <f t="shared" si="25"/>
        <v>#DIV/0!</v>
      </c>
      <c r="U222" s="78" t="e">
        <f t="shared" si="26"/>
        <v>#DIV/0!</v>
      </c>
    </row>
    <row r="223" spans="1:21" x14ac:dyDescent="0.2">
      <c r="A223" s="71" t="s">
        <v>299</v>
      </c>
      <c r="B223" s="72" t="s">
        <v>300</v>
      </c>
      <c r="C223" s="72" t="s">
        <v>493</v>
      </c>
      <c r="D223" s="72" t="s">
        <v>528</v>
      </c>
      <c r="E223" s="72" t="s">
        <v>300</v>
      </c>
      <c r="F223" s="73" t="s">
        <v>374</v>
      </c>
      <c r="G223" s="72" t="s">
        <v>326</v>
      </c>
      <c r="H223" s="72" t="s">
        <v>218</v>
      </c>
      <c r="I223" s="72" t="s">
        <v>17</v>
      </c>
      <c r="J223" s="72" t="s">
        <v>187</v>
      </c>
      <c r="K223" s="74">
        <v>5.25</v>
      </c>
      <c r="L223" s="74">
        <f t="shared" si="22"/>
        <v>2.625</v>
      </c>
      <c r="M223" s="75">
        <f>prodnorm70</f>
        <v>0</v>
      </c>
      <c r="N223" s="76">
        <f>dagwerk70</f>
        <v>0</v>
      </c>
      <c r="O223" s="72" t="s">
        <v>54</v>
      </c>
      <c r="P223" s="77">
        <f>uurtarief70</f>
        <v>0</v>
      </c>
      <c r="Q223" s="74" t="e">
        <f t="shared" si="27"/>
        <v>#DIV/0!</v>
      </c>
      <c r="R223" s="74" t="e">
        <f t="shared" si="23"/>
        <v>#DIV/0!</v>
      </c>
      <c r="S223" s="77" t="e">
        <f t="shared" si="24"/>
        <v>#DIV/0!</v>
      </c>
      <c r="T223" s="74" t="e">
        <f t="shared" si="25"/>
        <v>#DIV/0!</v>
      </c>
      <c r="U223" s="78" t="e">
        <f t="shared" si="26"/>
        <v>#DIV/0!</v>
      </c>
    </row>
    <row r="224" spans="1:21" x14ac:dyDescent="0.2">
      <c r="A224" s="71" t="s">
        <v>299</v>
      </c>
      <c r="B224" s="72" t="s">
        <v>300</v>
      </c>
      <c r="C224" s="72" t="s">
        <v>493</v>
      </c>
      <c r="D224" s="72" t="s">
        <v>528</v>
      </c>
      <c r="E224" s="72" t="s">
        <v>300</v>
      </c>
      <c r="F224" s="73" t="s">
        <v>374</v>
      </c>
      <c r="G224" s="72" t="s">
        <v>326</v>
      </c>
      <c r="H224" s="72" t="s">
        <v>239</v>
      </c>
      <c r="I224" s="72" t="s">
        <v>17</v>
      </c>
      <c r="J224" s="72" t="s">
        <v>187</v>
      </c>
      <c r="K224" s="74">
        <v>5.25</v>
      </c>
      <c r="L224" s="74">
        <f t="shared" si="22"/>
        <v>2.625</v>
      </c>
      <c r="M224" s="75">
        <f>prodnorm114</f>
        <v>0</v>
      </c>
      <c r="N224" s="76">
        <f>dagwerk114</f>
        <v>0</v>
      </c>
      <c r="O224" s="72" t="s">
        <v>54</v>
      </c>
      <c r="P224" s="77">
        <f>uurtarief114</f>
        <v>0</v>
      </c>
      <c r="Q224" s="74" t="e">
        <f t="shared" si="27"/>
        <v>#DIV/0!</v>
      </c>
      <c r="R224" s="74" t="e">
        <f t="shared" si="23"/>
        <v>#DIV/0!</v>
      </c>
      <c r="S224" s="77" t="e">
        <f t="shared" si="24"/>
        <v>#DIV/0!</v>
      </c>
      <c r="T224" s="74" t="e">
        <f t="shared" si="25"/>
        <v>#DIV/0!</v>
      </c>
      <c r="U224" s="78" t="e">
        <f t="shared" si="26"/>
        <v>#DIV/0!</v>
      </c>
    </row>
    <row r="225" spans="1:21" x14ac:dyDescent="0.2">
      <c r="A225" s="71" t="s">
        <v>299</v>
      </c>
      <c r="B225" s="72" t="s">
        <v>300</v>
      </c>
      <c r="C225" s="72" t="s">
        <v>493</v>
      </c>
      <c r="D225" s="72" t="s">
        <v>528</v>
      </c>
      <c r="E225" s="72" t="s">
        <v>300</v>
      </c>
      <c r="F225" s="73" t="s">
        <v>374</v>
      </c>
      <c r="G225" s="72" t="s">
        <v>326</v>
      </c>
      <c r="H225" s="72" t="s">
        <v>241</v>
      </c>
      <c r="I225" s="72" t="s">
        <v>41</v>
      </c>
      <c r="J225" s="72" t="s">
        <v>242</v>
      </c>
      <c r="K225" s="74">
        <v>5.25</v>
      </c>
      <c r="L225" s="74">
        <f t="shared" si="22"/>
        <v>2.0588235294117647E-2</v>
      </c>
      <c r="M225" s="75">
        <f>prodnorm117</f>
        <v>0</v>
      </c>
      <c r="N225" s="76">
        <f>dagwerk117</f>
        <v>0</v>
      </c>
      <c r="O225" s="72" t="s">
        <v>54</v>
      </c>
      <c r="P225" s="77">
        <f>uurtarief117</f>
        <v>0</v>
      </c>
      <c r="Q225" s="74" t="e">
        <f t="shared" si="27"/>
        <v>#DIV/0!</v>
      </c>
      <c r="R225" s="74" t="e">
        <f t="shared" si="23"/>
        <v>#DIV/0!</v>
      </c>
      <c r="S225" s="77" t="e">
        <f t="shared" si="24"/>
        <v>#DIV/0!</v>
      </c>
      <c r="T225" s="74" t="e">
        <f t="shared" si="25"/>
        <v>#DIV/0!</v>
      </c>
      <c r="U225" s="78" t="e">
        <f t="shared" si="26"/>
        <v>#DIV/0!</v>
      </c>
    </row>
    <row r="226" spans="1:21" x14ac:dyDescent="0.2">
      <c r="A226" s="71" t="s">
        <v>299</v>
      </c>
      <c r="B226" s="72" t="s">
        <v>300</v>
      </c>
      <c r="C226" s="72" t="s">
        <v>493</v>
      </c>
      <c r="D226" s="72" t="s">
        <v>529</v>
      </c>
      <c r="E226" s="72" t="s">
        <v>300</v>
      </c>
      <c r="F226" s="73" t="s">
        <v>395</v>
      </c>
      <c r="G226" s="72" t="s">
        <v>309</v>
      </c>
      <c r="H226" s="72" t="s">
        <v>222</v>
      </c>
      <c r="I226" s="72" t="s">
        <v>10</v>
      </c>
      <c r="J226" s="72" t="s">
        <v>187</v>
      </c>
      <c r="K226" s="74">
        <v>4.4800000000000004</v>
      </c>
      <c r="L226" s="74">
        <f t="shared" si="22"/>
        <v>4.4800000000000004</v>
      </c>
      <c r="M226" s="75">
        <f>prodnorm85</f>
        <v>0</v>
      </c>
      <c r="N226" s="76">
        <f>dagwerk85</f>
        <v>0</v>
      </c>
      <c r="O226" s="72" t="s">
        <v>54</v>
      </c>
      <c r="P226" s="77">
        <f>uurtarief85</f>
        <v>0</v>
      </c>
      <c r="Q226" s="74" t="e">
        <f t="shared" si="27"/>
        <v>#DIV/0!</v>
      </c>
      <c r="R226" s="74" t="e">
        <f t="shared" si="23"/>
        <v>#DIV/0!</v>
      </c>
      <c r="S226" s="77" t="e">
        <f t="shared" si="24"/>
        <v>#DIV/0!</v>
      </c>
      <c r="T226" s="74" t="e">
        <f t="shared" si="25"/>
        <v>#DIV/0!</v>
      </c>
      <c r="U226" s="78" t="e">
        <f t="shared" si="26"/>
        <v>#DIV/0!</v>
      </c>
    </row>
    <row r="227" spans="1:21" x14ac:dyDescent="0.2">
      <c r="A227" s="71" t="s">
        <v>299</v>
      </c>
      <c r="B227" s="72" t="s">
        <v>300</v>
      </c>
      <c r="C227" s="72" t="s">
        <v>493</v>
      </c>
      <c r="D227" s="72" t="s">
        <v>530</v>
      </c>
      <c r="E227" s="72" t="s">
        <v>300</v>
      </c>
      <c r="F227" s="73" t="s">
        <v>531</v>
      </c>
      <c r="G227" s="72" t="s">
        <v>323</v>
      </c>
      <c r="H227" s="72" t="s">
        <v>233</v>
      </c>
      <c r="I227" s="72" t="s">
        <v>17</v>
      </c>
      <c r="J227" s="72" t="s">
        <v>187</v>
      </c>
      <c r="K227" s="74">
        <v>42.94</v>
      </c>
      <c r="L227" s="74">
        <f t="shared" si="22"/>
        <v>21.47</v>
      </c>
      <c r="M227" s="75">
        <f>prodnorm106</f>
        <v>0</v>
      </c>
      <c r="N227" s="76">
        <f>dagwerk106</f>
        <v>0</v>
      </c>
      <c r="O227" s="72" t="s">
        <v>54</v>
      </c>
      <c r="P227" s="77">
        <f>uurtarief106</f>
        <v>0</v>
      </c>
      <c r="Q227" s="74" t="e">
        <f t="shared" si="27"/>
        <v>#DIV/0!</v>
      </c>
      <c r="R227" s="74" t="e">
        <f t="shared" si="23"/>
        <v>#DIV/0!</v>
      </c>
      <c r="S227" s="77" t="e">
        <f t="shared" si="24"/>
        <v>#DIV/0!</v>
      </c>
      <c r="T227" s="74" t="e">
        <f t="shared" si="25"/>
        <v>#DIV/0!</v>
      </c>
      <c r="U227" s="78" t="e">
        <f t="shared" si="26"/>
        <v>#DIV/0!</v>
      </c>
    </row>
    <row r="228" spans="1:21" x14ac:dyDescent="0.2">
      <c r="A228" s="71" t="s">
        <v>299</v>
      </c>
      <c r="B228" s="72" t="s">
        <v>300</v>
      </c>
      <c r="C228" s="72" t="s">
        <v>493</v>
      </c>
      <c r="D228" s="72" t="s">
        <v>532</v>
      </c>
      <c r="E228" s="72" t="s">
        <v>300</v>
      </c>
      <c r="F228" s="73" t="s">
        <v>533</v>
      </c>
      <c r="G228" s="72" t="s">
        <v>323</v>
      </c>
      <c r="H228" s="72" t="s">
        <v>229</v>
      </c>
      <c r="I228" s="72" t="s">
        <v>24</v>
      </c>
      <c r="J228" s="72" t="s">
        <v>187</v>
      </c>
      <c r="K228" s="74">
        <v>21.75</v>
      </c>
      <c r="L228" s="74">
        <f t="shared" si="22"/>
        <v>4.3500000000000005</v>
      </c>
      <c r="M228" s="75">
        <f>prodnorm94</f>
        <v>0</v>
      </c>
      <c r="N228" s="76">
        <f>dagwerk94</f>
        <v>0</v>
      </c>
      <c r="O228" s="72" t="s">
        <v>54</v>
      </c>
      <c r="P228" s="77">
        <f>uurtarief94</f>
        <v>0</v>
      </c>
      <c r="Q228" s="74" t="e">
        <f t="shared" si="27"/>
        <v>#DIV/0!</v>
      </c>
      <c r="R228" s="74" t="e">
        <f t="shared" si="23"/>
        <v>#DIV/0!</v>
      </c>
      <c r="S228" s="77" t="e">
        <f t="shared" si="24"/>
        <v>#DIV/0!</v>
      </c>
      <c r="T228" s="74" t="e">
        <f t="shared" si="25"/>
        <v>#DIV/0!</v>
      </c>
      <c r="U228" s="78" t="e">
        <f t="shared" si="26"/>
        <v>#DIV/0!</v>
      </c>
    </row>
    <row r="229" spans="1:21" x14ac:dyDescent="0.2">
      <c r="A229" s="71" t="s">
        <v>299</v>
      </c>
      <c r="B229" s="72" t="s">
        <v>300</v>
      </c>
      <c r="C229" s="72" t="s">
        <v>493</v>
      </c>
      <c r="D229" s="72" t="s">
        <v>534</v>
      </c>
      <c r="E229" s="72" t="s">
        <v>300</v>
      </c>
      <c r="F229" s="73" t="s">
        <v>444</v>
      </c>
      <c r="G229" s="72" t="s">
        <v>309</v>
      </c>
      <c r="H229" s="72" t="s">
        <v>222</v>
      </c>
      <c r="I229" s="72" t="s">
        <v>10</v>
      </c>
      <c r="J229" s="72" t="s">
        <v>187</v>
      </c>
      <c r="K229" s="74">
        <v>6.6599999999999993</v>
      </c>
      <c r="L229" s="74">
        <f t="shared" si="22"/>
        <v>6.6599999999999993</v>
      </c>
      <c r="M229" s="75">
        <f>prodnorm85</f>
        <v>0</v>
      </c>
      <c r="N229" s="76">
        <f>dagwerk85</f>
        <v>0</v>
      </c>
      <c r="O229" s="72" t="s">
        <v>54</v>
      </c>
      <c r="P229" s="77">
        <f>uurtarief85</f>
        <v>0</v>
      </c>
      <c r="Q229" s="74" t="e">
        <f t="shared" si="27"/>
        <v>#DIV/0!</v>
      </c>
      <c r="R229" s="74" t="e">
        <f t="shared" si="23"/>
        <v>#DIV/0!</v>
      </c>
      <c r="S229" s="77" t="e">
        <f t="shared" si="24"/>
        <v>#DIV/0!</v>
      </c>
      <c r="T229" s="74" t="e">
        <f t="shared" si="25"/>
        <v>#DIV/0!</v>
      </c>
      <c r="U229" s="78" t="e">
        <f t="shared" si="26"/>
        <v>#DIV/0!</v>
      </c>
    </row>
    <row r="230" spans="1:21" x14ac:dyDescent="0.2">
      <c r="A230" s="71" t="s">
        <v>299</v>
      </c>
      <c r="B230" s="72" t="s">
        <v>300</v>
      </c>
      <c r="C230" s="72" t="s">
        <v>493</v>
      </c>
      <c r="D230" s="72" t="s">
        <v>534</v>
      </c>
      <c r="E230" s="72" t="s">
        <v>300</v>
      </c>
      <c r="F230" s="73" t="s">
        <v>444</v>
      </c>
      <c r="G230" s="72" t="s">
        <v>309</v>
      </c>
      <c r="H230" s="72" t="s">
        <v>224</v>
      </c>
      <c r="I230" s="72" t="s">
        <v>10</v>
      </c>
      <c r="J230" s="72" t="s">
        <v>187</v>
      </c>
      <c r="K230" s="74">
        <v>6.6599999999999993</v>
      </c>
      <c r="L230" s="74">
        <f t="shared" si="22"/>
        <v>6.6599999999999993</v>
      </c>
      <c r="M230" s="75">
        <f>prodnorm88</f>
        <v>0</v>
      </c>
      <c r="N230" s="76">
        <f>dagwerk88</f>
        <v>0</v>
      </c>
      <c r="O230" s="72" t="s">
        <v>54</v>
      </c>
      <c r="P230" s="77">
        <f>uurtarief88</f>
        <v>0</v>
      </c>
      <c r="Q230" s="74" t="e">
        <f t="shared" si="27"/>
        <v>#DIV/0!</v>
      </c>
      <c r="R230" s="74" t="e">
        <f t="shared" si="23"/>
        <v>#DIV/0!</v>
      </c>
      <c r="S230" s="77" t="e">
        <f t="shared" si="24"/>
        <v>#DIV/0!</v>
      </c>
      <c r="T230" s="74" t="e">
        <f t="shared" si="25"/>
        <v>#DIV/0!</v>
      </c>
      <c r="U230" s="78" t="e">
        <f t="shared" si="26"/>
        <v>#DIV/0!</v>
      </c>
    </row>
    <row r="231" spans="1:21" x14ac:dyDescent="0.2">
      <c r="A231" s="71" t="s">
        <v>299</v>
      </c>
      <c r="B231" s="72" t="s">
        <v>300</v>
      </c>
      <c r="C231" s="72" t="s">
        <v>493</v>
      </c>
      <c r="D231" s="72" t="s">
        <v>535</v>
      </c>
      <c r="E231" s="72" t="s">
        <v>300</v>
      </c>
      <c r="F231" s="73" t="s">
        <v>446</v>
      </c>
      <c r="G231" s="72" t="s">
        <v>309</v>
      </c>
      <c r="H231" s="72" t="s">
        <v>222</v>
      </c>
      <c r="I231" s="72" t="s">
        <v>10</v>
      </c>
      <c r="J231" s="72" t="s">
        <v>187</v>
      </c>
      <c r="K231" s="74">
        <v>6.6599999999999993</v>
      </c>
      <c r="L231" s="74">
        <f t="shared" si="22"/>
        <v>6.6599999999999993</v>
      </c>
      <c r="M231" s="75">
        <f>prodnorm85</f>
        <v>0</v>
      </c>
      <c r="N231" s="76">
        <f>dagwerk85</f>
        <v>0</v>
      </c>
      <c r="O231" s="72" t="s">
        <v>54</v>
      </c>
      <c r="P231" s="77">
        <f>uurtarief85</f>
        <v>0</v>
      </c>
      <c r="Q231" s="74" t="e">
        <f t="shared" si="27"/>
        <v>#DIV/0!</v>
      </c>
      <c r="R231" s="74" t="e">
        <f t="shared" si="23"/>
        <v>#DIV/0!</v>
      </c>
      <c r="S231" s="77" t="e">
        <f t="shared" si="24"/>
        <v>#DIV/0!</v>
      </c>
      <c r="T231" s="74" t="e">
        <f t="shared" si="25"/>
        <v>#DIV/0!</v>
      </c>
      <c r="U231" s="78" t="e">
        <f t="shared" si="26"/>
        <v>#DIV/0!</v>
      </c>
    </row>
    <row r="232" spans="1:21" x14ac:dyDescent="0.2">
      <c r="A232" s="79" t="s">
        <v>299</v>
      </c>
      <c r="B232" s="80" t="s">
        <v>300</v>
      </c>
      <c r="C232" s="80" t="s">
        <v>493</v>
      </c>
      <c r="D232" s="80" t="s">
        <v>535</v>
      </c>
      <c r="E232" s="80" t="s">
        <v>300</v>
      </c>
      <c r="F232" s="81" t="s">
        <v>446</v>
      </c>
      <c r="G232" s="80" t="s">
        <v>309</v>
      </c>
      <c r="H232" s="80" t="s">
        <v>224</v>
      </c>
      <c r="I232" s="80" t="s">
        <v>10</v>
      </c>
      <c r="J232" s="80" t="s">
        <v>187</v>
      </c>
      <c r="K232" s="82">
        <v>6.6599999999999993</v>
      </c>
      <c r="L232" s="82">
        <f t="shared" si="22"/>
        <v>6.6599999999999993</v>
      </c>
      <c r="M232" s="83">
        <f>prodnorm88</f>
        <v>0</v>
      </c>
      <c r="N232" s="84">
        <f>dagwerk88</f>
        <v>0</v>
      </c>
      <c r="O232" s="80" t="s">
        <v>54</v>
      </c>
      <c r="P232" s="85">
        <f>uurtarief88</f>
        <v>0</v>
      </c>
      <c r="Q232" s="82" t="e">
        <f t="shared" si="27"/>
        <v>#DIV/0!</v>
      </c>
      <c r="R232" s="82" t="e">
        <f t="shared" si="23"/>
        <v>#DIV/0!</v>
      </c>
      <c r="S232" s="85" t="e">
        <f t="shared" si="24"/>
        <v>#DIV/0!</v>
      </c>
      <c r="T232" s="82" t="e">
        <f t="shared" si="25"/>
        <v>#DIV/0!</v>
      </c>
      <c r="U232" s="86" t="e">
        <f t="shared" si="26"/>
        <v>#DIV/0!</v>
      </c>
    </row>
    <row r="233" spans="1:21" x14ac:dyDescent="0.2">
      <c r="A233" s="87" t="s">
        <v>536</v>
      </c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3" t="e">
        <f>IF(_xlfn.SINGLE(object1_urenjaar1)&gt;0,_xlfn.SINGLE(object1_prijsjaar1)/_xlfn.SINGLE(object1_urenjaar1),0)</f>
        <v>#DIV/0!</v>
      </c>
      <c r="Q233" s="52" t="e">
        <f>SUM(Q5:Q232)</f>
        <v>#DIV/0!</v>
      </c>
      <c r="R233" s="52" t="e">
        <f>SUM(R5:R232)</f>
        <v>#DIV/0!</v>
      </c>
      <c r="S233" s="53" t="e">
        <f>SUM(S5:S232)</f>
        <v>#DIV/0!</v>
      </c>
      <c r="T233" s="52" t="e">
        <f>SUM(T5:T232)</f>
        <v>#DIV/0!</v>
      </c>
      <c r="U233" s="54" t="e">
        <f>SUM(U5:U232)</f>
        <v>#DIV/0!</v>
      </c>
    </row>
    <row r="234" spans="1:21" x14ac:dyDescent="0.2">
      <c r="A234" s="61" t="s">
        <v>537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49"/>
    </row>
    <row r="235" spans="1:21" x14ac:dyDescent="0.2">
      <c r="A235" s="63" t="s">
        <v>538</v>
      </c>
      <c r="B235" s="64" t="s">
        <v>539</v>
      </c>
      <c r="C235" s="64" t="s">
        <v>330</v>
      </c>
      <c r="D235" s="64" t="s">
        <v>540</v>
      </c>
      <c r="E235" s="64" t="s">
        <v>300</v>
      </c>
      <c r="F235" s="65" t="s">
        <v>541</v>
      </c>
      <c r="G235" s="64" t="s">
        <v>309</v>
      </c>
      <c r="H235" s="64" t="s">
        <v>195</v>
      </c>
      <c r="I235" s="64" t="s">
        <v>34</v>
      </c>
      <c r="J235" s="64" t="s">
        <v>187</v>
      </c>
      <c r="K235" s="66">
        <v>12</v>
      </c>
      <c r="L235" s="66">
        <f t="shared" ref="L235:L280" si="28">K235*VLOOKUP(I235,dagsoorttabel1,2,FALSE)</f>
        <v>0.6588235294117647</v>
      </c>
      <c r="M235" s="67">
        <f>prodnorm38</f>
        <v>0</v>
      </c>
      <c r="N235" s="68">
        <f>dagwerk38</f>
        <v>0</v>
      </c>
      <c r="O235" s="64" t="s">
        <v>54</v>
      </c>
      <c r="P235" s="69">
        <f>uurtarief38</f>
        <v>0</v>
      </c>
      <c r="Q235" s="66" t="e">
        <f t="shared" ref="Q235:Q280" si="29">IF(ISBLANK(M235),0,L235/ROUND(M235,4))</f>
        <v>#DIV/0!</v>
      </c>
      <c r="R235" s="66" t="e">
        <f t="shared" ref="R235:R280" si="30">IF(ISBLANK(M235),0,Q235*ROUND(N235,2))</f>
        <v>#DIV/0!</v>
      </c>
      <c r="S235" s="69" t="e">
        <f t="shared" ref="S235:S280" si="31">ROUND(P235,2)*Q235</f>
        <v>#DIV/0!</v>
      </c>
      <c r="T235" s="66" t="e">
        <f t="shared" ref="T235:T280" si="32">Q235*dagenperjaar1</f>
        <v>#DIV/0!</v>
      </c>
      <c r="U235" s="70" t="e">
        <f t="shared" ref="U235:U280" si="33">T235*ROUND(P235,2)</f>
        <v>#DIV/0!</v>
      </c>
    </row>
    <row r="236" spans="1:21" x14ac:dyDescent="0.2">
      <c r="A236" s="71" t="s">
        <v>538</v>
      </c>
      <c r="B236" s="72" t="s">
        <v>539</v>
      </c>
      <c r="C236" s="72" t="s">
        <v>330</v>
      </c>
      <c r="D236" s="72" t="s">
        <v>540</v>
      </c>
      <c r="E236" s="72" t="s">
        <v>300</v>
      </c>
      <c r="F236" s="73" t="s">
        <v>541</v>
      </c>
      <c r="G236" s="72" t="s">
        <v>309</v>
      </c>
      <c r="H236" s="72" t="s">
        <v>195</v>
      </c>
      <c r="I236" s="72" t="s">
        <v>31</v>
      </c>
      <c r="J236" s="72" t="s">
        <v>187</v>
      </c>
      <c r="K236" s="74">
        <v>12</v>
      </c>
      <c r="L236" s="74">
        <f t="shared" si="28"/>
        <v>0.89411764705882346</v>
      </c>
      <c r="M236" s="75">
        <f>prodnorm40</f>
        <v>0</v>
      </c>
      <c r="N236" s="76">
        <f>dagwerk40</f>
        <v>0</v>
      </c>
      <c r="O236" s="72" t="s">
        <v>54</v>
      </c>
      <c r="P236" s="77">
        <f>uurtarief40</f>
        <v>0</v>
      </c>
      <c r="Q236" s="74" t="e">
        <f t="shared" si="29"/>
        <v>#DIV/0!</v>
      </c>
      <c r="R236" s="74" t="e">
        <f t="shared" si="30"/>
        <v>#DIV/0!</v>
      </c>
      <c r="S236" s="77" t="e">
        <f t="shared" si="31"/>
        <v>#DIV/0!</v>
      </c>
      <c r="T236" s="74" t="e">
        <f t="shared" si="32"/>
        <v>#DIV/0!</v>
      </c>
      <c r="U236" s="78" t="e">
        <f t="shared" si="33"/>
        <v>#DIV/0!</v>
      </c>
    </row>
    <row r="237" spans="1:21" x14ac:dyDescent="0.2">
      <c r="A237" s="71" t="s">
        <v>538</v>
      </c>
      <c r="B237" s="72" t="s">
        <v>539</v>
      </c>
      <c r="C237" s="72" t="s">
        <v>330</v>
      </c>
      <c r="D237" s="72" t="s">
        <v>335</v>
      </c>
      <c r="E237" s="72" t="s">
        <v>300</v>
      </c>
      <c r="F237" s="73" t="s">
        <v>542</v>
      </c>
      <c r="G237" s="72" t="s">
        <v>309</v>
      </c>
      <c r="H237" s="72" t="s">
        <v>186</v>
      </c>
      <c r="I237" s="72" t="s">
        <v>34</v>
      </c>
      <c r="J237" s="72" t="s">
        <v>187</v>
      </c>
      <c r="K237" s="74">
        <v>2</v>
      </c>
      <c r="L237" s="74">
        <f t="shared" si="28"/>
        <v>0.10980392156862745</v>
      </c>
      <c r="M237" s="75">
        <f>prodnorm24</f>
        <v>0</v>
      </c>
      <c r="N237" s="76">
        <f>dagwerk24</f>
        <v>0</v>
      </c>
      <c r="O237" s="72" t="s">
        <v>54</v>
      </c>
      <c r="P237" s="77">
        <f>uurtarief24</f>
        <v>0</v>
      </c>
      <c r="Q237" s="74" t="e">
        <f t="shared" si="29"/>
        <v>#DIV/0!</v>
      </c>
      <c r="R237" s="74" t="e">
        <f t="shared" si="30"/>
        <v>#DIV/0!</v>
      </c>
      <c r="S237" s="77" t="e">
        <f t="shared" si="31"/>
        <v>#DIV/0!</v>
      </c>
      <c r="T237" s="74" t="e">
        <f t="shared" si="32"/>
        <v>#DIV/0!</v>
      </c>
      <c r="U237" s="78" t="e">
        <f t="shared" si="33"/>
        <v>#DIV/0!</v>
      </c>
    </row>
    <row r="238" spans="1:21" x14ac:dyDescent="0.2">
      <c r="A238" s="71" t="s">
        <v>538</v>
      </c>
      <c r="B238" s="72" t="s">
        <v>539</v>
      </c>
      <c r="C238" s="72" t="s">
        <v>330</v>
      </c>
      <c r="D238" s="72" t="s">
        <v>335</v>
      </c>
      <c r="E238" s="72" t="s">
        <v>300</v>
      </c>
      <c r="F238" s="73" t="s">
        <v>542</v>
      </c>
      <c r="G238" s="72" t="s">
        <v>309</v>
      </c>
      <c r="H238" s="72" t="s">
        <v>186</v>
      </c>
      <c r="I238" s="72" t="s">
        <v>31</v>
      </c>
      <c r="J238" s="72" t="s">
        <v>187</v>
      </c>
      <c r="K238" s="74">
        <v>2</v>
      </c>
      <c r="L238" s="74">
        <f t="shared" si="28"/>
        <v>0.14901960784313725</v>
      </c>
      <c r="M238" s="75">
        <f>prodnorm25</f>
        <v>0</v>
      </c>
      <c r="N238" s="76">
        <f>dagwerk25</f>
        <v>0</v>
      </c>
      <c r="O238" s="72" t="s">
        <v>54</v>
      </c>
      <c r="P238" s="77">
        <f>uurtarief25</f>
        <v>0</v>
      </c>
      <c r="Q238" s="74" t="e">
        <f t="shared" si="29"/>
        <v>#DIV/0!</v>
      </c>
      <c r="R238" s="74" t="e">
        <f t="shared" si="30"/>
        <v>#DIV/0!</v>
      </c>
      <c r="S238" s="77" t="e">
        <f t="shared" si="31"/>
        <v>#DIV/0!</v>
      </c>
      <c r="T238" s="74" t="e">
        <f t="shared" si="32"/>
        <v>#DIV/0!</v>
      </c>
      <c r="U238" s="78" t="e">
        <f t="shared" si="33"/>
        <v>#DIV/0!</v>
      </c>
    </row>
    <row r="239" spans="1:21" x14ac:dyDescent="0.2">
      <c r="A239" s="71" t="s">
        <v>538</v>
      </c>
      <c r="B239" s="72" t="s">
        <v>539</v>
      </c>
      <c r="C239" s="72" t="s">
        <v>330</v>
      </c>
      <c r="D239" s="72" t="s">
        <v>543</v>
      </c>
      <c r="E239" s="72" t="s">
        <v>300</v>
      </c>
      <c r="F239" s="73" t="s">
        <v>544</v>
      </c>
      <c r="G239" s="72" t="s">
        <v>326</v>
      </c>
      <c r="H239" s="72" t="s">
        <v>235</v>
      </c>
      <c r="I239" s="72" t="s">
        <v>34</v>
      </c>
      <c r="J239" s="72" t="s">
        <v>187</v>
      </c>
      <c r="K239" s="74">
        <v>6</v>
      </c>
      <c r="L239" s="74">
        <f t="shared" si="28"/>
        <v>0.32941176470588235</v>
      </c>
      <c r="M239" s="75">
        <f>prodnorm110</f>
        <v>0</v>
      </c>
      <c r="N239" s="76">
        <f>dagwerk110</f>
        <v>0</v>
      </c>
      <c r="O239" s="72" t="s">
        <v>54</v>
      </c>
      <c r="P239" s="77">
        <f>uurtarief110</f>
        <v>0</v>
      </c>
      <c r="Q239" s="74" t="e">
        <f t="shared" si="29"/>
        <v>#DIV/0!</v>
      </c>
      <c r="R239" s="74" t="e">
        <f t="shared" si="30"/>
        <v>#DIV/0!</v>
      </c>
      <c r="S239" s="77" t="e">
        <f t="shared" si="31"/>
        <v>#DIV/0!</v>
      </c>
      <c r="T239" s="74" t="e">
        <f t="shared" si="32"/>
        <v>#DIV/0!</v>
      </c>
      <c r="U239" s="78" t="e">
        <f t="shared" si="33"/>
        <v>#DIV/0!</v>
      </c>
    </row>
    <row r="240" spans="1:21" x14ac:dyDescent="0.2">
      <c r="A240" s="71" t="s">
        <v>538</v>
      </c>
      <c r="B240" s="72" t="s">
        <v>539</v>
      </c>
      <c r="C240" s="72" t="s">
        <v>330</v>
      </c>
      <c r="D240" s="72" t="s">
        <v>543</v>
      </c>
      <c r="E240" s="72" t="s">
        <v>300</v>
      </c>
      <c r="F240" s="73" t="s">
        <v>544</v>
      </c>
      <c r="G240" s="72" t="s">
        <v>326</v>
      </c>
      <c r="H240" s="72" t="s">
        <v>235</v>
      </c>
      <c r="I240" s="72" t="s">
        <v>31</v>
      </c>
      <c r="J240" s="72" t="s">
        <v>187</v>
      </c>
      <c r="K240" s="74">
        <v>6</v>
      </c>
      <c r="L240" s="74">
        <f t="shared" si="28"/>
        <v>0.44705882352941173</v>
      </c>
      <c r="M240" s="75">
        <f>prodnorm111</f>
        <v>0</v>
      </c>
      <c r="N240" s="76">
        <f>dagwerk111</f>
        <v>0</v>
      </c>
      <c r="O240" s="72" t="s">
        <v>54</v>
      </c>
      <c r="P240" s="77">
        <f>uurtarief111</f>
        <v>0</v>
      </c>
      <c r="Q240" s="74" t="e">
        <f t="shared" si="29"/>
        <v>#DIV/0!</v>
      </c>
      <c r="R240" s="74" t="e">
        <f t="shared" si="30"/>
        <v>#DIV/0!</v>
      </c>
      <c r="S240" s="77" t="e">
        <f t="shared" si="31"/>
        <v>#DIV/0!</v>
      </c>
      <c r="T240" s="74" t="e">
        <f t="shared" si="32"/>
        <v>#DIV/0!</v>
      </c>
      <c r="U240" s="78" t="e">
        <f t="shared" si="33"/>
        <v>#DIV/0!</v>
      </c>
    </row>
    <row r="241" spans="1:21" x14ac:dyDescent="0.2">
      <c r="A241" s="71" t="s">
        <v>538</v>
      </c>
      <c r="B241" s="72" t="s">
        <v>539</v>
      </c>
      <c r="C241" s="72" t="s">
        <v>330</v>
      </c>
      <c r="D241" s="72" t="s">
        <v>543</v>
      </c>
      <c r="E241" s="72" t="s">
        <v>300</v>
      </c>
      <c r="F241" s="73" t="s">
        <v>544</v>
      </c>
      <c r="G241" s="72" t="s">
        <v>326</v>
      </c>
      <c r="H241" s="72" t="s">
        <v>241</v>
      </c>
      <c r="I241" s="72" t="s">
        <v>41</v>
      </c>
      <c r="J241" s="72" t="s">
        <v>242</v>
      </c>
      <c r="K241" s="74">
        <v>6</v>
      </c>
      <c r="L241" s="74">
        <f t="shared" si="28"/>
        <v>2.3529411764705882E-2</v>
      </c>
      <c r="M241" s="75">
        <f>prodnorm117</f>
        <v>0</v>
      </c>
      <c r="N241" s="76">
        <f>dagwerk117</f>
        <v>0</v>
      </c>
      <c r="O241" s="72" t="s">
        <v>54</v>
      </c>
      <c r="P241" s="77">
        <f>uurtarief117</f>
        <v>0</v>
      </c>
      <c r="Q241" s="74" t="e">
        <f t="shared" si="29"/>
        <v>#DIV/0!</v>
      </c>
      <c r="R241" s="74" t="e">
        <f t="shared" si="30"/>
        <v>#DIV/0!</v>
      </c>
      <c r="S241" s="77" t="e">
        <f t="shared" si="31"/>
        <v>#DIV/0!</v>
      </c>
      <c r="T241" s="74" t="e">
        <f t="shared" si="32"/>
        <v>#DIV/0!</v>
      </c>
      <c r="U241" s="78" t="e">
        <f t="shared" si="33"/>
        <v>#DIV/0!</v>
      </c>
    </row>
    <row r="242" spans="1:21" x14ac:dyDescent="0.2">
      <c r="A242" s="71" t="s">
        <v>538</v>
      </c>
      <c r="B242" s="72" t="s">
        <v>539</v>
      </c>
      <c r="C242" s="72" t="s">
        <v>330</v>
      </c>
      <c r="D242" s="72" t="s">
        <v>354</v>
      </c>
      <c r="E242" s="72" t="s">
        <v>300</v>
      </c>
      <c r="F242" s="73" t="s">
        <v>545</v>
      </c>
      <c r="G242" s="72" t="s">
        <v>326</v>
      </c>
      <c r="H242" s="72" t="s">
        <v>222</v>
      </c>
      <c r="I242" s="72" t="s">
        <v>31</v>
      </c>
      <c r="J242" s="72" t="s">
        <v>187</v>
      </c>
      <c r="K242" s="74">
        <v>1.25</v>
      </c>
      <c r="L242" s="74">
        <f t="shared" si="28"/>
        <v>9.3137254901960786E-2</v>
      </c>
      <c r="M242" s="75">
        <f>prodnorm77</f>
        <v>0</v>
      </c>
      <c r="N242" s="76">
        <f>dagwerk77</f>
        <v>0</v>
      </c>
      <c r="O242" s="72" t="s">
        <v>54</v>
      </c>
      <c r="P242" s="77">
        <f>uurtarief77</f>
        <v>0</v>
      </c>
      <c r="Q242" s="74" t="e">
        <f t="shared" si="29"/>
        <v>#DIV/0!</v>
      </c>
      <c r="R242" s="74" t="e">
        <f t="shared" si="30"/>
        <v>#DIV/0!</v>
      </c>
      <c r="S242" s="77" t="e">
        <f t="shared" si="31"/>
        <v>#DIV/0!</v>
      </c>
      <c r="T242" s="74" t="e">
        <f t="shared" si="32"/>
        <v>#DIV/0!</v>
      </c>
      <c r="U242" s="78" t="e">
        <f t="shared" si="33"/>
        <v>#DIV/0!</v>
      </c>
    </row>
    <row r="243" spans="1:21" x14ac:dyDescent="0.2">
      <c r="A243" s="71" t="s">
        <v>538</v>
      </c>
      <c r="B243" s="72" t="s">
        <v>539</v>
      </c>
      <c r="C243" s="72" t="s">
        <v>330</v>
      </c>
      <c r="D243" s="72" t="s">
        <v>354</v>
      </c>
      <c r="E243" s="72" t="s">
        <v>300</v>
      </c>
      <c r="F243" s="73" t="s">
        <v>545</v>
      </c>
      <c r="G243" s="72" t="s">
        <v>326</v>
      </c>
      <c r="H243" s="72" t="s">
        <v>222</v>
      </c>
      <c r="I243" s="72" t="s">
        <v>34</v>
      </c>
      <c r="J243" s="72" t="s">
        <v>187</v>
      </c>
      <c r="K243" s="74">
        <v>1.25</v>
      </c>
      <c r="L243" s="74">
        <f t="shared" si="28"/>
        <v>6.8627450980392163E-2</v>
      </c>
      <c r="M243" s="75">
        <f>prodnorm74</f>
        <v>0</v>
      </c>
      <c r="N243" s="76">
        <f>dagwerk74</f>
        <v>0</v>
      </c>
      <c r="O243" s="72" t="s">
        <v>54</v>
      </c>
      <c r="P243" s="77">
        <f>uurtarief74</f>
        <v>0</v>
      </c>
      <c r="Q243" s="74" t="e">
        <f t="shared" si="29"/>
        <v>#DIV/0!</v>
      </c>
      <c r="R243" s="74" t="e">
        <f t="shared" si="30"/>
        <v>#DIV/0!</v>
      </c>
      <c r="S243" s="77" t="e">
        <f t="shared" si="31"/>
        <v>#DIV/0!</v>
      </c>
      <c r="T243" s="74" t="e">
        <f t="shared" si="32"/>
        <v>#DIV/0!</v>
      </c>
      <c r="U243" s="78" t="e">
        <f t="shared" si="33"/>
        <v>#DIV/0!</v>
      </c>
    </row>
    <row r="244" spans="1:21" x14ac:dyDescent="0.2">
      <c r="A244" s="71" t="s">
        <v>538</v>
      </c>
      <c r="B244" s="72" t="s">
        <v>539</v>
      </c>
      <c r="C244" s="72" t="s">
        <v>330</v>
      </c>
      <c r="D244" s="72" t="s">
        <v>354</v>
      </c>
      <c r="E244" s="72" t="s">
        <v>300</v>
      </c>
      <c r="F244" s="73" t="s">
        <v>545</v>
      </c>
      <c r="G244" s="72" t="s">
        <v>326</v>
      </c>
      <c r="H244" s="72" t="s">
        <v>241</v>
      </c>
      <c r="I244" s="72" t="s">
        <v>41</v>
      </c>
      <c r="J244" s="72" t="s">
        <v>242</v>
      </c>
      <c r="K244" s="74">
        <v>1.25</v>
      </c>
      <c r="L244" s="74">
        <f t="shared" si="28"/>
        <v>4.9019607843137254E-3</v>
      </c>
      <c r="M244" s="75">
        <f>prodnorm117</f>
        <v>0</v>
      </c>
      <c r="N244" s="76">
        <f>dagwerk117</f>
        <v>0</v>
      </c>
      <c r="O244" s="72" t="s">
        <v>54</v>
      </c>
      <c r="P244" s="77">
        <f>uurtarief117</f>
        <v>0</v>
      </c>
      <c r="Q244" s="74" t="e">
        <f t="shared" si="29"/>
        <v>#DIV/0!</v>
      </c>
      <c r="R244" s="74" t="e">
        <f t="shared" si="30"/>
        <v>#DIV/0!</v>
      </c>
      <c r="S244" s="77" t="e">
        <f t="shared" si="31"/>
        <v>#DIV/0!</v>
      </c>
      <c r="T244" s="74" t="e">
        <f t="shared" si="32"/>
        <v>#DIV/0!</v>
      </c>
      <c r="U244" s="78" t="e">
        <f t="shared" si="33"/>
        <v>#DIV/0!</v>
      </c>
    </row>
    <row r="245" spans="1:21" x14ac:dyDescent="0.2">
      <c r="A245" s="71" t="s">
        <v>538</v>
      </c>
      <c r="B245" s="72" t="s">
        <v>539</v>
      </c>
      <c r="C245" s="72" t="s">
        <v>330</v>
      </c>
      <c r="D245" s="72" t="s">
        <v>356</v>
      </c>
      <c r="E245" s="72" t="s">
        <v>300</v>
      </c>
      <c r="F245" s="73" t="s">
        <v>319</v>
      </c>
      <c r="G245" s="72" t="s">
        <v>309</v>
      </c>
      <c r="H245" s="72" t="s">
        <v>222</v>
      </c>
      <c r="I245" s="72" t="s">
        <v>31</v>
      </c>
      <c r="J245" s="72" t="s">
        <v>187</v>
      </c>
      <c r="K245" s="74">
        <v>1.25</v>
      </c>
      <c r="L245" s="74">
        <f t="shared" si="28"/>
        <v>9.3137254901960786E-2</v>
      </c>
      <c r="M245" s="75">
        <f>prodnorm77</f>
        <v>0</v>
      </c>
      <c r="N245" s="76">
        <f>dagwerk77</f>
        <v>0</v>
      </c>
      <c r="O245" s="72" t="s">
        <v>54</v>
      </c>
      <c r="P245" s="77">
        <f>uurtarief77</f>
        <v>0</v>
      </c>
      <c r="Q245" s="74" t="e">
        <f t="shared" si="29"/>
        <v>#DIV/0!</v>
      </c>
      <c r="R245" s="74" t="e">
        <f t="shared" si="30"/>
        <v>#DIV/0!</v>
      </c>
      <c r="S245" s="77" t="e">
        <f t="shared" si="31"/>
        <v>#DIV/0!</v>
      </c>
      <c r="T245" s="74" t="e">
        <f t="shared" si="32"/>
        <v>#DIV/0!</v>
      </c>
      <c r="U245" s="78" t="e">
        <f t="shared" si="33"/>
        <v>#DIV/0!</v>
      </c>
    </row>
    <row r="246" spans="1:21" x14ac:dyDescent="0.2">
      <c r="A246" s="71" t="s">
        <v>538</v>
      </c>
      <c r="B246" s="72" t="s">
        <v>539</v>
      </c>
      <c r="C246" s="72" t="s">
        <v>330</v>
      </c>
      <c r="D246" s="72" t="s">
        <v>356</v>
      </c>
      <c r="E246" s="72" t="s">
        <v>300</v>
      </c>
      <c r="F246" s="73" t="s">
        <v>319</v>
      </c>
      <c r="G246" s="72" t="s">
        <v>309</v>
      </c>
      <c r="H246" s="72" t="s">
        <v>222</v>
      </c>
      <c r="I246" s="72" t="s">
        <v>34</v>
      </c>
      <c r="J246" s="72" t="s">
        <v>187</v>
      </c>
      <c r="K246" s="74">
        <v>1.25</v>
      </c>
      <c r="L246" s="74">
        <f t="shared" si="28"/>
        <v>6.8627450980392163E-2</v>
      </c>
      <c r="M246" s="75">
        <f>prodnorm74</f>
        <v>0</v>
      </c>
      <c r="N246" s="76">
        <f>dagwerk74</f>
        <v>0</v>
      </c>
      <c r="O246" s="72" t="s">
        <v>54</v>
      </c>
      <c r="P246" s="77">
        <f>uurtarief74</f>
        <v>0</v>
      </c>
      <c r="Q246" s="74" t="e">
        <f t="shared" si="29"/>
        <v>#DIV/0!</v>
      </c>
      <c r="R246" s="74" t="e">
        <f t="shared" si="30"/>
        <v>#DIV/0!</v>
      </c>
      <c r="S246" s="77" t="e">
        <f t="shared" si="31"/>
        <v>#DIV/0!</v>
      </c>
      <c r="T246" s="74" t="e">
        <f t="shared" si="32"/>
        <v>#DIV/0!</v>
      </c>
      <c r="U246" s="78" t="e">
        <f t="shared" si="33"/>
        <v>#DIV/0!</v>
      </c>
    </row>
    <row r="247" spans="1:21" x14ac:dyDescent="0.2">
      <c r="A247" s="71" t="s">
        <v>538</v>
      </c>
      <c r="B247" s="72" t="s">
        <v>539</v>
      </c>
      <c r="C247" s="72" t="s">
        <v>330</v>
      </c>
      <c r="D247" s="72" t="s">
        <v>363</v>
      </c>
      <c r="E247" s="72" t="s">
        <v>300</v>
      </c>
      <c r="F247" s="73" t="s">
        <v>359</v>
      </c>
      <c r="G247" s="72" t="s">
        <v>326</v>
      </c>
      <c r="H247" s="72" t="s">
        <v>191</v>
      </c>
      <c r="I247" s="72" t="s">
        <v>34</v>
      </c>
      <c r="J247" s="72" t="s">
        <v>187</v>
      </c>
      <c r="K247" s="74">
        <v>16</v>
      </c>
      <c r="L247" s="74">
        <f t="shared" si="28"/>
        <v>0.8784313725490196</v>
      </c>
      <c r="M247" s="75">
        <f>prodnorm29</f>
        <v>0</v>
      </c>
      <c r="N247" s="76">
        <f>dagwerk29</f>
        <v>0</v>
      </c>
      <c r="O247" s="72" t="s">
        <v>54</v>
      </c>
      <c r="P247" s="77">
        <f>uurtarief29</f>
        <v>0</v>
      </c>
      <c r="Q247" s="74" t="e">
        <f t="shared" si="29"/>
        <v>#DIV/0!</v>
      </c>
      <c r="R247" s="74" t="e">
        <f t="shared" si="30"/>
        <v>#DIV/0!</v>
      </c>
      <c r="S247" s="77" t="e">
        <f t="shared" si="31"/>
        <v>#DIV/0!</v>
      </c>
      <c r="T247" s="74" t="e">
        <f t="shared" si="32"/>
        <v>#DIV/0!</v>
      </c>
      <c r="U247" s="78" t="e">
        <f t="shared" si="33"/>
        <v>#DIV/0!</v>
      </c>
    </row>
    <row r="248" spans="1:21" x14ac:dyDescent="0.2">
      <c r="A248" s="71" t="s">
        <v>538</v>
      </c>
      <c r="B248" s="72" t="s">
        <v>539</v>
      </c>
      <c r="C248" s="72" t="s">
        <v>330</v>
      </c>
      <c r="D248" s="72" t="s">
        <v>363</v>
      </c>
      <c r="E248" s="72" t="s">
        <v>300</v>
      </c>
      <c r="F248" s="73" t="s">
        <v>359</v>
      </c>
      <c r="G248" s="72" t="s">
        <v>326</v>
      </c>
      <c r="H248" s="72" t="s">
        <v>191</v>
      </c>
      <c r="I248" s="72" t="s">
        <v>31</v>
      </c>
      <c r="J248" s="72" t="s">
        <v>187</v>
      </c>
      <c r="K248" s="74">
        <v>16</v>
      </c>
      <c r="L248" s="74">
        <f t="shared" si="28"/>
        <v>1.192156862745098</v>
      </c>
      <c r="M248" s="75">
        <f>prodnorm30</f>
        <v>0</v>
      </c>
      <c r="N248" s="76">
        <f>dagwerk30</f>
        <v>0</v>
      </c>
      <c r="O248" s="72" t="s">
        <v>54</v>
      </c>
      <c r="P248" s="77">
        <f>uurtarief30</f>
        <v>0</v>
      </c>
      <c r="Q248" s="74" t="e">
        <f t="shared" si="29"/>
        <v>#DIV/0!</v>
      </c>
      <c r="R248" s="74" t="e">
        <f t="shared" si="30"/>
        <v>#DIV/0!</v>
      </c>
      <c r="S248" s="77" t="e">
        <f t="shared" si="31"/>
        <v>#DIV/0!</v>
      </c>
      <c r="T248" s="74" t="e">
        <f t="shared" si="32"/>
        <v>#DIV/0!</v>
      </c>
      <c r="U248" s="78" t="e">
        <f t="shared" si="33"/>
        <v>#DIV/0!</v>
      </c>
    </row>
    <row r="249" spans="1:21" x14ac:dyDescent="0.2">
      <c r="A249" s="71" t="s">
        <v>538</v>
      </c>
      <c r="B249" s="72" t="s">
        <v>539</v>
      </c>
      <c r="C249" s="72" t="s">
        <v>330</v>
      </c>
      <c r="D249" s="72" t="s">
        <v>363</v>
      </c>
      <c r="E249" s="72" t="s">
        <v>300</v>
      </c>
      <c r="F249" s="73" t="s">
        <v>359</v>
      </c>
      <c r="G249" s="72" t="s">
        <v>326</v>
      </c>
      <c r="H249" s="72" t="s">
        <v>241</v>
      </c>
      <c r="I249" s="72" t="s">
        <v>41</v>
      </c>
      <c r="J249" s="72" t="s">
        <v>242</v>
      </c>
      <c r="K249" s="74">
        <v>16</v>
      </c>
      <c r="L249" s="74">
        <f t="shared" si="28"/>
        <v>6.2745098039215685E-2</v>
      </c>
      <c r="M249" s="75">
        <f>prodnorm117</f>
        <v>0</v>
      </c>
      <c r="N249" s="76">
        <f>dagwerk117</f>
        <v>0</v>
      </c>
      <c r="O249" s="72" t="s">
        <v>54</v>
      </c>
      <c r="P249" s="77">
        <f>uurtarief117</f>
        <v>0</v>
      </c>
      <c r="Q249" s="74" t="e">
        <f t="shared" si="29"/>
        <v>#DIV/0!</v>
      </c>
      <c r="R249" s="74" t="e">
        <f t="shared" si="30"/>
        <v>#DIV/0!</v>
      </c>
      <c r="S249" s="77" t="e">
        <f t="shared" si="31"/>
        <v>#DIV/0!</v>
      </c>
      <c r="T249" s="74" t="e">
        <f t="shared" si="32"/>
        <v>#DIV/0!</v>
      </c>
      <c r="U249" s="78" t="e">
        <f t="shared" si="33"/>
        <v>#DIV/0!</v>
      </c>
    </row>
    <row r="250" spans="1:21" x14ac:dyDescent="0.2">
      <c r="A250" s="71" t="s">
        <v>538</v>
      </c>
      <c r="B250" s="72" t="s">
        <v>539</v>
      </c>
      <c r="C250" s="72" t="s">
        <v>330</v>
      </c>
      <c r="D250" s="72" t="s">
        <v>546</v>
      </c>
      <c r="E250" s="72" t="s">
        <v>300</v>
      </c>
      <c r="F250" s="73" t="s">
        <v>547</v>
      </c>
      <c r="G250" s="72" t="s">
        <v>309</v>
      </c>
      <c r="H250" s="72" t="s">
        <v>222</v>
      </c>
      <c r="I250" s="72" t="s">
        <v>34</v>
      </c>
      <c r="J250" s="72" t="s">
        <v>187</v>
      </c>
      <c r="K250" s="74">
        <v>7</v>
      </c>
      <c r="L250" s="74">
        <f t="shared" si="28"/>
        <v>0.38431372549019605</v>
      </c>
      <c r="M250" s="75">
        <f>prodnorm74</f>
        <v>0</v>
      </c>
      <c r="N250" s="76">
        <f>dagwerk74</f>
        <v>0</v>
      </c>
      <c r="O250" s="72" t="s">
        <v>54</v>
      </c>
      <c r="P250" s="77">
        <f>uurtarief74</f>
        <v>0</v>
      </c>
      <c r="Q250" s="74" t="e">
        <f t="shared" si="29"/>
        <v>#DIV/0!</v>
      </c>
      <c r="R250" s="74" t="e">
        <f t="shared" si="30"/>
        <v>#DIV/0!</v>
      </c>
      <c r="S250" s="77" t="e">
        <f t="shared" si="31"/>
        <v>#DIV/0!</v>
      </c>
      <c r="T250" s="74" t="e">
        <f t="shared" si="32"/>
        <v>#DIV/0!</v>
      </c>
      <c r="U250" s="78" t="e">
        <f t="shared" si="33"/>
        <v>#DIV/0!</v>
      </c>
    </row>
    <row r="251" spans="1:21" x14ac:dyDescent="0.2">
      <c r="A251" s="71" t="s">
        <v>538</v>
      </c>
      <c r="B251" s="72" t="s">
        <v>539</v>
      </c>
      <c r="C251" s="72" t="s">
        <v>330</v>
      </c>
      <c r="D251" s="72" t="s">
        <v>546</v>
      </c>
      <c r="E251" s="72" t="s">
        <v>300</v>
      </c>
      <c r="F251" s="73" t="s">
        <v>547</v>
      </c>
      <c r="G251" s="72" t="s">
        <v>309</v>
      </c>
      <c r="H251" s="72" t="s">
        <v>222</v>
      </c>
      <c r="I251" s="72" t="s">
        <v>31</v>
      </c>
      <c r="J251" s="72" t="s">
        <v>187</v>
      </c>
      <c r="K251" s="74">
        <v>7</v>
      </c>
      <c r="L251" s="74">
        <f t="shared" si="28"/>
        <v>0.52156862745098043</v>
      </c>
      <c r="M251" s="75">
        <f>prodnorm77</f>
        <v>0</v>
      </c>
      <c r="N251" s="76">
        <f>dagwerk77</f>
        <v>0</v>
      </c>
      <c r="O251" s="72" t="s">
        <v>54</v>
      </c>
      <c r="P251" s="77">
        <f>uurtarief77</f>
        <v>0</v>
      </c>
      <c r="Q251" s="74" t="e">
        <f t="shared" si="29"/>
        <v>#DIV/0!</v>
      </c>
      <c r="R251" s="74" t="e">
        <f t="shared" si="30"/>
        <v>#DIV/0!</v>
      </c>
      <c r="S251" s="77" t="e">
        <f t="shared" si="31"/>
        <v>#DIV/0!</v>
      </c>
      <c r="T251" s="74" t="e">
        <f t="shared" si="32"/>
        <v>#DIV/0!</v>
      </c>
      <c r="U251" s="78" t="e">
        <f t="shared" si="33"/>
        <v>#DIV/0!</v>
      </c>
    </row>
    <row r="252" spans="1:21" x14ac:dyDescent="0.2">
      <c r="A252" s="71" t="s">
        <v>538</v>
      </c>
      <c r="B252" s="72" t="s">
        <v>539</v>
      </c>
      <c r="C252" s="72" t="s">
        <v>330</v>
      </c>
      <c r="D252" s="72" t="s">
        <v>365</v>
      </c>
      <c r="E252" s="72" t="s">
        <v>300</v>
      </c>
      <c r="F252" s="73" t="s">
        <v>548</v>
      </c>
      <c r="G252" s="72" t="s">
        <v>309</v>
      </c>
      <c r="H252" s="72" t="s">
        <v>195</v>
      </c>
      <c r="I252" s="72" t="s">
        <v>34</v>
      </c>
      <c r="J252" s="72" t="s">
        <v>187</v>
      </c>
      <c r="K252" s="74">
        <v>14</v>
      </c>
      <c r="L252" s="74">
        <f t="shared" si="28"/>
        <v>0.76862745098039209</v>
      </c>
      <c r="M252" s="75">
        <f>prodnorm38</f>
        <v>0</v>
      </c>
      <c r="N252" s="76">
        <f>dagwerk38</f>
        <v>0</v>
      </c>
      <c r="O252" s="72" t="s">
        <v>54</v>
      </c>
      <c r="P252" s="77">
        <f>uurtarief38</f>
        <v>0</v>
      </c>
      <c r="Q252" s="74" t="e">
        <f t="shared" si="29"/>
        <v>#DIV/0!</v>
      </c>
      <c r="R252" s="74" t="e">
        <f t="shared" si="30"/>
        <v>#DIV/0!</v>
      </c>
      <c r="S252" s="77" t="e">
        <f t="shared" si="31"/>
        <v>#DIV/0!</v>
      </c>
      <c r="T252" s="74" t="e">
        <f t="shared" si="32"/>
        <v>#DIV/0!</v>
      </c>
      <c r="U252" s="78" t="e">
        <f t="shared" si="33"/>
        <v>#DIV/0!</v>
      </c>
    </row>
    <row r="253" spans="1:21" x14ac:dyDescent="0.2">
      <c r="A253" s="71" t="s">
        <v>538</v>
      </c>
      <c r="B253" s="72" t="s">
        <v>539</v>
      </c>
      <c r="C253" s="72" t="s">
        <v>330</v>
      </c>
      <c r="D253" s="72" t="s">
        <v>365</v>
      </c>
      <c r="E253" s="72" t="s">
        <v>300</v>
      </c>
      <c r="F253" s="73" t="s">
        <v>548</v>
      </c>
      <c r="G253" s="72" t="s">
        <v>309</v>
      </c>
      <c r="H253" s="72" t="s">
        <v>195</v>
      </c>
      <c r="I253" s="72" t="s">
        <v>31</v>
      </c>
      <c r="J253" s="72" t="s">
        <v>187</v>
      </c>
      <c r="K253" s="74">
        <v>14</v>
      </c>
      <c r="L253" s="74">
        <f t="shared" si="28"/>
        <v>1.0431372549019609</v>
      </c>
      <c r="M253" s="75">
        <f>prodnorm40</f>
        <v>0</v>
      </c>
      <c r="N253" s="76">
        <f>dagwerk40</f>
        <v>0</v>
      </c>
      <c r="O253" s="72" t="s">
        <v>54</v>
      </c>
      <c r="P253" s="77">
        <f>uurtarief40</f>
        <v>0</v>
      </c>
      <c r="Q253" s="74" t="e">
        <f t="shared" si="29"/>
        <v>#DIV/0!</v>
      </c>
      <c r="R253" s="74" t="e">
        <f t="shared" si="30"/>
        <v>#DIV/0!</v>
      </c>
      <c r="S253" s="77" t="e">
        <f t="shared" si="31"/>
        <v>#DIV/0!</v>
      </c>
      <c r="T253" s="74" t="e">
        <f t="shared" si="32"/>
        <v>#DIV/0!</v>
      </c>
      <c r="U253" s="78" t="e">
        <f t="shared" si="33"/>
        <v>#DIV/0!</v>
      </c>
    </row>
    <row r="254" spans="1:21" x14ac:dyDescent="0.2">
      <c r="A254" s="71" t="s">
        <v>538</v>
      </c>
      <c r="B254" s="72" t="s">
        <v>539</v>
      </c>
      <c r="C254" s="72" t="s">
        <v>330</v>
      </c>
      <c r="D254" s="72" t="s">
        <v>549</v>
      </c>
      <c r="E254" s="72" t="s">
        <v>300</v>
      </c>
      <c r="F254" s="73" t="s">
        <v>550</v>
      </c>
      <c r="G254" s="72" t="s">
        <v>309</v>
      </c>
      <c r="H254" s="72" t="s">
        <v>195</v>
      </c>
      <c r="I254" s="72" t="s">
        <v>34</v>
      </c>
      <c r="J254" s="72" t="s">
        <v>187</v>
      </c>
      <c r="K254" s="74">
        <v>14</v>
      </c>
      <c r="L254" s="74">
        <f t="shared" si="28"/>
        <v>0.76862745098039209</v>
      </c>
      <c r="M254" s="75">
        <f>prodnorm38</f>
        <v>0</v>
      </c>
      <c r="N254" s="76">
        <f>dagwerk38</f>
        <v>0</v>
      </c>
      <c r="O254" s="72" t="s">
        <v>54</v>
      </c>
      <c r="P254" s="77">
        <f>uurtarief38</f>
        <v>0</v>
      </c>
      <c r="Q254" s="74" t="e">
        <f t="shared" si="29"/>
        <v>#DIV/0!</v>
      </c>
      <c r="R254" s="74" t="e">
        <f t="shared" si="30"/>
        <v>#DIV/0!</v>
      </c>
      <c r="S254" s="77" t="e">
        <f t="shared" si="31"/>
        <v>#DIV/0!</v>
      </c>
      <c r="T254" s="74" t="e">
        <f t="shared" si="32"/>
        <v>#DIV/0!</v>
      </c>
      <c r="U254" s="78" t="e">
        <f t="shared" si="33"/>
        <v>#DIV/0!</v>
      </c>
    </row>
    <row r="255" spans="1:21" x14ac:dyDescent="0.2">
      <c r="A255" s="71" t="s">
        <v>538</v>
      </c>
      <c r="B255" s="72" t="s">
        <v>539</v>
      </c>
      <c r="C255" s="72" t="s">
        <v>330</v>
      </c>
      <c r="D255" s="72" t="s">
        <v>549</v>
      </c>
      <c r="E255" s="72" t="s">
        <v>300</v>
      </c>
      <c r="F255" s="73" t="s">
        <v>550</v>
      </c>
      <c r="G255" s="72" t="s">
        <v>309</v>
      </c>
      <c r="H255" s="72" t="s">
        <v>195</v>
      </c>
      <c r="I255" s="72" t="s">
        <v>31</v>
      </c>
      <c r="J255" s="72" t="s">
        <v>187</v>
      </c>
      <c r="K255" s="74">
        <v>14</v>
      </c>
      <c r="L255" s="74">
        <f t="shared" si="28"/>
        <v>1.0431372549019609</v>
      </c>
      <c r="M255" s="75">
        <f>prodnorm40</f>
        <v>0</v>
      </c>
      <c r="N255" s="76">
        <f>dagwerk40</f>
        <v>0</v>
      </c>
      <c r="O255" s="72" t="s">
        <v>54</v>
      </c>
      <c r="P255" s="77">
        <f>uurtarief40</f>
        <v>0</v>
      </c>
      <c r="Q255" s="74" t="e">
        <f t="shared" si="29"/>
        <v>#DIV/0!</v>
      </c>
      <c r="R255" s="74" t="e">
        <f t="shared" si="30"/>
        <v>#DIV/0!</v>
      </c>
      <c r="S255" s="77" t="e">
        <f t="shared" si="31"/>
        <v>#DIV/0!</v>
      </c>
      <c r="T255" s="74" t="e">
        <f t="shared" si="32"/>
        <v>#DIV/0!</v>
      </c>
      <c r="U255" s="78" t="e">
        <f t="shared" si="33"/>
        <v>#DIV/0!</v>
      </c>
    </row>
    <row r="256" spans="1:21" x14ac:dyDescent="0.2">
      <c r="A256" s="71" t="s">
        <v>538</v>
      </c>
      <c r="B256" s="72" t="s">
        <v>551</v>
      </c>
      <c r="C256" s="72" t="s">
        <v>330</v>
      </c>
      <c r="D256" s="72" t="s">
        <v>540</v>
      </c>
      <c r="E256" s="72" t="s">
        <v>300</v>
      </c>
      <c r="F256" s="73" t="s">
        <v>552</v>
      </c>
      <c r="G256" s="72" t="s">
        <v>309</v>
      </c>
      <c r="H256" s="72" t="s">
        <v>195</v>
      </c>
      <c r="I256" s="72" t="s">
        <v>26</v>
      </c>
      <c r="J256" s="72" t="s">
        <v>187</v>
      </c>
      <c r="K256" s="74">
        <v>6</v>
      </c>
      <c r="L256" s="74">
        <f t="shared" si="28"/>
        <v>0.84705882352941175</v>
      </c>
      <c r="M256" s="75">
        <f>prodnorm45</f>
        <v>0</v>
      </c>
      <c r="N256" s="76">
        <f>dagwerk45</f>
        <v>0</v>
      </c>
      <c r="O256" s="72" t="s">
        <v>54</v>
      </c>
      <c r="P256" s="77">
        <f>uurtarief45</f>
        <v>0</v>
      </c>
      <c r="Q256" s="74" t="e">
        <f t="shared" si="29"/>
        <v>#DIV/0!</v>
      </c>
      <c r="R256" s="74" t="e">
        <f t="shared" si="30"/>
        <v>#DIV/0!</v>
      </c>
      <c r="S256" s="77" t="e">
        <f t="shared" si="31"/>
        <v>#DIV/0!</v>
      </c>
      <c r="T256" s="74" t="e">
        <f t="shared" si="32"/>
        <v>#DIV/0!</v>
      </c>
      <c r="U256" s="78" t="e">
        <f t="shared" si="33"/>
        <v>#DIV/0!</v>
      </c>
    </row>
    <row r="257" spans="1:21" x14ac:dyDescent="0.2">
      <c r="A257" s="71" t="s">
        <v>538</v>
      </c>
      <c r="B257" s="72" t="s">
        <v>551</v>
      </c>
      <c r="C257" s="72" t="s">
        <v>330</v>
      </c>
      <c r="D257" s="72" t="s">
        <v>540</v>
      </c>
      <c r="E257" s="72" t="s">
        <v>300</v>
      </c>
      <c r="F257" s="73" t="s">
        <v>552</v>
      </c>
      <c r="G257" s="72" t="s">
        <v>309</v>
      </c>
      <c r="H257" s="72" t="s">
        <v>195</v>
      </c>
      <c r="I257" s="72" t="s">
        <v>15</v>
      </c>
      <c r="J257" s="72" t="s">
        <v>187</v>
      </c>
      <c r="K257" s="74">
        <v>6</v>
      </c>
      <c r="L257" s="74">
        <f t="shared" si="28"/>
        <v>4.117647058823529</v>
      </c>
      <c r="M257" s="75">
        <f>prodnorm39</f>
        <v>0</v>
      </c>
      <c r="N257" s="76">
        <f>dagwerk39</f>
        <v>0</v>
      </c>
      <c r="O257" s="72" t="s">
        <v>54</v>
      </c>
      <c r="P257" s="77">
        <f>uurtarief39</f>
        <v>0</v>
      </c>
      <c r="Q257" s="74" t="e">
        <f t="shared" si="29"/>
        <v>#DIV/0!</v>
      </c>
      <c r="R257" s="74" t="e">
        <f t="shared" si="30"/>
        <v>#DIV/0!</v>
      </c>
      <c r="S257" s="77" t="e">
        <f t="shared" si="31"/>
        <v>#DIV/0!</v>
      </c>
      <c r="T257" s="74" t="e">
        <f t="shared" si="32"/>
        <v>#DIV/0!</v>
      </c>
      <c r="U257" s="78" t="e">
        <f t="shared" si="33"/>
        <v>#DIV/0!</v>
      </c>
    </row>
    <row r="258" spans="1:21" x14ac:dyDescent="0.2">
      <c r="A258" s="71" t="s">
        <v>538</v>
      </c>
      <c r="B258" s="72" t="s">
        <v>551</v>
      </c>
      <c r="C258" s="72" t="s">
        <v>330</v>
      </c>
      <c r="D258" s="72" t="s">
        <v>540</v>
      </c>
      <c r="E258" s="72" t="s">
        <v>300</v>
      </c>
      <c r="F258" s="73" t="s">
        <v>552</v>
      </c>
      <c r="G258" s="72" t="s">
        <v>309</v>
      </c>
      <c r="H258" s="72" t="s">
        <v>197</v>
      </c>
      <c r="I258" s="72" t="s">
        <v>23</v>
      </c>
      <c r="J258" s="72" t="s">
        <v>187</v>
      </c>
      <c r="K258" s="74">
        <v>6</v>
      </c>
      <c r="L258" s="74">
        <f t="shared" si="28"/>
        <v>1.5294117647058822</v>
      </c>
      <c r="M258" s="75">
        <f>prodnorm47</f>
        <v>0</v>
      </c>
      <c r="N258" s="76">
        <f>dagwerk47</f>
        <v>0</v>
      </c>
      <c r="O258" s="72" t="s">
        <v>54</v>
      </c>
      <c r="P258" s="77">
        <f>uurtarief47</f>
        <v>0</v>
      </c>
      <c r="Q258" s="74" t="e">
        <f t="shared" si="29"/>
        <v>#DIV/0!</v>
      </c>
      <c r="R258" s="74" t="e">
        <f t="shared" si="30"/>
        <v>#DIV/0!</v>
      </c>
      <c r="S258" s="77" t="e">
        <f t="shared" si="31"/>
        <v>#DIV/0!</v>
      </c>
      <c r="T258" s="74" t="e">
        <f t="shared" si="32"/>
        <v>#DIV/0!</v>
      </c>
      <c r="U258" s="78" t="e">
        <f t="shared" si="33"/>
        <v>#DIV/0!</v>
      </c>
    </row>
    <row r="259" spans="1:21" x14ac:dyDescent="0.2">
      <c r="A259" s="71" t="s">
        <v>538</v>
      </c>
      <c r="B259" s="72" t="s">
        <v>551</v>
      </c>
      <c r="C259" s="72" t="s">
        <v>330</v>
      </c>
      <c r="D259" s="72" t="s">
        <v>335</v>
      </c>
      <c r="E259" s="72" t="s">
        <v>300</v>
      </c>
      <c r="F259" s="73" t="s">
        <v>319</v>
      </c>
      <c r="G259" s="72" t="s">
        <v>309</v>
      </c>
      <c r="H259" s="72" t="s">
        <v>222</v>
      </c>
      <c r="I259" s="72" t="s">
        <v>15</v>
      </c>
      <c r="J259" s="72" t="s">
        <v>187</v>
      </c>
      <c r="K259" s="74">
        <v>1.5</v>
      </c>
      <c r="L259" s="74">
        <f t="shared" si="28"/>
        <v>1.0294117647058822</v>
      </c>
      <c r="M259" s="75">
        <f>prodnorm75</f>
        <v>0</v>
      </c>
      <c r="N259" s="76">
        <f>dagwerk75</f>
        <v>0</v>
      </c>
      <c r="O259" s="72" t="s">
        <v>54</v>
      </c>
      <c r="P259" s="77">
        <f>uurtarief75</f>
        <v>0</v>
      </c>
      <c r="Q259" s="74" t="e">
        <f t="shared" si="29"/>
        <v>#DIV/0!</v>
      </c>
      <c r="R259" s="74" t="e">
        <f t="shared" si="30"/>
        <v>#DIV/0!</v>
      </c>
      <c r="S259" s="77" t="e">
        <f t="shared" si="31"/>
        <v>#DIV/0!</v>
      </c>
      <c r="T259" s="74" t="e">
        <f t="shared" si="32"/>
        <v>#DIV/0!</v>
      </c>
      <c r="U259" s="78" t="e">
        <f t="shared" si="33"/>
        <v>#DIV/0!</v>
      </c>
    </row>
    <row r="260" spans="1:21" x14ac:dyDescent="0.2">
      <c r="A260" s="71" t="s">
        <v>538</v>
      </c>
      <c r="B260" s="72" t="s">
        <v>551</v>
      </c>
      <c r="C260" s="72" t="s">
        <v>330</v>
      </c>
      <c r="D260" s="72" t="s">
        <v>335</v>
      </c>
      <c r="E260" s="72" t="s">
        <v>300</v>
      </c>
      <c r="F260" s="73" t="s">
        <v>319</v>
      </c>
      <c r="G260" s="72" t="s">
        <v>309</v>
      </c>
      <c r="H260" s="72" t="s">
        <v>222</v>
      </c>
      <c r="I260" s="72" t="s">
        <v>26</v>
      </c>
      <c r="J260" s="72" t="s">
        <v>187</v>
      </c>
      <c r="K260" s="74">
        <v>1.5</v>
      </c>
      <c r="L260" s="74">
        <f t="shared" si="28"/>
        <v>0.21176470588235294</v>
      </c>
      <c r="M260" s="75">
        <f>prodnorm83</f>
        <v>0</v>
      </c>
      <c r="N260" s="76">
        <f>dagwerk83</f>
        <v>0</v>
      </c>
      <c r="O260" s="72" t="s">
        <v>54</v>
      </c>
      <c r="P260" s="77">
        <f>uurtarief83</f>
        <v>0</v>
      </c>
      <c r="Q260" s="74" t="e">
        <f t="shared" si="29"/>
        <v>#DIV/0!</v>
      </c>
      <c r="R260" s="74" t="e">
        <f t="shared" si="30"/>
        <v>#DIV/0!</v>
      </c>
      <c r="S260" s="77" t="e">
        <f t="shared" si="31"/>
        <v>#DIV/0!</v>
      </c>
      <c r="T260" s="74" t="e">
        <f t="shared" si="32"/>
        <v>#DIV/0!</v>
      </c>
      <c r="U260" s="78" t="e">
        <f t="shared" si="33"/>
        <v>#DIV/0!</v>
      </c>
    </row>
    <row r="261" spans="1:21" x14ac:dyDescent="0.2">
      <c r="A261" s="71" t="s">
        <v>538</v>
      </c>
      <c r="B261" s="72" t="s">
        <v>551</v>
      </c>
      <c r="C261" s="72" t="s">
        <v>330</v>
      </c>
      <c r="D261" s="72" t="s">
        <v>335</v>
      </c>
      <c r="E261" s="72" t="s">
        <v>300</v>
      </c>
      <c r="F261" s="73" t="s">
        <v>319</v>
      </c>
      <c r="G261" s="72" t="s">
        <v>309</v>
      </c>
      <c r="H261" s="72" t="s">
        <v>224</v>
      </c>
      <c r="I261" s="72" t="s">
        <v>23</v>
      </c>
      <c r="J261" s="72" t="s">
        <v>187</v>
      </c>
      <c r="K261" s="74">
        <v>1.5</v>
      </c>
      <c r="L261" s="74">
        <f t="shared" si="28"/>
        <v>0.38235294117647056</v>
      </c>
      <c r="M261" s="75">
        <f>prodnorm89</f>
        <v>0</v>
      </c>
      <c r="N261" s="76">
        <f>dagwerk89</f>
        <v>0</v>
      </c>
      <c r="O261" s="72" t="s">
        <v>54</v>
      </c>
      <c r="P261" s="77">
        <f>uurtarief89</f>
        <v>0</v>
      </c>
      <c r="Q261" s="74" t="e">
        <f t="shared" si="29"/>
        <v>#DIV/0!</v>
      </c>
      <c r="R261" s="74" t="e">
        <f t="shared" si="30"/>
        <v>#DIV/0!</v>
      </c>
      <c r="S261" s="77" t="e">
        <f t="shared" si="31"/>
        <v>#DIV/0!</v>
      </c>
      <c r="T261" s="74" t="e">
        <f t="shared" si="32"/>
        <v>#DIV/0!</v>
      </c>
      <c r="U261" s="78" t="e">
        <f t="shared" si="33"/>
        <v>#DIV/0!</v>
      </c>
    </row>
    <row r="262" spans="1:21" x14ac:dyDescent="0.2">
      <c r="A262" s="71" t="s">
        <v>538</v>
      </c>
      <c r="B262" s="72" t="s">
        <v>551</v>
      </c>
      <c r="C262" s="72" t="s">
        <v>330</v>
      </c>
      <c r="D262" s="72" t="s">
        <v>340</v>
      </c>
      <c r="E262" s="72" t="s">
        <v>300</v>
      </c>
      <c r="F262" s="73" t="s">
        <v>319</v>
      </c>
      <c r="G262" s="72" t="s">
        <v>309</v>
      </c>
      <c r="H262" s="72" t="s">
        <v>222</v>
      </c>
      <c r="I262" s="72" t="s">
        <v>26</v>
      </c>
      <c r="J262" s="72" t="s">
        <v>187</v>
      </c>
      <c r="K262" s="74">
        <v>1</v>
      </c>
      <c r="L262" s="74">
        <f t="shared" si="28"/>
        <v>0.14117647058823529</v>
      </c>
      <c r="M262" s="75">
        <f>prodnorm83</f>
        <v>0</v>
      </c>
      <c r="N262" s="76">
        <f>dagwerk83</f>
        <v>0</v>
      </c>
      <c r="O262" s="72" t="s">
        <v>54</v>
      </c>
      <c r="P262" s="77">
        <f>uurtarief83</f>
        <v>0</v>
      </c>
      <c r="Q262" s="74" t="e">
        <f t="shared" si="29"/>
        <v>#DIV/0!</v>
      </c>
      <c r="R262" s="74" t="e">
        <f t="shared" si="30"/>
        <v>#DIV/0!</v>
      </c>
      <c r="S262" s="77" t="e">
        <f t="shared" si="31"/>
        <v>#DIV/0!</v>
      </c>
      <c r="T262" s="74" t="e">
        <f t="shared" si="32"/>
        <v>#DIV/0!</v>
      </c>
      <c r="U262" s="78" t="e">
        <f t="shared" si="33"/>
        <v>#DIV/0!</v>
      </c>
    </row>
    <row r="263" spans="1:21" x14ac:dyDescent="0.2">
      <c r="A263" s="71" t="s">
        <v>538</v>
      </c>
      <c r="B263" s="72" t="s">
        <v>551</v>
      </c>
      <c r="C263" s="72" t="s">
        <v>330</v>
      </c>
      <c r="D263" s="72" t="s">
        <v>340</v>
      </c>
      <c r="E263" s="72" t="s">
        <v>300</v>
      </c>
      <c r="F263" s="73" t="s">
        <v>319</v>
      </c>
      <c r="G263" s="72" t="s">
        <v>309</v>
      </c>
      <c r="H263" s="72" t="s">
        <v>222</v>
      </c>
      <c r="I263" s="72" t="s">
        <v>15</v>
      </c>
      <c r="J263" s="72" t="s">
        <v>187</v>
      </c>
      <c r="K263" s="74">
        <v>1</v>
      </c>
      <c r="L263" s="74">
        <f t="shared" si="28"/>
        <v>0.68627450980392157</v>
      </c>
      <c r="M263" s="75">
        <f>prodnorm75</f>
        <v>0</v>
      </c>
      <c r="N263" s="76">
        <f>dagwerk75</f>
        <v>0</v>
      </c>
      <c r="O263" s="72" t="s">
        <v>54</v>
      </c>
      <c r="P263" s="77">
        <f>uurtarief75</f>
        <v>0</v>
      </c>
      <c r="Q263" s="74" t="e">
        <f t="shared" si="29"/>
        <v>#DIV/0!</v>
      </c>
      <c r="R263" s="74" t="e">
        <f t="shared" si="30"/>
        <v>#DIV/0!</v>
      </c>
      <c r="S263" s="77" t="e">
        <f t="shared" si="31"/>
        <v>#DIV/0!</v>
      </c>
      <c r="T263" s="74" t="e">
        <f t="shared" si="32"/>
        <v>#DIV/0!</v>
      </c>
      <c r="U263" s="78" t="e">
        <f t="shared" si="33"/>
        <v>#DIV/0!</v>
      </c>
    </row>
    <row r="264" spans="1:21" x14ac:dyDescent="0.2">
      <c r="A264" s="71" t="s">
        <v>538</v>
      </c>
      <c r="B264" s="72" t="s">
        <v>551</v>
      </c>
      <c r="C264" s="72" t="s">
        <v>330</v>
      </c>
      <c r="D264" s="72" t="s">
        <v>340</v>
      </c>
      <c r="E264" s="72" t="s">
        <v>300</v>
      </c>
      <c r="F264" s="73" t="s">
        <v>319</v>
      </c>
      <c r="G264" s="72" t="s">
        <v>309</v>
      </c>
      <c r="H264" s="72" t="s">
        <v>224</v>
      </c>
      <c r="I264" s="72" t="s">
        <v>23</v>
      </c>
      <c r="J264" s="72" t="s">
        <v>187</v>
      </c>
      <c r="K264" s="74">
        <v>1</v>
      </c>
      <c r="L264" s="74">
        <f t="shared" si="28"/>
        <v>0.25490196078431371</v>
      </c>
      <c r="M264" s="75">
        <f>prodnorm89</f>
        <v>0</v>
      </c>
      <c r="N264" s="76">
        <f>dagwerk89</f>
        <v>0</v>
      </c>
      <c r="O264" s="72" t="s">
        <v>54</v>
      </c>
      <c r="P264" s="77">
        <f>uurtarief89</f>
        <v>0</v>
      </c>
      <c r="Q264" s="74" t="e">
        <f t="shared" si="29"/>
        <v>#DIV/0!</v>
      </c>
      <c r="R264" s="74" t="e">
        <f t="shared" si="30"/>
        <v>#DIV/0!</v>
      </c>
      <c r="S264" s="77" t="e">
        <f t="shared" si="31"/>
        <v>#DIV/0!</v>
      </c>
      <c r="T264" s="74" t="e">
        <f t="shared" si="32"/>
        <v>#DIV/0!</v>
      </c>
      <c r="U264" s="78" t="e">
        <f t="shared" si="33"/>
        <v>#DIV/0!</v>
      </c>
    </row>
    <row r="265" spans="1:21" x14ac:dyDescent="0.2">
      <c r="A265" s="71" t="s">
        <v>538</v>
      </c>
      <c r="B265" s="72" t="s">
        <v>551</v>
      </c>
      <c r="C265" s="72" t="s">
        <v>330</v>
      </c>
      <c r="D265" s="72" t="s">
        <v>553</v>
      </c>
      <c r="E265" s="72" t="s">
        <v>300</v>
      </c>
      <c r="F265" s="73" t="s">
        <v>319</v>
      </c>
      <c r="G265" s="72" t="s">
        <v>309</v>
      </c>
      <c r="H265" s="72" t="s">
        <v>222</v>
      </c>
      <c r="I265" s="72" t="s">
        <v>26</v>
      </c>
      <c r="J265" s="72" t="s">
        <v>187</v>
      </c>
      <c r="K265" s="74">
        <v>1</v>
      </c>
      <c r="L265" s="74">
        <f t="shared" si="28"/>
        <v>0.14117647058823529</v>
      </c>
      <c r="M265" s="75">
        <f>prodnorm83</f>
        <v>0</v>
      </c>
      <c r="N265" s="76">
        <f>dagwerk83</f>
        <v>0</v>
      </c>
      <c r="O265" s="72" t="s">
        <v>54</v>
      </c>
      <c r="P265" s="77">
        <f>uurtarief83</f>
        <v>0</v>
      </c>
      <c r="Q265" s="74" t="e">
        <f t="shared" si="29"/>
        <v>#DIV/0!</v>
      </c>
      <c r="R265" s="74" t="e">
        <f t="shared" si="30"/>
        <v>#DIV/0!</v>
      </c>
      <c r="S265" s="77" t="e">
        <f t="shared" si="31"/>
        <v>#DIV/0!</v>
      </c>
      <c r="T265" s="74" t="e">
        <f t="shared" si="32"/>
        <v>#DIV/0!</v>
      </c>
      <c r="U265" s="78" t="e">
        <f t="shared" si="33"/>
        <v>#DIV/0!</v>
      </c>
    </row>
    <row r="266" spans="1:21" x14ac:dyDescent="0.2">
      <c r="A266" s="71" t="s">
        <v>538</v>
      </c>
      <c r="B266" s="72" t="s">
        <v>551</v>
      </c>
      <c r="C266" s="72" t="s">
        <v>330</v>
      </c>
      <c r="D266" s="72" t="s">
        <v>553</v>
      </c>
      <c r="E266" s="72" t="s">
        <v>300</v>
      </c>
      <c r="F266" s="73" t="s">
        <v>319</v>
      </c>
      <c r="G266" s="72" t="s">
        <v>309</v>
      </c>
      <c r="H266" s="72" t="s">
        <v>222</v>
      </c>
      <c r="I266" s="72" t="s">
        <v>15</v>
      </c>
      <c r="J266" s="72" t="s">
        <v>187</v>
      </c>
      <c r="K266" s="74">
        <v>1</v>
      </c>
      <c r="L266" s="74">
        <f t="shared" si="28"/>
        <v>0.68627450980392157</v>
      </c>
      <c r="M266" s="75">
        <f>prodnorm75</f>
        <v>0</v>
      </c>
      <c r="N266" s="76">
        <f>dagwerk75</f>
        <v>0</v>
      </c>
      <c r="O266" s="72" t="s">
        <v>54</v>
      </c>
      <c r="P266" s="77">
        <f>uurtarief75</f>
        <v>0</v>
      </c>
      <c r="Q266" s="74" t="e">
        <f t="shared" si="29"/>
        <v>#DIV/0!</v>
      </c>
      <c r="R266" s="74" t="e">
        <f t="shared" si="30"/>
        <v>#DIV/0!</v>
      </c>
      <c r="S266" s="77" t="e">
        <f t="shared" si="31"/>
        <v>#DIV/0!</v>
      </c>
      <c r="T266" s="74" t="e">
        <f t="shared" si="32"/>
        <v>#DIV/0!</v>
      </c>
      <c r="U266" s="78" t="e">
        <f t="shared" si="33"/>
        <v>#DIV/0!</v>
      </c>
    </row>
    <row r="267" spans="1:21" x14ac:dyDescent="0.2">
      <c r="A267" s="71" t="s">
        <v>538</v>
      </c>
      <c r="B267" s="72" t="s">
        <v>551</v>
      </c>
      <c r="C267" s="72" t="s">
        <v>330</v>
      </c>
      <c r="D267" s="72" t="s">
        <v>553</v>
      </c>
      <c r="E267" s="72" t="s">
        <v>300</v>
      </c>
      <c r="F267" s="73" t="s">
        <v>319</v>
      </c>
      <c r="G267" s="72" t="s">
        <v>309</v>
      </c>
      <c r="H267" s="72" t="s">
        <v>224</v>
      </c>
      <c r="I267" s="72" t="s">
        <v>23</v>
      </c>
      <c r="J267" s="72" t="s">
        <v>187</v>
      </c>
      <c r="K267" s="74">
        <v>1</v>
      </c>
      <c r="L267" s="74">
        <f t="shared" si="28"/>
        <v>0.25490196078431371</v>
      </c>
      <c r="M267" s="75">
        <f>prodnorm89</f>
        <v>0</v>
      </c>
      <c r="N267" s="76">
        <f>dagwerk89</f>
        <v>0</v>
      </c>
      <c r="O267" s="72" t="s">
        <v>54</v>
      </c>
      <c r="P267" s="77">
        <f>uurtarief89</f>
        <v>0</v>
      </c>
      <c r="Q267" s="74" t="e">
        <f t="shared" si="29"/>
        <v>#DIV/0!</v>
      </c>
      <c r="R267" s="74" t="e">
        <f t="shared" si="30"/>
        <v>#DIV/0!</v>
      </c>
      <c r="S267" s="77" t="e">
        <f t="shared" si="31"/>
        <v>#DIV/0!</v>
      </c>
      <c r="T267" s="74" t="e">
        <f t="shared" si="32"/>
        <v>#DIV/0!</v>
      </c>
      <c r="U267" s="78" t="e">
        <f t="shared" si="33"/>
        <v>#DIV/0!</v>
      </c>
    </row>
    <row r="268" spans="1:21" x14ac:dyDescent="0.2">
      <c r="A268" s="71" t="s">
        <v>538</v>
      </c>
      <c r="B268" s="72" t="s">
        <v>551</v>
      </c>
      <c r="C268" s="72" t="s">
        <v>330</v>
      </c>
      <c r="D268" s="72" t="s">
        <v>543</v>
      </c>
      <c r="E268" s="72" t="s">
        <v>300</v>
      </c>
      <c r="F268" s="73" t="s">
        <v>554</v>
      </c>
      <c r="G268" s="72" t="s">
        <v>309</v>
      </c>
      <c r="H268" s="72" t="s">
        <v>195</v>
      </c>
      <c r="I268" s="72" t="s">
        <v>15</v>
      </c>
      <c r="J268" s="72" t="s">
        <v>187</v>
      </c>
      <c r="K268" s="74">
        <v>7</v>
      </c>
      <c r="L268" s="74">
        <f t="shared" si="28"/>
        <v>4.8039215686274508</v>
      </c>
      <c r="M268" s="75">
        <f>prodnorm39</f>
        <v>0</v>
      </c>
      <c r="N268" s="76">
        <f>dagwerk39</f>
        <v>0</v>
      </c>
      <c r="O268" s="72" t="s">
        <v>54</v>
      </c>
      <c r="P268" s="77">
        <f>uurtarief39</f>
        <v>0</v>
      </c>
      <c r="Q268" s="74" t="e">
        <f t="shared" si="29"/>
        <v>#DIV/0!</v>
      </c>
      <c r="R268" s="74" t="e">
        <f t="shared" si="30"/>
        <v>#DIV/0!</v>
      </c>
      <c r="S268" s="77" t="e">
        <f t="shared" si="31"/>
        <v>#DIV/0!</v>
      </c>
      <c r="T268" s="74" t="e">
        <f t="shared" si="32"/>
        <v>#DIV/0!</v>
      </c>
      <c r="U268" s="78" t="e">
        <f t="shared" si="33"/>
        <v>#DIV/0!</v>
      </c>
    </row>
    <row r="269" spans="1:21" x14ac:dyDescent="0.2">
      <c r="A269" s="71" t="s">
        <v>538</v>
      </c>
      <c r="B269" s="72" t="s">
        <v>551</v>
      </c>
      <c r="C269" s="72" t="s">
        <v>330</v>
      </c>
      <c r="D269" s="72" t="s">
        <v>543</v>
      </c>
      <c r="E269" s="72" t="s">
        <v>300</v>
      </c>
      <c r="F269" s="73" t="s">
        <v>554</v>
      </c>
      <c r="G269" s="72" t="s">
        <v>309</v>
      </c>
      <c r="H269" s="72" t="s">
        <v>195</v>
      </c>
      <c r="I269" s="72" t="s">
        <v>26</v>
      </c>
      <c r="J269" s="72" t="s">
        <v>187</v>
      </c>
      <c r="K269" s="74">
        <v>7</v>
      </c>
      <c r="L269" s="74">
        <f t="shared" si="28"/>
        <v>0.9882352941176471</v>
      </c>
      <c r="M269" s="75">
        <f>prodnorm45</f>
        <v>0</v>
      </c>
      <c r="N269" s="76">
        <f>dagwerk45</f>
        <v>0</v>
      </c>
      <c r="O269" s="72" t="s">
        <v>54</v>
      </c>
      <c r="P269" s="77">
        <f>uurtarief45</f>
        <v>0</v>
      </c>
      <c r="Q269" s="74" t="e">
        <f t="shared" si="29"/>
        <v>#DIV/0!</v>
      </c>
      <c r="R269" s="74" t="e">
        <f t="shared" si="30"/>
        <v>#DIV/0!</v>
      </c>
      <c r="S269" s="77" t="e">
        <f t="shared" si="31"/>
        <v>#DIV/0!</v>
      </c>
      <c r="T269" s="74" t="e">
        <f t="shared" si="32"/>
        <v>#DIV/0!</v>
      </c>
      <c r="U269" s="78" t="e">
        <f t="shared" si="33"/>
        <v>#DIV/0!</v>
      </c>
    </row>
    <row r="270" spans="1:21" x14ac:dyDescent="0.2">
      <c r="A270" s="71" t="s">
        <v>538</v>
      </c>
      <c r="B270" s="72" t="s">
        <v>551</v>
      </c>
      <c r="C270" s="72" t="s">
        <v>330</v>
      </c>
      <c r="D270" s="72" t="s">
        <v>543</v>
      </c>
      <c r="E270" s="72" t="s">
        <v>300</v>
      </c>
      <c r="F270" s="73" t="s">
        <v>554</v>
      </c>
      <c r="G270" s="72" t="s">
        <v>309</v>
      </c>
      <c r="H270" s="72" t="s">
        <v>197</v>
      </c>
      <c r="I270" s="72" t="s">
        <v>23</v>
      </c>
      <c r="J270" s="72" t="s">
        <v>187</v>
      </c>
      <c r="K270" s="74">
        <v>7</v>
      </c>
      <c r="L270" s="74">
        <f t="shared" si="28"/>
        <v>1.784313725490196</v>
      </c>
      <c r="M270" s="75">
        <f>prodnorm47</f>
        <v>0</v>
      </c>
      <c r="N270" s="76">
        <f>dagwerk47</f>
        <v>0</v>
      </c>
      <c r="O270" s="72" t="s">
        <v>54</v>
      </c>
      <c r="P270" s="77">
        <f>uurtarief47</f>
        <v>0</v>
      </c>
      <c r="Q270" s="74" t="e">
        <f t="shared" si="29"/>
        <v>#DIV/0!</v>
      </c>
      <c r="R270" s="74" t="e">
        <f t="shared" si="30"/>
        <v>#DIV/0!</v>
      </c>
      <c r="S270" s="77" t="e">
        <f t="shared" si="31"/>
        <v>#DIV/0!</v>
      </c>
      <c r="T270" s="74" t="e">
        <f t="shared" si="32"/>
        <v>#DIV/0!</v>
      </c>
      <c r="U270" s="78" t="e">
        <f t="shared" si="33"/>
        <v>#DIV/0!</v>
      </c>
    </row>
    <row r="271" spans="1:21" x14ac:dyDescent="0.2">
      <c r="A271" s="71" t="s">
        <v>538</v>
      </c>
      <c r="B271" s="72" t="s">
        <v>551</v>
      </c>
      <c r="C271" s="72" t="s">
        <v>330</v>
      </c>
      <c r="D271" s="72" t="s">
        <v>543</v>
      </c>
      <c r="E271" s="72" t="s">
        <v>300</v>
      </c>
      <c r="F271" s="73" t="s">
        <v>554</v>
      </c>
      <c r="G271" s="72" t="s">
        <v>309</v>
      </c>
      <c r="H271" s="72" t="s">
        <v>197</v>
      </c>
      <c r="I271" s="72" t="s">
        <v>23</v>
      </c>
      <c r="J271" s="72" t="s">
        <v>187</v>
      </c>
      <c r="K271" s="74">
        <v>7</v>
      </c>
      <c r="L271" s="74">
        <f t="shared" si="28"/>
        <v>1.784313725490196</v>
      </c>
      <c r="M271" s="75">
        <f>prodnorm47</f>
        <v>0</v>
      </c>
      <c r="N271" s="76">
        <f>dagwerk47</f>
        <v>0</v>
      </c>
      <c r="O271" s="72" t="s">
        <v>54</v>
      </c>
      <c r="P271" s="77">
        <f>uurtarief47</f>
        <v>0</v>
      </c>
      <c r="Q271" s="74" t="e">
        <f t="shared" si="29"/>
        <v>#DIV/0!</v>
      </c>
      <c r="R271" s="74" t="e">
        <f t="shared" si="30"/>
        <v>#DIV/0!</v>
      </c>
      <c r="S271" s="77" t="e">
        <f t="shared" si="31"/>
        <v>#DIV/0!</v>
      </c>
      <c r="T271" s="74" t="e">
        <f t="shared" si="32"/>
        <v>#DIV/0!</v>
      </c>
      <c r="U271" s="78" t="e">
        <f t="shared" si="33"/>
        <v>#DIV/0!</v>
      </c>
    </row>
    <row r="272" spans="1:21" x14ac:dyDescent="0.2">
      <c r="A272" s="71" t="s">
        <v>538</v>
      </c>
      <c r="B272" s="72" t="s">
        <v>551</v>
      </c>
      <c r="C272" s="72" t="s">
        <v>330</v>
      </c>
      <c r="D272" s="72" t="s">
        <v>352</v>
      </c>
      <c r="E272" s="72" t="s">
        <v>300</v>
      </c>
      <c r="F272" s="73" t="s">
        <v>555</v>
      </c>
      <c r="G272" s="72" t="s">
        <v>309</v>
      </c>
      <c r="H272" s="72" t="s">
        <v>222</v>
      </c>
      <c r="I272" s="72" t="s">
        <v>26</v>
      </c>
      <c r="J272" s="72" t="s">
        <v>187</v>
      </c>
      <c r="K272" s="74">
        <v>2</v>
      </c>
      <c r="L272" s="74">
        <f t="shared" si="28"/>
        <v>0.28235294117647058</v>
      </c>
      <c r="M272" s="75">
        <f>prodnorm83</f>
        <v>0</v>
      </c>
      <c r="N272" s="76">
        <f>dagwerk83</f>
        <v>0</v>
      </c>
      <c r="O272" s="72" t="s">
        <v>54</v>
      </c>
      <c r="P272" s="77">
        <f>uurtarief83</f>
        <v>0</v>
      </c>
      <c r="Q272" s="74" t="e">
        <f t="shared" si="29"/>
        <v>#DIV/0!</v>
      </c>
      <c r="R272" s="74" t="e">
        <f t="shared" si="30"/>
        <v>#DIV/0!</v>
      </c>
      <c r="S272" s="77" t="e">
        <f t="shared" si="31"/>
        <v>#DIV/0!</v>
      </c>
      <c r="T272" s="74" t="e">
        <f t="shared" si="32"/>
        <v>#DIV/0!</v>
      </c>
      <c r="U272" s="78" t="e">
        <f t="shared" si="33"/>
        <v>#DIV/0!</v>
      </c>
    </row>
    <row r="273" spans="1:21" x14ac:dyDescent="0.2">
      <c r="A273" s="71" t="s">
        <v>538</v>
      </c>
      <c r="B273" s="72" t="s">
        <v>551</v>
      </c>
      <c r="C273" s="72" t="s">
        <v>330</v>
      </c>
      <c r="D273" s="72" t="s">
        <v>352</v>
      </c>
      <c r="E273" s="72" t="s">
        <v>300</v>
      </c>
      <c r="F273" s="73" t="s">
        <v>555</v>
      </c>
      <c r="G273" s="72" t="s">
        <v>309</v>
      </c>
      <c r="H273" s="72" t="s">
        <v>222</v>
      </c>
      <c r="I273" s="72" t="s">
        <v>15</v>
      </c>
      <c r="J273" s="72" t="s">
        <v>187</v>
      </c>
      <c r="K273" s="74">
        <v>2</v>
      </c>
      <c r="L273" s="74">
        <f t="shared" si="28"/>
        <v>1.3725490196078431</v>
      </c>
      <c r="M273" s="75">
        <f>prodnorm75</f>
        <v>0</v>
      </c>
      <c r="N273" s="76">
        <f>dagwerk75</f>
        <v>0</v>
      </c>
      <c r="O273" s="72" t="s">
        <v>54</v>
      </c>
      <c r="P273" s="77">
        <f>uurtarief75</f>
        <v>0</v>
      </c>
      <c r="Q273" s="74" t="e">
        <f t="shared" si="29"/>
        <v>#DIV/0!</v>
      </c>
      <c r="R273" s="74" t="e">
        <f t="shared" si="30"/>
        <v>#DIV/0!</v>
      </c>
      <c r="S273" s="77" t="e">
        <f t="shared" si="31"/>
        <v>#DIV/0!</v>
      </c>
      <c r="T273" s="74" t="e">
        <f t="shared" si="32"/>
        <v>#DIV/0!</v>
      </c>
      <c r="U273" s="78" t="e">
        <f t="shared" si="33"/>
        <v>#DIV/0!</v>
      </c>
    </row>
    <row r="274" spans="1:21" x14ac:dyDescent="0.2">
      <c r="A274" s="71" t="s">
        <v>538</v>
      </c>
      <c r="B274" s="72" t="s">
        <v>551</v>
      </c>
      <c r="C274" s="72" t="s">
        <v>330</v>
      </c>
      <c r="D274" s="72" t="s">
        <v>352</v>
      </c>
      <c r="E274" s="72" t="s">
        <v>300</v>
      </c>
      <c r="F274" s="73" t="s">
        <v>555</v>
      </c>
      <c r="G274" s="72" t="s">
        <v>309</v>
      </c>
      <c r="H274" s="72" t="s">
        <v>224</v>
      </c>
      <c r="I274" s="72" t="s">
        <v>23</v>
      </c>
      <c r="J274" s="72" t="s">
        <v>187</v>
      </c>
      <c r="K274" s="74">
        <v>2</v>
      </c>
      <c r="L274" s="74">
        <f t="shared" si="28"/>
        <v>0.50980392156862742</v>
      </c>
      <c r="M274" s="75">
        <f>prodnorm89</f>
        <v>0</v>
      </c>
      <c r="N274" s="76">
        <f>dagwerk89</f>
        <v>0</v>
      </c>
      <c r="O274" s="72" t="s">
        <v>54</v>
      </c>
      <c r="P274" s="77">
        <f>uurtarief89</f>
        <v>0</v>
      </c>
      <c r="Q274" s="74" t="e">
        <f t="shared" si="29"/>
        <v>#DIV/0!</v>
      </c>
      <c r="R274" s="74" t="e">
        <f t="shared" si="30"/>
        <v>#DIV/0!</v>
      </c>
      <c r="S274" s="77" t="e">
        <f t="shared" si="31"/>
        <v>#DIV/0!</v>
      </c>
      <c r="T274" s="74" t="e">
        <f t="shared" si="32"/>
        <v>#DIV/0!</v>
      </c>
      <c r="U274" s="78" t="e">
        <f t="shared" si="33"/>
        <v>#DIV/0!</v>
      </c>
    </row>
    <row r="275" spans="1:21" x14ac:dyDescent="0.2">
      <c r="A275" s="71" t="s">
        <v>538</v>
      </c>
      <c r="B275" s="72" t="s">
        <v>551</v>
      </c>
      <c r="C275" s="72" t="s">
        <v>330</v>
      </c>
      <c r="D275" s="72" t="s">
        <v>354</v>
      </c>
      <c r="E275" s="72" t="s">
        <v>300</v>
      </c>
      <c r="F275" s="73" t="s">
        <v>319</v>
      </c>
      <c r="G275" s="72" t="s">
        <v>309</v>
      </c>
      <c r="H275" s="72" t="s">
        <v>222</v>
      </c>
      <c r="I275" s="72" t="s">
        <v>26</v>
      </c>
      <c r="J275" s="72" t="s">
        <v>187</v>
      </c>
      <c r="K275" s="74">
        <v>1.5</v>
      </c>
      <c r="L275" s="74">
        <f t="shared" si="28"/>
        <v>0.21176470588235294</v>
      </c>
      <c r="M275" s="75">
        <f>prodnorm83</f>
        <v>0</v>
      </c>
      <c r="N275" s="76">
        <f>dagwerk83</f>
        <v>0</v>
      </c>
      <c r="O275" s="72" t="s">
        <v>54</v>
      </c>
      <c r="P275" s="77">
        <f>uurtarief83</f>
        <v>0</v>
      </c>
      <c r="Q275" s="74" t="e">
        <f t="shared" si="29"/>
        <v>#DIV/0!</v>
      </c>
      <c r="R275" s="74" t="e">
        <f t="shared" si="30"/>
        <v>#DIV/0!</v>
      </c>
      <c r="S275" s="77" t="e">
        <f t="shared" si="31"/>
        <v>#DIV/0!</v>
      </c>
      <c r="T275" s="74" t="e">
        <f t="shared" si="32"/>
        <v>#DIV/0!</v>
      </c>
      <c r="U275" s="78" t="e">
        <f t="shared" si="33"/>
        <v>#DIV/0!</v>
      </c>
    </row>
    <row r="276" spans="1:21" x14ac:dyDescent="0.2">
      <c r="A276" s="71" t="s">
        <v>538</v>
      </c>
      <c r="B276" s="72" t="s">
        <v>551</v>
      </c>
      <c r="C276" s="72" t="s">
        <v>330</v>
      </c>
      <c r="D276" s="72" t="s">
        <v>354</v>
      </c>
      <c r="E276" s="72" t="s">
        <v>300</v>
      </c>
      <c r="F276" s="73" t="s">
        <v>319</v>
      </c>
      <c r="G276" s="72" t="s">
        <v>309</v>
      </c>
      <c r="H276" s="72" t="s">
        <v>222</v>
      </c>
      <c r="I276" s="72" t="s">
        <v>15</v>
      </c>
      <c r="J276" s="72" t="s">
        <v>187</v>
      </c>
      <c r="K276" s="74">
        <v>1.5</v>
      </c>
      <c r="L276" s="74">
        <f t="shared" si="28"/>
        <v>1.0294117647058822</v>
      </c>
      <c r="M276" s="75">
        <f>prodnorm75</f>
        <v>0</v>
      </c>
      <c r="N276" s="76">
        <f>dagwerk75</f>
        <v>0</v>
      </c>
      <c r="O276" s="72" t="s">
        <v>54</v>
      </c>
      <c r="P276" s="77">
        <f>uurtarief75</f>
        <v>0</v>
      </c>
      <c r="Q276" s="74" t="e">
        <f t="shared" si="29"/>
        <v>#DIV/0!</v>
      </c>
      <c r="R276" s="74" t="e">
        <f t="shared" si="30"/>
        <v>#DIV/0!</v>
      </c>
      <c r="S276" s="77" t="e">
        <f t="shared" si="31"/>
        <v>#DIV/0!</v>
      </c>
      <c r="T276" s="74" t="e">
        <f t="shared" si="32"/>
        <v>#DIV/0!</v>
      </c>
      <c r="U276" s="78" t="e">
        <f t="shared" si="33"/>
        <v>#DIV/0!</v>
      </c>
    </row>
    <row r="277" spans="1:21" x14ac:dyDescent="0.2">
      <c r="A277" s="71" t="s">
        <v>538</v>
      </c>
      <c r="B277" s="72" t="s">
        <v>551</v>
      </c>
      <c r="C277" s="72" t="s">
        <v>330</v>
      </c>
      <c r="D277" s="72" t="s">
        <v>354</v>
      </c>
      <c r="E277" s="72" t="s">
        <v>300</v>
      </c>
      <c r="F277" s="73" t="s">
        <v>319</v>
      </c>
      <c r="G277" s="72" t="s">
        <v>309</v>
      </c>
      <c r="H277" s="72" t="s">
        <v>224</v>
      </c>
      <c r="I277" s="72" t="s">
        <v>23</v>
      </c>
      <c r="J277" s="72" t="s">
        <v>187</v>
      </c>
      <c r="K277" s="74">
        <v>1.5</v>
      </c>
      <c r="L277" s="74">
        <f t="shared" si="28"/>
        <v>0.38235294117647056</v>
      </c>
      <c r="M277" s="75">
        <f>prodnorm89</f>
        <v>0</v>
      </c>
      <c r="N277" s="76">
        <f>dagwerk89</f>
        <v>0</v>
      </c>
      <c r="O277" s="72" t="s">
        <v>54</v>
      </c>
      <c r="P277" s="77">
        <f>uurtarief89</f>
        <v>0</v>
      </c>
      <c r="Q277" s="74" t="e">
        <f t="shared" si="29"/>
        <v>#DIV/0!</v>
      </c>
      <c r="R277" s="74" t="e">
        <f t="shared" si="30"/>
        <v>#DIV/0!</v>
      </c>
      <c r="S277" s="77" t="e">
        <f t="shared" si="31"/>
        <v>#DIV/0!</v>
      </c>
      <c r="T277" s="74" t="e">
        <f t="shared" si="32"/>
        <v>#DIV/0!</v>
      </c>
      <c r="U277" s="78" t="e">
        <f t="shared" si="33"/>
        <v>#DIV/0!</v>
      </c>
    </row>
    <row r="278" spans="1:21" x14ac:dyDescent="0.2">
      <c r="A278" s="71" t="s">
        <v>538</v>
      </c>
      <c r="B278" s="72" t="s">
        <v>551</v>
      </c>
      <c r="C278" s="72" t="s">
        <v>330</v>
      </c>
      <c r="D278" s="72" t="s">
        <v>356</v>
      </c>
      <c r="E278" s="72" t="s">
        <v>300</v>
      </c>
      <c r="F278" s="73" t="s">
        <v>319</v>
      </c>
      <c r="G278" s="72" t="s">
        <v>309</v>
      </c>
      <c r="H278" s="72" t="s">
        <v>222</v>
      </c>
      <c r="I278" s="72" t="s">
        <v>26</v>
      </c>
      <c r="J278" s="72" t="s">
        <v>187</v>
      </c>
      <c r="K278" s="74">
        <v>2</v>
      </c>
      <c r="L278" s="74">
        <f t="shared" si="28"/>
        <v>0.28235294117647058</v>
      </c>
      <c r="M278" s="75">
        <f>prodnorm83</f>
        <v>0</v>
      </c>
      <c r="N278" s="76">
        <f>dagwerk83</f>
        <v>0</v>
      </c>
      <c r="O278" s="72" t="s">
        <v>54</v>
      </c>
      <c r="P278" s="77">
        <f>uurtarief83</f>
        <v>0</v>
      </c>
      <c r="Q278" s="74" t="e">
        <f t="shared" si="29"/>
        <v>#DIV/0!</v>
      </c>
      <c r="R278" s="74" t="e">
        <f t="shared" si="30"/>
        <v>#DIV/0!</v>
      </c>
      <c r="S278" s="77" t="e">
        <f t="shared" si="31"/>
        <v>#DIV/0!</v>
      </c>
      <c r="T278" s="74" t="e">
        <f t="shared" si="32"/>
        <v>#DIV/0!</v>
      </c>
      <c r="U278" s="78" t="e">
        <f t="shared" si="33"/>
        <v>#DIV/0!</v>
      </c>
    </row>
    <row r="279" spans="1:21" x14ac:dyDescent="0.2">
      <c r="A279" s="71" t="s">
        <v>538</v>
      </c>
      <c r="B279" s="72" t="s">
        <v>551</v>
      </c>
      <c r="C279" s="72" t="s">
        <v>330</v>
      </c>
      <c r="D279" s="72" t="s">
        <v>356</v>
      </c>
      <c r="E279" s="72" t="s">
        <v>300</v>
      </c>
      <c r="F279" s="73" t="s">
        <v>319</v>
      </c>
      <c r="G279" s="72" t="s">
        <v>309</v>
      </c>
      <c r="H279" s="72" t="s">
        <v>222</v>
      </c>
      <c r="I279" s="72" t="s">
        <v>15</v>
      </c>
      <c r="J279" s="72" t="s">
        <v>187</v>
      </c>
      <c r="K279" s="74">
        <v>2</v>
      </c>
      <c r="L279" s="74">
        <f t="shared" si="28"/>
        <v>1.3725490196078431</v>
      </c>
      <c r="M279" s="75">
        <f>prodnorm75</f>
        <v>0</v>
      </c>
      <c r="N279" s="76">
        <f>dagwerk75</f>
        <v>0</v>
      </c>
      <c r="O279" s="72" t="s">
        <v>54</v>
      </c>
      <c r="P279" s="77">
        <f>uurtarief75</f>
        <v>0</v>
      </c>
      <c r="Q279" s="74" t="e">
        <f t="shared" si="29"/>
        <v>#DIV/0!</v>
      </c>
      <c r="R279" s="74" t="e">
        <f t="shared" si="30"/>
        <v>#DIV/0!</v>
      </c>
      <c r="S279" s="77" t="e">
        <f t="shared" si="31"/>
        <v>#DIV/0!</v>
      </c>
      <c r="T279" s="74" t="e">
        <f t="shared" si="32"/>
        <v>#DIV/0!</v>
      </c>
      <c r="U279" s="78" t="e">
        <f t="shared" si="33"/>
        <v>#DIV/0!</v>
      </c>
    </row>
    <row r="280" spans="1:21" x14ac:dyDescent="0.2">
      <c r="A280" s="79" t="s">
        <v>538</v>
      </c>
      <c r="B280" s="80" t="s">
        <v>551</v>
      </c>
      <c r="C280" s="80" t="s">
        <v>330</v>
      </c>
      <c r="D280" s="80" t="s">
        <v>356</v>
      </c>
      <c r="E280" s="80" t="s">
        <v>300</v>
      </c>
      <c r="F280" s="81" t="s">
        <v>319</v>
      </c>
      <c r="G280" s="80" t="s">
        <v>309</v>
      </c>
      <c r="H280" s="80" t="s">
        <v>224</v>
      </c>
      <c r="I280" s="80" t="s">
        <v>23</v>
      </c>
      <c r="J280" s="80" t="s">
        <v>187</v>
      </c>
      <c r="K280" s="82">
        <v>2</v>
      </c>
      <c r="L280" s="82">
        <f t="shared" si="28"/>
        <v>0.50980392156862742</v>
      </c>
      <c r="M280" s="83">
        <f>prodnorm89</f>
        <v>0</v>
      </c>
      <c r="N280" s="84">
        <f>dagwerk89</f>
        <v>0</v>
      </c>
      <c r="O280" s="80" t="s">
        <v>54</v>
      </c>
      <c r="P280" s="85">
        <f>uurtarief89</f>
        <v>0</v>
      </c>
      <c r="Q280" s="82" t="e">
        <f t="shared" si="29"/>
        <v>#DIV/0!</v>
      </c>
      <c r="R280" s="82" t="e">
        <f t="shared" si="30"/>
        <v>#DIV/0!</v>
      </c>
      <c r="S280" s="85" t="e">
        <f t="shared" si="31"/>
        <v>#DIV/0!</v>
      </c>
      <c r="T280" s="82" t="e">
        <f t="shared" si="32"/>
        <v>#DIV/0!</v>
      </c>
      <c r="U280" s="86" t="e">
        <f t="shared" si="33"/>
        <v>#DIV/0!</v>
      </c>
    </row>
    <row r="281" spans="1:21" x14ac:dyDescent="0.2">
      <c r="A281" s="87" t="s">
        <v>536</v>
      </c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3" t="e">
        <f>IF(_xlfn.SINGLE(object2_urenjaar1)&gt;0,_xlfn.SINGLE(object2_prijsjaar1)/_xlfn.SINGLE(object2_urenjaar1),0)</f>
        <v>#DIV/0!</v>
      </c>
      <c r="Q281" s="52" t="e">
        <f>SUM(Q235:Q280)</f>
        <v>#DIV/0!</v>
      </c>
      <c r="R281" s="52" t="e">
        <f>SUM(R235:R280)</f>
        <v>#DIV/0!</v>
      </c>
      <c r="S281" s="53" t="e">
        <f>SUM(S235:S280)</f>
        <v>#DIV/0!</v>
      </c>
      <c r="T281" s="52" t="e">
        <f>SUM(T235:T280)</f>
        <v>#DIV/0!</v>
      </c>
      <c r="U281" s="54" t="e">
        <f>SUM(U235:U280)</f>
        <v>#DIV/0!</v>
      </c>
    </row>
    <row r="282" spans="1:21" x14ac:dyDescent="0.2">
      <c r="A282" s="61" t="s">
        <v>556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49"/>
    </row>
    <row r="283" spans="1:21" x14ac:dyDescent="0.2">
      <c r="A283" s="63" t="s">
        <v>557</v>
      </c>
      <c r="B283" s="64" t="s">
        <v>300</v>
      </c>
      <c r="C283" s="64" t="s">
        <v>330</v>
      </c>
      <c r="D283" s="64" t="s">
        <v>540</v>
      </c>
      <c r="E283" s="64" t="s">
        <v>300</v>
      </c>
      <c r="F283" s="65" t="s">
        <v>338</v>
      </c>
      <c r="G283" s="64" t="s">
        <v>339</v>
      </c>
      <c r="H283" s="64" t="s">
        <v>201</v>
      </c>
      <c r="I283" s="64" t="s">
        <v>10</v>
      </c>
      <c r="J283" s="64" t="s">
        <v>187</v>
      </c>
      <c r="K283" s="66">
        <v>3.5</v>
      </c>
      <c r="L283" s="66">
        <f t="shared" ref="L283:L308" si="34">K283*VLOOKUP(I283,dagsoorttabel1,2,FALSE)</f>
        <v>3.5</v>
      </c>
      <c r="M283" s="67">
        <f>prodnorm52</f>
        <v>0</v>
      </c>
      <c r="N283" s="68">
        <f>dagwerk52</f>
        <v>0</v>
      </c>
      <c r="O283" s="64" t="s">
        <v>54</v>
      </c>
      <c r="P283" s="69">
        <f>uurtarief52</f>
        <v>0</v>
      </c>
      <c r="Q283" s="66" t="e">
        <f t="shared" ref="Q283:Q308" si="35">IF(ISBLANK(M283),0,L283/ROUND(M283,4))</f>
        <v>#DIV/0!</v>
      </c>
      <c r="R283" s="66" t="e">
        <f t="shared" ref="R283:R308" si="36">IF(ISBLANK(M283),0,Q283*ROUND(N283,2))</f>
        <v>#DIV/0!</v>
      </c>
      <c r="S283" s="69" t="e">
        <f t="shared" ref="S283:S308" si="37">ROUND(P283,2)*Q283</f>
        <v>#DIV/0!</v>
      </c>
      <c r="T283" s="66" t="e">
        <f t="shared" ref="T283:T308" si="38">Q283*dagenperjaar1</f>
        <v>#DIV/0!</v>
      </c>
      <c r="U283" s="70" t="e">
        <f t="shared" ref="U283:U308" si="39">T283*ROUND(P283,2)</f>
        <v>#DIV/0!</v>
      </c>
    </row>
    <row r="284" spans="1:21" x14ac:dyDescent="0.2">
      <c r="A284" s="71" t="s">
        <v>557</v>
      </c>
      <c r="B284" s="72" t="s">
        <v>300</v>
      </c>
      <c r="C284" s="72" t="s">
        <v>330</v>
      </c>
      <c r="D284" s="72" t="s">
        <v>335</v>
      </c>
      <c r="E284" s="72" t="s">
        <v>300</v>
      </c>
      <c r="F284" s="73" t="s">
        <v>306</v>
      </c>
      <c r="G284" s="72" t="s">
        <v>558</v>
      </c>
      <c r="H284" s="72" t="s">
        <v>231</v>
      </c>
      <c r="I284" s="72" t="s">
        <v>17</v>
      </c>
      <c r="J284" s="72" t="s">
        <v>187</v>
      </c>
      <c r="K284" s="74">
        <v>17.5</v>
      </c>
      <c r="L284" s="74">
        <f t="shared" si="34"/>
        <v>8.75</v>
      </c>
      <c r="M284" s="75">
        <f>prodnorm98</f>
        <v>0</v>
      </c>
      <c r="N284" s="76">
        <f>dagwerk98</f>
        <v>0</v>
      </c>
      <c r="O284" s="72" t="s">
        <v>54</v>
      </c>
      <c r="P284" s="77">
        <f>uurtarief98</f>
        <v>0</v>
      </c>
      <c r="Q284" s="74" t="e">
        <f t="shared" si="35"/>
        <v>#DIV/0!</v>
      </c>
      <c r="R284" s="74" t="e">
        <f t="shared" si="36"/>
        <v>#DIV/0!</v>
      </c>
      <c r="S284" s="77" t="e">
        <f t="shared" si="37"/>
        <v>#DIV/0!</v>
      </c>
      <c r="T284" s="74" t="e">
        <f t="shared" si="38"/>
        <v>#DIV/0!</v>
      </c>
      <c r="U284" s="78" t="e">
        <f t="shared" si="39"/>
        <v>#DIV/0!</v>
      </c>
    </row>
    <row r="285" spans="1:21" x14ac:dyDescent="0.2">
      <c r="A285" s="71" t="s">
        <v>557</v>
      </c>
      <c r="B285" s="72" t="s">
        <v>300</v>
      </c>
      <c r="C285" s="72" t="s">
        <v>330</v>
      </c>
      <c r="D285" s="72" t="s">
        <v>553</v>
      </c>
      <c r="E285" s="72" t="s">
        <v>300</v>
      </c>
      <c r="F285" s="73" t="s">
        <v>359</v>
      </c>
      <c r="G285" s="72" t="s">
        <v>323</v>
      </c>
      <c r="H285" s="72" t="s">
        <v>193</v>
      </c>
      <c r="I285" s="72" t="s">
        <v>17</v>
      </c>
      <c r="J285" s="72" t="s">
        <v>187</v>
      </c>
      <c r="K285" s="74">
        <v>136</v>
      </c>
      <c r="L285" s="74">
        <f t="shared" si="34"/>
        <v>68</v>
      </c>
      <c r="M285" s="75">
        <f>prodnorm36</f>
        <v>0</v>
      </c>
      <c r="N285" s="76">
        <f>dagwerk36</f>
        <v>0</v>
      </c>
      <c r="O285" s="72" t="s">
        <v>54</v>
      </c>
      <c r="P285" s="77">
        <f>uurtarief36</f>
        <v>0</v>
      </c>
      <c r="Q285" s="74" t="e">
        <f t="shared" si="35"/>
        <v>#DIV/0!</v>
      </c>
      <c r="R285" s="74" t="e">
        <f t="shared" si="36"/>
        <v>#DIV/0!</v>
      </c>
      <c r="S285" s="77" t="e">
        <f t="shared" si="37"/>
        <v>#DIV/0!</v>
      </c>
      <c r="T285" s="74" t="e">
        <f t="shared" si="38"/>
        <v>#DIV/0!</v>
      </c>
      <c r="U285" s="78" t="e">
        <f t="shared" si="39"/>
        <v>#DIV/0!</v>
      </c>
    </row>
    <row r="286" spans="1:21" x14ac:dyDescent="0.2">
      <c r="A286" s="71" t="s">
        <v>557</v>
      </c>
      <c r="B286" s="72" t="s">
        <v>300</v>
      </c>
      <c r="C286" s="72" t="s">
        <v>330</v>
      </c>
      <c r="D286" s="72" t="s">
        <v>356</v>
      </c>
      <c r="E286" s="72" t="s">
        <v>300</v>
      </c>
      <c r="F286" s="73" t="s">
        <v>306</v>
      </c>
      <c r="G286" s="72" t="s">
        <v>326</v>
      </c>
      <c r="H286" s="72" t="s">
        <v>231</v>
      </c>
      <c r="I286" s="72" t="s">
        <v>17</v>
      </c>
      <c r="J286" s="72" t="s">
        <v>187</v>
      </c>
      <c r="K286" s="74">
        <v>74</v>
      </c>
      <c r="L286" s="74">
        <f t="shared" si="34"/>
        <v>37</v>
      </c>
      <c r="M286" s="75">
        <f>prodnorm98</f>
        <v>0</v>
      </c>
      <c r="N286" s="76">
        <f>dagwerk98</f>
        <v>0</v>
      </c>
      <c r="O286" s="72" t="s">
        <v>54</v>
      </c>
      <c r="P286" s="77">
        <f>uurtarief98</f>
        <v>0</v>
      </c>
      <c r="Q286" s="74" t="e">
        <f t="shared" si="35"/>
        <v>#DIV/0!</v>
      </c>
      <c r="R286" s="74" t="e">
        <f t="shared" si="36"/>
        <v>#DIV/0!</v>
      </c>
      <c r="S286" s="77" t="e">
        <f t="shared" si="37"/>
        <v>#DIV/0!</v>
      </c>
      <c r="T286" s="74" t="e">
        <f t="shared" si="38"/>
        <v>#DIV/0!</v>
      </c>
      <c r="U286" s="78" t="e">
        <f t="shared" si="39"/>
        <v>#DIV/0!</v>
      </c>
    </row>
    <row r="287" spans="1:21" x14ac:dyDescent="0.2">
      <c r="A287" s="71" t="s">
        <v>557</v>
      </c>
      <c r="B287" s="72" t="s">
        <v>300</v>
      </c>
      <c r="C287" s="72" t="s">
        <v>330</v>
      </c>
      <c r="D287" s="72" t="s">
        <v>356</v>
      </c>
      <c r="E287" s="72" t="s">
        <v>300</v>
      </c>
      <c r="F287" s="73" t="s">
        <v>306</v>
      </c>
      <c r="G287" s="72" t="s">
        <v>326</v>
      </c>
      <c r="H287" s="72" t="s">
        <v>241</v>
      </c>
      <c r="I287" s="72" t="s">
        <v>41</v>
      </c>
      <c r="J287" s="72" t="s">
        <v>242</v>
      </c>
      <c r="K287" s="74">
        <v>74</v>
      </c>
      <c r="L287" s="74">
        <f t="shared" si="34"/>
        <v>0.29019607843137252</v>
      </c>
      <c r="M287" s="75">
        <f>prodnorm117</f>
        <v>0</v>
      </c>
      <c r="N287" s="76">
        <f>dagwerk117</f>
        <v>0</v>
      </c>
      <c r="O287" s="72" t="s">
        <v>54</v>
      </c>
      <c r="P287" s="77">
        <f>uurtarief117</f>
        <v>0</v>
      </c>
      <c r="Q287" s="74" t="e">
        <f t="shared" si="35"/>
        <v>#DIV/0!</v>
      </c>
      <c r="R287" s="74" t="e">
        <f t="shared" si="36"/>
        <v>#DIV/0!</v>
      </c>
      <c r="S287" s="77" t="e">
        <f t="shared" si="37"/>
        <v>#DIV/0!</v>
      </c>
      <c r="T287" s="74" t="e">
        <f t="shared" si="38"/>
        <v>#DIV/0!</v>
      </c>
      <c r="U287" s="78" t="e">
        <f t="shared" si="39"/>
        <v>#DIV/0!</v>
      </c>
    </row>
    <row r="288" spans="1:21" x14ac:dyDescent="0.2">
      <c r="A288" s="71" t="s">
        <v>557</v>
      </c>
      <c r="B288" s="72" t="s">
        <v>300</v>
      </c>
      <c r="C288" s="72" t="s">
        <v>330</v>
      </c>
      <c r="D288" s="72" t="s">
        <v>363</v>
      </c>
      <c r="E288" s="72" t="s">
        <v>300</v>
      </c>
      <c r="F288" s="73" t="s">
        <v>385</v>
      </c>
      <c r="G288" s="72" t="s">
        <v>323</v>
      </c>
      <c r="H288" s="72" t="s">
        <v>216</v>
      </c>
      <c r="I288" s="72" t="s">
        <v>17</v>
      </c>
      <c r="J288" s="72" t="s">
        <v>187</v>
      </c>
      <c r="K288" s="74">
        <v>26.6</v>
      </c>
      <c r="L288" s="74">
        <f t="shared" si="34"/>
        <v>13.3</v>
      </c>
      <c r="M288" s="75">
        <f>prodnorm65</f>
        <v>0</v>
      </c>
      <c r="N288" s="76">
        <f>dagwerk65</f>
        <v>0</v>
      </c>
      <c r="O288" s="72" t="s">
        <v>54</v>
      </c>
      <c r="P288" s="77">
        <f>uurtarief65</f>
        <v>0</v>
      </c>
      <c r="Q288" s="74" t="e">
        <f t="shared" si="35"/>
        <v>#DIV/0!</v>
      </c>
      <c r="R288" s="74" t="e">
        <f t="shared" si="36"/>
        <v>#DIV/0!</v>
      </c>
      <c r="S288" s="77" t="e">
        <f t="shared" si="37"/>
        <v>#DIV/0!</v>
      </c>
      <c r="T288" s="74" t="e">
        <f t="shared" si="38"/>
        <v>#DIV/0!</v>
      </c>
      <c r="U288" s="78" t="e">
        <f t="shared" si="39"/>
        <v>#DIV/0!</v>
      </c>
    </row>
    <row r="289" spans="1:21" x14ac:dyDescent="0.2">
      <c r="A289" s="71" t="s">
        <v>557</v>
      </c>
      <c r="B289" s="72" t="s">
        <v>300</v>
      </c>
      <c r="C289" s="72" t="s">
        <v>330</v>
      </c>
      <c r="D289" s="72" t="s">
        <v>546</v>
      </c>
      <c r="E289" s="72" t="s">
        <v>300</v>
      </c>
      <c r="F289" s="73" t="s">
        <v>503</v>
      </c>
      <c r="G289" s="72" t="s">
        <v>326</v>
      </c>
      <c r="H289" s="72" t="s">
        <v>214</v>
      </c>
      <c r="I289" s="72" t="s">
        <v>17</v>
      </c>
      <c r="J289" s="72" t="s">
        <v>187</v>
      </c>
      <c r="K289" s="74">
        <v>49</v>
      </c>
      <c r="L289" s="74">
        <f t="shared" si="34"/>
        <v>24.5</v>
      </c>
      <c r="M289" s="75">
        <f>prodnorm63</f>
        <v>0</v>
      </c>
      <c r="N289" s="76">
        <f>dagwerk63</f>
        <v>0</v>
      </c>
      <c r="O289" s="72" t="s">
        <v>54</v>
      </c>
      <c r="P289" s="77">
        <f>uurtarief63</f>
        <v>0</v>
      </c>
      <c r="Q289" s="74" t="e">
        <f t="shared" si="35"/>
        <v>#DIV/0!</v>
      </c>
      <c r="R289" s="74" t="e">
        <f t="shared" si="36"/>
        <v>#DIV/0!</v>
      </c>
      <c r="S289" s="77" t="e">
        <f t="shared" si="37"/>
        <v>#DIV/0!</v>
      </c>
      <c r="T289" s="74" t="e">
        <f t="shared" si="38"/>
        <v>#DIV/0!</v>
      </c>
      <c r="U289" s="78" t="e">
        <f t="shared" si="39"/>
        <v>#DIV/0!</v>
      </c>
    </row>
    <row r="290" spans="1:21" x14ac:dyDescent="0.2">
      <c r="A290" s="71" t="s">
        <v>557</v>
      </c>
      <c r="B290" s="72" t="s">
        <v>300</v>
      </c>
      <c r="C290" s="72" t="s">
        <v>330</v>
      </c>
      <c r="D290" s="72" t="s">
        <v>546</v>
      </c>
      <c r="E290" s="72" t="s">
        <v>300</v>
      </c>
      <c r="F290" s="73" t="s">
        <v>503</v>
      </c>
      <c r="G290" s="72" t="s">
        <v>326</v>
      </c>
      <c r="H290" s="72" t="s">
        <v>241</v>
      </c>
      <c r="I290" s="72" t="s">
        <v>41</v>
      </c>
      <c r="J290" s="72" t="s">
        <v>242</v>
      </c>
      <c r="K290" s="74">
        <v>49</v>
      </c>
      <c r="L290" s="74">
        <f t="shared" si="34"/>
        <v>0.19215686274509802</v>
      </c>
      <c r="M290" s="75">
        <f>prodnorm117</f>
        <v>0</v>
      </c>
      <c r="N290" s="76">
        <f>dagwerk117</f>
        <v>0</v>
      </c>
      <c r="O290" s="72" t="s">
        <v>54</v>
      </c>
      <c r="P290" s="77">
        <f>uurtarief117</f>
        <v>0</v>
      </c>
      <c r="Q290" s="74" t="e">
        <f t="shared" si="35"/>
        <v>#DIV/0!</v>
      </c>
      <c r="R290" s="74" t="e">
        <f t="shared" si="36"/>
        <v>#DIV/0!</v>
      </c>
      <c r="S290" s="77" t="e">
        <f t="shared" si="37"/>
        <v>#DIV/0!</v>
      </c>
      <c r="T290" s="74" t="e">
        <f t="shared" si="38"/>
        <v>#DIV/0!</v>
      </c>
      <c r="U290" s="78" t="e">
        <f t="shared" si="39"/>
        <v>#DIV/0!</v>
      </c>
    </row>
    <row r="291" spans="1:21" x14ac:dyDescent="0.2">
      <c r="A291" s="71" t="s">
        <v>557</v>
      </c>
      <c r="B291" s="72" t="s">
        <v>300</v>
      </c>
      <c r="C291" s="72" t="s">
        <v>330</v>
      </c>
      <c r="D291" s="72" t="s">
        <v>365</v>
      </c>
      <c r="E291" s="72" t="s">
        <v>300</v>
      </c>
      <c r="F291" s="73" t="s">
        <v>559</v>
      </c>
      <c r="G291" s="72" t="s">
        <v>326</v>
      </c>
      <c r="H291" s="72" t="s">
        <v>220</v>
      </c>
      <c r="I291" s="72" t="s">
        <v>10</v>
      </c>
      <c r="J291" s="72" t="s">
        <v>187</v>
      </c>
      <c r="K291" s="74">
        <v>113</v>
      </c>
      <c r="L291" s="74">
        <f t="shared" si="34"/>
        <v>113</v>
      </c>
      <c r="M291" s="75">
        <f>prodnorm72</f>
        <v>0</v>
      </c>
      <c r="N291" s="76">
        <f>dagwerk72</f>
        <v>0</v>
      </c>
      <c r="O291" s="72" t="s">
        <v>54</v>
      </c>
      <c r="P291" s="77">
        <f>uurtarief72</f>
        <v>0</v>
      </c>
      <c r="Q291" s="74" t="e">
        <f t="shared" si="35"/>
        <v>#DIV/0!</v>
      </c>
      <c r="R291" s="74" t="e">
        <f t="shared" si="36"/>
        <v>#DIV/0!</v>
      </c>
      <c r="S291" s="77" t="e">
        <f t="shared" si="37"/>
        <v>#DIV/0!</v>
      </c>
      <c r="T291" s="74" t="e">
        <f t="shared" si="38"/>
        <v>#DIV/0!</v>
      </c>
      <c r="U291" s="78" t="e">
        <f t="shared" si="39"/>
        <v>#DIV/0!</v>
      </c>
    </row>
    <row r="292" spans="1:21" x14ac:dyDescent="0.2">
      <c r="A292" s="71" t="s">
        <v>557</v>
      </c>
      <c r="B292" s="72" t="s">
        <v>300</v>
      </c>
      <c r="C292" s="72" t="s">
        <v>330</v>
      </c>
      <c r="D292" s="72" t="s">
        <v>365</v>
      </c>
      <c r="E292" s="72" t="s">
        <v>300</v>
      </c>
      <c r="F292" s="73" t="s">
        <v>559</v>
      </c>
      <c r="G292" s="72" t="s">
        <v>326</v>
      </c>
      <c r="H292" s="72" t="s">
        <v>241</v>
      </c>
      <c r="I292" s="72" t="s">
        <v>41</v>
      </c>
      <c r="J292" s="72" t="s">
        <v>242</v>
      </c>
      <c r="K292" s="74">
        <v>113</v>
      </c>
      <c r="L292" s="74">
        <f t="shared" si="34"/>
        <v>0.44313725490196076</v>
      </c>
      <c r="M292" s="75">
        <f>prodnorm117</f>
        <v>0</v>
      </c>
      <c r="N292" s="76">
        <f>dagwerk117</f>
        <v>0</v>
      </c>
      <c r="O292" s="72" t="s">
        <v>54</v>
      </c>
      <c r="P292" s="77">
        <f>uurtarief117</f>
        <v>0</v>
      </c>
      <c r="Q292" s="74" t="e">
        <f t="shared" si="35"/>
        <v>#DIV/0!</v>
      </c>
      <c r="R292" s="74" t="e">
        <f t="shared" si="36"/>
        <v>#DIV/0!</v>
      </c>
      <c r="S292" s="77" t="e">
        <f t="shared" si="37"/>
        <v>#DIV/0!</v>
      </c>
      <c r="T292" s="74" t="e">
        <f t="shared" si="38"/>
        <v>#DIV/0!</v>
      </c>
      <c r="U292" s="78" t="e">
        <f t="shared" si="39"/>
        <v>#DIV/0!</v>
      </c>
    </row>
    <row r="293" spans="1:21" x14ac:dyDescent="0.2">
      <c r="A293" s="71" t="s">
        <v>557</v>
      </c>
      <c r="B293" s="72" t="s">
        <v>300</v>
      </c>
      <c r="C293" s="72" t="s">
        <v>330</v>
      </c>
      <c r="D293" s="72" t="s">
        <v>549</v>
      </c>
      <c r="E293" s="72" t="s">
        <v>300</v>
      </c>
      <c r="F293" s="73" t="s">
        <v>560</v>
      </c>
      <c r="G293" s="72" t="s">
        <v>309</v>
      </c>
      <c r="H293" s="72" t="s">
        <v>218</v>
      </c>
      <c r="I293" s="72" t="s">
        <v>17</v>
      </c>
      <c r="J293" s="72" t="s">
        <v>187</v>
      </c>
      <c r="K293" s="74">
        <v>11</v>
      </c>
      <c r="L293" s="74">
        <f t="shared" si="34"/>
        <v>5.5</v>
      </c>
      <c r="M293" s="75">
        <f>prodnorm70</f>
        <v>0</v>
      </c>
      <c r="N293" s="76">
        <f>dagwerk70</f>
        <v>0</v>
      </c>
      <c r="O293" s="72" t="s">
        <v>54</v>
      </c>
      <c r="P293" s="77">
        <f>uurtarief70</f>
        <v>0</v>
      </c>
      <c r="Q293" s="74" t="e">
        <f t="shared" si="35"/>
        <v>#DIV/0!</v>
      </c>
      <c r="R293" s="74" t="e">
        <f t="shared" si="36"/>
        <v>#DIV/0!</v>
      </c>
      <c r="S293" s="77" t="e">
        <f t="shared" si="37"/>
        <v>#DIV/0!</v>
      </c>
      <c r="T293" s="74" t="e">
        <f t="shared" si="38"/>
        <v>#DIV/0!</v>
      </c>
      <c r="U293" s="78" t="e">
        <f t="shared" si="39"/>
        <v>#DIV/0!</v>
      </c>
    </row>
    <row r="294" spans="1:21" x14ac:dyDescent="0.2">
      <c r="A294" s="71" t="s">
        <v>557</v>
      </c>
      <c r="B294" s="72" t="s">
        <v>300</v>
      </c>
      <c r="C294" s="72" t="s">
        <v>330</v>
      </c>
      <c r="D294" s="72" t="s">
        <v>549</v>
      </c>
      <c r="E294" s="72" t="s">
        <v>300</v>
      </c>
      <c r="F294" s="73" t="s">
        <v>560</v>
      </c>
      <c r="G294" s="72" t="s">
        <v>309</v>
      </c>
      <c r="H294" s="72" t="s">
        <v>239</v>
      </c>
      <c r="I294" s="72" t="s">
        <v>17</v>
      </c>
      <c r="J294" s="72" t="s">
        <v>187</v>
      </c>
      <c r="K294" s="74">
        <v>11</v>
      </c>
      <c r="L294" s="74">
        <f t="shared" si="34"/>
        <v>5.5</v>
      </c>
      <c r="M294" s="75">
        <f>prodnorm114</f>
        <v>0</v>
      </c>
      <c r="N294" s="76">
        <f>dagwerk114</f>
        <v>0</v>
      </c>
      <c r="O294" s="72" t="s">
        <v>54</v>
      </c>
      <c r="P294" s="77">
        <f>uurtarief114</f>
        <v>0</v>
      </c>
      <c r="Q294" s="74" t="e">
        <f t="shared" si="35"/>
        <v>#DIV/0!</v>
      </c>
      <c r="R294" s="74" t="e">
        <f t="shared" si="36"/>
        <v>#DIV/0!</v>
      </c>
      <c r="S294" s="77" t="e">
        <f t="shared" si="37"/>
        <v>#DIV/0!</v>
      </c>
      <c r="T294" s="74" t="e">
        <f t="shared" si="38"/>
        <v>#DIV/0!</v>
      </c>
      <c r="U294" s="78" t="e">
        <f t="shared" si="39"/>
        <v>#DIV/0!</v>
      </c>
    </row>
    <row r="295" spans="1:21" x14ac:dyDescent="0.2">
      <c r="A295" s="71" t="s">
        <v>557</v>
      </c>
      <c r="B295" s="72" t="s">
        <v>300</v>
      </c>
      <c r="C295" s="72" t="s">
        <v>330</v>
      </c>
      <c r="D295" s="72" t="s">
        <v>561</v>
      </c>
      <c r="E295" s="72" t="s">
        <v>300</v>
      </c>
      <c r="F295" s="73" t="s">
        <v>306</v>
      </c>
      <c r="G295" s="72" t="s">
        <v>558</v>
      </c>
      <c r="H295" s="72" t="s">
        <v>231</v>
      </c>
      <c r="I295" s="72" t="s">
        <v>17</v>
      </c>
      <c r="J295" s="72" t="s">
        <v>187</v>
      </c>
      <c r="K295" s="74">
        <v>44</v>
      </c>
      <c r="L295" s="74">
        <f t="shared" si="34"/>
        <v>22</v>
      </c>
      <c r="M295" s="75">
        <f>prodnorm98</f>
        <v>0</v>
      </c>
      <c r="N295" s="76">
        <f>dagwerk98</f>
        <v>0</v>
      </c>
      <c r="O295" s="72" t="s">
        <v>54</v>
      </c>
      <c r="P295" s="77">
        <f>uurtarief98</f>
        <v>0</v>
      </c>
      <c r="Q295" s="74" t="e">
        <f t="shared" si="35"/>
        <v>#DIV/0!</v>
      </c>
      <c r="R295" s="74" t="e">
        <f t="shared" si="36"/>
        <v>#DIV/0!</v>
      </c>
      <c r="S295" s="77" t="e">
        <f t="shared" si="37"/>
        <v>#DIV/0!</v>
      </c>
      <c r="T295" s="74" t="e">
        <f t="shared" si="38"/>
        <v>#DIV/0!</v>
      </c>
      <c r="U295" s="78" t="e">
        <f t="shared" si="39"/>
        <v>#DIV/0!</v>
      </c>
    </row>
    <row r="296" spans="1:21" x14ac:dyDescent="0.2">
      <c r="A296" s="71" t="s">
        <v>557</v>
      </c>
      <c r="B296" s="72" t="s">
        <v>300</v>
      </c>
      <c r="C296" s="72" t="s">
        <v>330</v>
      </c>
      <c r="D296" s="72" t="s">
        <v>562</v>
      </c>
      <c r="E296" s="72" t="s">
        <v>300</v>
      </c>
      <c r="F296" s="73" t="s">
        <v>385</v>
      </c>
      <c r="G296" s="72" t="s">
        <v>323</v>
      </c>
      <c r="H296" s="72" t="s">
        <v>216</v>
      </c>
      <c r="I296" s="72" t="s">
        <v>17</v>
      </c>
      <c r="J296" s="72" t="s">
        <v>187</v>
      </c>
      <c r="K296" s="74">
        <v>20.8</v>
      </c>
      <c r="L296" s="74">
        <f t="shared" si="34"/>
        <v>10.4</v>
      </c>
      <c r="M296" s="75">
        <f>prodnorm65</f>
        <v>0</v>
      </c>
      <c r="N296" s="76">
        <f>dagwerk65</f>
        <v>0</v>
      </c>
      <c r="O296" s="72" t="s">
        <v>54</v>
      </c>
      <c r="P296" s="77">
        <f>uurtarief65</f>
        <v>0</v>
      </c>
      <c r="Q296" s="74" t="e">
        <f t="shared" si="35"/>
        <v>#DIV/0!</v>
      </c>
      <c r="R296" s="74" t="e">
        <f t="shared" si="36"/>
        <v>#DIV/0!</v>
      </c>
      <c r="S296" s="77" t="e">
        <f t="shared" si="37"/>
        <v>#DIV/0!</v>
      </c>
      <c r="T296" s="74" t="e">
        <f t="shared" si="38"/>
        <v>#DIV/0!</v>
      </c>
      <c r="U296" s="78" t="e">
        <f t="shared" si="39"/>
        <v>#DIV/0!</v>
      </c>
    </row>
    <row r="297" spans="1:21" x14ac:dyDescent="0.2">
      <c r="A297" s="71" t="s">
        <v>557</v>
      </c>
      <c r="B297" s="72" t="s">
        <v>300</v>
      </c>
      <c r="C297" s="72" t="s">
        <v>330</v>
      </c>
      <c r="D297" s="72" t="s">
        <v>377</v>
      </c>
      <c r="E297" s="72" t="s">
        <v>300</v>
      </c>
      <c r="F297" s="73" t="s">
        <v>306</v>
      </c>
      <c r="G297" s="72" t="s">
        <v>558</v>
      </c>
      <c r="H297" s="72" t="s">
        <v>231</v>
      </c>
      <c r="I297" s="72" t="s">
        <v>17</v>
      </c>
      <c r="J297" s="72" t="s">
        <v>187</v>
      </c>
      <c r="K297" s="74">
        <v>104.5</v>
      </c>
      <c r="L297" s="74">
        <f t="shared" si="34"/>
        <v>52.25</v>
      </c>
      <c r="M297" s="75">
        <f>prodnorm98</f>
        <v>0</v>
      </c>
      <c r="N297" s="76">
        <f>dagwerk98</f>
        <v>0</v>
      </c>
      <c r="O297" s="72" t="s">
        <v>54</v>
      </c>
      <c r="P297" s="77">
        <f>uurtarief98</f>
        <v>0</v>
      </c>
      <c r="Q297" s="74" t="e">
        <f t="shared" si="35"/>
        <v>#DIV/0!</v>
      </c>
      <c r="R297" s="74" t="e">
        <f t="shared" si="36"/>
        <v>#DIV/0!</v>
      </c>
      <c r="S297" s="77" t="e">
        <f t="shared" si="37"/>
        <v>#DIV/0!</v>
      </c>
      <c r="T297" s="74" t="e">
        <f t="shared" si="38"/>
        <v>#DIV/0!</v>
      </c>
      <c r="U297" s="78" t="e">
        <f t="shared" si="39"/>
        <v>#DIV/0!</v>
      </c>
    </row>
    <row r="298" spans="1:21" x14ac:dyDescent="0.2">
      <c r="A298" s="71" t="s">
        <v>557</v>
      </c>
      <c r="B298" s="72" t="s">
        <v>300</v>
      </c>
      <c r="C298" s="72" t="s">
        <v>330</v>
      </c>
      <c r="D298" s="72" t="s">
        <v>388</v>
      </c>
      <c r="E298" s="72" t="s">
        <v>300</v>
      </c>
      <c r="F298" s="73" t="s">
        <v>547</v>
      </c>
      <c r="G298" s="72" t="s">
        <v>309</v>
      </c>
      <c r="H298" s="72" t="s">
        <v>222</v>
      </c>
      <c r="I298" s="72" t="s">
        <v>24</v>
      </c>
      <c r="J298" s="72" t="s">
        <v>187</v>
      </c>
      <c r="K298" s="74">
        <v>5</v>
      </c>
      <c r="L298" s="74">
        <f t="shared" si="34"/>
        <v>1</v>
      </c>
      <c r="M298" s="75">
        <f>prodnorm78</f>
        <v>0</v>
      </c>
      <c r="N298" s="76">
        <f>dagwerk78</f>
        <v>0</v>
      </c>
      <c r="O298" s="72" t="s">
        <v>54</v>
      </c>
      <c r="P298" s="77">
        <f>uurtarief78</f>
        <v>0</v>
      </c>
      <c r="Q298" s="74" t="e">
        <f t="shared" si="35"/>
        <v>#DIV/0!</v>
      </c>
      <c r="R298" s="74" t="e">
        <f t="shared" si="36"/>
        <v>#DIV/0!</v>
      </c>
      <c r="S298" s="77" t="e">
        <f t="shared" si="37"/>
        <v>#DIV/0!</v>
      </c>
      <c r="T298" s="74" t="e">
        <f t="shared" si="38"/>
        <v>#DIV/0!</v>
      </c>
      <c r="U298" s="78" t="e">
        <f t="shared" si="39"/>
        <v>#DIV/0!</v>
      </c>
    </row>
    <row r="299" spans="1:21" x14ac:dyDescent="0.2">
      <c r="A299" s="71" t="s">
        <v>557</v>
      </c>
      <c r="B299" s="72" t="s">
        <v>300</v>
      </c>
      <c r="C299" s="72" t="s">
        <v>330</v>
      </c>
      <c r="D299" s="72" t="s">
        <v>389</v>
      </c>
      <c r="E299" s="72" t="s">
        <v>300</v>
      </c>
      <c r="F299" s="73" t="s">
        <v>563</v>
      </c>
      <c r="G299" s="72" t="s">
        <v>309</v>
      </c>
      <c r="H299" s="72" t="s">
        <v>195</v>
      </c>
      <c r="I299" s="72" t="s">
        <v>10</v>
      </c>
      <c r="J299" s="72" t="s">
        <v>187</v>
      </c>
      <c r="K299" s="74">
        <v>44</v>
      </c>
      <c r="L299" s="74">
        <f t="shared" si="34"/>
        <v>44</v>
      </c>
      <c r="M299" s="75">
        <f>prodnorm46</f>
        <v>0</v>
      </c>
      <c r="N299" s="76">
        <f>dagwerk46</f>
        <v>0</v>
      </c>
      <c r="O299" s="72" t="s">
        <v>54</v>
      </c>
      <c r="P299" s="77">
        <f>uurtarief46</f>
        <v>0</v>
      </c>
      <c r="Q299" s="74" t="e">
        <f t="shared" si="35"/>
        <v>#DIV/0!</v>
      </c>
      <c r="R299" s="74" t="e">
        <f t="shared" si="36"/>
        <v>#DIV/0!</v>
      </c>
      <c r="S299" s="77" t="e">
        <f t="shared" si="37"/>
        <v>#DIV/0!</v>
      </c>
      <c r="T299" s="74" t="e">
        <f t="shared" si="38"/>
        <v>#DIV/0!</v>
      </c>
      <c r="U299" s="78" t="e">
        <f t="shared" si="39"/>
        <v>#DIV/0!</v>
      </c>
    </row>
    <row r="300" spans="1:21" x14ac:dyDescent="0.2">
      <c r="A300" s="71" t="s">
        <v>557</v>
      </c>
      <c r="B300" s="72" t="s">
        <v>300</v>
      </c>
      <c r="C300" s="72" t="s">
        <v>330</v>
      </c>
      <c r="D300" s="72" t="s">
        <v>564</v>
      </c>
      <c r="E300" s="72" t="s">
        <v>300</v>
      </c>
      <c r="F300" s="73" t="s">
        <v>565</v>
      </c>
      <c r="G300" s="72" t="s">
        <v>309</v>
      </c>
      <c r="H300" s="72" t="s">
        <v>195</v>
      </c>
      <c r="I300" s="72" t="s">
        <v>10</v>
      </c>
      <c r="J300" s="72" t="s">
        <v>187</v>
      </c>
      <c r="K300" s="74">
        <v>29.5</v>
      </c>
      <c r="L300" s="74">
        <f t="shared" si="34"/>
        <v>29.5</v>
      </c>
      <c r="M300" s="75">
        <f>prodnorm46</f>
        <v>0</v>
      </c>
      <c r="N300" s="76">
        <f>dagwerk46</f>
        <v>0</v>
      </c>
      <c r="O300" s="72" t="s">
        <v>54</v>
      </c>
      <c r="P300" s="77">
        <f>uurtarief46</f>
        <v>0</v>
      </c>
      <c r="Q300" s="74" t="e">
        <f t="shared" si="35"/>
        <v>#DIV/0!</v>
      </c>
      <c r="R300" s="74" t="e">
        <f t="shared" si="36"/>
        <v>#DIV/0!</v>
      </c>
      <c r="S300" s="77" t="e">
        <f t="shared" si="37"/>
        <v>#DIV/0!</v>
      </c>
      <c r="T300" s="74" t="e">
        <f t="shared" si="38"/>
        <v>#DIV/0!</v>
      </c>
      <c r="U300" s="78" t="e">
        <f t="shared" si="39"/>
        <v>#DIV/0!</v>
      </c>
    </row>
    <row r="301" spans="1:21" x14ac:dyDescent="0.2">
      <c r="A301" s="71" t="s">
        <v>557</v>
      </c>
      <c r="B301" s="72" t="s">
        <v>300</v>
      </c>
      <c r="C301" s="72" t="s">
        <v>330</v>
      </c>
      <c r="D301" s="72" t="s">
        <v>390</v>
      </c>
      <c r="E301" s="72" t="s">
        <v>300</v>
      </c>
      <c r="F301" s="73" t="s">
        <v>566</v>
      </c>
      <c r="G301" s="72" t="s">
        <v>309</v>
      </c>
      <c r="H301" s="72" t="s">
        <v>222</v>
      </c>
      <c r="I301" s="72" t="s">
        <v>10</v>
      </c>
      <c r="J301" s="72" t="s">
        <v>187</v>
      </c>
      <c r="K301" s="74">
        <v>19</v>
      </c>
      <c r="L301" s="74">
        <f t="shared" si="34"/>
        <v>19</v>
      </c>
      <c r="M301" s="75">
        <f>prodnorm85</f>
        <v>0</v>
      </c>
      <c r="N301" s="76">
        <f>dagwerk85</f>
        <v>0</v>
      </c>
      <c r="O301" s="72" t="s">
        <v>54</v>
      </c>
      <c r="P301" s="77">
        <f>uurtarief85</f>
        <v>0</v>
      </c>
      <c r="Q301" s="74" t="e">
        <f t="shared" si="35"/>
        <v>#DIV/0!</v>
      </c>
      <c r="R301" s="74" t="e">
        <f t="shared" si="36"/>
        <v>#DIV/0!</v>
      </c>
      <c r="S301" s="77" t="e">
        <f t="shared" si="37"/>
        <v>#DIV/0!</v>
      </c>
      <c r="T301" s="74" t="e">
        <f t="shared" si="38"/>
        <v>#DIV/0!</v>
      </c>
      <c r="U301" s="78" t="e">
        <f t="shared" si="39"/>
        <v>#DIV/0!</v>
      </c>
    </row>
    <row r="302" spans="1:21" x14ac:dyDescent="0.2">
      <c r="A302" s="71" t="s">
        <v>557</v>
      </c>
      <c r="B302" s="72" t="s">
        <v>300</v>
      </c>
      <c r="C302" s="72" t="s">
        <v>330</v>
      </c>
      <c r="D302" s="72" t="s">
        <v>567</v>
      </c>
      <c r="E302" s="72" t="s">
        <v>300</v>
      </c>
      <c r="F302" s="73" t="s">
        <v>568</v>
      </c>
      <c r="G302" s="72" t="s">
        <v>309</v>
      </c>
      <c r="H302" s="72" t="s">
        <v>222</v>
      </c>
      <c r="I302" s="72" t="s">
        <v>10</v>
      </c>
      <c r="J302" s="72" t="s">
        <v>187</v>
      </c>
      <c r="K302" s="74">
        <v>6</v>
      </c>
      <c r="L302" s="74">
        <f t="shared" si="34"/>
        <v>6</v>
      </c>
      <c r="M302" s="75">
        <f>prodnorm85</f>
        <v>0</v>
      </c>
      <c r="N302" s="76">
        <f>dagwerk85</f>
        <v>0</v>
      </c>
      <c r="O302" s="72" t="s">
        <v>54</v>
      </c>
      <c r="P302" s="77">
        <f>uurtarief85</f>
        <v>0</v>
      </c>
      <c r="Q302" s="74" t="e">
        <f t="shared" si="35"/>
        <v>#DIV/0!</v>
      </c>
      <c r="R302" s="74" t="e">
        <f t="shared" si="36"/>
        <v>#DIV/0!</v>
      </c>
      <c r="S302" s="77" t="e">
        <f t="shared" si="37"/>
        <v>#DIV/0!</v>
      </c>
      <c r="T302" s="74" t="e">
        <f t="shared" si="38"/>
        <v>#DIV/0!</v>
      </c>
      <c r="U302" s="78" t="e">
        <f t="shared" si="39"/>
        <v>#DIV/0!</v>
      </c>
    </row>
    <row r="303" spans="1:21" x14ac:dyDescent="0.2">
      <c r="A303" s="71" t="s">
        <v>557</v>
      </c>
      <c r="B303" s="72" t="s">
        <v>300</v>
      </c>
      <c r="C303" s="72" t="s">
        <v>330</v>
      </c>
      <c r="D303" s="72" t="s">
        <v>391</v>
      </c>
      <c r="E303" s="72" t="s">
        <v>300</v>
      </c>
      <c r="F303" s="73" t="s">
        <v>359</v>
      </c>
      <c r="G303" s="72" t="s">
        <v>326</v>
      </c>
      <c r="H303" s="72" t="s">
        <v>191</v>
      </c>
      <c r="I303" s="72" t="s">
        <v>17</v>
      </c>
      <c r="J303" s="72" t="s">
        <v>187</v>
      </c>
      <c r="K303" s="74">
        <v>9</v>
      </c>
      <c r="L303" s="74">
        <f t="shared" si="34"/>
        <v>4.5</v>
      </c>
      <c r="M303" s="75">
        <f>prodnorm32</f>
        <v>0</v>
      </c>
      <c r="N303" s="76">
        <f>dagwerk32</f>
        <v>0</v>
      </c>
      <c r="O303" s="72" t="s">
        <v>54</v>
      </c>
      <c r="P303" s="77">
        <f>uurtarief32</f>
        <v>0</v>
      </c>
      <c r="Q303" s="74" t="e">
        <f t="shared" si="35"/>
        <v>#DIV/0!</v>
      </c>
      <c r="R303" s="74" t="e">
        <f t="shared" si="36"/>
        <v>#DIV/0!</v>
      </c>
      <c r="S303" s="77" t="e">
        <f t="shared" si="37"/>
        <v>#DIV/0!</v>
      </c>
      <c r="T303" s="74" t="e">
        <f t="shared" si="38"/>
        <v>#DIV/0!</v>
      </c>
      <c r="U303" s="78" t="e">
        <f t="shared" si="39"/>
        <v>#DIV/0!</v>
      </c>
    </row>
    <row r="304" spans="1:21" x14ac:dyDescent="0.2">
      <c r="A304" s="71" t="s">
        <v>557</v>
      </c>
      <c r="B304" s="72" t="s">
        <v>300</v>
      </c>
      <c r="C304" s="72" t="s">
        <v>330</v>
      </c>
      <c r="D304" s="72" t="s">
        <v>391</v>
      </c>
      <c r="E304" s="72" t="s">
        <v>300</v>
      </c>
      <c r="F304" s="73" t="s">
        <v>359</v>
      </c>
      <c r="G304" s="72" t="s">
        <v>326</v>
      </c>
      <c r="H304" s="72" t="s">
        <v>241</v>
      </c>
      <c r="I304" s="72" t="s">
        <v>41</v>
      </c>
      <c r="J304" s="72" t="s">
        <v>242</v>
      </c>
      <c r="K304" s="74">
        <v>9</v>
      </c>
      <c r="L304" s="74">
        <f t="shared" si="34"/>
        <v>3.5294117647058823E-2</v>
      </c>
      <c r="M304" s="75">
        <f>prodnorm117</f>
        <v>0</v>
      </c>
      <c r="N304" s="76">
        <f>dagwerk117</f>
        <v>0</v>
      </c>
      <c r="O304" s="72" t="s">
        <v>54</v>
      </c>
      <c r="P304" s="77">
        <f>uurtarief117</f>
        <v>0</v>
      </c>
      <c r="Q304" s="74" t="e">
        <f t="shared" si="35"/>
        <v>#DIV/0!</v>
      </c>
      <c r="R304" s="74" t="e">
        <f t="shared" si="36"/>
        <v>#DIV/0!</v>
      </c>
      <c r="S304" s="77" t="e">
        <f t="shared" si="37"/>
        <v>#DIV/0!</v>
      </c>
      <c r="T304" s="74" t="e">
        <f t="shared" si="38"/>
        <v>#DIV/0!</v>
      </c>
      <c r="U304" s="78" t="e">
        <f t="shared" si="39"/>
        <v>#DIV/0!</v>
      </c>
    </row>
    <row r="305" spans="1:21" x14ac:dyDescent="0.2">
      <c r="A305" s="71" t="s">
        <v>557</v>
      </c>
      <c r="B305" s="72" t="s">
        <v>300</v>
      </c>
      <c r="C305" s="72" t="s">
        <v>330</v>
      </c>
      <c r="D305" s="72" t="s">
        <v>392</v>
      </c>
      <c r="E305" s="72" t="s">
        <v>300</v>
      </c>
      <c r="F305" s="73" t="s">
        <v>359</v>
      </c>
      <c r="G305" s="72" t="s">
        <v>326</v>
      </c>
      <c r="H305" s="72" t="s">
        <v>191</v>
      </c>
      <c r="I305" s="72" t="s">
        <v>17</v>
      </c>
      <c r="J305" s="72" t="s">
        <v>187</v>
      </c>
      <c r="K305" s="74">
        <v>15</v>
      </c>
      <c r="L305" s="74">
        <f t="shared" si="34"/>
        <v>7.5</v>
      </c>
      <c r="M305" s="75">
        <f>prodnorm32</f>
        <v>0</v>
      </c>
      <c r="N305" s="76">
        <f>dagwerk32</f>
        <v>0</v>
      </c>
      <c r="O305" s="72" t="s">
        <v>54</v>
      </c>
      <c r="P305" s="77">
        <f>uurtarief32</f>
        <v>0</v>
      </c>
      <c r="Q305" s="74" t="e">
        <f t="shared" si="35"/>
        <v>#DIV/0!</v>
      </c>
      <c r="R305" s="74" t="e">
        <f t="shared" si="36"/>
        <v>#DIV/0!</v>
      </c>
      <c r="S305" s="77" t="e">
        <f t="shared" si="37"/>
        <v>#DIV/0!</v>
      </c>
      <c r="T305" s="74" t="e">
        <f t="shared" si="38"/>
        <v>#DIV/0!</v>
      </c>
      <c r="U305" s="78" t="e">
        <f t="shared" si="39"/>
        <v>#DIV/0!</v>
      </c>
    </row>
    <row r="306" spans="1:21" x14ac:dyDescent="0.2">
      <c r="A306" s="71" t="s">
        <v>557</v>
      </c>
      <c r="B306" s="72" t="s">
        <v>300</v>
      </c>
      <c r="C306" s="72" t="s">
        <v>330</v>
      </c>
      <c r="D306" s="72" t="s">
        <v>392</v>
      </c>
      <c r="E306" s="72" t="s">
        <v>300</v>
      </c>
      <c r="F306" s="73" t="s">
        <v>359</v>
      </c>
      <c r="G306" s="72" t="s">
        <v>326</v>
      </c>
      <c r="H306" s="72" t="s">
        <v>241</v>
      </c>
      <c r="I306" s="72" t="s">
        <v>41</v>
      </c>
      <c r="J306" s="72" t="s">
        <v>242</v>
      </c>
      <c r="K306" s="74">
        <v>15</v>
      </c>
      <c r="L306" s="74">
        <f t="shared" si="34"/>
        <v>5.8823529411764705E-2</v>
      </c>
      <c r="M306" s="75">
        <f>prodnorm117</f>
        <v>0</v>
      </c>
      <c r="N306" s="76">
        <f>dagwerk117</f>
        <v>0</v>
      </c>
      <c r="O306" s="72" t="s">
        <v>54</v>
      </c>
      <c r="P306" s="77">
        <f>uurtarief117</f>
        <v>0</v>
      </c>
      <c r="Q306" s="74" t="e">
        <f t="shared" si="35"/>
        <v>#DIV/0!</v>
      </c>
      <c r="R306" s="74" t="e">
        <f t="shared" si="36"/>
        <v>#DIV/0!</v>
      </c>
      <c r="S306" s="77" t="e">
        <f t="shared" si="37"/>
        <v>#DIV/0!</v>
      </c>
      <c r="T306" s="74" t="e">
        <f t="shared" si="38"/>
        <v>#DIV/0!</v>
      </c>
      <c r="U306" s="78" t="e">
        <f t="shared" si="39"/>
        <v>#DIV/0!</v>
      </c>
    </row>
    <row r="307" spans="1:21" x14ac:dyDescent="0.2">
      <c r="A307" s="71" t="s">
        <v>557</v>
      </c>
      <c r="B307" s="72" t="s">
        <v>300</v>
      </c>
      <c r="C307" s="72" t="s">
        <v>330</v>
      </c>
      <c r="D307" s="72" t="s">
        <v>394</v>
      </c>
      <c r="E307" s="72" t="s">
        <v>300</v>
      </c>
      <c r="F307" s="73" t="s">
        <v>569</v>
      </c>
      <c r="G307" s="72" t="s">
        <v>309</v>
      </c>
      <c r="H307" s="72" t="s">
        <v>195</v>
      </c>
      <c r="I307" s="72" t="s">
        <v>24</v>
      </c>
      <c r="J307" s="72" t="s">
        <v>187</v>
      </c>
      <c r="K307" s="74">
        <v>12.5</v>
      </c>
      <c r="L307" s="74">
        <f t="shared" si="34"/>
        <v>2.5</v>
      </c>
      <c r="M307" s="75">
        <f>prodnorm41</f>
        <v>0</v>
      </c>
      <c r="N307" s="76">
        <f>dagwerk41</f>
        <v>0</v>
      </c>
      <c r="O307" s="72" t="s">
        <v>54</v>
      </c>
      <c r="P307" s="77">
        <f>uurtarief41</f>
        <v>0</v>
      </c>
      <c r="Q307" s="74" t="e">
        <f t="shared" si="35"/>
        <v>#DIV/0!</v>
      </c>
      <c r="R307" s="74" t="e">
        <f t="shared" si="36"/>
        <v>#DIV/0!</v>
      </c>
      <c r="S307" s="77" t="e">
        <f t="shared" si="37"/>
        <v>#DIV/0!</v>
      </c>
      <c r="T307" s="74" t="e">
        <f t="shared" si="38"/>
        <v>#DIV/0!</v>
      </c>
      <c r="U307" s="78" t="e">
        <f t="shared" si="39"/>
        <v>#DIV/0!</v>
      </c>
    </row>
    <row r="308" spans="1:21" x14ac:dyDescent="0.2">
      <c r="A308" s="79" t="s">
        <v>557</v>
      </c>
      <c r="B308" s="80" t="s">
        <v>300</v>
      </c>
      <c r="C308" s="80" t="s">
        <v>406</v>
      </c>
      <c r="D308" s="80" t="s">
        <v>410</v>
      </c>
      <c r="E308" s="80" t="s">
        <v>300</v>
      </c>
      <c r="F308" s="81" t="s">
        <v>385</v>
      </c>
      <c r="G308" s="80" t="s">
        <v>326</v>
      </c>
      <c r="H308" s="80" t="s">
        <v>241</v>
      </c>
      <c r="I308" s="80" t="s">
        <v>41</v>
      </c>
      <c r="J308" s="80" t="s">
        <v>242</v>
      </c>
      <c r="K308" s="82">
        <v>19</v>
      </c>
      <c r="L308" s="82">
        <f t="shared" si="34"/>
        <v>7.4509803921568626E-2</v>
      </c>
      <c r="M308" s="83">
        <f>prodnorm117</f>
        <v>0</v>
      </c>
      <c r="N308" s="84">
        <f>dagwerk117</f>
        <v>0</v>
      </c>
      <c r="O308" s="80" t="s">
        <v>54</v>
      </c>
      <c r="P308" s="85">
        <f>uurtarief117</f>
        <v>0</v>
      </c>
      <c r="Q308" s="82" t="e">
        <f t="shared" si="35"/>
        <v>#DIV/0!</v>
      </c>
      <c r="R308" s="82" t="e">
        <f t="shared" si="36"/>
        <v>#DIV/0!</v>
      </c>
      <c r="S308" s="85" t="e">
        <f t="shared" si="37"/>
        <v>#DIV/0!</v>
      </c>
      <c r="T308" s="82" t="e">
        <f t="shared" si="38"/>
        <v>#DIV/0!</v>
      </c>
      <c r="U308" s="86" t="e">
        <f t="shared" si="39"/>
        <v>#DIV/0!</v>
      </c>
    </row>
    <row r="309" spans="1:21" x14ac:dyDescent="0.2">
      <c r="A309" s="87" t="s">
        <v>536</v>
      </c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3" t="e">
        <f>IF(_xlfn.SINGLE(object3_urenjaar1)&gt;0,_xlfn.SINGLE(object3_prijsjaar1)/_xlfn.SINGLE(object3_urenjaar1),0)</f>
        <v>#DIV/0!</v>
      </c>
      <c r="Q309" s="52" t="e">
        <f>SUM(Q283:Q308)</f>
        <v>#DIV/0!</v>
      </c>
      <c r="R309" s="52" t="e">
        <f>SUM(R283:R308)</f>
        <v>#DIV/0!</v>
      </c>
      <c r="S309" s="53" t="e">
        <f>SUM(S283:S308)</f>
        <v>#DIV/0!</v>
      </c>
      <c r="T309" s="52" t="e">
        <f>SUM(T283:T308)</f>
        <v>#DIV/0!</v>
      </c>
      <c r="U309" s="54" t="e">
        <f>SUM(U283:U308)</f>
        <v>#DIV/0!</v>
      </c>
    </row>
    <row r="310" spans="1:21" x14ac:dyDescent="0.2">
      <c r="A310" s="61" t="s">
        <v>570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49"/>
    </row>
    <row r="311" spans="1:21" x14ac:dyDescent="0.2">
      <c r="A311" s="63" t="s">
        <v>571</v>
      </c>
      <c r="B311" s="64" t="s">
        <v>300</v>
      </c>
      <c r="C311" s="64" t="s">
        <v>330</v>
      </c>
      <c r="D311" s="64" t="s">
        <v>572</v>
      </c>
      <c r="E311" s="64" t="s">
        <v>300</v>
      </c>
      <c r="F311" s="65" t="s">
        <v>573</v>
      </c>
      <c r="G311" s="64" t="s">
        <v>309</v>
      </c>
      <c r="H311" s="64" t="s">
        <v>231</v>
      </c>
      <c r="I311" s="64" t="s">
        <v>24</v>
      </c>
      <c r="J311" s="64" t="s">
        <v>187</v>
      </c>
      <c r="K311" s="66">
        <v>3</v>
      </c>
      <c r="L311" s="66">
        <f t="shared" ref="L311:L316" si="40">K311*VLOOKUP(I311,dagsoorttabel1,2,FALSE)</f>
        <v>0.60000000000000009</v>
      </c>
      <c r="M311" s="67">
        <f>prodnorm97</f>
        <v>0</v>
      </c>
      <c r="N311" s="68">
        <f>dagwerk97</f>
        <v>0</v>
      </c>
      <c r="O311" s="64" t="s">
        <v>54</v>
      </c>
      <c r="P311" s="69">
        <f>uurtarief97</f>
        <v>0</v>
      </c>
      <c r="Q311" s="66" t="e">
        <f t="shared" ref="Q311:Q316" si="41">IF(ISBLANK(M311),0,L311/ROUND(M311,4))</f>
        <v>#DIV/0!</v>
      </c>
      <c r="R311" s="66" t="e">
        <f t="shared" ref="R311:R316" si="42">IF(ISBLANK(M311),0,Q311*ROUND(N311,2))</f>
        <v>#DIV/0!</v>
      </c>
      <c r="S311" s="69" t="e">
        <f t="shared" ref="S311:S316" si="43">ROUND(P311,2)*Q311</f>
        <v>#DIV/0!</v>
      </c>
      <c r="T311" s="66" t="e">
        <f t="shared" ref="T311:T316" si="44">Q311*dagenperjaar1</f>
        <v>#DIV/0!</v>
      </c>
      <c r="U311" s="70" t="e">
        <f t="shared" ref="U311:U316" si="45">T311*ROUND(P311,2)</f>
        <v>#DIV/0!</v>
      </c>
    </row>
    <row r="312" spans="1:21" x14ac:dyDescent="0.2">
      <c r="A312" s="71" t="s">
        <v>571</v>
      </c>
      <c r="B312" s="72" t="s">
        <v>300</v>
      </c>
      <c r="C312" s="72" t="s">
        <v>330</v>
      </c>
      <c r="D312" s="72" t="s">
        <v>574</v>
      </c>
      <c r="E312" s="72" t="s">
        <v>300</v>
      </c>
      <c r="F312" s="73" t="s">
        <v>319</v>
      </c>
      <c r="G312" s="72" t="s">
        <v>309</v>
      </c>
      <c r="H312" s="72" t="s">
        <v>222</v>
      </c>
      <c r="I312" s="72" t="s">
        <v>24</v>
      </c>
      <c r="J312" s="72" t="s">
        <v>187</v>
      </c>
      <c r="K312" s="74">
        <v>2</v>
      </c>
      <c r="L312" s="74">
        <f t="shared" si="40"/>
        <v>0.4</v>
      </c>
      <c r="M312" s="75">
        <f>prodnorm78</f>
        <v>0</v>
      </c>
      <c r="N312" s="76">
        <f>dagwerk78</f>
        <v>0</v>
      </c>
      <c r="O312" s="72" t="s">
        <v>54</v>
      </c>
      <c r="P312" s="77">
        <f>uurtarief78</f>
        <v>0</v>
      </c>
      <c r="Q312" s="74" t="e">
        <f t="shared" si="41"/>
        <v>#DIV/0!</v>
      </c>
      <c r="R312" s="74" t="e">
        <f t="shared" si="42"/>
        <v>#DIV/0!</v>
      </c>
      <c r="S312" s="77" t="e">
        <f t="shared" si="43"/>
        <v>#DIV/0!</v>
      </c>
      <c r="T312" s="74" t="e">
        <f t="shared" si="44"/>
        <v>#DIV/0!</v>
      </c>
      <c r="U312" s="78" t="e">
        <f t="shared" si="45"/>
        <v>#DIV/0!</v>
      </c>
    </row>
    <row r="313" spans="1:21" x14ac:dyDescent="0.2">
      <c r="A313" s="71" t="s">
        <v>571</v>
      </c>
      <c r="B313" s="72" t="s">
        <v>300</v>
      </c>
      <c r="C313" s="72" t="s">
        <v>330</v>
      </c>
      <c r="D313" s="72" t="s">
        <v>575</v>
      </c>
      <c r="E313" s="72" t="s">
        <v>300</v>
      </c>
      <c r="F313" s="73" t="s">
        <v>576</v>
      </c>
      <c r="G313" s="72" t="s">
        <v>309</v>
      </c>
      <c r="H313" s="72" t="s">
        <v>191</v>
      </c>
      <c r="I313" s="72" t="s">
        <v>24</v>
      </c>
      <c r="J313" s="72" t="s">
        <v>187</v>
      </c>
      <c r="K313" s="74">
        <v>46</v>
      </c>
      <c r="L313" s="74">
        <f t="shared" si="40"/>
        <v>9.2000000000000011</v>
      </c>
      <c r="M313" s="75">
        <f>prodnorm31</f>
        <v>0</v>
      </c>
      <c r="N313" s="76">
        <f>dagwerk31</f>
        <v>0</v>
      </c>
      <c r="O313" s="72" t="s">
        <v>54</v>
      </c>
      <c r="P313" s="77">
        <f>uurtarief31</f>
        <v>0</v>
      </c>
      <c r="Q313" s="74" t="e">
        <f t="shared" si="41"/>
        <v>#DIV/0!</v>
      </c>
      <c r="R313" s="74" t="e">
        <f t="shared" si="42"/>
        <v>#DIV/0!</v>
      </c>
      <c r="S313" s="77" t="e">
        <f t="shared" si="43"/>
        <v>#DIV/0!</v>
      </c>
      <c r="T313" s="74" t="e">
        <f t="shared" si="44"/>
        <v>#DIV/0!</v>
      </c>
      <c r="U313" s="78" t="e">
        <f t="shared" si="45"/>
        <v>#DIV/0!</v>
      </c>
    </row>
    <row r="314" spans="1:21" x14ac:dyDescent="0.2">
      <c r="A314" s="71" t="s">
        <v>571</v>
      </c>
      <c r="B314" s="72" t="s">
        <v>300</v>
      </c>
      <c r="C314" s="72" t="s">
        <v>330</v>
      </c>
      <c r="D314" s="72" t="s">
        <v>577</v>
      </c>
      <c r="E314" s="72" t="s">
        <v>300</v>
      </c>
      <c r="F314" s="73" t="s">
        <v>303</v>
      </c>
      <c r="G314" s="72" t="s">
        <v>309</v>
      </c>
      <c r="H314" s="72" t="s">
        <v>186</v>
      </c>
      <c r="I314" s="72" t="s">
        <v>24</v>
      </c>
      <c r="J314" s="72" t="s">
        <v>187</v>
      </c>
      <c r="K314" s="74">
        <v>18</v>
      </c>
      <c r="L314" s="74">
        <f t="shared" si="40"/>
        <v>3.6</v>
      </c>
      <c r="M314" s="75">
        <f>prodnorm26</f>
        <v>0</v>
      </c>
      <c r="N314" s="76">
        <f>dagwerk26</f>
        <v>0</v>
      </c>
      <c r="O314" s="72" t="s">
        <v>54</v>
      </c>
      <c r="P314" s="77">
        <f>uurtarief26</f>
        <v>0</v>
      </c>
      <c r="Q314" s="74" t="e">
        <f t="shared" si="41"/>
        <v>#DIV/0!</v>
      </c>
      <c r="R314" s="74" t="e">
        <f t="shared" si="42"/>
        <v>#DIV/0!</v>
      </c>
      <c r="S314" s="77" t="e">
        <f t="shared" si="43"/>
        <v>#DIV/0!</v>
      </c>
      <c r="T314" s="74" t="e">
        <f t="shared" si="44"/>
        <v>#DIV/0!</v>
      </c>
      <c r="U314" s="78" t="e">
        <f t="shared" si="45"/>
        <v>#DIV/0!</v>
      </c>
    </row>
    <row r="315" spans="1:21" x14ac:dyDescent="0.2">
      <c r="A315" s="71" t="s">
        <v>571</v>
      </c>
      <c r="B315" s="72" t="s">
        <v>300</v>
      </c>
      <c r="C315" s="72" t="s">
        <v>330</v>
      </c>
      <c r="D315" s="72" t="s">
        <v>578</v>
      </c>
      <c r="E315" s="72" t="s">
        <v>300</v>
      </c>
      <c r="F315" s="73" t="s">
        <v>560</v>
      </c>
      <c r="G315" s="72" t="s">
        <v>326</v>
      </c>
      <c r="H315" s="72" t="s">
        <v>218</v>
      </c>
      <c r="I315" s="72" t="s">
        <v>24</v>
      </c>
      <c r="J315" s="72" t="s">
        <v>187</v>
      </c>
      <c r="K315" s="74">
        <v>7</v>
      </c>
      <c r="L315" s="74">
        <f t="shared" si="40"/>
        <v>1.4000000000000001</v>
      </c>
      <c r="M315" s="75">
        <f>prodnorm69</f>
        <v>0</v>
      </c>
      <c r="N315" s="76">
        <f>dagwerk69</f>
        <v>0</v>
      </c>
      <c r="O315" s="72" t="s">
        <v>54</v>
      </c>
      <c r="P315" s="77">
        <f>uurtarief69</f>
        <v>0</v>
      </c>
      <c r="Q315" s="74" t="e">
        <f t="shared" si="41"/>
        <v>#DIV/0!</v>
      </c>
      <c r="R315" s="74" t="e">
        <f t="shared" si="42"/>
        <v>#DIV/0!</v>
      </c>
      <c r="S315" s="77" t="e">
        <f t="shared" si="43"/>
        <v>#DIV/0!</v>
      </c>
      <c r="T315" s="74" t="e">
        <f t="shared" si="44"/>
        <v>#DIV/0!</v>
      </c>
      <c r="U315" s="78" t="e">
        <f t="shared" si="45"/>
        <v>#DIV/0!</v>
      </c>
    </row>
    <row r="316" spans="1:21" x14ac:dyDescent="0.2">
      <c r="A316" s="79" t="s">
        <v>571</v>
      </c>
      <c r="B316" s="80" t="s">
        <v>300</v>
      </c>
      <c r="C316" s="80" t="s">
        <v>330</v>
      </c>
      <c r="D316" s="80" t="s">
        <v>578</v>
      </c>
      <c r="E316" s="80" t="s">
        <v>300</v>
      </c>
      <c r="F316" s="81" t="s">
        <v>560</v>
      </c>
      <c r="G316" s="80" t="s">
        <v>326</v>
      </c>
      <c r="H316" s="80" t="s">
        <v>241</v>
      </c>
      <c r="I316" s="80" t="s">
        <v>41</v>
      </c>
      <c r="J316" s="80" t="s">
        <v>242</v>
      </c>
      <c r="K316" s="82">
        <v>7</v>
      </c>
      <c r="L316" s="82">
        <f t="shared" si="40"/>
        <v>2.7450980392156862E-2</v>
      </c>
      <c r="M316" s="83">
        <f>prodnorm117</f>
        <v>0</v>
      </c>
      <c r="N316" s="84">
        <f>dagwerk117</f>
        <v>0</v>
      </c>
      <c r="O316" s="80" t="s">
        <v>54</v>
      </c>
      <c r="P316" s="85">
        <f>uurtarief117</f>
        <v>0</v>
      </c>
      <c r="Q316" s="82" t="e">
        <f t="shared" si="41"/>
        <v>#DIV/0!</v>
      </c>
      <c r="R316" s="82" t="e">
        <f t="shared" si="42"/>
        <v>#DIV/0!</v>
      </c>
      <c r="S316" s="85" t="e">
        <f t="shared" si="43"/>
        <v>#DIV/0!</v>
      </c>
      <c r="T316" s="82" t="e">
        <f t="shared" si="44"/>
        <v>#DIV/0!</v>
      </c>
      <c r="U316" s="86" t="e">
        <f t="shared" si="45"/>
        <v>#DIV/0!</v>
      </c>
    </row>
    <row r="317" spans="1:21" x14ac:dyDescent="0.2">
      <c r="A317" s="87" t="s">
        <v>536</v>
      </c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3" t="e">
        <f>IF(_xlfn.SINGLE(object4_urenjaar1)&gt;0,_xlfn.SINGLE(object4_prijsjaar1)/_xlfn.SINGLE(object4_urenjaar1),0)</f>
        <v>#DIV/0!</v>
      </c>
      <c r="Q317" s="52" t="e">
        <f>SUM(Q311:Q316)</f>
        <v>#DIV/0!</v>
      </c>
      <c r="R317" s="52" t="e">
        <f>SUM(R311:R316)</f>
        <v>#DIV/0!</v>
      </c>
      <c r="S317" s="53" t="e">
        <f>SUM(S311:S316)</f>
        <v>#DIV/0!</v>
      </c>
      <c r="T317" s="52" t="e">
        <f>SUM(T311:T316)</f>
        <v>#DIV/0!</v>
      </c>
      <c r="U317" s="54" t="e">
        <f>SUM(U311:U316)</f>
        <v>#DIV/0!</v>
      </c>
    </row>
    <row r="318" spans="1:21" x14ac:dyDescent="0.2">
      <c r="A318" s="61" t="s">
        <v>579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49"/>
    </row>
    <row r="319" spans="1:21" x14ac:dyDescent="0.2">
      <c r="A319" s="63" t="s">
        <v>580</v>
      </c>
      <c r="B319" s="64" t="s">
        <v>300</v>
      </c>
      <c r="C319" s="64" t="s">
        <v>330</v>
      </c>
      <c r="D319" s="64" t="s">
        <v>572</v>
      </c>
      <c r="E319" s="64" t="s">
        <v>300</v>
      </c>
      <c r="F319" s="65" t="s">
        <v>573</v>
      </c>
      <c r="G319" s="64" t="s">
        <v>581</v>
      </c>
      <c r="H319" s="64" t="s">
        <v>231</v>
      </c>
      <c r="I319" s="64" t="s">
        <v>19</v>
      </c>
      <c r="J319" s="64" t="s">
        <v>187</v>
      </c>
      <c r="K319" s="66">
        <v>6</v>
      </c>
      <c r="L319" s="66">
        <f t="shared" ref="L319:L325" si="46">K319*VLOOKUP(I319,dagsoorttabel1,2,FALSE)</f>
        <v>2.4000000000000004</v>
      </c>
      <c r="M319" s="67">
        <f>prodnorm102</f>
        <v>0</v>
      </c>
      <c r="N319" s="68">
        <f>dagwerk102</f>
        <v>0</v>
      </c>
      <c r="O319" s="64" t="s">
        <v>54</v>
      </c>
      <c r="P319" s="69">
        <f>uurtarief102</f>
        <v>0</v>
      </c>
      <c r="Q319" s="66" t="e">
        <f t="shared" ref="Q319:Q325" si="47">IF(ISBLANK(M319),0,L319/ROUND(M319,4))</f>
        <v>#DIV/0!</v>
      </c>
      <c r="R319" s="66" t="e">
        <f t="shared" ref="R319:R325" si="48">IF(ISBLANK(M319),0,Q319*ROUND(N319,2))</f>
        <v>#DIV/0!</v>
      </c>
      <c r="S319" s="69" t="e">
        <f t="shared" ref="S319:S325" si="49">ROUND(P319,2)*Q319</f>
        <v>#DIV/0!</v>
      </c>
      <c r="T319" s="66" t="e">
        <f t="shared" ref="T319:T325" si="50">Q319*dagenperjaar1</f>
        <v>#DIV/0!</v>
      </c>
      <c r="U319" s="70" t="e">
        <f t="shared" ref="U319:U325" si="51">T319*ROUND(P319,2)</f>
        <v>#DIV/0!</v>
      </c>
    </row>
    <row r="320" spans="1:21" x14ac:dyDescent="0.2">
      <c r="A320" s="71" t="s">
        <v>580</v>
      </c>
      <c r="B320" s="72" t="s">
        <v>300</v>
      </c>
      <c r="C320" s="72" t="s">
        <v>330</v>
      </c>
      <c r="D320" s="72" t="s">
        <v>582</v>
      </c>
      <c r="E320" s="72" t="s">
        <v>300</v>
      </c>
      <c r="F320" s="73" t="s">
        <v>319</v>
      </c>
      <c r="G320" s="72" t="s">
        <v>309</v>
      </c>
      <c r="H320" s="72" t="s">
        <v>222</v>
      </c>
      <c r="I320" s="72" t="s">
        <v>23</v>
      </c>
      <c r="J320" s="72" t="s">
        <v>187</v>
      </c>
      <c r="K320" s="74">
        <v>1</v>
      </c>
      <c r="L320" s="74">
        <f t="shared" si="46"/>
        <v>0.25490196078431371</v>
      </c>
      <c r="M320" s="75">
        <f>prodnorm86</f>
        <v>0</v>
      </c>
      <c r="N320" s="76">
        <f>dagwerk86</f>
        <v>0</v>
      </c>
      <c r="O320" s="72" t="s">
        <v>54</v>
      </c>
      <c r="P320" s="77">
        <f>uurtarief86</f>
        <v>0</v>
      </c>
      <c r="Q320" s="74" t="e">
        <f t="shared" si="47"/>
        <v>#DIV/0!</v>
      </c>
      <c r="R320" s="74" t="e">
        <f t="shared" si="48"/>
        <v>#DIV/0!</v>
      </c>
      <c r="S320" s="77" t="e">
        <f t="shared" si="49"/>
        <v>#DIV/0!</v>
      </c>
      <c r="T320" s="74" t="e">
        <f t="shared" si="50"/>
        <v>#DIV/0!</v>
      </c>
      <c r="U320" s="78" t="e">
        <f t="shared" si="51"/>
        <v>#DIV/0!</v>
      </c>
    </row>
    <row r="321" spans="1:21" x14ac:dyDescent="0.2">
      <c r="A321" s="71" t="s">
        <v>580</v>
      </c>
      <c r="B321" s="72" t="s">
        <v>300</v>
      </c>
      <c r="C321" s="72" t="s">
        <v>330</v>
      </c>
      <c r="D321" s="72" t="s">
        <v>582</v>
      </c>
      <c r="E321" s="72" t="s">
        <v>300</v>
      </c>
      <c r="F321" s="73" t="s">
        <v>319</v>
      </c>
      <c r="G321" s="72" t="s">
        <v>309</v>
      </c>
      <c r="H321" s="72" t="s">
        <v>222</v>
      </c>
      <c r="I321" s="72" t="s">
        <v>18</v>
      </c>
      <c r="J321" s="72" t="s">
        <v>187</v>
      </c>
      <c r="K321" s="74">
        <v>1</v>
      </c>
      <c r="L321" s="74">
        <f t="shared" si="46"/>
        <v>0.44705882352941179</v>
      </c>
      <c r="M321" s="75">
        <f>prodnorm73</f>
        <v>0</v>
      </c>
      <c r="N321" s="76">
        <f>dagwerk73</f>
        <v>0</v>
      </c>
      <c r="O321" s="72" t="s">
        <v>54</v>
      </c>
      <c r="P321" s="77">
        <f>uurtarief73</f>
        <v>0</v>
      </c>
      <c r="Q321" s="74" t="e">
        <f t="shared" si="47"/>
        <v>#DIV/0!</v>
      </c>
      <c r="R321" s="74" t="e">
        <f t="shared" si="48"/>
        <v>#DIV/0!</v>
      </c>
      <c r="S321" s="77" t="e">
        <f t="shared" si="49"/>
        <v>#DIV/0!</v>
      </c>
      <c r="T321" s="74" t="e">
        <f t="shared" si="50"/>
        <v>#DIV/0!</v>
      </c>
      <c r="U321" s="78" t="e">
        <f t="shared" si="51"/>
        <v>#DIV/0!</v>
      </c>
    </row>
    <row r="322" spans="1:21" x14ac:dyDescent="0.2">
      <c r="A322" s="71" t="s">
        <v>580</v>
      </c>
      <c r="B322" s="72" t="s">
        <v>300</v>
      </c>
      <c r="C322" s="72" t="s">
        <v>330</v>
      </c>
      <c r="D322" s="72" t="s">
        <v>574</v>
      </c>
      <c r="E322" s="72" t="s">
        <v>300</v>
      </c>
      <c r="F322" s="73" t="s">
        <v>313</v>
      </c>
      <c r="G322" s="72" t="s">
        <v>583</v>
      </c>
      <c r="H322" s="72" t="s">
        <v>222</v>
      </c>
      <c r="I322" s="72" t="s">
        <v>24</v>
      </c>
      <c r="J322" s="72" t="s">
        <v>187</v>
      </c>
      <c r="K322" s="74">
        <v>13</v>
      </c>
      <c r="L322" s="74">
        <f t="shared" si="46"/>
        <v>2.6</v>
      </c>
      <c r="M322" s="75">
        <f>prodnorm78</f>
        <v>0</v>
      </c>
      <c r="N322" s="76">
        <f>dagwerk78</f>
        <v>0</v>
      </c>
      <c r="O322" s="72" t="s">
        <v>54</v>
      </c>
      <c r="P322" s="77">
        <f>uurtarief78</f>
        <v>0</v>
      </c>
      <c r="Q322" s="74" t="e">
        <f t="shared" si="47"/>
        <v>#DIV/0!</v>
      </c>
      <c r="R322" s="74" t="e">
        <f t="shared" si="48"/>
        <v>#DIV/0!</v>
      </c>
      <c r="S322" s="77" t="e">
        <f t="shared" si="49"/>
        <v>#DIV/0!</v>
      </c>
      <c r="T322" s="74" t="e">
        <f t="shared" si="50"/>
        <v>#DIV/0!</v>
      </c>
      <c r="U322" s="78" t="e">
        <f t="shared" si="51"/>
        <v>#DIV/0!</v>
      </c>
    </row>
    <row r="323" spans="1:21" x14ac:dyDescent="0.2">
      <c r="A323" s="71" t="s">
        <v>580</v>
      </c>
      <c r="B323" s="72" t="s">
        <v>300</v>
      </c>
      <c r="C323" s="72" t="s">
        <v>330</v>
      </c>
      <c r="D323" s="72" t="s">
        <v>584</v>
      </c>
      <c r="E323" s="72" t="s">
        <v>300</v>
      </c>
      <c r="F323" s="73" t="s">
        <v>559</v>
      </c>
      <c r="G323" s="72" t="s">
        <v>583</v>
      </c>
      <c r="H323" s="72" t="s">
        <v>220</v>
      </c>
      <c r="I323" s="72" t="s">
        <v>24</v>
      </c>
      <c r="J323" s="72" t="s">
        <v>187</v>
      </c>
      <c r="K323" s="74">
        <v>13</v>
      </c>
      <c r="L323" s="74">
        <f t="shared" si="46"/>
        <v>2.6</v>
      </c>
      <c r="M323" s="75">
        <f>prodnorm71</f>
        <v>0</v>
      </c>
      <c r="N323" s="76">
        <f>dagwerk71</f>
        <v>0</v>
      </c>
      <c r="O323" s="72" t="s">
        <v>54</v>
      </c>
      <c r="P323" s="77">
        <f>uurtarief71</f>
        <v>0</v>
      </c>
      <c r="Q323" s="74" t="e">
        <f t="shared" si="47"/>
        <v>#DIV/0!</v>
      </c>
      <c r="R323" s="74" t="e">
        <f t="shared" si="48"/>
        <v>#DIV/0!</v>
      </c>
      <c r="S323" s="77" t="e">
        <f t="shared" si="49"/>
        <v>#DIV/0!</v>
      </c>
      <c r="T323" s="74" t="e">
        <f t="shared" si="50"/>
        <v>#DIV/0!</v>
      </c>
      <c r="U323" s="78" t="e">
        <f t="shared" si="51"/>
        <v>#DIV/0!</v>
      </c>
    </row>
    <row r="324" spans="1:21" x14ac:dyDescent="0.2">
      <c r="A324" s="71" t="s">
        <v>580</v>
      </c>
      <c r="B324" s="72" t="s">
        <v>300</v>
      </c>
      <c r="C324" s="72" t="s">
        <v>330</v>
      </c>
      <c r="D324" s="72" t="s">
        <v>585</v>
      </c>
      <c r="E324" s="72" t="s">
        <v>300</v>
      </c>
      <c r="F324" s="73" t="s">
        <v>560</v>
      </c>
      <c r="G324" s="72" t="s">
        <v>581</v>
      </c>
      <c r="H324" s="72" t="s">
        <v>218</v>
      </c>
      <c r="I324" s="72" t="s">
        <v>24</v>
      </c>
      <c r="J324" s="72" t="s">
        <v>187</v>
      </c>
      <c r="K324" s="74">
        <v>10</v>
      </c>
      <c r="L324" s="74">
        <f t="shared" si="46"/>
        <v>2</v>
      </c>
      <c r="M324" s="75">
        <f>prodnorm69</f>
        <v>0</v>
      </c>
      <c r="N324" s="76">
        <f>dagwerk69</f>
        <v>0</v>
      </c>
      <c r="O324" s="72" t="s">
        <v>54</v>
      </c>
      <c r="P324" s="77">
        <f>uurtarief69</f>
        <v>0</v>
      </c>
      <c r="Q324" s="74" t="e">
        <f t="shared" si="47"/>
        <v>#DIV/0!</v>
      </c>
      <c r="R324" s="74" t="e">
        <f t="shared" si="48"/>
        <v>#DIV/0!</v>
      </c>
      <c r="S324" s="77" t="e">
        <f t="shared" si="49"/>
        <v>#DIV/0!</v>
      </c>
      <c r="T324" s="74" t="e">
        <f t="shared" si="50"/>
        <v>#DIV/0!</v>
      </c>
      <c r="U324" s="78" t="e">
        <f t="shared" si="51"/>
        <v>#DIV/0!</v>
      </c>
    </row>
    <row r="325" spans="1:21" x14ac:dyDescent="0.2">
      <c r="A325" s="79" t="s">
        <v>580</v>
      </c>
      <c r="B325" s="80" t="s">
        <v>300</v>
      </c>
      <c r="C325" s="80" t="s">
        <v>330</v>
      </c>
      <c r="D325" s="80" t="s">
        <v>577</v>
      </c>
      <c r="E325" s="80" t="s">
        <v>300</v>
      </c>
      <c r="F325" s="81" t="s">
        <v>586</v>
      </c>
      <c r="G325" s="80" t="s">
        <v>581</v>
      </c>
      <c r="H325" s="80" t="s">
        <v>191</v>
      </c>
      <c r="I325" s="80" t="s">
        <v>24</v>
      </c>
      <c r="J325" s="80" t="s">
        <v>187</v>
      </c>
      <c r="K325" s="82">
        <v>22</v>
      </c>
      <c r="L325" s="82">
        <f t="shared" si="46"/>
        <v>4.4000000000000004</v>
      </c>
      <c r="M325" s="83">
        <f>prodnorm31</f>
        <v>0</v>
      </c>
      <c r="N325" s="84">
        <f>dagwerk31</f>
        <v>0</v>
      </c>
      <c r="O325" s="80" t="s">
        <v>54</v>
      </c>
      <c r="P325" s="85">
        <f>uurtarief31</f>
        <v>0</v>
      </c>
      <c r="Q325" s="82" t="e">
        <f t="shared" si="47"/>
        <v>#DIV/0!</v>
      </c>
      <c r="R325" s="82" t="e">
        <f t="shared" si="48"/>
        <v>#DIV/0!</v>
      </c>
      <c r="S325" s="85" t="e">
        <f t="shared" si="49"/>
        <v>#DIV/0!</v>
      </c>
      <c r="T325" s="82" t="e">
        <f t="shared" si="50"/>
        <v>#DIV/0!</v>
      </c>
      <c r="U325" s="86" t="e">
        <f t="shared" si="51"/>
        <v>#DIV/0!</v>
      </c>
    </row>
    <row r="326" spans="1:21" x14ac:dyDescent="0.2">
      <c r="A326" s="87" t="s">
        <v>536</v>
      </c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3" t="e">
        <f>IF(_xlfn.SINGLE(object5_urenjaar1)&gt;0,_xlfn.SINGLE(object5_prijsjaar1)/_xlfn.SINGLE(object5_urenjaar1),0)</f>
        <v>#DIV/0!</v>
      </c>
      <c r="Q326" s="52" t="e">
        <f>SUM(Q319:Q325)</f>
        <v>#DIV/0!</v>
      </c>
      <c r="R326" s="52" t="e">
        <f>SUM(R319:R325)</f>
        <v>#DIV/0!</v>
      </c>
      <c r="S326" s="53" t="e">
        <f>SUM(S319:S325)</f>
        <v>#DIV/0!</v>
      </c>
      <c r="T326" s="52" t="e">
        <f>SUM(T319:T325)</f>
        <v>#DIV/0!</v>
      </c>
      <c r="U326" s="54" t="e">
        <f>SUM(U319:U325)</f>
        <v>#DIV/0!</v>
      </c>
    </row>
    <row r="327" spans="1:21" x14ac:dyDescent="0.2">
      <c r="A327" s="61" t="s">
        <v>587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49"/>
    </row>
    <row r="328" spans="1:21" x14ac:dyDescent="0.2">
      <c r="A328" s="63" t="s">
        <v>588</v>
      </c>
      <c r="B328" s="64" t="s">
        <v>300</v>
      </c>
      <c r="C328" s="64" t="s">
        <v>300</v>
      </c>
      <c r="D328" s="64" t="s">
        <v>300</v>
      </c>
      <c r="E328" s="64" t="s">
        <v>300</v>
      </c>
      <c r="F328" s="65" t="s">
        <v>589</v>
      </c>
      <c r="G328" s="64" t="s">
        <v>300</v>
      </c>
      <c r="H328" s="64" t="s">
        <v>256</v>
      </c>
      <c r="I328" s="64" t="s">
        <v>10</v>
      </c>
      <c r="J328" s="64" t="s">
        <v>253</v>
      </c>
      <c r="K328" s="66">
        <v>1</v>
      </c>
      <c r="L328" s="66">
        <f t="shared" ref="L328:L359" si="52">K328*VLOOKUP(I328,dagsoorttabel1,2,FALSE)</f>
        <v>1</v>
      </c>
      <c r="M328" s="67">
        <f>prodnorm18</f>
        <v>0</v>
      </c>
      <c r="N328" s="68">
        <f>dagwerk18</f>
        <v>0</v>
      </c>
      <c r="O328" s="64" t="s">
        <v>255</v>
      </c>
      <c r="P328" s="69">
        <f>uurtarief18</f>
        <v>0</v>
      </c>
      <c r="Q328" s="66">
        <f>L328*ROUND(M328,4)/60</f>
        <v>0</v>
      </c>
      <c r="R328" s="66">
        <f t="shared" ref="R328:R359" si="53">IF(ISBLANK(M328),0,Q328*ROUND(N328,2))</f>
        <v>0</v>
      </c>
      <c r="S328" s="69">
        <f t="shared" ref="S328:S359" si="54">ROUND(P328,2)*Q328</f>
        <v>0</v>
      </c>
      <c r="T328" s="66">
        <f t="shared" ref="T328:T359" si="55">Q328*dagenperjaar1</f>
        <v>0</v>
      </c>
      <c r="U328" s="70">
        <f t="shared" ref="U328:U359" si="56">T328*ROUND(P328,2)</f>
        <v>0</v>
      </c>
    </row>
    <row r="329" spans="1:21" x14ac:dyDescent="0.2">
      <c r="A329" s="71" t="s">
        <v>588</v>
      </c>
      <c r="B329" s="72" t="s">
        <v>300</v>
      </c>
      <c r="C329" s="72" t="s">
        <v>330</v>
      </c>
      <c r="D329" s="72" t="s">
        <v>540</v>
      </c>
      <c r="E329" s="72" t="s">
        <v>300</v>
      </c>
      <c r="F329" s="73" t="s">
        <v>338</v>
      </c>
      <c r="G329" s="72" t="s">
        <v>304</v>
      </c>
      <c r="H329" s="72" t="s">
        <v>199</v>
      </c>
      <c r="I329" s="72" t="s">
        <v>14</v>
      </c>
      <c r="J329" s="72" t="s">
        <v>187</v>
      </c>
      <c r="K329" s="74">
        <v>42.3</v>
      </c>
      <c r="L329" s="74">
        <f t="shared" si="52"/>
        <v>33.17647058823529</v>
      </c>
      <c r="M329" s="75">
        <f>prodnorm48</f>
        <v>0</v>
      </c>
      <c r="N329" s="76">
        <f>dagwerk48</f>
        <v>0</v>
      </c>
      <c r="O329" s="72" t="s">
        <v>54</v>
      </c>
      <c r="P329" s="77">
        <f>uurtarief48</f>
        <v>0</v>
      </c>
      <c r="Q329" s="74" t="e">
        <f t="shared" ref="Q329:Q360" si="57">IF(ISBLANK(M329),0,L329/ROUND(M329,4))</f>
        <v>#DIV/0!</v>
      </c>
      <c r="R329" s="74" t="e">
        <f t="shared" si="53"/>
        <v>#DIV/0!</v>
      </c>
      <c r="S329" s="77" t="e">
        <f t="shared" si="54"/>
        <v>#DIV/0!</v>
      </c>
      <c r="T329" s="74" t="e">
        <f t="shared" si="55"/>
        <v>#DIV/0!</v>
      </c>
      <c r="U329" s="78" t="e">
        <f t="shared" si="56"/>
        <v>#DIV/0!</v>
      </c>
    </row>
    <row r="330" spans="1:21" x14ac:dyDescent="0.2">
      <c r="A330" s="71" t="s">
        <v>588</v>
      </c>
      <c r="B330" s="72" t="s">
        <v>300</v>
      </c>
      <c r="C330" s="72" t="s">
        <v>330</v>
      </c>
      <c r="D330" s="72" t="s">
        <v>335</v>
      </c>
      <c r="E330" s="72" t="s">
        <v>300</v>
      </c>
      <c r="F330" s="73" t="s">
        <v>590</v>
      </c>
      <c r="G330" s="72" t="s">
        <v>304</v>
      </c>
      <c r="H330" s="72" t="s">
        <v>231</v>
      </c>
      <c r="I330" s="72" t="s">
        <v>14</v>
      </c>
      <c r="J330" s="72" t="s">
        <v>187</v>
      </c>
      <c r="K330" s="74">
        <v>275.8</v>
      </c>
      <c r="L330" s="74">
        <f t="shared" si="52"/>
        <v>216.31372549019608</v>
      </c>
      <c r="M330" s="75">
        <f>prodnorm99</f>
        <v>0</v>
      </c>
      <c r="N330" s="76">
        <f>dagwerk99</f>
        <v>0</v>
      </c>
      <c r="O330" s="72" t="s">
        <v>54</v>
      </c>
      <c r="P330" s="77">
        <f>uurtarief99</f>
        <v>0</v>
      </c>
      <c r="Q330" s="74" t="e">
        <f t="shared" si="57"/>
        <v>#DIV/0!</v>
      </c>
      <c r="R330" s="74" t="e">
        <f t="shared" si="53"/>
        <v>#DIV/0!</v>
      </c>
      <c r="S330" s="77" t="e">
        <f t="shared" si="54"/>
        <v>#DIV/0!</v>
      </c>
      <c r="T330" s="74" t="e">
        <f t="shared" si="55"/>
        <v>#DIV/0!</v>
      </c>
      <c r="U330" s="78" t="e">
        <f t="shared" si="56"/>
        <v>#DIV/0!</v>
      </c>
    </row>
    <row r="331" spans="1:21" x14ac:dyDescent="0.2">
      <c r="A331" s="71" t="s">
        <v>588</v>
      </c>
      <c r="B331" s="72" t="s">
        <v>300</v>
      </c>
      <c r="C331" s="72" t="s">
        <v>330</v>
      </c>
      <c r="D331" s="72" t="s">
        <v>337</v>
      </c>
      <c r="E331" s="72" t="s">
        <v>300</v>
      </c>
      <c r="F331" s="73" t="s">
        <v>591</v>
      </c>
      <c r="G331" s="72" t="s">
        <v>304</v>
      </c>
      <c r="H331" s="72" t="s">
        <v>227</v>
      </c>
      <c r="I331" s="72" t="s">
        <v>14</v>
      </c>
      <c r="J331" s="72" t="s">
        <v>187</v>
      </c>
      <c r="K331" s="74">
        <v>10</v>
      </c>
      <c r="L331" s="74">
        <f t="shared" si="52"/>
        <v>7.8431372549019605</v>
      </c>
      <c r="M331" s="75">
        <f>prodnorm91</f>
        <v>0</v>
      </c>
      <c r="N331" s="76">
        <f>dagwerk91</f>
        <v>0</v>
      </c>
      <c r="O331" s="72" t="s">
        <v>54</v>
      </c>
      <c r="P331" s="77">
        <f>uurtarief91</f>
        <v>0</v>
      </c>
      <c r="Q331" s="74" t="e">
        <f t="shared" si="57"/>
        <v>#DIV/0!</v>
      </c>
      <c r="R331" s="74" t="e">
        <f t="shared" si="53"/>
        <v>#DIV/0!</v>
      </c>
      <c r="S331" s="77" t="e">
        <f t="shared" si="54"/>
        <v>#DIV/0!</v>
      </c>
      <c r="T331" s="74" t="e">
        <f t="shared" si="55"/>
        <v>#DIV/0!</v>
      </c>
      <c r="U331" s="78" t="e">
        <f t="shared" si="56"/>
        <v>#DIV/0!</v>
      </c>
    </row>
    <row r="332" spans="1:21" x14ac:dyDescent="0.2">
      <c r="A332" s="71" t="s">
        <v>588</v>
      </c>
      <c r="B332" s="72" t="s">
        <v>300</v>
      </c>
      <c r="C332" s="72" t="s">
        <v>330</v>
      </c>
      <c r="D332" s="72" t="s">
        <v>592</v>
      </c>
      <c r="E332" s="72" t="s">
        <v>300</v>
      </c>
      <c r="F332" s="73" t="s">
        <v>591</v>
      </c>
      <c r="G332" s="72" t="s">
        <v>304</v>
      </c>
      <c r="H332" s="72" t="s">
        <v>227</v>
      </c>
      <c r="I332" s="72" t="s">
        <v>14</v>
      </c>
      <c r="J332" s="72" t="s">
        <v>187</v>
      </c>
      <c r="K332" s="74">
        <v>15</v>
      </c>
      <c r="L332" s="74">
        <f t="shared" si="52"/>
        <v>11.76470588235294</v>
      </c>
      <c r="M332" s="75">
        <f>prodnorm91</f>
        <v>0</v>
      </c>
      <c r="N332" s="76">
        <f>dagwerk91</f>
        <v>0</v>
      </c>
      <c r="O332" s="72" t="s">
        <v>54</v>
      </c>
      <c r="P332" s="77">
        <f>uurtarief91</f>
        <v>0</v>
      </c>
      <c r="Q332" s="74" t="e">
        <f t="shared" si="57"/>
        <v>#DIV/0!</v>
      </c>
      <c r="R332" s="74" t="e">
        <f t="shared" si="53"/>
        <v>#DIV/0!</v>
      </c>
      <c r="S332" s="77" t="e">
        <f t="shared" si="54"/>
        <v>#DIV/0!</v>
      </c>
      <c r="T332" s="74" t="e">
        <f t="shared" si="55"/>
        <v>#DIV/0!</v>
      </c>
      <c r="U332" s="78" t="e">
        <f t="shared" si="56"/>
        <v>#DIV/0!</v>
      </c>
    </row>
    <row r="333" spans="1:21" x14ac:dyDescent="0.2">
      <c r="A333" s="71" t="s">
        <v>588</v>
      </c>
      <c r="B333" s="72" t="s">
        <v>300</v>
      </c>
      <c r="C333" s="72" t="s">
        <v>330</v>
      </c>
      <c r="D333" s="72" t="s">
        <v>340</v>
      </c>
      <c r="E333" s="72" t="s">
        <v>300</v>
      </c>
      <c r="F333" s="73" t="s">
        <v>593</v>
      </c>
      <c r="G333" s="72" t="s">
        <v>323</v>
      </c>
      <c r="H333" s="72" t="s">
        <v>216</v>
      </c>
      <c r="I333" s="72" t="s">
        <v>14</v>
      </c>
      <c r="J333" s="72" t="s">
        <v>187</v>
      </c>
      <c r="K333" s="74">
        <v>226</v>
      </c>
      <c r="L333" s="74">
        <f t="shared" si="52"/>
        <v>177.25490196078431</v>
      </c>
      <c r="M333" s="75">
        <f>prodnorm66</f>
        <v>0</v>
      </c>
      <c r="N333" s="76">
        <f>dagwerk66</f>
        <v>0</v>
      </c>
      <c r="O333" s="72" t="s">
        <v>54</v>
      </c>
      <c r="P333" s="77">
        <f>uurtarief66</f>
        <v>0</v>
      </c>
      <c r="Q333" s="74" t="e">
        <f t="shared" si="57"/>
        <v>#DIV/0!</v>
      </c>
      <c r="R333" s="74" t="e">
        <f t="shared" si="53"/>
        <v>#DIV/0!</v>
      </c>
      <c r="S333" s="77" t="e">
        <f t="shared" si="54"/>
        <v>#DIV/0!</v>
      </c>
      <c r="T333" s="74" t="e">
        <f t="shared" si="55"/>
        <v>#DIV/0!</v>
      </c>
      <c r="U333" s="78" t="e">
        <f t="shared" si="56"/>
        <v>#DIV/0!</v>
      </c>
    </row>
    <row r="334" spans="1:21" x14ac:dyDescent="0.2">
      <c r="A334" s="71" t="s">
        <v>588</v>
      </c>
      <c r="B334" s="72" t="s">
        <v>300</v>
      </c>
      <c r="C334" s="72" t="s">
        <v>330</v>
      </c>
      <c r="D334" s="72" t="s">
        <v>543</v>
      </c>
      <c r="E334" s="72" t="s">
        <v>300</v>
      </c>
      <c r="F334" s="73" t="s">
        <v>594</v>
      </c>
      <c r="G334" s="72" t="s">
        <v>353</v>
      </c>
      <c r="H334" s="72" t="s">
        <v>231</v>
      </c>
      <c r="I334" s="72" t="s">
        <v>14</v>
      </c>
      <c r="J334" s="72" t="s">
        <v>187</v>
      </c>
      <c r="K334" s="74">
        <v>217.3</v>
      </c>
      <c r="L334" s="74">
        <f t="shared" si="52"/>
        <v>170.43137254901961</v>
      </c>
      <c r="M334" s="75">
        <f>prodnorm99</f>
        <v>0</v>
      </c>
      <c r="N334" s="76">
        <f>dagwerk99</f>
        <v>0</v>
      </c>
      <c r="O334" s="72" t="s">
        <v>54</v>
      </c>
      <c r="P334" s="77">
        <f>uurtarief99</f>
        <v>0</v>
      </c>
      <c r="Q334" s="74" t="e">
        <f t="shared" si="57"/>
        <v>#DIV/0!</v>
      </c>
      <c r="R334" s="74" t="e">
        <f t="shared" si="53"/>
        <v>#DIV/0!</v>
      </c>
      <c r="S334" s="77" t="e">
        <f t="shared" si="54"/>
        <v>#DIV/0!</v>
      </c>
      <c r="T334" s="74" t="e">
        <f t="shared" si="55"/>
        <v>#DIV/0!</v>
      </c>
      <c r="U334" s="78" t="e">
        <f t="shared" si="56"/>
        <v>#DIV/0!</v>
      </c>
    </row>
    <row r="335" spans="1:21" x14ac:dyDescent="0.2">
      <c r="A335" s="71" t="s">
        <v>588</v>
      </c>
      <c r="B335" s="72" t="s">
        <v>300</v>
      </c>
      <c r="C335" s="72" t="s">
        <v>330</v>
      </c>
      <c r="D335" s="72" t="s">
        <v>352</v>
      </c>
      <c r="E335" s="72" t="s">
        <v>300</v>
      </c>
      <c r="F335" s="73" t="s">
        <v>359</v>
      </c>
      <c r="G335" s="72" t="s">
        <v>323</v>
      </c>
      <c r="H335" s="72" t="s">
        <v>193</v>
      </c>
      <c r="I335" s="72" t="s">
        <v>14</v>
      </c>
      <c r="J335" s="72" t="s">
        <v>187</v>
      </c>
      <c r="K335" s="74">
        <v>48.3</v>
      </c>
      <c r="L335" s="74">
        <f t="shared" si="52"/>
        <v>37.882352941176471</v>
      </c>
      <c r="M335" s="75">
        <f>prodnorm37</f>
        <v>0</v>
      </c>
      <c r="N335" s="76">
        <f>dagwerk37</f>
        <v>0</v>
      </c>
      <c r="O335" s="72" t="s">
        <v>54</v>
      </c>
      <c r="P335" s="77">
        <f>uurtarief37</f>
        <v>0</v>
      </c>
      <c r="Q335" s="74" t="e">
        <f t="shared" si="57"/>
        <v>#DIV/0!</v>
      </c>
      <c r="R335" s="74" t="e">
        <f t="shared" si="53"/>
        <v>#DIV/0!</v>
      </c>
      <c r="S335" s="77" t="e">
        <f t="shared" si="54"/>
        <v>#DIV/0!</v>
      </c>
      <c r="T335" s="74" t="e">
        <f t="shared" si="55"/>
        <v>#DIV/0!</v>
      </c>
      <c r="U335" s="78" t="e">
        <f t="shared" si="56"/>
        <v>#DIV/0!</v>
      </c>
    </row>
    <row r="336" spans="1:21" x14ac:dyDescent="0.2">
      <c r="A336" s="71" t="s">
        <v>588</v>
      </c>
      <c r="B336" s="72" t="s">
        <v>300</v>
      </c>
      <c r="C336" s="72" t="s">
        <v>330</v>
      </c>
      <c r="D336" s="72" t="s">
        <v>354</v>
      </c>
      <c r="E336" s="72" t="s">
        <v>300</v>
      </c>
      <c r="F336" s="73" t="s">
        <v>345</v>
      </c>
      <c r="G336" s="72" t="s">
        <v>323</v>
      </c>
      <c r="H336" s="72" t="s">
        <v>233</v>
      </c>
      <c r="I336" s="72" t="s">
        <v>14</v>
      </c>
      <c r="J336" s="72" t="s">
        <v>187</v>
      </c>
      <c r="K336" s="74">
        <v>28.1</v>
      </c>
      <c r="L336" s="74">
        <f t="shared" si="52"/>
        <v>22.03921568627451</v>
      </c>
      <c r="M336" s="75">
        <f>prodnorm107</f>
        <v>0</v>
      </c>
      <c r="N336" s="76">
        <f>dagwerk107</f>
        <v>0</v>
      </c>
      <c r="O336" s="72" t="s">
        <v>54</v>
      </c>
      <c r="P336" s="77">
        <f>uurtarief107</f>
        <v>0</v>
      </c>
      <c r="Q336" s="74" t="e">
        <f t="shared" si="57"/>
        <v>#DIV/0!</v>
      </c>
      <c r="R336" s="74" t="e">
        <f t="shared" si="53"/>
        <v>#DIV/0!</v>
      </c>
      <c r="S336" s="77" t="e">
        <f t="shared" si="54"/>
        <v>#DIV/0!</v>
      </c>
      <c r="T336" s="74" t="e">
        <f t="shared" si="55"/>
        <v>#DIV/0!</v>
      </c>
      <c r="U336" s="78" t="e">
        <f t="shared" si="56"/>
        <v>#DIV/0!</v>
      </c>
    </row>
    <row r="337" spans="1:21" x14ac:dyDescent="0.2">
      <c r="A337" s="71" t="s">
        <v>588</v>
      </c>
      <c r="B337" s="72" t="s">
        <v>300</v>
      </c>
      <c r="C337" s="72" t="s">
        <v>330</v>
      </c>
      <c r="D337" s="72" t="s">
        <v>356</v>
      </c>
      <c r="E337" s="72" t="s">
        <v>300</v>
      </c>
      <c r="F337" s="73" t="s">
        <v>595</v>
      </c>
      <c r="G337" s="72" t="s">
        <v>326</v>
      </c>
      <c r="H337" s="72" t="s">
        <v>186</v>
      </c>
      <c r="I337" s="72" t="s">
        <v>35</v>
      </c>
      <c r="J337" s="72" t="s">
        <v>187</v>
      </c>
      <c r="K337" s="74">
        <v>5.5</v>
      </c>
      <c r="L337" s="74">
        <f t="shared" si="52"/>
        <v>0.25882352941176467</v>
      </c>
      <c r="M337" s="75">
        <f>prodnorm23</f>
        <v>0</v>
      </c>
      <c r="N337" s="76">
        <f>dagwerk23</f>
        <v>0</v>
      </c>
      <c r="O337" s="72" t="s">
        <v>54</v>
      </c>
      <c r="P337" s="77">
        <f>uurtarief23</f>
        <v>0</v>
      </c>
      <c r="Q337" s="74" t="e">
        <f t="shared" si="57"/>
        <v>#DIV/0!</v>
      </c>
      <c r="R337" s="74" t="e">
        <f t="shared" si="53"/>
        <v>#DIV/0!</v>
      </c>
      <c r="S337" s="77" t="e">
        <f t="shared" si="54"/>
        <v>#DIV/0!</v>
      </c>
      <c r="T337" s="74" t="e">
        <f t="shared" si="55"/>
        <v>#DIV/0!</v>
      </c>
      <c r="U337" s="78" t="e">
        <f t="shared" si="56"/>
        <v>#DIV/0!</v>
      </c>
    </row>
    <row r="338" spans="1:21" x14ac:dyDescent="0.2">
      <c r="A338" s="71" t="s">
        <v>588</v>
      </c>
      <c r="B338" s="72" t="s">
        <v>300</v>
      </c>
      <c r="C338" s="72" t="s">
        <v>330</v>
      </c>
      <c r="D338" s="72" t="s">
        <v>363</v>
      </c>
      <c r="E338" s="72" t="s">
        <v>300</v>
      </c>
      <c r="F338" s="73" t="s">
        <v>345</v>
      </c>
      <c r="G338" s="72" t="s">
        <v>304</v>
      </c>
      <c r="H338" s="72" t="s">
        <v>231</v>
      </c>
      <c r="I338" s="72" t="s">
        <v>14</v>
      </c>
      <c r="J338" s="72" t="s">
        <v>187</v>
      </c>
      <c r="K338" s="74">
        <v>12.6</v>
      </c>
      <c r="L338" s="74">
        <f t="shared" si="52"/>
        <v>9.882352941176471</v>
      </c>
      <c r="M338" s="75">
        <f>prodnorm99</f>
        <v>0</v>
      </c>
      <c r="N338" s="76">
        <f>dagwerk99</f>
        <v>0</v>
      </c>
      <c r="O338" s="72" t="s">
        <v>54</v>
      </c>
      <c r="P338" s="77">
        <f>uurtarief99</f>
        <v>0</v>
      </c>
      <c r="Q338" s="74" t="e">
        <f t="shared" si="57"/>
        <v>#DIV/0!</v>
      </c>
      <c r="R338" s="74" t="e">
        <f t="shared" si="53"/>
        <v>#DIV/0!</v>
      </c>
      <c r="S338" s="77" t="e">
        <f t="shared" si="54"/>
        <v>#DIV/0!</v>
      </c>
      <c r="T338" s="74" t="e">
        <f t="shared" si="55"/>
        <v>#DIV/0!</v>
      </c>
      <c r="U338" s="78" t="e">
        <f t="shared" si="56"/>
        <v>#DIV/0!</v>
      </c>
    </row>
    <row r="339" spans="1:21" x14ac:dyDescent="0.2">
      <c r="A339" s="71" t="s">
        <v>588</v>
      </c>
      <c r="B339" s="72" t="s">
        <v>300</v>
      </c>
      <c r="C339" s="72" t="s">
        <v>330</v>
      </c>
      <c r="D339" s="72" t="s">
        <v>546</v>
      </c>
      <c r="E339" s="72" t="s">
        <v>300</v>
      </c>
      <c r="F339" s="73" t="s">
        <v>595</v>
      </c>
      <c r="G339" s="72" t="s">
        <v>596</v>
      </c>
      <c r="H339" s="72" t="s">
        <v>186</v>
      </c>
      <c r="I339" s="72" t="s">
        <v>35</v>
      </c>
      <c r="J339" s="72" t="s">
        <v>187</v>
      </c>
      <c r="K339" s="74">
        <v>1.4</v>
      </c>
      <c r="L339" s="74">
        <f t="shared" si="52"/>
        <v>6.5882352941176461E-2</v>
      </c>
      <c r="M339" s="75">
        <f>prodnorm23</f>
        <v>0</v>
      </c>
      <c r="N339" s="76">
        <f>dagwerk23</f>
        <v>0</v>
      </c>
      <c r="O339" s="72" t="s">
        <v>54</v>
      </c>
      <c r="P339" s="77">
        <f>uurtarief23</f>
        <v>0</v>
      </c>
      <c r="Q339" s="74" t="e">
        <f t="shared" si="57"/>
        <v>#DIV/0!</v>
      </c>
      <c r="R339" s="74" t="e">
        <f t="shared" si="53"/>
        <v>#DIV/0!</v>
      </c>
      <c r="S339" s="77" t="e">
        <f t="shared" si="54"/>
        <v>#DIV/0!</v>
      </c>
      <c r="T339" s="74" t="e">
        <f t="shared" si="55"/>
        <v>#DIV/0!</v>
      </c>
      <c r="U339" s="78" t="e">
        <f t="shared" si="56"/>
        <v>#DIV/0!</v>
      </c>
    </row>
    <row r="340" spans="1:21" x14ac:dyDescent="0.2">
      <c r="A340" s="71" t="s">
        <v>588</v>
      </c>
      <c r="B340" s="72" t="s">
        <v>300</v>
      </c>
      <c r="C340" s="72" t="s">
        <v>330</v>
      </c>
      <c r="D340" s="72" t="s">
        <v>365</v>
      </c>
      <c r="E340" s="72" t="s">
        <v>300</v>
      </c>
      <c r="F340" s="73" t="s">
        <v>597</v>
      </c>
      <c r="G340" s="72" t="s">
        <v>309</v>
      </c>
      <c r="H340" s="72" t="s">
        <v>222</v>
      </c>
      <c r="I340" s="72" t="s">
        <v>14</v>
      </c>
      <c r="J340" s="72" t="s">
        <v>187</v>
      </c>
      <c r="K340" s="74">
        <v>5.3</v>
      </c>
      <c r="L340" s="74">
        <f t="shared" si="52"/>
        <v>4.1568627450980387</v>
      </c>
      <c r="M340" s="75">
        <f>prodnorm79</f>
        <v>0</v>
      </c>
      <c r="N340" s="76">
        <f>dagwerk79</f>
        <v>0</v>
      </c>
      <c r="O340" s="72" t="s">
        <v>54</v>
      </c>
      <c r="P340" s="77">
        <f>uurtarief79</f>
        <v>0</v>
      </c>
      <c r="Q340" s="74" t="e">
        <f t="shared" si="57"/>
        <v>#DIV/0!</v>
      </c>
      <c r="R340" s="74" t="e">
        <f t="shared" si="53"/>
        <v>#DIV/0!</v>
      </c>
      <c r="S340" s="77" t="e">
        <f t="shared" si="54"/>
        <v>#DIV/0!</v>
      </c>
      <c r="T340" s="74" t="e">
        <f t="shared" si="55"/>
        <v>#DIV/0!</v>
      </c>
      <c r="U340" s="78" t="e">
        <f t="shared" si="56"/>
        <v>#DIV/0!</v>
      </c>
    </row>
    <row r="341" spans="1:21" x14ac:dyDescent="0.2">
      <c r="A341" s="71" t="s">
        <v>588</v>
      </c>
      <c r="B341" s="72" t="s">
        <v>300</v>
      </c>
      <c r="C341" s="72" t="s">
        <v>330</v>
      </c>
      <c r="D341" s="72" t="s">
        <v>549</v>
      </c>
      <c r="E341" s="72" t="s">
        <v>300</v>
      </c>
      <c r="F341" s="73" t="s">
        <v>598</v>
      </c>
      <c r="G341" s="72" t="s">
        <v>309</v>
      </c>
      <c r="H341" s="72" t="s">
        <v>222</v>
      </c>
      <c r="I341" s="72" t="s">
        <v>14</v>
      </c>
      <c r="J341" s="72" t="s">
        <v>187</v>
      </c>
      <c r="K341" s="74">
        <v>11.1</v>
      </c>
      <c r="L341" s="74">
        <f t="shared" si="52"/>
        <v>8.7058823529411757</v>
      </c>
      <c r="M341" s="75">
        <f>prodnorm79</f>
        <v>0</v>
      </c>
      <c r="N341" s="76">
        <f>dagwerk79</f>
        <v>0</v>
      </c>
      <c r="O341" s="72" t="s">
        <v>54</v>
      </c>
      <c r="P341" s="77">
        <f>uurtarief79</f>
        <v>0</v>
      </c>
      <c r="Q341" s="74" t="e">
        <f t="shared" si="57"/>
        <v>#DIV/0!</v>
      </c>
      <c r="R341" s="74" t="e">
        <f t="shared" si="53"/>
        <v>#DIV/0!</v>
      </c>
      <c r="S341" s="77" t="e">
        <f t="shared" si="54"/>
        <v>#DIV/0!</v>
      </c>
      <c r="T341" s="74" t="e">
        <f t="shared" si="55"/>
        <v>#DIV/0!</v>
      </c>
      <c r="U341" s="78" t="e">
        <f t="shared" si="56"/>
        <v>#DIV/0!</v>
      </c>
    </row>
    <row r="342" spans="1:21" x14ac:dyDescent="0.2">
      <c r="A342" s="71" t="s">
        <v>588</v>
      </c>
      <c r="B342" s="72" t="s">
        <v>300</v>
      </c>
      <c r="C342" s="72" t="s">
        <v>330</v>
      </c>
      <c r="D342" s="72" t="s">
        <v>599</v>
      </c>
      <c r="E342" s="72" t="s">
        <v>300</v>
      </c>
      <c r="F342" s="73" t="s">
        <v>600</v>
      </c>
      <c r="G342" s="72" t="s">
        <v>309</v>
      </c>
      <c r="H342" s="72" t="s">
        <v>222</v>
      </c>
      <c r="I342" s="72" t="s">
        <v>14</v>
      </c>
      <c r="J342" s="72" t="s">
        <v>187</v>
      </c>
      <c r="K342" s="74">
        <v>14</v>
      </c>
      <c r="L342" s="74">
        <f t="shared" si="52"/>
        <v>10.980392156862745</v>
      </c>
      <c r="M342" s="75">
        <f>prodnorm79</f>
        <v>0</v>
      </c>
      <c r="N342" s="76">
        <f>dagwerk79</f>
        <v>0</v>
      </c>
      <c r="O342" s="72" t="s">
        <v>54</v>
      </c>
      <c r="P342" s="77">
        <f>uurtarief79</f>
        <v>0</v>
      </c>
      <c r="Q342" s="74" t="e">
        <f t="shared" si="57"/>
        <v>#DIV/0!</v>
      </c>
      <c r="R342" s="74" t="e">
        <f t="shared" si="53"/>
        <v>#DIV/0!</v>
      </c>
      <c r="S342" s="77" t="e">
        <f t="shared" si="54"/>
        <v>#DIV/0!</v>
      </c>
      <c r="T342" s="74" t="e">
        <f t="shared" si="55"/>
        <v>#DIV/0!</v>
      </c>
      <c r="U342" s="78" t="e">
        <f t="shared" si="56"/>
        <v>#DIV/0!</v>
      </c>
    </row>
    <row r="343" spans="1:21" x14ac:dyDescent="0.2">
      <c r="A343" s="71" t="s">
        <v>588</v>
      </c>
      <c r="B343" s="72" t="s">
        <v>300</v>
      </c>
      <c r="C343" s="72" t="s">
        <v>330</v>
      </c>
      <c r="D343" s="72" t="s">
        <v>601</v>
      </c>
      <c r="E343" s="72" t="s">
        <v>300</v>
      </c>
      <c r="F343" s="73" t="s">
        <v>602</v>
      </c>
      <c r="G343" s="72" t="s">
        <v>323</v>
      </c>
      <c r="H343" s="72" t="s">
        <v>193</v>
      </c>
      <c r="I343" s="72" t="s">
        <v>14</v>
      </c>
      <c r="J343" s="72" t="s">
        <v>187</v>
      </c>
      <c r="K343" s="74">
        <v>11.3</v>
      </c>
      <c r="L343" s="74">
        <f t="shared" si="52"/>
        <v>8.8627450980392162</v>
      </c>
      <c r="M343" s="75">
        <f>prodnorm37</f>
        <v>0</v>
      </c>
      <c r="N343" s="76">
        <f>dagwerk37</f>
        <v>0</v>
      </c>
      <c r="O343" s="72" t="s">
        <v>54</v>
      </c>
      <c r="P343" s="77">
        <f>uurtarief37</f>
        <v>0</v>
      </c>
      <c r="Q343" s="74" t="e">
        <f t="shared" si="57"/>
        <v>#DIV/0!</v>
      </c>
      <c r="R343" s="74" t="e">
        <f t="shared" si="53"/>
        <v>#DIV/0!</v>
      </c>
      <c r="S343" s="77" t="e">
        <f t="shared" si="54"/>
        <v>#DIV/0!</v>
      </c>
      <c r="T343" s="74" t="e">
        <f t="shared" si="55"/>
        <v>#DIV/0!</v>
      </c>
      <c r="U343" s="78" t="e">
        <f t="shared" si="56"/>
        <v>#DIV/0!</v>
      </c>
    </row>
    <row r="344" spans="1:21" x14ac:dyDescent="0.2">
      <c r="A344" s="71" t="s">
        <v>588</v>
      </c>
      <c r="B344" s="72" t="s">
        <v>300</v>
      </c>
      <c r="C344" s="72" t="s">
        <v>330</v>
      </c>
      <c r="D344" s="72" t="s">
        <v>603</v>
      </c>
      <c r="E344" s="72" t="s">
        <v>300</v>
      </c>
      <c r="F344" s="73" t="s">
        <v>602</v>
      </c>
      <c r="G344" s="72" t="s">
        <v>323</v>
      </c>
      <c r="H344" s="72" t="s">
        <v>193</v>
      </c>
      <c r="I344" s="72" t="s">
        <v>14</v>
      </c>
      <c r="J344" s="72" t="s">
        <v>187</v>
      </c>
      <c r="K344" s="74">
        <v>14.9</v>
      </c>
      <c r="L344" s="74">
        <f t="shared" si="52"/>
        <v>11.686274509803921</v>
      </c>
      <c r="M344" s="75">
        <f>prodnorm37</f>
        <v>0</v>
      </c>
      <c r="N344" s="76">
        <f>dagwerk37</f>
        <v>0</v>
      </c>
      <c r="O344" s="72" t="s">
        <v>54</v>
      </c>
      <c r="P344" s="77">
        <f>uurtarief37</f>
        <v>0</v>
      </c>
      <c r="Q344" s="74" t="e">
        <f t="shared" si="57"/>
        <v>#DIV/0!</v>
      </c>
      <c r="R344" s="74" t="e">
        <f t="shared" si="53"/>
        <v>#DIV/0!</v>
      </c>
      <c r="S344" s="77" t="e">
        <f t="shared" si="54"/>
        <v>#DIV/0!</v>
      </c>
      <c r="T344" s="74" t="e">
        <f t="shared" si="55"/>
        <v>#DIV/0!</v>
      </c>
      <c r="U344" s="78" t="e">
        <f t="shared" si="56"/>
        <v>#DIV/0!</v>
      </c>
    </row>
    <row r="345" spans="1:21" x14ac:dyDescent="0.2">
      <c r="A345" s="71" t="s">
        <v>588</v>
      </c>
      <c r="B345" s="72" t="s">
        <v>300</v>
      </c>
      <c r="C345" s="72" t="s">
        <v>330</v>
      </c>
      <c r="D345" s="72" t="s">
        <v>604</v>
      </c>
      <c r="E345" s="72" t="s">
        <v>300</v>
      </c>
      <c r="F345" s="73" t="s">
        <v>605</v>
      </c>
      <c r="G345" s="72" t="s">
        <v>326</v>
      </c>
      <c r="H345" s="72" t="s">
        <v>231</v>
      </c>
      <c r="I345" s="72" t="s">
        <v>14</v>
      </c>
      <c r="J345" s="72" t="s">
        <v>187</v>
      </c>
      <c r="K345" s="74">
        <v>18</v>
      </c>
      <c r="L345" s="74">
        <f t="shared" si="52"/>
        <v>14.117647058823529</v>
      </c>
      <c r="M345" s="75">
        <f>prodnorm99</f>
        <v>0</v>
      </c>
      <c r="N345" s="76">
        <f>dagwerk99</f>
        <v>0</v>
      </c>
      <c r="O345" s="72" t="s">
        <v>54</v>
      </c>
      <c r="P345" s="77">
        <f>uurtarief99</f>
        <v>0</v>
      </c>
      <c r="Q345" s="74" t="e">
        <f t="shared" si="57"/>
        <v>#DIV/0!</v>
      </c>
      <c r="R345" s="74" t="e">
        <f t="shared" si="53"/>
        <v>#DIV/0!</v>
      </c>
      <c r="S345" s="77" t="e">
        <f t="shared" si="54"/>
        <v>#DIV/0!</v>
      </c>
      <c r="T345" s="74" t="e">
        <f t="shared" si="55"/>
        <v>#DIV/0!</v>
      </c>
      <c r="U345" s="78" t="e">
        <f t="shared" si="56"/>
        <v>#DIV/0!</v>
      </c>
    </row>
    <row r="346" spans="1:21" x14ac:dyDescent="0.2">
      <c r="A346" s="71" t="s">
        <v>588</v>
      </c>
      <c r="B346" s="72" t="s">
        <v>300</v>
      </c>
      <c r="C346" s="72" t="s">
        <v>330</v>
      </c>
      <c r="D346" s="72" t="s">
        <v>604</v>
      </c>
      <c r="E346" s="72" t="s">
        <v>300</v>
      </c>
      <c r="F346" s="73" t="s">
        <v>605</v>
      </c>
      <c r="G346" s="72" t="s">
        <v>326</v>
      </c>
      <c r="H346" s="72" t="s">
        <v>241</v>
      </c>
      <c r="I346" s="72" t="s">
        <v>41</v>
      </c>
      <c r="J346" s="72" t="s">
        <v>242</v>
      </c>
      <c r="K346" s="74">
        <v>18</v>
      </c>
      <c r="L346" s="74">
        <f t="shared" si="52"/>
        <v>7.0588235294117646E-2</v>
      </c>
      <c r="M346" s="75">
        <f>prodnorm117</f>
        <v>0</v>
      </c>
      <c r="N346" s="76">
        <f>dagwerk117</f>
        <v>0</v>
      </c>
      <c r="O346" s="72" t="s">
        <v>54</v>
      </c>
      <c r="P346" s="77">
        <f>uurtarief117</f>
        <v>0</v>
      </c>
      <c r="Q346" s="74" t="e">
        <f t="shared" si="57"/>
        <v>#DIV/0!</v>
      </c>
      <c r="R346" s="74" t="e">
        <f t="shared" si="53"/>
        <v>#DIV/0!</v>
      </c>
      <c r="S346" s="77" t="e">
        <f t="shared" si="54"/>
        <v>#DIV/0!</v>
      </c>
      <c r="T346" s="74" t="e">
        <f t="shared" si="55"/>
        <v>#DIV/0!</v>
      </c>
      <c r="U346" s="78" t="e">
        <f t="shared" si="56"/>
        <v>#DIV/0!</v>
      </c>
    </row>
    <row r="347" spans="1:21" x14ac:dyDescent="0.2">
      <c r="A347" s="71" t="s">
        <v>588</v>
      </c>
      <c r="B347" s="72" t="s">
        <v>300</v>
      </c>
      <c r="C347" s="72" t="s">
        <v>330</v>
      </c>
      <c r="D347" s="72" t="s">
        <v>606</v>
      </c>
      <c r="E347" s="72" t="s">
        <v>300</v>
      </c>
      <c r="F347" s="73" t="s">
        <v>573</v>
      </c>
      <c r="G347" s="72" t="s">
        <v>326</v>
      </c>
      <c r="H347" s="72" t="s">
        <v>241</v>
      </c>
      <c r="I347" s="72" t="s">
        <v>41</v>
      </c>
      <c r="J347" s="72" t="s">
        <v>242</v>
      </c>
      <c r="K347" s="74">
        <v>20</v>
      </c>
      <c r="L347" s="74">
        <f t="shared" si="52"/>
        <v>7.8431372549019607E-2</v>
      </c>
      <c r="M347" s="75">
        <f>prodnorm117</f>
        <v>0</v>
      </c>
      <c r="N347" s="76">
        <f>dagwerk117</f>
        <v>0</v>
      </c>
      <c r="O347" s="72" t="s">
        <v>54</v>
      </c>
      <c r="P347" s="77">
        <f>uurtarief117</f>
        <v>0</v>
      </c>
      <c r="Q347" s="74" t="e">
        <f t="shared" si="57"/>
        <v>#DIV/0!</v>
      </c>
      <c r="R347" s="74" t="e">
        <f t="shared" si="53"/>
        <v>#DIV/0!</v>
      </c>
      <c r="S347" s="77" t="e">
        <f t="shared" si="54"/>
        <v>#DIV/0!</v>
      </c>
      <c r="T347" s="74" t="e">
        <f t="shared" si="55"/>
        <v>#DIV/0!</v>
      </c>
      <c r="U347" s="78" t="e">
        <f t="shared" si="56"/>
        <v>#DIV/0!</v>
      </c>
    </row>
    <row r="348" spans="1:21" x14ac:dyDescent="0.2">
      <c r="A348" s="71" t="s">
        <v>588</v>
      </c>
      <c r="B348" s="72" t="s">
        <v>300</v>
      </c>
      <c r="C348" s="72" t="s">
        <v>330</v>
      </c>
      <c r="D348" s="72" t="s">
        <v>561</v>
      </c>
      <c r="E348" s="72" t="s">
        <v>300</v>
      </c>
      <c r="F348" s="73" t="s">
        <v>313</v>
      </c>
      <c r="G348" s="72" t="s">
        <v>326</v>
      </c>
      <c r="H348" s="72" t="s">
        <v>241</v>
      </c>
      <c r="I348" s="72" t="s">
        <v>41</v>
      </c>
      <c r="J348" s="72" t="s">
        <v>242</v>
      </c>
      <c r="K348" s="74">
        <v>6.8</v>
      </c>
      <c r="L348" s="74">
        <f t="shared" si="52"/>
        <v>2.6666666666666665E-2</v>
      </c>
      <c r="M348" s="75">
        <f>prodnorm117</f>
        <v>0</v>
      </c>
      <c r="N348" s="76">
        <f>dagwerk117</f>
        <v>0</v>
      </c>
      <c r="O348" s="72" t="s">
        <v>54</v>
      </c>
      <c r="P348" s="77">
        <f>uurtarief117</f>
        <v>0</v>
      </c>
      <c r="Q348" s="74" t="e">
        <f t="shared" si="57"/>
        <v>#DIV/0!</v>
      </c>
      <c r="R348" s="74" t="e">
        <f t="shared" si="53"/>
        <v>#DIV/0!</v>
      </c>
      <c r="S348" s="77" t="e">
        <f t="shared" si="54"/>
        <v>#DIV/0!</v>
      </c>
      <c r="T348" s="74" t="e">
        <f t="shared" si="55"/>
        <v>#DIV/0!</v>
      </c>
      <c r="U348" s="78" t="e">
        <f t="shared" si="56"/>
        <v>#DIV/0!</v>
      </c>
    </row>
    <row r="349" spans="1:21" x14ac:dyDescent="0.2">
      <c r="A349" s="71" t="s">
        <v>588</v>
      </c>
      <c r="B349" s="72" t="s">
        <v>300</v>
      </c>
      <c r="C349" s="72" t="s">
        <v>330</v>
      </c>
      <c r="D349" s="72" t="s">
        <v>607</v>
      </c>
      <c r="E349" s="72" t="s">
        <v>300</v>
      </c>
      <c r="F349" s="73" t="s">
        <v>313</v>
      </c>
      <c r="G349" s="72" t="s">
        <v>326</v>
      </c>
      <c r="H349" s="72" t="s">
        <v>241</v>
      </c>
      <c r="I349" s="72" t="s">
        <v>41</v>
      </c>
      <c r="J349" s="72" t="s">
        <v>242</v>
      </c>
      <c r="K349" s="74">
        <v>6.7</v>
      </c>
      <c r="L349" s="74">
        <f t="shared" si="52"/>
        <v>2.627450980392157E-2</v>
      </c>
      <c r="M349" s="75">
        <f>prodnorm117</f>
        <v>0</v>
      </c>
      <c r="N349" s="76">
        <f>dagwerk117</f>
        <v>0</v>
      </c>
      <c r="O349" s="72" t="s">
        <v>54</v>
      </c>
      <c r="P349" s="77">
        <f>uurtarief117</f>
        <v>0</v>
      </c>
      <c r="Q349" s="74" t="e">
        <f t="shared" si="57"/>
        <v>#DIV/0!</v>
      </c>
      <c r="R349" s="74" t="e">
        <f t="shared" si="53"/>
        <v>#DIV/0!</v>
      </c>
      <c r="S349" s="77" t="e">
        <f t="shared" si="54"/>
        <v>#DIV/0!</v>
      </c>
      <c r="T349" s="74" t="e">
        <f t="shared" si="55"/>
        <v>#DIV/0!</v>
      </c>
      <c r="U349" s="78" t="e">
        <f t="shared" si="56"/>
        <v>#DIV/0!</v>
      </c>
    </row>
    <row r="350" spans="1:21" x14ac:dyDescent="0.2">
      <c r="A350" s="71" t="s">
        <v>588</v>
      </c>
      <c r="B350" s="72" t="s">
        <v>300</v>
      </c>
      <c r="C350" s="72" t="s">
        <v>330</v>
      </c>
      <c r="D350" s="72" t="s">
        <v>608</v>
      </c>
      <c r="E350" s="72" t="s">
        <v>300</v>
      </c>
      <c r="F350" s="73" t="s">
        <v>313</v>
      </c>
      <c r="G350" s="72" t="s">
        <v>326</v>
      </c>
      <c r="H350" s="72" t="s">
        <v>241</v>
      </c>
      <c r="I350" s="72" t="s">
        <v>41</v>
      </c>
      <c r="J350" s="72" t="s">
        <v>242</v>
      </c>
      <c r="K350" s="74">
        <v>10</v>
      </c>
      <c r="L350" s="74">
        <f t="shared" si="52"/>
        <v>3.9215686274509803E-2</v>
      </c>
      <c r="M350" s="75">
        <f>prodnorm117</f>
        <v>0</v>
      </c>
      <c r="N350" s="76">
        <f>dagwerk117</f>
        <v>0</v>
      </c>
      <c r="O350" s="72" t="s">
        <v>54</v>
      </c>
      <c r="P350" s="77">
        <f>uurtarief117</f>
        <v>0</v>
      </c>
      <c r="Q350" s="74" t="e">
        <f t="shared" si="57"/>
        <v>#DIV/0!</v>
      </c>
      <c r="R350" s="74" t="e">
        <f t="shared" si="53"/>
        <v>#DIV/0!</v>
      </c>
      <c r="S350" s="77" t="e">
        <f t="shared" si="54"/>
        <v>#DIV/0!</v>
      </c>
      <c r="T350" s="74" t="e">
        <f t="shared" si="55"/>
        <v>#DIV/0!</v>
      </c>
      <c r="U350" s="78" t="e">
        <f t="shared" si="56"/>
        <v>#DIV/0!</v>
      </c>
    </row>
    <row r="351" spans="1:21" x14ac:dyDescent="0.2">
      <c r="A351" s="71" t="s">
        <v>588</v>
      </c>
      <c r="B351" s="72" t="s">
        <v>300</v>
      </c>
      <c r="C351" s="72" t="s">
        <v>330</v>
      </c>
      <c r="D351" s="72" t="s">
        <v>562</v>
      </c>
      <c r="E351" s="72" t="s">
        <v>300</v>
      </c>
      <c r="F351" s="73" t="s">
        <v>595</v>
      </c>
      <c r="G351" s="72" t="s">
        <v>326</v>
      </c>
      <c r="H351" s="72" t="s">
        <v>186</v>
      </c>
      <c r="I351" s="72" t="s">
        <v>35</v>
      </c>
      <c r="J351" s="72" t="s">
        <v>187</v>
      </c>
      <c r="K351" s="74">
        <v>16</v>
      </c>
      <c r="L351" s="74">
        <f t="shared" si="52"/>
        <v>0.75294117647058822</v>
      </c>
      <c r="M351" s="75">
        <f>prodnorm23</f>
        <v>0</v>
      </c>
      <c r="N351" s="76">
        <f>dagwerk23</f>
        <v>0</v>
      </c>
      <c r="O351" s="72" t="s">
        <v>54</v>
      </c>
      <c r="P351" s="77">
        <f>uurtarief23</f>
        <v>0</v>
      </c>
      <c r="Q351" s="74" t="e">
        <f t="shared" si="57"/>
        <v>#DIV/0!</v>
      </c>
      <c r="R351" s="74" t="e">
        <f t="shared" si="53"/>
        <v>#DIV/0!</v>
      </c>
      <c r="S351" s="77" t="e">
        <f t="shared" si="54"/>
        <v>#DIV/0!</v>
      </c>
      <c r="T351" s="74" t="e">
        <f t="shared" si="55"/>
        <v>#DIV/0!</v>
      </c>
      <c r="U351" s="78" t="e">
        <f t="shared" si="56"/>
        <v>#DIV/0!</v>
      </c>
    </row>
    <row r="352" spans="1:21" x14ac:dyDescent="0.2">
      <c r="A352" s="71" t="s">
        <v>588</v>
      </c>
      <c r="B352" s="72" t="s">
        <v>300</v>
      </c>
      <c r="C352" s="72" t="s">
        <v>330</v>
      </c>
      <c r="D352" s="72" t="s">
        <v>609</v>
      </c>
      <c r="E352" s="72" t="s">
        <v>300</v>
      </c>
      <c r="F352" s="73" t="s">
        <v>610</v>
      </c>
      <c r="G352" s="72" t="s">
        <v>326</v>
      </c>
      <c r="H352" s="72" t="s">
        <v>186</v>
      </c>
      <c r="I352" s="72" t="s">
        <v>35</v>
      </c>
      <c r="J352" s="72" t="s">
        <v>187</v>
      </c>
      <c r="K352" s="74">
        <v>11.6</v>
      </c>
      <c r="L352" s="74">
        <f t="shared" si="52"/>
        <v>0.54588235294117649</v>
      </c>
      <c r="M352" s="75">
        <f>prodnorm23</f>
        <v>0</v>
      </c>
      <c r="N352" s="76">
        <f>dagwerk23</f>
        <v>0</v>
      </c>
      <c r="O352" s="72" t="s">
        <v>54</v>
      </c>
      <c r="P352" s="77">
        <f>uurtarief23</f>
        <v>0</v>
      </c>
      <c r="Q352" s="74" t="e">
        <f t="shared" si="57"/>
        <v>#DIV/0!</v>
      </c>
      <c r="R352" s="74" t="e">
        <f t="shared" si="53"/>
        <v>#DIV/0!</v>
      </c>
      <c r="S352" s="77" t="e">
        <f t="shared" si="54"/>
        <v>#DIV/0!</v>
      </c>
      <c r="T352" s="74" t="e">
        <f t="shared" si="55"/>
        <v>#DIV/0!</v>
      </c>
      <c r="U352" s="78" t="e">
        <f t="shared" si="56"/>
        <v>#DIV/0!</v>
      </c>
    </row>
    <row r="353" spans="1:21" x14ac:dyDescent="0.2">
      <c r="A353" s="71" t="s">
        <v>588</v>
      </c>
      <c r="B353" s="72" t="s">
        <v>300</v>
      </c>
      <c r="C353" s="72" t="s">
        <v>330</v>
      </c>
      <c r="D353" s="72" t="s">
        <v>611</v>
      </c>
      <c r="E353" s="72" t="s">
        <v>300</v>
      </c>
      <c r="F353" s="73" t="s">
        <v>595</v>
      </c>
      <c r="G353" s="72" t="s">
        <v>326</v>
      </c>
      <c r="H353" s="72" t="s">
        <v>186</v>
      </c>
      <c r="I353" s="72" t="s">
        <v>35</v>
      </c>
      <c r="J353" s="72" t="s">
        <v>187</v>
      </c>
      <c r="K353" s="74">
        <v>23.5</v>
      </c>
      <c r="L353" s="74">
        <f t="shared" si="52"/>
        <v>1.1058823529411765</v>
      </c>
      <c r="M353" s="75">
        <f>prodnorm23</f>
        <v>0</v>
      </c>
      <c r="N353" s="76">
        <f>dagwerk23</f>
        <v>0</v>
      </c>
      <c r="O353" s="72" t="s">
        <v>54</v>
      </c>
      <c r="P353" s="77">
        <f>uurtarief23</f>
        <v>0</v>
      </c>
      <c r="Q353" s="74" t="e">
        <f t="shared" si="57"/>
        <v>#DIV/0!</v>
      </c>
      <c r="R353" s="74" t="e">
        <f t="shared" si="53"/>
        <v>#DIV/0!</v>
      </c>
      <c r="S353" s="77" t="e">
        <f t="shared" si="54"/>
        <v>#DIV/0!</v>
      </c>
      <c r="T353" s="74" t="e">
        <f t="shared" si="55"/>
        <v>#DIV/0!</v>
      </c>
      <c r="U353" s="78" t="e">
        <f t="shared" si="56"/>
        <v>#DIV/0!</v>
      </c>
    </row>
    <row r="354" spans="1:21" x14ac:dyDescent="0.2">
      <c r="A354" s="71" t="s">
        <v>588</v>
      </c>
      <c r="B354" s="72" t="s">
        <v>300</v>
      </c>
      <c r="C354" s="72" t="s">
        <v>330</v>
      </c>
      <c r="D354" s="72" t="s">
        <v>377</v>
      </c>
      <c r="E354" s="72" t="s">
        <v>300</v>
      </c>
      <c r="F354" s="73" t="s">
        <v>595</v>
      </c>
      <c r="G354" s="72" t="s">
        <v>326</v>
      </c>
      <c r="H354" s="72" t="s">
        <v>186</v>
      </c>
      <c r="I354" s="72" t="s">
        <v>35</v>
      </c>
      <c r="J354" s="72" t="s">
        <v>187</v>
      </c>
      <c r="K354" s="74">
        <v>12.5</v>
      </c>
      <c r="L354" s="74">
        <f t="shared" si="52"/>
        <v>0.58823529411764708</v>
      </c>
      <c r="M354" s="75">
        <f>prodnorm23</f>
        <v>0</v>
      </c>
      <c r="N354" s="76">
        <f>dagwerk23</f>
        <v>0</v>
      </c>
      <c r="O354" s="72" t="s">
        <v>54</v>
      </c>
      <c r="P354" s="77">
        <f>uurtarief23</f>
        <v>0</v>
      </c>
      <c r="Q354" s="74" t="e">
        <f t="shared" si="57"/>
        <v>#DIV/0!</v>
      </c>
      <c r="R354" s="74" t="e">
        <f t="shared" si="53"/>
        <v>#DIV/0!</v>
      </c>
      <c r="S354" s="77" t="e">
        <f t="shared" si="54"/>
        <v>#DIV/0!</v>
      </c>
      <c r="T354" s="74" t="e">
        <f t="shared" si="55"/>
        <v>#DIV/0!</v>
      </c>
      <c r="U354" s="78" t="e">
        <f t="shared" si="56"/>
        <v>#DIV/0!</v>
      </c>
    </row>
    <row r="355" spans="1:21" x14ac:dyDescent="0.2">
      <c r="A355" s="71" t="s">
        <v>588</v>
      </c>
      <c r="B355" s="72" t="s">
        <v>300</v>
      </c>
      <c r="C355" s="72" t="s">
        <v>330</v>
      </c>
      <c r="D355" s="72" t="s">
        <v>384</v>
      </c>
      <c r="E355" s="72" t="s">
        <v>300</v>
      </c>
      <c r="F355" s="73" t="s">
        <v>595</v>
      </c>
      <c r="G355" s="72" t="s">
        <v>309</v>
      </c>
      <c r="H355" s="72" t="s">
        <v>186</v>
      </c>
      <c r="I355" s="72" t="s">
        <v>35</v>
      </c>
      <c r="J355" s="72" t="s">
        <v>187</v>
      </c>
      <c r="K355" s="74">
        <v>4.9000000000000004</v>
      </c>
      <c r="L355" s="74">
        <f t="shared" si="52"/>
        <v>0.23058823529411765</v>
      </c>
      <c r="M355" s="75">
        <f>prodnorm23</f>
        <v>0</v>
      </c>
      <c r="N355" s="76">
        <f>dagwerk23</f>
        <v>0</v>
      </c>
      <c r="O355" s="72" t="s">
        <v>54</v>
      </c>
      <c r="P355" s="77">
        <f>uurtarief23</f>
        <v>0</v>
      </c>
      <c r="Q355" s="74" t="e">
        <f t="shared" si="57"/>
        <v>#DIV/0!</v>
      </c>
      <c r="R355" s="74" t="e">
        <f t="shared" si="53"/>
        <v>#DIV/0!</v>
      </c>
      <c r="S355" s="77" t="e">
        <f t="shared" si="54"/>
        <v>#DIV/0!</v>
      </c>
      <c r="T355" s="74" t="e">
        <f t="shared" si="55"/>
        <v>#DIV/0!</v>
      </c>
      <c r="U355" s="78" t="e">
        <f t="shared" si="56"/>
        <v>#DIV/0!</v>
      </c>
    </row>
    <row r="356" spans="1:21" x14ac:dyDescent="0.2">
      <c r="A356" s="71" t="s">
        <v>588</v>
      </c>
      <c r="B356" s="72" t="s">
        <v>300</v>
      </c>
      <c r="C356" s="72" t="s">
        <v>406</v>
      </c>
      <c r="D356" s="72" t="s">
        <v>407</v>
      </c>
      <c r="E356" s="72" t="s">
        <v>300</v>
      </c>
      <c r="F356" s="73" t="s">
        <v>590</v>
      </c>
      <c r="G356" s="72" t="s">
        <v>323</v>
      </c>
      <c r="H356" s="72" t="s">
        <v>233</v>
      </c>
      <c r="I356" s="72" t="s">
        <v>14</v>
      </c>
      <c r="J356" s="72" t="s">
        <v>187</v>
      </c>
      <c r="K356" s="74">
        <v>29.1</v>
      </c>
      <c r="L356" s="74">
        <f t="shared" si="52"/>
        <v>22.823529411764707</v>
      </c>
      <c r="M356" s="75">
        <f>prodnorm107</f>
        <v>0</v>
      </c>
      <c r="N356" s="76">
        <f>dagwerk107</f>
        <v>0</v>
      </c>
      <c r="O356" s="72" t="s">
        <v>54</v>
      </c>
      <c r="P356" s="77">
        <f>uurtarief107</f>
        <v>0</v>
      </c>
      <c r="Q356" s="74" t="e">
        <f t="shared" si="57"/>
        <v>#DIV/0!</v>
      </c>
      <c r="R356" s="74" t="e">
        <f t="shared" si="53"/>
        <v>#DIV/0!</v>
      </c>
      <c r="S356" s="77" t="e">
        <f t="shared" si="54"/>
        <v>#DIV/0!</v>
      </c>
      <c r="T356" s="74" t="e">
        <f t="shared" si="55"/>
        <v>#DIV/0!</v>
      </c>
      <c r="U356" s="78" t="e">
        <f t="shared" si="56"/>
        <v>#DIV/0!</v>
      </c>
    </row>
    <row r="357" spans="1:21" x14ac:dyDescent="0.2">
      <c r="A357" s="71" t="s">
        <v>588</v>
      </c>
      <c r="B357" s="72" t="s">
        <v>300</v>
      </c>
      <c r="C357" s="72" t="s">
        <v>406</v>
      </c>
      <c r="D357" s="72" t="s">
        <v>408</v>
      </c>
      <c r="E357" s="72" t="s">
        <v>300</v>
      </c>
      <c r="F357" s="73" t="s">
        <v>594</v>
      </c>
      <c r="G357" s="72" t="s">
        <v>326</v>
      </c>
      <c r="H357" s="72" t="s">
        <v>241</v>
      </c>
      <c r="I357" s="72" t="s">
        <v>41</v>
      </c>
      <c r="J357" s="72" t="s">
        <v>242</v>
      </c>
      <c r="K357" s="74">
        <v>151.4</v>
      </c>
      <c r="L357" s="74">
        <f t="shared" si="52"/>
        <v>0.59372549019607845</v>
      </c>
      <c r="M357" s="75">
        <f>prodnorm117</f>
        <v>0</v>
      </c>
      <c r="N357" s="76">
        <f>dagwerk117</f>
        <v>0</v>
      </c>
      <c r="O357" s="72" t="s">
        <v>54</v>
      </c>
      <c r="P357" s="77">
        <f>uurtarief117</f>
        <v>0</v>
      </c>
      <c r="Q357" s="74" t="e">
        <f t="shared" si="57"/>
        <v>#DIV/0!</v>
      </c>
      <c r="R357" s="74" t="e">
        <f t="shared" si="53"/>
        <v>#DIV/0!</v>
      </c>
      <c r="S357" s="77" t="e">
        <f t="shared" si="54"/>
        <v>#DIV/0!</v>
      </c>
      <c r="T357" s="74" t="e">
        <f t="shared" si="55"/>
        <v>#DIV/0!</v>
      </c>
      <c r="U357" s="78" t="e">
        <f t="shared" si="56"/>
        <v>#DIV/0!</v>
      </c>
    </row>
    <row r="358" spans="1:21" x14ac:dyDescent="0.2">
      <c r="A358" s="71" t="s">
        <v>588</v>
      </c>
      <c r="B358" s="72" t="s">
        <v>300</v>
      </c>
      <c r="C358" s="72" t="s">
        <v>406</v>
      </c>
      <c r="D358" s="72" t="s">
        <v>409</v>
      </c>
      <c r="E358" s="72" t="s">
        <v>300</v>
      </c>
      <c r="F358" s="73" t="s">
        <v>593</v>
      </c>
      <c r="G358" s="72" t="s">
        <v>323</v>
      </c>
      <c r="H358" s="72" t="s">
        <v>233</v>
      </c>
      <c r="I358" s="72" t="s">
        <v>14</v>
      </c>
      <c r="J358" s="72" t="s">
        <v>187</v>
      </c>
      <c r="K358" s="74">
        <v>113.6</v>
      </c>
      <c r="L358" s="74">
        <f t="shared" si="52"/>
        <v>89.098039215686271</v>
      </c>
      <c r="M358" s="75">
        <f>prodnorm107</f>
        <v>0</v>
      </c>
      <c r="N358" s="76">
        <f>dagwerk107</f>
        <v>0</v>
      </c>
      <c r="O358" s="72" t="s">
        <v>54</v>
      </c>
      <c r="P358" s="77">
        <f>uurtarief107</f>
        <v>0</v>
      </c>
      <c r="Q358" s="74" t="e">
        <f t="shared" si="57"/>
        <v>#DIV/0!</v>
      </c>
      <c r="R358" s="74" t="e">
        <f t="shared" si="53"/>
        <v>#DIV/0!</v>
      </c>
      <c r="S358" s="77" t="e">
        <f t="shared" si="54"/>
        <v>#DIV/0!</v>
      </c>
      <c r="T358" s="74" t="e">
        <f t="shared" si="55"/>
        <v>#DIV/0!</v>
      </c>
      <c r="U358" s="78" t="e">
        <f t="shared" si="56"/>
        <v>#DIV/0!</v>
      </c>
    </row>
    <row r="359" spans="1:21" x14ac:dyDescent="0.2">
      <c r="A359" s="71" t="s">
        <v>588</v>
      </c>
      <c r="B359" s="72" t="s">
        <v>300</v>
      </c>
      <c r="C359" s="72" t="s">
        <v>406</v>
      </c>
      <c r="D359" s="72" t="s">
        <v>410</v>
      </c>
      <c r="E359" s="72" t="s">
        <v>300</v>
      </c>
      <c r="F359" s="73" t="s">
        <v>612</v>
      </c>
      <c r="G359" s="72" t="s">
        <v>581</v>
      </c>
      <c r="H359" s="72" t="s">
        <v>227</v>
      </c>
      <c r="I359" s="72" t="s">
        <v>14</v>
      </c>
      <c r="J359" s="72" t="s">
        <v>187</v>
      </c>
      <c r="K359" s="74">
        <v>10</v>
      </c>
      <c r="L359" s="74">
        <f t="shared" si="52"/>
        <v>7.8431372549019605</v>
      </c>
      <c r="M359" s="75">
        <f>prodnorm91</f>
        <v>0</v>
      </c>
      <c r="N359" s="76">
        <f>dagwerk91</f>
        <v>0</v>
      </c>
      <c r="O359" s="72" t="s">
        <v>54</v>
      </c>
      <c r="P359" s="77">
        <f>uurtarief91</f>
        <v>0</v>
      </c>
      <c r="Q359" s="74" t="e">
        <f t="shared" si="57"/>
        <v>#DIV/0!</v>
      </c>
      <c r="R359" s="74" t="e">
        <f t="shared" si="53"/>
        <v>#DIV/0!</v>
      </c>
      <c r="S359" s="77" t="e">
        <f t="shared" si="54"/>
        <v>#DIV/0!</v>
      </c>
      <c r="T359" s="74" t="e">
        <f t="shared" si="55"/>
        <v>#DIV/0!</v>
      </c>
      <c r="U359" s="78" t="e">
        <f t="shared" si="56"/>
        <v>#DIV/0!</v>
      </c>
    </row>
    <row r="360" spans="1:21" x14ac:dyDescent="0.2">
      <c r="A360" s="71" t="s">
        <v>588</v>
      </c>
      <c r="B360" s="72" t="s">
        <v>300</v>
      </c>
      <c r="C360" s="72" t="s">
        <v>406</v>
      </c>
      <c r="D360" s="72" t="s">
        <v>412</v>
      </c>
      <c r="E360" s="72" t="s">
        <v>300</v>
      </c>
      <c r="F360" s="73" t="s">
        <v>613</v>
      </c>
      <c r="G360" s="72" t="s">
        <v>326</v>
      </c>
      <c r="H360" s="72" t="s">
        <v>241</v>
      </c>
      <c r="I360" s="72" t="s">
        <v>41</v>
      </c>
      <c r="J360" s="72" t="s">
        <v>242</v>
      </c>
      <c r="K360" s="74">
        <v>20.6</v>
      </c>
      <c r="L360" s="74">
        <f t="shared" ref="L360:L391" si="58">K360*VLOOKUP(I360,dagsoorttabel1,2,FALSE)</f>
        <v>8.0784313725490206E-2</v>
      </c>
      <c r="M360" s="75">
        <f>prodnorm117</f>
        <v>0</v>
      </c>
      <c r="N360" s="76">
        <f>dagwerk117</f>
        <v>0</v>
      </c>
      <c r="O360" s="72" t="s">
        <v>54</v>
      </c>
      <c r="P360" s="77">
        <f>uurtarief117</f>
        <v>0</v>
      </c>
      <c r="Q360" s="74" t="e">
        <f t="shared" si="57"/>
        <v>#DIV/0!</v>
      </c>
      <c r="R360" s="74" t="e">
        <f t="shared" ref="R360:R391" si="59">IF(ISBLANK(M360),0,Q360*ROUND(N360,2))</f>
        <v>#DIV/0!</v>
      </c>
      <c r="S360" s="77" t="e">
        <f t="shared" ref="S360:S389" si="60">ROUND(P360,2)*Q360</f>
        <v>#DIV/0!</v>
      </c>
      <c r="T360" s="74" t="e">
        <f t="shared" ref="T360:T389" si="61">Q360*dagenperjaar1</f>
        <v>#DIV/0!</v>
      </c>
      <c r="U360" s="78" t="e">
        <f t="shared" ref="U360:U391" si="62">T360*ROUND(P360,2)</f>
        <v>#DIV/0!</v>
      </c>
    </row>
    <row r="361" spans="1:21" x14ac:dyDescent="0.2">
      <c r="A361" s="71" t="s">
        <v>588</v>
      </c>
      <c r="B361" s="72" t="s">
        <v>300</v>
      </c>
      <c r="C361" s="72" t="s">
        <v>406</v>
      </c>
      <c r="D361" s="72" t="s">
        <v>417</v>
      </c>
      <c r="E361" s="72" t="s">
        <v>300</v>
      </c>
      <c r="F361" s="73" t="s">
        <v>313</v>
      </c>
      <c r="G361" s="72" t="s">
        <v>326</v>
      </c>
      <c r="H361" s="72" t="s">
        <v>222</v>
      </c>
      <c r="I361" s="72" t="s">
        <v>14</v>
      </c>
      <c r="J361" s="72" t="s">
        <v>187</v>
      </c>
      <c r="K361" s="74">
        <v>17.600000000000001</v>
      </c>
      <c r="L361" s="74">
        <f t="shared" si="58"/>
        <v>13.803921568627452</v>
      </c>
      <c r="M361" s="75">
        <f>prodnorm79</f>
        <v>0</v>
      </c>
      <c r="N361" s="76">
        <f>dagwerk79</f>
        <v>0</v>
      </c>
      <c r="O361" s="72" t="s">
        <v>54</v>
      </c>
      <c r="P361" s="77">
        <f>uurtarief79</f>
        <v>0</v>
      </c>
      <c r="Q361" s="74" t="e">
        <f t="shared" ref="Q361:Q389" si="63">IF(ISBLANK(M361),0,L361/ROUND(M361,4))</f>
        <v>#DIV/0!</v>
      </c>
      <c r="R361" s="74" t="e">
        <f t="shared" si="59"/>
        <v>#DIV/0!</v>
      </c>
      <c r="S361" s="77" t="e">
        <f t="shared" si="60"/>
        <v>#DIV/0!</v>
      </c>
      <c r="T361" s="74" t="e">
        <f t="shared" si="61"/>
        <v>#DIV/0!</v>
      </c>
      <c r="U361" s="78" t="e">
        <f t="shared" si="62"/>
        <v>#DIV/0!</v>
      </c>
    </row>
    <row r="362" spans="1:21" x14ac:dyDescent="0.2">
      <c r="A362" s="71" t="s">
        <v>588</v>
      </c>
      <c r="B362" s="72" t="s">
        <v>300</v>
      </c>
      <c r="C362" s="72" t="s">
        <v>406</v>
      </c>
      <c r="D362" s="72" t="s">
        <v>417</v>
      </c>
      <c r="E362" s="72" t="s">
        <v>300</v>
      </c>
      <c r="F362" s="73" t="s">
        <v>313</v>
      </c>
      <c r="G362" s="72" t="s">
        <v>326</v>
      </c>
      <c r="H362" s="72" t="s">
        <v>241</v>
      </c>
      <c r="I362" s="72" t="s">
        <v>41</v>
      </c>
      <c r="J362" s="72" t="s">
        <v>242</v>
      </c>
      <c r="K362" s="74">
        <v>17.600000000000001</v>
      </c>
      <c r="L362" s="74">
        <f t="shared" si="58"/>
        <v>6.9019607843137265E-2</v>
      </c>
      <c r="M362" s="75">
        <f>prodnorm117</f>
        <v>0</v>
      </c>
      <c r="N362" s="76">
        <f>dagwerk117</f>
        <v>0</v>
      </c>
      <c r="O362" s="72" t="s">
        <v>54</v>
      </c>
      <c r="P362" s="77">
        <f>uurtarief117</f>
        <v>0</v>
      </c>
      <c r="Q362" s="74" t="e">
        <f t="shared" si="63"/>
        <v>#DIV/0!</v>
      </c>
      <c r="R362" s="74" t="e">
        <f t="shared" si="59"/>
        <v>#DIV/0!</v>
      </c>
      <c r="S362" s="77" t="e">
        <f t="shared" si="60"/>
        <v>#DIV/0!</v>
      </c>
      <c r="T362" s="74" t="e">
        <f t="shared" si="61"/>
        <v>#DIV/0!</v>
      </c>
      <c r="U362" s="78" t="e">
        <f t="shared" si="62"/>
        <v>#DIV/0!</v>
      </c>
    </row>
    <row r="363" spans="1:21" x14ac:dyDescent="0.2">
      <c r="A363" s="71" t="s">
        <v>588</v>
      </c>
      <c r="B363" s="72" t="s">
        <v>300</v>
      </c>
      <c r="C363" s="72" t="s">
        <v>406</v>
      </c>
      <c r="D363" s="72" t="s">
        <v>418</v>
      </c>
      <c r="E363" s="72" t="s">
        <v>300</v>
      </c>
      <c r="F363" s="73" t="s">
        <v>313</v>
      </c>
      <c r="G363" s="72" t="s">
        <v>326</v>
      </c>
      <c r="H363" s="72" t="s">
        <v>222</v>
      </c>
      <c r="I363" s="72" t="s">
        <v>14</v>
      </c>
      <c r="J363" s="72" t="s">
        <v>187</v>
      </c>
      <c r="K363" s="74">
        <v>25.8</v>
      </c>
      <c r="L363" s="74">
        <f t="shared" si="58"/>
        <v>20.235294117647058</v>
      </c>
      <c r="M363" s="75">
        <f>prodnorm79</f>
        <v>0</v>
      </c>
      <c r="N363" s="76">
        <f>dagwerk79</f>
        <v>0</v>
      </c>
      <c r="O363" s="72" t="s">
        <v>54</v>
      </c>
      <c r="P363" s="77">
        <f>uurtarief79</f>
        <v>0</v>
      </c>
      <c r="Q363" s="74" t="e">
        <f t="shared" si="63"/>
        <v>#DIV/0!</v>
      </c>
      <c r="R363" s="74" t="e">
        <f t="shared" si="59"/>
        <v>#DIV/0!</v>
      </c>
      <c r="S363" s="77" t="e">
        <f t="shared" si="60"/>
        <v>#DIV/0!</v>
      </c>
      <c r="T363" s="74" t="e">
        <f t="shared" si="61"/>
        <v>#DIV/0!</v>
      </c>
      <c r="U363" s="78" t="e">
        <f t="shared" si="62"/>
        <v>#DIV/0!</v>
      </c>
    </row>
    <row r="364" spans="1:21" x14ac:dyDescent="0.2">
      <c r="A364" s="71" t="s">
        <v>588</v>
      </c>
      <c r="B364" s="72" t="s">
        <v>300</v>
      </c>
      <c r="C364" s="72" t="s">
        <v>406</v>
      </c>
      <c r="D364" s="72" t="s">
        <v>418</v>
      </c>
      <c r="E364" s="72" t="s">
        <v>300</v>
      </c>
      <c r="F364" s="73" t="s">
        <v>313</v>
      </c>
      <c r="G364" s="72" t="s">
        <v>326</v>
      </c>
      <c r="H364" s="72" t="s">
        <v>241</v>
      </c>
      <c r="I364" s="72" t="s">
        <v>41</v>
      </c>
      <c r="J364" s="72" t="s">
        <v>242</v>
      </c>
      <c r="K364" s="74">
        <v>25.8</v>
      </c>
      <c r="L364" s="74">
        <f t="shared" si="58"/>
        <v>0.1011764705882353</v>
      </c>
      <c r="M364" s="75">
        <f>prodnorm117</f>
        <v>0</v>
      </c>
      <c r="N364" s="76">
        <f>dagwerk117</f>
        <v>0</v>
      </c>
      <c r="O364" s="72" t="s">
        <v>54</v>
      </c>
      <c r="P364" s="77">
        <f>uurtarief117</f>
        <v>0</v>
      </c>
      <c r="Q364" s="74" t="e">
        <f t="shared" si="63"/>
        <v>#DIV/0!</v>
      </c>
      <c r="R364" s="74" t="e">
        <f t="shared" si="59"/>
        <v>#DIV/0!</v>
      </c>
      <c r="S364" s="77" t="e">
        <f t="shared" si="60"/>
        <v>#DIV/0!</v>
      </c>
      <c r="T364" s="74" t="e">
        <f t="shared" si="61"/>
        <v>#DIV/0!</v>
      </c>
      <c r="U364" s="78" t="e">
        <f t="shared" si="62"/>
        <v>#DIV/0!</v>
      </c>
    </row>
    <row r="365" spans="1:21" x14ac:dyDescent="0.2">
      <c r="A365" s="71" t="s">
        <v>588</v>
      </c>
      <c r="B365" s="72" t="s">
        <v>300</v>
      </c>
      <c r="C365" s="72" t="s">
        <v>406</v>
      </c>
      <c r="D365" s="72" t="s">
        <v>614</v>
      </c>
      <c r="E365" s="72" t="s">
        <v>300</v>
      </c>
      <c r="F365" s="73" t="s">
        <v>313</v>
      </c>
      <c r="G365" s="72" t="s">
        <v>326</v>
      </c>
      <c r="H365" s="72" t="s">
        <v>222</v>
      </c>
      <c r="I365" s="72" t="s">
        <v>14</v>
      </c>
      <c r="J365" s="72" t="s">
        <v>187</v>
      </c>
      <c r="K365" s="74">
        <v>13.5</v>
      </c>
      <c r="L365" s="74">
        <f t="shared" si="58"/>
        <v>10.588235294117647</v>
      </c>
      <c r="M365" s="75">
        <f>prodnorm79</f>
        <v>0</v>
      </c>
      <c r="N365" s="76">
        <f>dagwerk79</f>
        <v>0</v>
      </c>
      <c r="O365" s="72" t="s">
        <v>54</v>
      </c>
      <c r="P365" s="77">
        <f>uurtarief79</f>
        <v>0</v>
      </c>
      <c r="Q365" s="74" t="e">
        <f t="shared" si="63"/>
        <v>#DIV/0!</v>
      </c>
      <c r="R365" s="74" t="e">
        <f t="shared" si="59"/>
        <v>#DIV/0!</v>
      </c>
      <c r="S365" s="77" t="e">
        <f t="shared" si="60"/>
        <v>#DIV/0!</v>
      </c>
      <c r="T365" s="74" t="e">
        <f t="shared" si="61"/>
        <v>#DIV/0!</v>
      </c>
      <c r="U365" s="78" t="e">
        <f t="shared" si="62"/>
        <v>#DIV/0!</v>
      </c>
    </row>
    <row r="366" spans="1:21" x14ac:dyDescent="0.2">
      <c r="A366" s="71" t="s">
        <v>588</v>
      </c>
      <c r="B366" s="72" t="s">
        <v>300</v>
      </c>
      <c r="C366" s="72" t="s">
        <v>406</v>
      </c>
      <c r="D366" s="72" t="s">
        <v>614</v>
      </c>
      <c r="E366" s="72" t="s">
        <v>300</v>
      </c>
      <c r="F366" s="73" t="s">
        <v>313</v>
      </c>
      <c r="G366" s="72" t="s">
        <v>326</v>
      </c>
      <c r="H366" s="72" t="s">
        <v>241</v>
      </c>
      <c r="I366" s="72" t="s">
        <v>41</v>
      </c>
      <c r="J366" s="72" t="s">
        <v>242</v>
      </c>
      <c r="K366" s="74">
        <v>13.5</v>
      </c>
      <c r="L366" s="74">
        <f t="shared" si="58"/>
        <v>5.2941176470588235E-2</v>
      </c>
      <c r="M366" s="75">
        <f>prodnorm117</f>
        <v>0</v>
      </c>
      <c r="N366" s="76">
        <f>dagwerk117</f>
        <v>0</v>
      </c>
      <c r="O366" s="72" t="s">
        <v>54</v>
      </c>
      <c r="P366" s="77">
        <f>uurtarief117</f>
        <v>0</v>
      </c>
      <c r="Q366" s="74" t="e">
        <f t="shared" si="63"/>
        <v>#DIV/0!</v>
      </c>
      <c r="R366" s="74" t="e">
        <f t="shared" si="59"/>
        <v>#DIV/0!</v>
      </c>
      <c r="S366" s="77" t="e">
        <f t="shared" si="60"/>
        <v>#DIV/0!</v>
      </c>
      <c r="T366" s="74" t="e">
        <f t="shared" si="61"/>
        <v>#DIV/0!</v>
      </c>
      <c r="U366" s="78" t="e">
        <f t="shared" si="62"/>
        <v>#DIV/0!</v>
      </c>
    </row>
    <row r="367" spans="1:21" x14ac:dyDescent="0.2">
      <c r="A367" s="71" t="s">
        <v>588</v>
      </c>
      <c r="B367" s="72" t="s">
        <v>300</v>
      </c>
      <c r="C367" s="72" t="s">
        <v>406</v>
      </c>
      <c r="D367" s="72" t="s">
        <v>419</v>
      </c>
      <c r="E367" s="72" t="s">
        <v>300</v>
      </c>
      <c r="F367" s="73" t="s">
        <v>615</v>
      </c>
      <c r="G367" s="72" t="s">
        <v>309</v>
      </c>
      <c r="H367" s="72" t="s">
        <v>195</v>
      </c>
      <c r="I367" s="72" t="s">
        <v>14</v>
      </c>
      <c r="J367" s="72" t="s">
        <v>187</v>
      </c>
      <c r="K367" s="74">
        <v>2.2000000000000002</v>
      </c>
      <c r="L367" s="74">
        <f t="shared" si="58"/>
        <v>1.7254901960784315</v>
      </c>
      <c r="M367" s="75">
        <f>prodnorm42</f>
        <v>0</v>
      </c>
      <c r="N367" s="76">
        <f>dagwerk42</f>
        <v>0</v>
      </c>
      <c r="O367" s="72" t="s">
        <v>54</v>
      </c>
      <c r="P367" s="77">
        <f>uurtarief42</f>
        <v>0</v>
      </c>
      <c r="Q367" s="74" t="e">
        <f t="shared" si="63"/>
        <v>#DIV/0!</v>
      </c>
      <c r="R367" s="74" t="e">
        <f t="shared" si="59"/>
        <v>#DIV/0!</v>
      </c>
      <c r="S367" s="77" t="e">
        <f t="shared" si="60"/>
        <v>#DIV/0!</v>
      </c>
      <c r="T367" s="74" t="e">
        <f t="shared" si="61"/>
        <v>#DIV/0!</v>
      </c>
      <c r="U367" s="78" t="e">
        <f t="shared" si="62"/>
        <v>#DIV/0!</v>
      </c>
    </row>
    <row r="368" spans="1:21" x14ac:dyDescent="0.2">
      <c r="A368" s="71" t="s">
        <v>588</v>
      </c>
      <c r="B368" s="72" t="s">
        <v>300</v>
      </c>
      <c r="C368" s="72" t="s">
        <v>406</v>
      </c>
      <c r="D368" s="72" t="s">
        <v>616</v>
      </c>
      <c r="E368" s="72" t="s">
        <v>300</v>
      </c>
      <c r="F368" s="73" t="s">
        <v>319</v>
      </c>
      <c r="G368" s="72" t="s">
        <v>309</v>
      </c>
      <c r="H368" s="72" t="s">
        <v>222</v>
      </c>
      <c r="I368" s="72" t="s">
        <v>14</v>
      </c>
      <c r="J368" s="72" t="s">
        <v>187</v>
      </c>
      <c r="K368" s="74">
        <v>3</v>
      </c>
      <c r="L368" s="74">
        <f t="shared" si="58"/>
        <v>2.3529411764705883</v>
      </c>
      <c r="M368" s="75">
        <f>prodnorm79</f>
        <v>0</v>
      </c>
      <c r="N368" s="76">
        <f>dagwerk79</f>
        <v>0</v>
      </c>
      <c r="O368" s="72" t="s">
        <v>54</v>
      </c>
      <c r="P368" s="77">
        <f>uurtarief79</f>
        <v>0</v>
      </c>
      <c r="Q368" s="74" t="e">
        <f t="shared" si="63"/>
        <v>#DIV/0!</v>
      </c>
      <c r="R368" s="74" t="e">
        <f t="shared" si="59"/>
        <v>#DIV/0!</v>
      </c>
      <c r="S368" s="77" t="e">
        <f t="shared" si="60"/>
        <v>#DIV/0!</v>
      </c>
      <c r="T368" s="74" t="e">
        <f t="shared" si="61"/>
        <v>#DIV/0!</v>
      </c>
      <c r="U368" s="78" t="e">
        <f t="shared" si="62"/>
        <v>#DIV/0!</v>
      </c>
    </row>
    <row r="369" spans="1:21" x14ac:dyDescent="0.2">
      <c r="A369" s="71" t="s">
        <v>588</v>
      </c>
      <c r="B369" s="72" t="s">
        <v>300</v>
      </c>
      <c r="C369" s="72" t="s">
        <v>406</v>
      </c>
      <c r="D369" s="72" t="s">
        <v>617</v>
      </c>
      <c r="E369" s="72" t="s">
        <v>300</v>
      </c>
      <c r="F369" s="73" t="s">
        <v>319</v>
      </c>
      <c r="G369" s="72" t="s">
        <v>309</v>
      </c>
      <c r="H369" s="72" t="s">
        <v>222</v>
      </c>
      <c r="I369" s="72" t="s">
        <v>14</v>
      </c>
      <c r="J369" s="72" t="s">
        <v>187</v>
      </c>
      <c r="K369" s="74">
        <v>3</v>
      </c>
      <c r="L369" s="74">
        <f t="shared" si="58"/>
        <v>2.3529411764705883</v>
      </c>
      <c r="M369" s="75">
        <f>prodnorm79</f>
        <v>0</v>
      </c>
      <c r="N369" s="76">
        <f>dagwerk79</f>
        <v>0</v>
      </c>
      <c r="O369" s="72" t="s">
        <v>54</v>
      </c>
      <c r="P369" s="77">
        <f>uurtarief79</f>
        <v>0</v>
      </c>
      <c r="Q369" s="74" t="e">
        <f t="shared" si="63"/>
        <v>#DIV/0!</v>
      </c>
      <c r="R369" s="74" t="e">
        <f t="shared" si="59"/>
        <v>#DIV/0!</v>
      </c>
      <c r="S369" s="77" t="e">
        <f t="shared" si="60"/>
        <v>#DIV/0!</v>
      </c>
      <c r="T369" s="74" t="e">
        <f t="shared" si="61"/>
        <v>#DIV/0!</v>
      </c>
      <c r="U369" s="78" t="e">
        <f t="shared" si="62"/>
        <v>#DIV/0!</v>
      </c>
    </row>
    <row r="370" spans="1:21" x14ac:dyDescent="0.2">
      <c r="A370" s="71" t="s">
        <v>588</v>
      </c>
      <c r="B370" s="72" t="s">
        <v>300</v>
      </c>
      <c r="C370" s="72" t="s">
        <v>406</v>
      </c>
      <c r="D370" s="72" t="s">
        <v>420</v>
      </c>
      <c r="E370" s="72" t="s">
        <v>300</v>
      </c>
      <c r="F370" s="73" t="s">
        <v>615</v>
      </c>
      <c r="G370" s="72" t="s">
        <v>309</v>
      </c>
      <c r="H370" s="72" t="s">
        <v>195</v>
      </c>
      <c r="I370" s="72" t="s">
        <v>14</v>
      </c>
      <c r="J370" s="72" t="s">
        <v>187</v>
      </c>
      <c r="K370" s="74">
        <v>2.2000000000000002</v>
      </c>
      <c r="L370" s="74">
        <f t="shared" si="58"/>
        <v>1.7254901960784315</v>
      </c>
      <c r="M370" s="75">
        <f>prodnorm42</f>
        <v>0</v>
      </c>
      <c r="N370" s="76">
        <f>dagwerk42</f>
        <v>0</v>
      </c>
      <c r="O370" s="72" t="s">
        <v>54</v>
      </c>
      <c r="P370" s="77">
        <f>uurtarief42</f>
        <v>0</v>
      </c>
      <c r="Q370" s="74" t="e">
        <f t="shared" si="63"/>
        <v>#DIV/0!</v>
      </c>
      <c r="R370" s="74" t="e">
        <f t="shared" si="59"/>
        <v>#DIV/0!</v>
      </c>
      <c r="S370" s="77" t="e">
        <f t="shared" si="60"/>
        <v>#DIV/0!</v>
      </c>
      <c r="T370" s="74" t="e">
        <f t="shared" si="61"/>
        <v>#DIV/0!</v>
      </c>
      <c r="U370" s="78" t="e">
        <f t="shared" si="62"/>
        <v>#DIV/0!</v>
      </c>
    </row>
    <row r="371" spans="1:21" x14ac:dyDescent="0.2">
      <c r="A371" s="71" t="s">
        <v>588</v>
      </c>
      <c r="B371" s="72" t="s">
        <v>300</v>
      </c>
      <c r="C371" s="72" t="s">
        <v>406</v>
      </c>
      <c r="D371" s="72" t="s">
        <v>618</v>
      </c>
      <c r="E371" s="72" t="s">
        <v>300</v>
      </c>
      <c r="F371" s="73" t="s">
        <v>595</v>
      </c>
      <c r="G371" s="72" t="s">
        <v>309</v>
      </c>
      <c r="H371" s="72" t="s">
        <v>186</v>
      </c>
      <c r="I371" s="72" t="s">
        <v>35</v>
      </c>
      <c r="J371" s="72" t="s">
        <v>187</v>
      </c>
      <c r="K371" s="74">
        <v>5.5</v>
      </c>
      <c r="L371" s="74">
        <f t="shared" si="58"/>
        <v>0.25882352941176467</v>
      </c>
      <c r="M371" s="75">
        <f>prodnorm23</f>
        <v>0</v>
      </c>
      <c r="N371" s="76">
        <f>dagwerk23</f>
        <v>0</v>
      </c>
      <c r="O371" s="72" t="s">
        <v>54</v>
      </c>
      <c r="P371" s="77">
        <f>uurtarief23</f>
        <v>0</v>
      </c>
      <c r="Q371" s="74" t="e">
        <f t="shared" si="63"/>
        <v>#DIV/0!</v>
      </c>
      <c r="R371" s="74" t="e">
        <f t="shared" si="59"/>
        <v>#DIV/0!</v>
      </c>
      <c r="S371" s="77" t="e">
        <f t="shared" si="60"/>
        <v>#DIV/0!</v>
      </c>
      <c r="T371" s="74" t="e">
        <f t="shared" si="61"/>
        <v>#DIV/0!</v>
      </c>
      <c r="U371" s="78" t="e">
        <f t="shared" si="62"/>
        <v>#DIV/0!</v>
      </c>
    </row>
    <row r="372" spans="1:21" x14ac:dyDescent="0.2">
      <c r="A372" s="71" t="s">
        <v>588</v>
      </c>
      <c r="B372" s="72" t="s">
        <v>300</v>
      </c>
      <c r="C372" s="72" t="s">
        <v>406</v>
      </c>
      <c r="D372" s="72" t="s">
        <v>619</v>
      </c>
      <c r="E372" s="72" t="s">
        <v>300</v>
      </c>
      <c r="F372" s="73" t="s">
        <v>598</v>
      </c>
      <c r="G372" s="72" t="s">
        <v>309</v>
      </c>
      <c r="H372" s="72" t="s">
        <v>222</v>
      </c>
      <c r="I372" s="72" t="s">
        <v>14</v>
      </c>
      <c r="J372" s="72" t="s">
        <v>187</v>
      </c>
      <c r="K372" s="74">
        <v>4</v>
      </c>
      <c r="L372" s="74">
        <f t="shared" si="58"/>
        <v>3.1372549019607843</v>
      </c>
      <c r="M372" s="75">
        <f>prodnorm79</f>
        <v>0</v>
      </c>
      <c r="N372" s="76">
        <f>dagwerk79</f>
        <v>0</v>
      </c>
      <c r="O372" s="72" t="s">
        <v>54</v>
      </c>
      <c r="P372" s="77">
        <f>uurtarief79</f>
        <v>0</v>
      </c>
      <c r="Q372" s="74" t="e">
        <f t="shared" si="63"/>
        <v>#DIV/0!</v>
      </c>
      <c r="R372" s="74" t="e">
        <f t="shared" si="59"/>
        <v>#DIV/0!</v>
      </c>
      <c r="S372" s="77" t="e">
        <f t="shared" si="60"/>
        <v>#DIV/0!</v>
      </c>
      <c r="T372" s="74" t="e">
        <f t="shared" si="61"/>
        <v>#DIV/0!</v>
      </c>
      <c r="U372" s="78" t="e">
        <f t="shared" si="62"/>
        <v>#DIV/0!</v>
      </c>
    </row>
    <row r="373" spans="1:21" x14ac:dyDescent="0.2">
      <c r="A373" s="71" t="s">
        <v>588</v>
      </c>
      <c r="B373" s="72" t="s">
        <v>300</v>
      </c>
      <c r="C373" s="72" t="s">
        <v>406</v>
      </c>
      <c r="D373" s="72" t="s">
        <v>620</v>
      </c>
      <c r="E373" s="72" t="s">
        <v>300</v>
      </c>
      <c r="F373" s="73" t="s">
        <v>600</v>
      </c>
      <c r="G373" s="72" t="s">
        <v>309</v>
      </c>
      <c r="H373" s="72" t="s">
        <v>222</v>
      </c>
      <c r="I373" s="72" t="s">
        <v>14</v>
      </c>
      <c r="J373" s="72" t="s">
        <v>187</v>
      </c>
      <c r="K373" s="74">
        <v>4.9000000000000004</v>
      </c>
      <c r="L373" s="74">
        <f t="shared" si="58"/>
        <v>3.8431372549019609</v>
      </c>
      <c r="M373" s="75">
        <f>prodnorm79</f>
        <v>0</v>
      </c>
      <c r="N373" s="76">
        <f>dagwerk79</f>
        <v>0</v>
      </c>
      <c r="O373" s="72" t="s">
        <v>54</v>
      </c>
      <c r="P373" s="77">
        <f>uurtarief79</f>
        <v>0</v>
      </c>
      <c r="Q373" s="74" t="e">
        <f t="shared" si="63"/>
        <v>#DIV/0!</v>
      </c>
      <c r="R373" s="74" t="e">
        <f t="shared" si="59"/>
        <v>#DIV/0!</v>
      </c>
      <c r="S373" s="77" t="e">
        <f t="shared" si="60"/>
        <v>#DIV/0!</v>
      </c>
      <c r="T373" s="74" t="e">
        <f t="shared" si="61"/>
        <v>#DIV/0!</v>
      </c>
      <c r="U373" s="78" t="e">
        <f t="shared" si="62"/>
        <v>#DIV/0!</v>
      </c>
    </row>
    <row r="374" spans="1:21" x14ac:dyDescent="0.2">
      <c r="A374" s="71" t="s">
        <v>588</v>
      </c>
      <c r="B374" s="72" t="s">
        <v>300</v>
      </c>
      <c r="C374" s="72" t="s">
        <v>406</v>
      </c>
      <c r="D374" s="72" t="s">
        <v>621</v>
      </c>
      <c r="E374" s="72" t="s">
        <v>300</v>
      </c>
      <c r="F374" s="73" t="s">
        <v>385</v>
      </c>
      <c r="G374" s="72" t="s">
        <v>323</v>
      </c>
      <c r="H374" s="72" t="s">
        <v>216</v>
      </c>
      <c r="I374" s="72" t="s">
        <v>14</v>
      </c>
      <c r="J374" s="72" t="s">
        <v>187</v>
      </c>
      <c r="K374" s="74">
        <v>51.5</v>
      </c>
      <c r="L374" s="74">
        <f t="shared" si="58"/>
        <v>40.392156862745097</v>
      </c>
      <c r="M374" s="75">
        <f>prodnorm66</f>
        <v>0</v>
      </c>
      <c r="N374" s="76">
        <f>dagwerk66</f>
        <v>0</v>
      </c>
      <c r="O374" s="72" t="s">
        <v>54</v>
      </c>
      <c r="P374" s="77">
        <f>uurtarief66</f>
        <v>0</v>
      </c>
      <c r="Q374" s="74" t="e">
        <f t="shared" si="63"/>
        <v>#DIV/0!</v>
      </c>
      <c r="R374" s="74" t="e">
        <f t="shared" si="59"/>
        <v>#DIV/0!</v>
      </c>
      <c r="S374" s="77" t="e">
        <f t="shared" si="60"/>
        <v>#DIV/0!</v>
      </c>
      <c r="T374" s="74" t="e">
        <f t="shared" si="61"/>
        <v>#DIV/0!</v>
      </c>
      <c r="U374" s="78" t="e">
        <f t="shared" si="62"/>
        <v>#DIV/0!</v>
      </c>
    </row>
    <row r="375" spans="1:21" x14ac:dyDescent="0.2">
      <c r="A375" s="71" t="s">
        <v>588</v>
      </c>
      <c r="B375" s="72" t="s">
        <v>300</v>
      </c>
      <c r="C375" s="72" t="s">
        <v>406</v>
      </c>
      <c r="D375" s="72" t="s">
        <v>424</v>
      </c>
      <c r="E375" s="72" t="s">
        <v>300</v>
      </c>
      <c r="F375" s="73" t="s">
        <v>595</v>
      </c>
      <c r="G375" s="72" t="s">
        <v>323</v>
      </c>
      <c r="H375" s="72" t="s">
        <v>189</v>
      </c>
      <c r="I375" s="72" t="s">
        <v>35</v>
      </c>
      <c r="J375" s="72" t="s">
        <v>187</v>
      </c>
      <c r="K375" s="74">
        <v>22.4</v>
      </c>
      <c r="L375" s="74">
        <f t="shared" si="58"/>
        <v>1.0541176470588234</v>
      </c>
      <c r="M375" s="75">
        <f>prodnorm27</f>
        <v>0</v>
      </c>
      <c r="N375" s="76">
        <f>dagwerk27</f>
        <v>0</v>
      </c>
      <c r="O375" s="72" t="s">
        <v>54</v>
      </c>
      <c r="P375" s="77">
        <f>uurtarief27</f>
        <v>0</v>
      </c>
      <c r="Q375" s="74" t="e">
        <f t="shared" si="63"/>
        <v>#DIV/0!</v>
      </c>
      <c r="R375" s="74" t="e">
        <f t="shared" si="59"/>
        <v>#DIV/0!</v>
      </c>
      <c r="S375" s="77" t="e">
        <f t="shared" si="60"/>
        <v>#DIV/0!</v>
      </c>
      <c r="T375" s="74" t="e">
        <f t="shared" si="61"/>
        <v>#DIV/0!</v>
      </c>
      <c r="U375" s="78" t="e">
        <f t="shared" si="62"/>
        <v>#DIV/0!</v>
      </c>
    </row>
    <row r="376" spans="1:21" x14ac:dyDescent="0.2">
      <c r="A376" s="71" t="s">
        <v>588</v>
      </c>
      <c r="B376" s="72" t="s">
        <v>300</v>
      </c>
      <c r="C376" s="72" t="s">
        <v>406</v>
      </c>
      <c r="D376" s="72" t="s">
        <v>426</v>
      </c>
      <c r="E376" s="72" t="s">
        <v>300</v>
      </c>
      <c r="F376" s="73" t="s">
        <v>622</v>
      </c>
      <c r="G376" s="72" t="s">
        <v>309</v>
      </c>
      <c r="H376" s="72" t="s">
        <v>227</v>
      </c>
      <c r="I376" s="72" t="s">
        <v>14</v>
      </c>
      <c r="J376" s="72" t="s">
        <v>187</v>
      </c>
      <c r="K376" s="74">
        <v>9.9</v>
      </c>
      <c r="L376" s="74">
        <f t="shared" si="58"/>
        <v>7.7647058823529411</v>
      </c>
      <c r="M376" s="75">
        <f>prodnorm91</f>
        <v>0</v>
      </c>
      <c r="N376" s="76">
        <f>dagwerk91</f>
        <v>0</v>
      </c>
      <c r="O376" s="72" t="s">
        <v>54</v>
      </c>
      <c r="P376" s="77">
        <f>uurtarief91</f>
        <v>0</v>
      </c>
      <c r="Q376" s="74" t="e">
        <f t="shared" si="63"/>
        <v>#DIV/0!</v>
      </c>
      <c r="R376" s="74" t="e">
        <f t="shared" si="59"/>
        <v>#DIV/0!</v>
      </c>
      <c r="S376" s="77" t="e">
        <f t="shared" si="60"/>
        <v>#DIV/0!</v>
      </c>
      <c r="T376" s="74" t="e">
        <f t="shared" si="61"/>
        <v>#DIV/0!</v>
      </c>
      <c r="U376" s="78" t="e">
        <f t="shared" si="62"/>
        <v>#DIV/0!</v>
      </c>
    </row>
    <row r="377" spans="1:21" x14ac:dyDescent="0.2">
      <c r="A377" s="71" t="s">
        <v>588</v>
      </c>
      <c r="B377" s="72" t="s">
        <v>300</v>
      </c>
      <c r="C377" s="72" t="s">
        <v>406</v>
      </c>
      <c r="D377" s="72" t="s">
        <v>428</v>
      </c>
      <c r="E377" s="72" t="s">
        <v>300</v>
      </c>
      <c r="F377" s="73" t="s">
        <v>623</v>
      </c>
      <c r="G377" s="72" t="s">
        <v>353</v>
      </c>
      <c r="H377" s="72" t="s">
        <v>191</v>
      </c>
      <c r="I377" s="72" t="s">
        <v>14</v>
      </c>
      <c r="J377" s="72" t="s">
        <v>187</v>
      </c>
      <c r="K377" s="74">
        <v>161.19999999999999</v>
      </c>
      <c r="L377" s="74">
        <f t="shared" si="58"/>
        <v>126.4313725490196</v>
      </c>
      <c r="M377" s="75">
        <f>prodnorm33</f>
        <v>0</v>
      </c>
      <c r="N377" s="76">
        <f>dagwerk33</f>
        <v>0</v>
      </c>
      <c r="O377" s="72" t="s">
        <v>54</v>
      </c>
      <c r="P377" s="77">
        <f>uurtarief33</f>
        <v>0</v>
      </c>
      <c r="Q377" s="74" t="e">
        <f t="shared" si="63"/>
        <v>#DIV/0!</v>
      </c>
      <c r="R377" s="74" t="e">
        <f t="shared" si="59"/>
        <v>#DIV/0!</v>
      </c>
      <c r="S377" s="77" t="e">
        <f t="shared" si="60"/>
        <v>#DIV/0!</v>
      </c>
      <c r="T377" s="74" t="e">
        <f t="shared" si="61"/>
        <v>#DIV/0!</v>
      </c>
      <c r="U377" s="78" t="e">
        <f t="shared" si="62"/>
        <v>#DIV/0!</v>
      </c>
    </row>
    <row r="378" spans="1:21" x14ac:dyDescent="0.2">
      <c r="A378" s="71" t="s">
        <v>588</v>
      </c>
      <c r="B378" s="72" t="s">
        <v>300</v>
      </c>
      <c r="C378" s="72" t="s">
        <v>406</v>
      </c>
      <c r="D378" s="72" t="s">
        <v>428</v>
      </c>
      <c r="E378" s="72" t="s">
        <v>300</v>
      </c>
      <c r="F378" s="73" t="s">
        <v>623</v>
      </c>
      <c r="G378" s="72" t="s">
        <v>353</v>
      </c>
      <c r="H378" s="72" t="s">
        <v>191</v>
      </c>
      <c r="I378" s="72" t="s">
        <v>35</v>
      </c>
      <c r="J378" s="72" t="s">
        <v>187</v>
      </c>
      <c r="K378" s="74">
        <v>161.19999999999999</v>
      </c>
      <c r="L378" s="74">
        <f t="shared" si="58"/>
        <v>7.5858823529411756</v>
      </c>
      <c r="M378" s="75">
        <f>prodnorm28</f>
        <v>0</v>
      </c>
      <c r="N378" s="76">
        <f>dagwerk28</f>
        <v>0</v>
      </c>
      <c r="O378" s="72" t="s">
        <v>54</v>
      </c>
      <c r="P378" s="77">
        <f>uurtarief28</f>
        <v>0</v>
      </c>
      <c r="Q378" s="74" t="e">
        <f t="shared" si="63"/>
        <v>#DIV/0!</v>
      </c>
      <c r="R378" s="74" t="e">
        <f t="shared" si="59"/>
        <v>#DIV/0!</v>
      </c>
      <c r="S378" s="77" t="e">
        <f t="shared" si="60"/>
        <v>#DIV/0!</v>
      </c>
      <c r="T378" s="74" t="e">
        <f t="shared" si="61"/>
        <v>#DIV/0!</v>
      </c>
      <c r="U378" s="78" t="e">
        <f t="shared" si="62"/>
        <v>#DIV/0!</v>
      </c>
    </row>
    <row r="379" spans="1:21" x14ac:dyDescent="0.2">
      <c r="A379" s="71" t="s">
        <v>588</v>
      </c>
      <c r="B379" s="72" t="s">
        <v>300</v>
      </c>
      <c r="C379" s="72" t="s">
        <v>406</v>
      </c>
      <c r="D379" s="72" t="s">
        <v>429</v>
      </c>
      <c r="E379" s="72" t="s">
        <v>300</v>
      </c>
      <c r="F379" s="73" t="s">
        <v>610</v>
      </c>
      <c r="G379" s="72" t="s">
        <v>323</v>
      </c>
      <c r="H379" s="72" t="s">
        <v>189</v>
      </c>
      <c r="I379" s="72" t="s">
        <v>35</v>
      </c>
      <c r="J379" s="72" t="s">
        <v>187</v>
      </c>
      <c r="K379" s="74">
        <v>10.199999999999999</v>
      </c>
      <c r="L379" s="74">
        <f t="shared" si="58"/>
        <v>0.48</v>
      </c>
      <c r="M379" s="75">
        <f>prodnorm27</f>
        <v>0</v>
      </c>
      <c r="N379" s="76">
        <f>dagwerk27</f>
        <v>0</v>
      </c>
      <c r="O379" s="72" t="s">
        <v>54</v>
      </c>
      <c r="P379" s="77">
        <f>uurtarief27</f>
        <v>0</v>
      </c>
      <c r="Q379" s="74" t="e">
        <f t="shared" si="63"/>
        <v>#DIV/0!</v>
      </c>
      <c r="R379" s="74" t="e">
        <f t="shared" si="59"/>
        <v>#DIV/0!</v>
      </c>
      <c r="S379" s="77" t="e">
        <f t="shared" si="60"/>
        <v>#DIV/0!</v>
      </c>
      <c r="T379" s="74" t="e">
        <f t="shared" si="61"/>
        <v>#DIV/0!</v>
      </c>
      <c r="U379" s="78" t="e">
        <f t="shared" si="62"/>
        <v>#DIV/0!</v>
      </c>
    </row>
    <row r="380" spans="1:21" x14ac:dyDescent="0.2">
      <c r="A380" s="71" t="s">
        <v>588</v>
      </c>
      <c r="B380" s="72" t="s">
        <v>300</v>
      </c>
      <c r="C380" s="72" t="s">
        <v>406</v>
      </c>
      <c r="D380" s="72" t="s">
        <v>431</v>
      </c>
      <c r="E380" s="72" t="s">
        <v>300</v>
      </c>
      <c r="F380" s="73" t="s">
        <v>590</v>
      </c>
      <c r="G380" s="72" t="s">
        <v>326</v>
      </c>
      <c r="H380" s="72" t="s">
        <v>231</v>
      </c>
      <c r="I380" s="72" t="s">
        <v>14</v>
      </c>
      <c r="J380" s="72" t="s">
        <v>187</v>
      </c>
      <c r="K380" s="74">
        <v>16.2</v>
      </c>
      <c r="L380" s="74">
        <f t="shared" si="58"/>
        <v>12.705882352941176</v>
      </c>
      <c r="M380" s="75">
        <f>prodnorm99</f>
        <v>0</v>
      </c>
      <c r="N380" s="76">
        <f>dagwerk99</f>
        <v>0</v>
      </c>
      <c r="O380" s="72" t="s">
        <v>54</v>
      </c>
      <c r="P380" s="77">
        <f>uurtarief99</f>
        <v>0</v>
      </c>
      <c r="Q380" s="74" t="e">
        <f t="shared" si="63"/>
        <v>#DIV/0!</v>
      </c>
      <c r="R380" s="74" t="e">
        <f t="shared" si="59"/>
        <v>#DIV/0!</v>
      </c>
      <c r="S380" s="77" t="e">
        <f t="shared" si="60"/>
        <v>#DIV/0!</v>
      </c>
      <c r="T380" s="74" t="e">
        <f t="shared" si="61"/>
        <v>#DIV/0!</v>
      </c>
      <c r="U380" s="78" t="e">
        <f t="shared" si="62"/>
        <v>#DIV/0!</v>
      </c>
    </row>
    <row r="381" spans="1:21" x14ac:dyDescent="0.2">
      <c r="A381" s="71" t="s">
        <v>588</v>
      </c>
      <c r="B381" s="72" t="s">
        <v>300</v>
      </c>
      <c r="C381" s="72" t="s">
        <v>406</v>
      </c>
      <c r="D381" s="72" t="s">
        <v>431</v>
      </c>
      <c r="E381" s="72" t="s">
        <v>300</v>
      </c>
      <c r="F381" s="73" t="s">
        <v>590</v>
      </c>
      <c r="G381" s="72" t="s">
        <v>326</v>
      </c>
      <c r="H381" s="72" t="s">
        <v>241</v>
      </c>
      <c r="I381" s="72" t="s">
        <v>41</v>
      </c>
      <c r="J381" s="72" t="s">
        <v>242</v>
      </c>
      <c r="K381" s="74">
        <v>16.2</v>
      </c>
      <c r="L381" s="74">
        <f t="shared" si="58"/>
        <v>6.3529411764705876E-2</v>
      </c>
      <c r="M381" s="75">
        <f>prodnorm117</f>
        <v>0</v>
      </c>
      <c r="N381" s="76">
        <f>dagwerk117</f>
        <v>0</v>
      </c>
      <c r="O381" s="72" t="s">
        <v>54</v>
      </c>
      <c r="P381" s="77">
        <f>uurtarief117</f>
        <v>0</v>
      </c>
      <c r="Q381" s="74" t="e">
        <f t="shared" si="63"/>
        <v>#DIV/0!</v>
      </c>
      <c r="R381" s="74" t="e">
        <f t="shared" si="59"/>
        <v>#DIV/0!</v>
      </c>
      <c r="S381" s="77" t="e">
        <f t="shared" si="60"/>
        <v>#DIV/0!</v>
      </c>
      <c r="T381" s="74" t="e">
        <f t="shared" si="61"/>
        <v>#DIV/0!</v>
      </c>
      <c r="U381" s="78" t="e">
        <f t="shared" si="62"/>
        <v>#DIV/0!</v>
      </c>
    </row>
    <row r="382" spans="1:21" x14ac:dyDescent="0.2">
      <c r="A382" s="71" t="s">
        <v>588</v>
      </c>
      <c r="B382" s="72" t="s">
        <v>300</v>
      </c>
      <c r="C382" s="72" t="s">
        <v>406</v>
      </c>
      <c r="D382" s="72" t="s">
        <v>432</v>
      </c>
      <c r="E382" s="72" t="s">
        <v>300</v>
      </c>
      <c r="F382" s="73" t="s">
        <v>573</v>
      </c>
      <c r="G382" s="72" t="s">
        <v>364</v>
      </c>
      <c r="H382" s="72" t="s">
        <v>231</v>
      </c>
      <c r="I382" s="72" t="s">
        <v>14</v>
      </c>
      <c r="J382" s="72" t="s">
        <v>187</v>
      </c>
      <c r="K382" s="74">
        <v>11</v>
      </c>
      <c r="L382" s="74">
        <f t="shared" si="58"/>
        <v>8.6274509803921564</v>
      </c>
      <c r="M382" s="75">
        <f>prodnorm99</f>
        <v>0</v>
      </c>
      <c r="N382" s="76">
        <f>dagwerk99</f>
        <v>0</v>
      </c>
      <c r="O382" s="72" t="s">
        <v>54</v>
      </c>
      <c r="P382" s="77">
        <f>uurtarief99</f>
        <v>0</v>
      </c>
      <c r="Q382" s="74" t="e">
        <f t="shared" si="63"/>
        <v>#DIV/0!</v>
      </c>
      <c r="R382" s="74" t="e">
        <f t="shared" si="59"/>
        <v>#DIV/0!</v>
      </c>
      <c r="S382" s="77" t="e">
        <f t="shared" si="60"/>
        <v>#DIV/0!</v>
      </c>
      <c r="T382" s="74" t="e">
        <f t="shared" si="61"/>
        <v>#DIV/0!</v>
      </c>
      <c r="U382" s="78" t="e">
        <f t="shared" si="62"/>
        <v>#DIV/0!</v>
      </c>
    </row>
    <row r="383" spans="1:21" x14ac:dyDescent="0.2">
      <c r="A383" s="71" t="s">
        <v>588</v>
      </c>
      <c r="B383" s="72" t="s">
        <v>300</v>
      </c>
      <c r="C383" s="72" t="s">
        <v>406</v>
      </c>
      <c r="D383" s="72" t="s">
        <v>433</v>
      </c>
      <c r="E383" s="72" t="s">
        <v>300</v>
      </c>
      <c r="F383" s="73" t="s">
        <v>319</v>
      </c>
      <c r="G383" s="72" t="s">
        <v>309</v>
      </c>
      <c r="H383" s="72" t="s">
        <v>222</v>
      </c>
      <c r="I383" s="72" t="s">
        <v>14</v>
      </c>
      <c r="J383" s="72" t="s">
        <v>187</v>
      </c>
      <c r="K383" s="74">
        <v>3.3</v>
      </c>
      <c r="L383" s="74">
        <f t="shared" si="58"/>
        <v>2.5882352941176467</v>
      </c>
      <c r="M383" s="75">
        <f>prodnorm79</f>
        <v>0</v>
      </c>
      <c r="N383" s="76">
        <f>dagwerk79</f>
        <v>0</v>
      </c>
      <c r="O383" s="72" t="s">
        <v>54</v>
      </c>
      <c r="P383" s="77">
        <f>uurtarief79</f>
        <v>0</v>
      </c>
      <c r="Q383" s="74" t="e">
        <f t="shared" si="63"/>
        <v>#DIV/0!</v>
      </c>
      <c r="R383" s="74" t="e">
        <f t="shared" si="59"/>
        <v>#DIV/0!</v>
      </c>
      <c r="S383" s="77" t="e">
        <f t="shared" si="60"/>
        <v>#DIV/0!</v>
      </c>
      <c r="T383" s="74" t="e">
        <f t="shared" si="61"/>
        <v>#DIV/0!</v>
      </c>
      <c r="U383" s="78" t="e">
        <f t="shared" si="62"/>
        <v>#DIV/0!</v>
      </c>
    </row>
    <row r="384" spans="1:21" x14ac:dyDescent="0.2">
      <c r="A384" s="71" t="s">
        <v>588</v>
      </c>
      <c r="B384" s="72" t="s">
        <v>300</v>
      </c>
      <c r="C384" s="72" t="s">
        <v>406</v>
      </c>
      <c r="D384" s="72" t="s">
        <v>434</v>
      </c>
      <c r="E384" s="72" t="s">
        <v>300</v>
      </c>
      <c r="F384" s="73" t="s">
        <v>319</v>
      </c>
      <c r="G384" s="72" t="s">
        <v>309</v>
      </c>
      <c r="H384" s="72" t="s">
        <v>222</v>
      </c>
      <c r="I384" s="72" t="s">
        <v>14</v>
      </c>
      <c r="J384" s="72" t="s">
        <v>187</v>
      </c>
      <c r="K384" s="74">
        <v>3.3</v>
      </c>
      <c r="L384" s="74">
        <f t="shared" si="58"/>
        <v>2.5882352941176467</v>
      </c>
      <c r="M384" s="75">
        <f>prodnorm79</f>
        <v>0</v>
      </c>
      <c r="N384" s="76">
        <f>dagwerk79</f>
        <v>0</v>
      </c>
      <c r="O384" s="72" t="s">
        <v>54</v>
      </c>
      <c r="P384" s="77">
        <f>uurtarief79</f>
        <v>0</v>
      </c>
      <c r="Q384" s="74" t="e">
        <f t="shared" si="63"/>
        <v>#DIV/0!</v>
      </c>
      <c r="R384" s="74" t="e">
        <f t="shared" si="59"/>
        <v>#DIV/0!</v>
      </c>
      <c r="S384" s="77" t="e">
        <f t="shared" si="60"/>
        <v>#DIV/0!</v>
      </c>
      <c r="T384" s="74" t="e">
        <f t="shared" si="61"/>
        <v>#DIV/0!</v>
      </c>
      <c r="U384" s="78" t="e">
        <f t="shared" si="62"/>
        <v>#DIV/0!</v>
      </c>
    </row>
    <row r="385" spans="1:21" x14ac:dyDescent="0.2">
      <c r="A385" s="71" t="s">
        <v>588</v>
      </c>
      <c r="B385" s="72" t="s">
        <v>300</v>
      </c>
      <c r="C385" s="72" t="s">
        <v>406</v>
      </c>
      <c r="D385" s="72" t="s">
        <v>435</v>
      </c>
      <c r="E385" s="72" t="s">
        <v>300</v>
      </c>
      <c r="F385" s="73" t="s">
        <v>624</v>
      </c>
      <c r="G385" s="72" t="s">
        <v>625</v>
      </c>
      <c r="H385" s="72" t="s">
        <v>227</v>
      </c>
      <c r="I385" s="72" t="s">
        <v>14</v>
      </c>
      <c r="J385" s="72" t="s">
        <v>187</v>
      </c>
      <c r="K385" s="74">
        <v>6</v>
      </c>
      <c r="L385" s="74">
        <f t="shared" si="58"/>
        <v>4.7058823529411766</v>
      </c>
      <c r="M385" s="75">
        <f>prodnorm91</f>
        <v>0</v>
      </c>
      <c r="N385" s="76">
        <f>dagwerk91</f>
        <v>0</v>
      </c>
      <c r="O385" s="72" t="s">
        <v>54</v>
      </c>
      <c r="P385" s="77">
        <f>uurtarief91</f>
        <v>0</v>
      </c>
      <c r="Q385" s="74" t="e">
        <f t="shared" si="63"/>
        <v>#DIV/0!</v>
      </c>
      <c r="R385" s="74" t="e">
        <f t="shared" si="59"/>
        <v>#DIV/0!</v>
      </c>
      <c r="S385" s="77" t="e">
        <f t="shared" si="60"/>
        <v>#DIV/0!</v>
      </c>
      <c r="T385" s="74" t="e">
        <f t="shared" si="61"/>
        <v>#DIV/0!</v>
      </c>
      <c r="U385" s="78" t="e">
        <f t="shared" si="62"/>
        <v>#DIV/0!</v>
      </c>
    </row>
    <row r="386" spans="1:21" x14ac:dyDescent="0.2">
      <c r="A386" s="71" t="s">
        <v>588</v>
      </c>
      <c r="B386" s="72" t="s">
        <v>300</v>
      </c>
      <c r="C386" s="72" t="s">
        <v>447</v>
      </c>
      <c r="D386" s="72" t="s">
        <v>448</v>
      </c>
      <c r="E386" s="72" t="s">
        <v>300</v>
      </c>
      <c r="F386" s="73" t="s">
        <v>590</v>
      </c>
      <c r="G386" s="72" t="s">
        <v>323</v>
      </c>
      <c r="H386" s="72" t="s">
        <v>233</v>
      </c>
      <c r="I386" s="72" t="s">
        <v>14</v>
      </c>
      <c r="J386" s="72" t="s">
        <v>187</v>
      </c>
      <c r="K386" s="74">
        <v>23.8</v>
      </c>
      <c r="L386" s="74">
        <f t="shared" si="58"/>
        <v>18.666666666666668</v>
      </c>
      <c r="M386" s="75">
        <f>prodnorm107</f>
        <v>0</v>
      </c>
      <c r="N386" s="76">
        <f>dagwerk107</f>
        <v>0</v>
      </c>
      <c r="O386" s="72" t="s">
        <v>54</v>
      </c>
      <c r="P386" s="77">
        <f>uurtarief107</f>
        <v>0</v>
      </c>
      <c r="Q386" s="74" t="e">
        <f t="shared" si="63"/>
        <v>#DIV/0!</v>
      </c>
      <c r="R386" s="74" t="e">
        <f t="shared" si="59"/>
        <v>#DIV/0!</v>
      </c>
      <c r="S386" s="77" t="e">
        <f t="shared" si="60"/>
        <v>#DIV/0!</v>
      </c>
      <c r="T386" s="74" t="e">
        <f t="shared" si="61"/>
        <v>#DIV/0!</v>
      </c>
      <c r="U386" s="78" t="e">
        <f t="shared" si="62"/>
        <v>#DIV/0!</v>
      </c>
    </row>
    <row r="387" spans="1:21" x14ac:dyDescent="0.2">
      <c r="A387" s="71" t="s">
        <v>588</v>
      </c>
      <c r="B387" s="72" t="s">
        <v>300</v>
      </c>
      <c r="C387" s="72" t="s">
        <v>447</v>
      </c>
      <c r="D387" s="72" t="s">
        <v>449</v>
      </c>
      <c r="E387" s="72" t="s">
        <v>300</v>
      </c>
      <c r="F387" s="73" t="s">
        <v>622</v>
      </c>
      <c r="G387" s="72" t="s">
        <v>309</v>
      </c>
      <c r="H387" s="72" t="s">
        <v>227</v>
      </c>
      <c r="I387" s="72" t="s">
        <v>14</v>
      </c>
      <c r="J387" s="72" t="s">
        <v>187</v>
      </c>
      <c r="K387" s="74">
        <v>9</v>
      </c>
      <c r="L387" s="74">
        <f t="shared" si="58"/>
        <v>7.0588235294117645</v>
      </c>
      <c r="M387" s="75">
        <f>prodnorm91</f>
        <v>0</v>
      </c>
      <c r="N387" s="76">
        <f>dagwerk91</f>
        <v>0</v>
      </c>
      <c r="O387" s="72" t="s">
        <v>54</v>
      </c>
      <c r="P387" s="77">
        <f>uurtarief91</f>
        <v>0</v>
      </c>
      <c r="Q387" s="74" t="e">
        <f t="shared" si="63"/>
        <v>#DIV/0!</v>
      </c>
      <c r="R387" s="74" t="e">
        <f t="shared" si="59"/>
        <v>#DIV/0!</v>
      </c>
      <c r="S387" s="77" t="e">
        <f t="shared" si="60"/>
        <v>#DIV/0!</v>
      </c>
      <c r="T387" s="74" t="e">
        <f t="shared" si="61"/>
        <v>#DIV/0!</v>
      </c>
      <c r="U387" s="78" t="e">
        <f t="shared" si="62"/>
        <v>#DIV/0!</v>
      </c>
    </row>
    <row r="388" spans="1:21" x14ac:dyDescent="0.2">
      <c r="A388" s="71" t="s">
        <v>588</v>
      </c>
      <c r="B388" s="72" t="s">
        <v>300</v>
      </c>
      <c r="C388" s="72" t="s">
        <v>447</v>
      </c>
      <c r="D388" s="72" t="s">
        <v>450</v>
      </c>
      <c r="E388" s="72" t="s">
        <v>300</v>
      </c>
      <c r="F388" s="73" t="s">
        <v>385</v>
      </c>
      <c r="G388" s="72" t="s">
        <v>323</v>
      </c>
      <c r="H388" s="72" t="s">
        <v>216</v>
      </c>
      <c r="I388" s="72" t="s">
        <v>14</v>
      </c>
      <c r="J388" s="72" t="s">
        <v>187</v>
      </c>
      <c r="K388" s="74">
        <v>83.1</v>
      </c>
      <c r="L388" s="74">
        <f t="shared" si="58"/>
        <v>65.17647058823529</v>
      </c>
      <c r="M388" s="75">
        <f>prodnorm66</f>
        <v>0</v>
      </c>
      <c r="N388" s="76">
        <f>dagwerk66</f>
        <v>0</v>
      </c>
      <c r="O388" s="72" t="s">
        <v>54</v>
      </c>
      <c r="P388" s="77">
        <f>uurtarief66</f>
        <v>0</v>
      </c>
      <c r="Q388" s="74" t="e">
        <f t="shared" si="63"/>
        <v>#DIV/0!</v>
      </c>
      <c r="R388" s="74" t="e">
        <f t="shared" si="59"/>
        <v>#DIV/0!</v>
      </c>
      <c r="S388" s="77" t="e">
        <f t="shared" si="60"/>
        <v>#DIV/0!</v>
      </c>
      <c r="T388" s="74" t="e">
        <f t="shared" si="61"/>
        <v>#DIV/0!</v>
      </c>
      <c r="U388" s="78" t="e">
        <f t="shared" si="62"/>
        <v>#DIV/0!</v>
      </c>
    </row>
    <row r="389" spans="1:21" x14ac:dyDescent="0.2">
      <c r="A389" s="79" t="s">
        <v>588</v>
      </c>
      <c r="B389" s="80" t="s">
        <v>300</v>
      </c>
      <c r="C389" s="80" t="s">
        <v>447</v>
      </c>
      <c r="D389" s="80" t="s">
        <v>451</v>
      </c>
      <c r="E389" s="80" t="s">
        <v>300</v>
      </c>
      <c r="F389" s="81" t="s">
        <v>595</v>
      </c>
      <c r="G389" s="80" t="s">
        <v>323</v>
      </c>
      <c r="H389" s="80" t="s">
        <v>189</v>
      </c>
      <c r="I389" s="80" t="s">
        <v>35</v>
      </c>
      <c r="J389" s="80" t="s">
        <v>187</v>
      </c>
      <c r="K389" s="82">
        <v>10.6</v>
      </c>
      <c r="L389" s="82">
        <f t="shared" si="58"/>
        <v>0.49882352941176467</v>
      </c>
      <c r="M389" s="83">
        <f>prodnorm27</f>
        <v>0</v>
      </c>
      <c r="N389" s="84">
        <f>dagwerk27</f>
        <v>0</v>
      </c>
      <c r="O389" s="80" t="s">
        <v>54</v>
      </c>
      <c r="P389" s="85">
        <f>uurtarief27</f>
        <v>0</v>
      </c>
      <c r="Q389" s="82" t="e">
        <f t="shared" si="63"/>
        <v>#DIV/0!</v>
      </c>
      <c r="R389" s="82" t="e">
        <f t="shared" si="59"/>
        <v>#DIV/0!</v>
      </c>
      <c r="S389" s="85" t="e">
        <f t="shared" si="60"/>
        <v>#DIV/0!</v>
      </c>
      <c r="T389" s="82" t="e">
        <f t="shared" si="61"/>
        <v>#DIV/0!</v>
      </c>
      <c r="U389" s="86" t="e">
        <f t="shared" si="62"/>
        <v>#DIV/0!</v>
      </c>
    </row>
    <row r="390" spans="1:21" x14ac:dyDescent="0.2">
      <c r="A390" s="87" t="s">
        <v>536</v>
      </c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3" t="e">
        <f>IF(_xlfn.SINGLE(object6_urenjaar1)&gt;0,_xlfn.SINGLE(object6_prijsjaar1)/_xlfn.SINGLE(object6_urenjaar1),0)</f>
        <v>#DIV/0!</v>
      </c>
      <c r="Q390" s="52" t="e">
        <f>SUM(Q328:Q389)</f>
        <v>#DIV/0!</v>
      </c>
      <c r="R390" s="52" t="e">
        <f>SUM(R328:R389)</f>
        <v>#DIV/0!</v>
      </c>
      <c r="S390" s="53" t="e">
        <f>SUM(S328:S389)</f>
        <v>#DIV/0!</v>
      </c>
      <c r="T390" s="52" t="e">
        <f>SUM(T328:T389)</f>
        <v>#DIV/0!</v>
      </c>
      <c r="U390" s="54" t="e">
        <f>SUM(U328:U389)</f>
        <v>#DIV/0!</v>
      </c>
    </row>
    <row r="391" spans="1:21" x14ac:dyDescent="0.2">
      <c r="A391" s="61" t="s">
        <v>626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49"/>
    </row>
    <row r="392" spans="1:21" x14ac:dyDescent="0.2">
      <c r="A392" s="63" t="s">
        <v>627</v>
      </c>
      <c r="B392" s="64" t="s">
        <v>300</v>
      </c>
      <c r="C392" s="64" t="s">
        <v>330</v>
      </c>
      <c r="D392" s="64" t="s">
        <v>540</v>
      </c>
      <c r="E392" s="64" t="s">
        <v>300</v>
      </c>
      <c r="F392" s="65" t="s">
        <v>573</v>
      </c>
      <c r="G392" s="64" t="s">
        <v>323</v>
      </c>
      <c r="H392" s="64" t="s">
        <v>233</v>
      </c>
      <c r="I392" s="64" t="s">
        <v>12</v>
      </c>
      <c r="J392" s="64" t="s">
        <v>187</v>
      </c>
      <c r="K392" s="66">
        <v>29</v>
      </c>
      <c r="L392" s="66">
        <f t="shared" ref="L392:L408" si="64">K392*VLOOKUP(I392,dagsoorttabel1,2,FALSE)</f>
        <v>25.588235294117645</v>
      </c>
      <c r="M392" s="67">
        <f>prodnorm108</f>
        <v>0</v>
      </c>
      <c r="N392" s="68">
        <f>dagwerk108</f>
        <v>0</v>
      </c>
      <c r="O392" s="64" t="s">
        <v>54</v>
      </c>
      <c r="P392" s="69">
        <f>uurtarief108</f>
        <v>0</v>
      </c>
      <c r="Q392" s="66" t="e">
        <f t="shared" ref="Q392:Q407" si="65">IF(ISBLANK(M392),0,L392/ROUND(M392,4))</f>
        <v>#DIV/0!</v>
      </c>
      <c r="R392" s="66" t="e">
        <f t="shared" ref="R392:R408" si="66">IF(ISBLANK(M392),0,Q392*ROUND(N392,2))</f>
        <v>#DIV/0!</v>
      </c>
      <c r="S392" s="69" t="e">
        <f t="shared" ref="S392:S408" si="67">ROUND(P392,2)*Q392</f>
        <v>#DIV/0!</v>
      </c>
      <c r="T392" s="66" t="e">
        <f t="shared" ref="T392:T408" si="68">Q392*dagenperjaar1</f>
        <v>#DIV/0!</v>
      </c>
      <c r="U392" s="70" t="e">
        <f t="shared" ref="U392:U408" si="69">T392*ROUND(P392,2)</f>
        <v>#DIV/0!</v>
      </c>
    </row>
    <row r="393" spans="1:21" x14ac:dyDescent="0.2">
      <c r="A393" s="71" t="s">
        <v>627</v>
      </c>
      <c r="B393" s="72" t="s">
        <v>300</v>
      </c>
      <c r="C393" s="72" t="s">
        <v>330</v>
      </c>
      <c r="D393" s="72" t="s">
        <v>340</v>
      </c>
      <c r="E393" s="72" t="s">
        <v>300</v>
      </c>
      <c r="F393" s="73" t="s">
        <v>319</v>
      </c>
      <c r="G393" s="72" t="s">
        <v>309</v>
      </c>
      <c r="H393" s="72" t="s">
        <v>222</v>
      </c>
      <c r="I393" s="72" t="s">
        <v>12</v>
      </c>
      <c r="J393" s="72" t="s">
        <v>187</v>
      </c>
      <c r="K393" s="74">
        <v>1</v>
      </c>
      <c r="L393" s="74">
        <f t="shared" si="64"/>
        <v>0.88235294117647056</v>
      </c>
      <c r="M393" s="75">
        <f>prodnorm80</f>
        <v>0</v>
      </c>
      <c r="N393" s="76">
        <f>dagwerk80</f>
        <v>0</v>
      </c>
      <c r="O393" s="72" t="s">
        <v>54</v>
      </c>
      <c r="P393" s="77">
        <f>uurtarief80</f>
        <v>0</v>
      </c>
      <c r="Q393" s="74" t="e">
        <f t="shared" si="65"/>
        <v>#DIV/0!</v>
      </c>
      <c r="R393" s="74" t="e">
        <f t="shared" si="66"/>
        <v>#DIV/0!</v>
      </c>
      <c r="S393" s="77" t="e">
        <f t="shared" si="67"/>
        <v>#DIV/0!</v>
      </c>
      <c r="T393" s="74" t="e">
        <f t="shared" si="68"/>
        <v>#DIV/0!</v>
      </c>
      <c r="U393" s="78" t="e">
        <f t="shared" si="69"/>
        <v>#DIV/0!</v>
      </c>
    </row>
    <row r="394" spans="1:21" x14ac:dyDescent="0.2">
      <c r="A394" s="71" t="s">
        <v>627</v>
      </c>
      <c r="B394" s="72" t="s">
        <v>300</v>
      </c>
      <c r="C394" s="72" t="s">
        <v>330</v>
      </c>
      <c r="D394" s="72" t="s">
        <v>553</v>
      </c>
      <c r="E394" s="72" t="s">
        <v>300</v>
      </c>
      <c r="F394" s="73" t="s">
        <v>628</v>
      </c>
      <c r="G394" s="72" t="s">
        <v>326</v>
      </c>
      <c r="H394" s="72" t="s">
        <v>191</v>
      </c>
      <c r="I394" s="72" t="s">
        <v>12</v>
      </c>
      <c r="J394" s="72" t="s">
        <v>187</v>
      </c>
      <c r="K394" s="74">
        <v>6</v>
      </c>
      <c r="L394" s="74">
        <f t="shared" si="64"/>
        <v>5.2941176470588234</v>
      </c>
      <c r="M394" s="75">
        <f>prodnorm34</f>
        <v>0</v>
      </c>
      <c r="N394" s="76">
        <f>dagwerk34</f>
        <v>0</v>
      </c>
      <c r="O394" s="72" t="s">
        <v>54</v>
      </c>
      <c r="P394" s="77">
        <f>uurtarief34</f>
        <v>0</v>
      </c>
      <c r="Q394" s="74" t="e">
        <f t="shared" si="65"/>
        <v>#DIV/0!</v>
      </c>
      <c r="R394" s="74" t="e">
        <f t="shared" si="66"/>
        <v>#DIV/0!</v>
      </c>
      <c r="S394" s="77" t="e">
        <f t="shared" si="67"/>
        <v>#DIV/0!</v>
      </c>
      <c r="T394" s="74" t="e">
        <f t="shared" si="68"/>
        <v>#DIV/0!</v>
      </c>
      <c r="U394" s="78" t="e">
        <f t="shared" si="69"/>
        <v>#DIV/0!</v>
      </c>
    </row>
    <row r="395" spans="1:21" x14ac:dyDescent="0.2">
      <c r="A395" s="71" t="s">
        <v>627</v>
      </c>
      <c r="B395" s="72" t="s">
        <v>300</v>
      </c>
      <c r="C395" s="72" t="s">
        <v>330</v>
      </c>
      <c r="D395" s="72" t="s">
        <v>553</v>
      </c>
      <c r="E395" s="72" t="s">
        <v>300</v>
      </c>
      <c r="F395" s="73" t="s">
        <v>628</v>
      </c>
      <c r="G395" s="72" t="s">
        <v>326</v>
      </c>
      <c r="H395" s="72" t="s">
        <v>241</v>
      </c>
      <c r="I395" s="72" t="s">
        <v>41</v>
      </c>
      <c r="J395" s="72" t="s">
        <v>242</v>
      </c>
      <c r="K395" s="74">
        <v>6</v>
      </c>
      <c r="L395" s="74">
        <f t="shared" si="64"/>
        <v>2.3529411764705882E-2</v>
      </c>
      <c r="M395" s="75">
        <f>prodnorm117</f>
        <v>0</v>
      </c>
      <c r="N395" s="76">
        <f>dagwerk117</f>
        <v>0</v>
      </c>
      <c r="O395" s="72" t="s">
        <v>54</v>
      </c>
      <c r="P395" s="77">
        <f>uurtarief117</f>
        <v>0</v>
      </c>
      <c r="Q395" s="74" t="e">
        <f t="shared" si="65"/>
        <v>#DIV/0!</v>
      </c>
      <c r="R395" s="74" t="e">
        <f t="shared" si="66"/>
        <v>#DIV/0!</v>
      </c>
      <c r="S395" s="77" t="e">
        <f t="shared" si="67"/>
        <v>#DIV/0!</v>
      </c>
      <c r="T395" s="74" t="e">
        <f t="shared" si="68"/>
        <v>#DIV/0!</v>
      </c>
      <c r="U395" s="78" t="e">
        <f t="shared" si="69"/>
        <v>#DIV/0!</v>
      </c>
    </row>
    <row r="396" spans="1:21" x14ac:dyDescent="0.2">
      <c r="A396" s="71" t="s">
        <v>627</v>
      </c>
      <c r="B396" s="72" t="s">
        <v>300</v>
      </c>
      <c r="C396" s="72" t="s">
        <v>330</v>
      </c>
      <c r="D396" s="72" t="s">
        <v>356</v>
      </c>
      <c r="E396" s="72" t="s">
        <v>300</v>
      </c>
      <c r="F396" s="73" t="s">
        <v>313</v>
      </c>
      <c r="G396" s="72" t="s">
        <v>309</v>
      </c>
      <c r="H396" s="72" t="s">
        <v>222</v>
      </c>
      <c r="I396" s="72" t="s">
        <v>12</v>
      </c>
      <c r="J396" s="72" t="s">
        <v>187</v>
      </c>
      <c r="K396" s="74">
        <v>28</v>
      </c>
      <c r="L396" s="74">
        <f t="shared" si="64"/>
        <v>24.705882352941174</v>
      </c>
      <c r="M396" s="75">
        <f>prodnorm80</f>
        <v>0</v>
      </c>
      <c r="N396" s="76">
        <f>dagwerk80</f>
        <v>0</v>
      </c>
      <c r="O396" s="72" t="s">
        <v>54</v>
      </c>
      <c r="P396" s="77">
        <f>uurtarief80</f>
        <v>0</v>
      </c>
      <c r="Q396" s="74" t="e">
        <f t="shared" si="65"/>
        <v>#DIV/0!</v>
      </c>
      <c r="R396" s="74" t="e">
        <f t="shared" si="66"/>
        <v>#DIV/0!</v>
      </c>
      <c r="S396" s="77" t="e">
        <f t="shared" si="67"/>
        <v>#DIV/0!</v>
      </c>
      <c r="T396" s="74" t="e">
        <f t="shared" si="68"/>
        <v>#DIV/0!</v>
      </c>
      <c r="U396" s="78" t="e">
        <f t="shared" si="69"/>
        <v>#DIV/0!</v>
      </c>
    </row>
    <row r="397" spans="1:21" x14ac:dyDescent="0.2">
      <c r="A397" s="71" t="s">
        <v>627</v>
      </c>
      <c r="B397" s="72" t="s">
        <v>300</v>
      </c>
      <c r="C397" s="72" t="s">
        <v>330</v>
      </c>
      <c r="D397" s="72" t="s">
        <v>546</v>
      </c>
      <c r="E397" s="72" t="s">
        <v>300</v>
      </c>
      <c r="F397" s="73" t="s">
        <v>629</v>
      </c>
      <c r="G397" s="72" t="s">
        <v>309</v>
      </c>
      <c r="H397" s="72" t="s">
        <v>195</v>
      </c>
      <c r="I397" s="72" t="s">
        <v>12</v>
      </c>
      <c r="J397" s="72" t="s">
        <v>187</v>
      </c>
      <c r="K397" s="74">
        <v>15</v>
      </c>
      <c r="L397" s="74">
        <f t="shared" si="64"/>
        <v>13.235294117647058</v>
      </c>
      <c r="M397" s="75">
        <f>prodnorm43</f>
        <v>0</v>
      </c>
      <c r="N397" s="76">
        <f>dagwerk43</f>
        <v>0</v>
      </c>
      <c r="O397" s="72" t="s">
        <v>54</v>
      </c>
      <c r="P397" s="77">
        <f>uurtarief43</f>
        <v>0</v>
      </c>
      <c r="Q397" s="74" t="e">
        <f t="shared" si="65"/>
        <v>#DIV/0!</v>
      </c>
      <c r="R397" s="74" t="e">
        <f t="shared" si="66"/>
        <v>#DIV/0!</v>
      </c>
      <c r="S397" s="77" t="e">
        <f t="shared" si="67"/>
        <v>#DIV/0!</v>
      </c>
      <c r="T397" s="74" t="e">
        <f t="shared" si="68"/>
        <v>#DIV/0!</v>
      </c>
      <c r="U397" s="78" t="e">
        <f t="shared" si="69"/>
        <v>#DIV/0!</v>
      </c>
    </row>
    <row r="398" spans="1:21" x14ac:dyDescent="0.2">
      <c r="A398" s="71" t="s">
        <v>627</v>
      </c>
      <c r="B398" s="72" t="s">
        <v>300</v>
      </c>
      <c r="C398" s="72" t="s">
        <v>330</v>
      </c>
      <c r="D398" s="72" t="s">
        <v>549</v>
      </c>
      <c r="E398" s="72" t="s">
        <v>300</v>
      </c>
      <c r="F398" s="73" t="s">
        <v>319</v>
      </c>
      <c r="G398" s="72" t="s">
        <v>309</v>
      </c>
      <c r="H398" s="72" t="s">
        <v>222</v>
      </c>
      <c r="I398" s="72" t="s">
        <v>12</v>
      </c>
      <c r="J398" s="72" t="s">
        <v>187</v>
      </c>
      <c r="K398" s="74">
        <v>1</v>
      </c>
      <c r="L398" s="74">
        <f t="shared" si="64"/>
        <v>0.88235294117647056</v>
      </c>
      <c r="M398" s="75">
        <f>prodnorm80</f>
        <v>0</v>
      </c>
      <c r="N398" s="76">
        <f>dagwerk80</f>
        <v>0</v>
      </c>
      <c r="O398" s="72" t="s">
        <v>54</v>
      </c>
      <c r="P398" s="77">
        <f>uurtarief80</f>
        <v>0</v>
      </c>
      <c r="Q398" s="74" t="e">
        <f t="shared" si="65"/>
        <v>#DIV/0!</v>
      </c>
      <c r="R398" s="74" t="e">
        <f t="shared" si="66"/>
        <v>#DIV/0!</v>
      </c>
      <c r="S398" s="77" t="e">
        <f t="shared" si="67"/>
        <v>#DIV/0!</v>
      </c>
      <c r="T398" s="74" t="e">
        <f t="shared" si="68"/>
        <v>#DIV/0!</v>
      </c>
      <c r="U398" s="78" t="e">
        <f t="shared" si="69"/>
        <v>#DIV/0!</v>
      </c>
    </row>
    <row r="399" spans="1:21" x14ac:dyDescent="0.2">
      <c r="A399" s="71" t="s">
        <v>627</v>
      </c>
      <c r="B399" s="72" t="s">
        <v>300</v>
      </c>
      <c r="C399" s="72" t="s">
        <v>330</v>
      </c>
      <c r="D399" s="72" t="s">
        <v>599</v>
      </c>
      <c r="E399" s="72" t="s">
        <v>300</v>
      </c>
      <c r="F399" s="73" t="s">
        <v>615</v>
      </c>
      <c r="G399" s="72" t="s">
        <v>309</v>
      </c>
      <c r="H399" s="72" t="s">
        <v>195</v>
      </c>
      <c r="I399" s="72" t="s">
        <v>12</v>
      </c>
      <c r="J399" s="72" t="s">
        <v>187</v>
      </c>
      <c r="K399" s="74">
        <v>1</v>
      </c>
      <c r="L399" s="74">
        <f t="shared" si="64"/>
        <v>0.88235294117647056</v>
      </c>
      <c r="M399" s="75">
        <f>prodnorm43</f>
        <v>0</v>
      </c>
      <c r="N399" s="76">
        <f>dagwerk43</f>
        <v>0</v>
      </c>
      <c r="O399" s="72" t="s">
        <v>54</v>
      </c>
      <c r="P399" s="77">
        <f>uurtarief43</f>
        <v>0</v>
      </c>
      <c r="Q399" s="74" t="e">
        <f t="shared" si="65"/>
        <v>#DIV/0!</v>
      </c>
      <c r="R399" s="74" t="e">
        <f t="shared" si="66"/>
        <v>#DIV/0!</v>
      </c>
      <c r="S399" s="77" t="e">
        <f t="shared" si="67"/>
        <v>#DIV/0!</v>
      </c>
      <c r="T399" s="74" t="e">
        <f t="shared" si="68"/>
        <v>#DIV/0!</v>
      </c>
      <c r="U399" s="78" t="e">
        <f t="shared" si="69"/>
        <v>#DIV/0!</v>
      </c>
    </row>
    <row r="400" spans="1:21" x14ac:dyDescent="0.2">
      <c r="A400" s="71" t="s">
        <v>627</v>
      </c>
      <c r="B400" s="72" t="s">
        <v>300</v>
      </c>
      <c r="C400" s="72" t="s">
        <v>330</v>
      </c>
      <c r="D400" s="72" t="s">
        <v>601</v>
      </c>
      <c r="E400" s="72" t="s">
        <v>300</v>
      </c>
      <c r="F400" s="73" t="s">
        <v>313</v>
      </c>
      <c r="G400" s="72" t="s">
        <v>309</v>
      </c>
      <c r="H400" s="72" t="s">
        <v>222</v>
      </c>
      <c r="I400" s="72" t="s">
        <v>12</v>
      </c>
      <c r="J400" s="72" t="s">
        <v>187</v>
      </c>
      <c r="K400" s="74">
        <v>27</v>
      </c>
      <c r="L400" s="74">
        <f t="shared" si="64"/>
        <v>23.823529411764707</v>
      </c>
      <c r="M400" s="75">
        <f>prodnorm80</f>
        <v>0</v>
      </c>
      <c r="N400" s="76">
        <f>dagwerk80</f>
        <v>0</v>
      </c>
      <c r="O400" s="72" t="s">
        <v>54</v>
      </c>
      <c r="P400" s="77">
        <f>uurtarief80</f>
        <v>0</v>
      </c>
      <c r="Q400" s="74" t="e">
        <f t="shared" si="65"/>
        <v>#DIV/0!</v>
      </c>
      <c r="R400" s="74" t="e">
        <f t="shared" si="66"/>
        <v>#DIV/0!</v>
      </c>
      <c r="S400" s="77" t="e">
        <f t="shared" si="67"/>
        <v>#DIV/0!</v>
      </c>
      <c r="T400" s="74" t="e">
        <f t="shared" si="68"/>
        <v>#DIV/0!</v>
      </c>
      <c r="U400" s="78" t="e">
        <f t="shared" si="69"/>
        <v>#DIV/0!</v>
      </c>
    </row>
    <row r="401" spans="1:21" x14ac:dyDescent="0.2">
      <c r="A401" s="71" t="s">
        <v>627</v>
      </c>
      <c r="B401" s="72" t="s">
        <v>300</v>
      </c>
      <c r="C401" s="72" t="s">
        <v>330</v>
      </c>
      <c r="D401" s="72" t="s">
        <v>603</v>
      </c>
      <c r="E401" s="72" t="s">
        <v>300</v>
      </c>
      <c r="F401" s="73" t="s">
        <v>319</v>
      </c>
      <c r="G401" s="72" t="s">
        <v>309</v>
      </c>
      <c r="H401" s="72" t="s">
        <v>222</v>
      </c>
      <c r="I401" s="72" t="s">
        <v>12</v>
      </c>
      <c r="J401" s="72" t="s">
        <v>187</v>
      </c>
      <c r="K401" s="74">
        <v>2</v>
      </c>
      <c r="L401" s="74">
        <f t="shared" si="64"/>
        <v>1.7647058823529411</v>
      </c>
      <c r="M401" s="75">
        <f>prodnorm80</f>
        <v>0</v>
      </c>
      <c r="N401" s="76">
        <f>dagwerk80</f>
        <v>0</v>
      </c>
      <c r="O401" s="72" t="s">
        <v>54</v>
      </c>
      <c r="P401" s="77">
        <f>uurtarief80</f>
        <v>0</v>
      </c>
      <c r="Q401" s="74" t="e">
        <f t="shared" si="65"/>
        <v>#DIV/0!</v>
      </c>
      <c r="R401" s="74" t="e">
        <f t="shared" si="66"/>
        <v>#DIV/0!</v>
      </c>
      <c r="S401" s="77" t="e">
        <f t="shared" si="67"/>
        <v>#DIV/0!</v>
      </c>
      <c r="T401" s="74" t="e">
        <f t="shared" si="68"/>
        <v>#DIV/0!</v>
      </c>
      <c r="U401" s="78" t="e">
        <f t="shared" si="69"/>
        <v>#DIV/0!</v>
      </c>
    </row>
    <row r="402" spans="1:21" x14ac:dyDescent="0.2">
      <c r="A402" s="71" t="s">
        <v>627</v>
      </c>
      <c r="B402" s="72" t="s">
        <v>300</v>
      </c>
      <c r="C402" s="72" t="s">
        <v>330</v>
      </c>
      <c r="D402" s="72" t="s">
        <v>604</v>
      </c>
      <c r="E402" s="72" t="s">
        <v>300</v>
      </c>
      <c r="F402" s="73" t="s">
        <v>629</v>
      </c>
      <c r="G402" s="72" t="s">
        <v>309</v>
      </c>
      <c r="H402" s="72" t="s">
        <v>195</v>
      </c>
      <c r="I402" s="72" t="s">
        <v>12</v>
      </c>
      <c r="J402" s="72" t="s">
        <v>187</v>
      </c>
      <c r="K402" s="74">
        <v>15</v>
      </c>
      <c r="L402" s="74">
        <f t="shared" si="64"/>
        <v>13.235294117647058</v>
      </c>
      <c r="M402" s="75">
        <f>prodnorm43</f>
        <v>0</v>
      </c>
      <c r="N402" s="76">
        <f>dagwerk43</f>
        <v>0</v>
      </c>
      <c r="O402" s="72" t="s">
        <v>54</v>
      </c>
      <c r="P402" s="77">
        <f>uurtarief43</f>
        <v>0</v>
      </c>
      <c r="Q402" s="74" t="e">
        <f t="shared" si="65"/>
        <v>#DIV/0!</v>
      </c>
      <c r="R402" s="74" t="e">
        <f t="shared" si="66"/>
        <v>#DIV/0!</v>
      </c>
      <c r="S402" s="77" t="e">
        <f t="shared" si="67"/>
        <v>#DIV/0!</v>
      </c>
      <c r="T402" s="74" t="e">
        <f t="shared" si="68"/>
        <v>#DIV/0!</v>
      </c>
      <c r="U402" s="78" t="e">
        <f t="shared" si="69"/>
        <v>#DIV/0!</v>
      </c>
    </row>
    <row r="403" spans="1:21" x14ac:dyDescent="0.2">
      <c r="A403" s="71" t="s">
        <v>627</v>
      </c>
      <c r="B403" s="72" t="s">
        <v>300</v>
      </c>
      <c r="C403" s="72" t="s">
        <v>330</v>
      </c>
      <c r="D403" s="72" t="s">
        <v>606</v>
      </c>
      <c r="E403" s="72" t="s">
        <v>300</v>
      </c>
      <c r="F403" s="73" t="s">
        <v>615</v>
      </c>
      <c r="G403" s="72" t="s">
        <v>309</v>
      </c>
      <c r="H403" s="72" t="s">
        <v>195</v>
      </c>
      <c r="I403" s="72" t="s">
        <v>12</v>
      </c>
      <c r="J403" s="72" t="s">
        <v>187</v>
      </c>
      <c r="K403" s="74">
        <v>1</v>
      </c>
      <c r="L403" s="74">
        <f t="shared" si="64"/>
        <v>0.88235294117647056</v>
      </c>
      <c r="M403" s="75">
        <f>prodnorm43</f>
        <v>0</v>
      </c>
      <c r="N403" s="76">
        <f>dagwerk43</f>
        <v>0</v>
      </c>
      <c r="O403" s="72" t="s">
        <v>54</v>
      </c>
      <c r="P403" s="77">
        <f>uurtarief43</f>
        <v>0</v>
      </c>
      <c r="Q403" s="74" t="e">
        <f t="shared" si="65"/>
        <v>#DIV/0!</v>
      </c>
      <c r="R403" s="74" t="e">
        <f t="shared" si="66"/>
        <v>#DIV/0!</v>
      </c>
      <c r="S403" s="77" t="e">
        <f t="shared" si="67"/>
        <v>#DIV/0!</v>
      </c>
      <c r="T403" s="74" t="e">
        <f t="shared" si="68"/>
        <v>#DIV/0!</v>
      </c>
      <c r="U403" s="78" t="e">
        <f t="shared" si="69"/>
        <v>#DIV/0!</v>
      </c>
    </row>
    <row r="404" spans="1:21" x14ac:dyDescent="0.2">
      <c r="A404" s="71" t="s">
        <v>627</v>
      </c>
      <c r="B404" s="72" t="s">
        <v>300</v>
      </c>
      <c r="C404" s="72" t="s">
        <v>330</v>
      </c>
      <c r="D404" s="72" t="s">
        <v>561</v>
      </c>
      <c r="E404" s="72" t="s">
        <v>300</v>
      </c>
      <c r="F404" s="73" t="s">
        <v>630</v>
      </c>
      <c r="G404" s="72" t="s">
        <v>631</v>
      </c>
      <c r="H404" s="72" t="s">
        <v>205</v>
      </c>
      <c r="I404" s="72" t="s">
        <v>12</v>
      </c>
      <c r="J404" s="72" t="s">
        <v>187</v>
      </c>
      <c r="K404" s="74">
        <v>288</v>
      </c>
      <c r="L404" s="74">
        <f t="shared" si="64"/>
        <v>254.11764705882354</v>
      </c>
      <c r="M404" s="75">
        <f>prodnorm54</f>
        <v>0</v>
      </c>
      <c r="N404" s="76">
        <f>dagwerk54</f>
        <v>0</v>
      </c>
      <c r="O404" s="72" t="s">
        <v>54</v>
      </c>
      <c r="P404" s="77">
        <f>uurtarief54</f>
        <v>0</v>
      </c>
      <c r="Q404" s="74" t="e">
        <f t="shared" si="65"/>
        <v>#DIV/0!</v>
      </c>
      <c r="R404" s="74" t="e">
        <f t="shared" si="66"/>
        <v>#DIV/0!</v>
      </c>
      <c r="S404" s="77" t="e">
        <f t="shared" si="67"/>
        <v>#DIV/0!</v>
      </c>
      <c r="T404" s="74" t="e">
        <f t="shared" si="68"/>
        <v>#DIV/0!</v>
      </c>
      <c r="U404" s="78" t="e">
        <f t="shared" si="69"/>
        <v>#DIV/0!</v>
      </c>
    </row>
    <row r="405" spans="1:21" x14ac:dyDescent="0.2">
      <c r="A405" s="71" t="s">
        <v>627</v>
      </c>
      <c r="B405" s="72" t="s">
        <v>300</v>
      </c>
      <c r="C405" s="72" t="s">
        <v>330</v>
      </c>
      <c r="D405" s="72" t="s">
        <v>561</v>
      </c>
      <c r="E405" s="72" t="s">
        <v>300</v>
      </c>
      <c r="F405" s="73" t="s">
        <v>630</v>
      </c>
      <c r="G405" s="72" t="s">
        <v>631</v>
      </c>
      <c r="H405" s="72" t="s">
        <v>244</v>
      </c>
      <c r="I405" s="72" t="s">
        <v>40</v>
      </c>
      <c r="J405" s="72" t="s">
        <v>242</v>
      </c>
      <c r="K405" s="74">
        <v>288</v>
      </c>
      <c r="L405" s="74">
        <f t="shared" si="64"/>
        <v>2.2588235294117647</v>
      </c>
      <c r="M405" s="75">
        <f>prodnorm118</f>
        <v>0</v>
      </c>
      <c r="N405" s="76">
        <f>dagwerk118</f>
        <v>0</v>
      </c>
      <c r="O405" s="72" t="s">
        <v>54</v>
      </c>
      <c r="P405" s="77">
        <f>uurtarief118</f>
        <v>0</v>
      </c>
      <c r="Q405" s="74" t="e">
        <f t="shared" si="65"/>
        <v>#DIV/0!</v>
      </c>
      <c r="R405" s="74" t="e">
        <f t="shared" si="66"/>
        <v>#DIV/0!</v>
      </c>
      <c r="S405" s="77" t="e">
        <f t="shared" si="67"/>
        <v>#DIV/0!</v>
      </c>
      <c r="T405" s="74" t="e">
        <f t="shared" si="68"/>
        <v>#DIV/0!</v>
      </c>
      <c r="U405" s="78" t="e">
        <f t="shared" si="69"/>
        <v>#DIV/0!</v>
      </c>
    </row>
    <row r="406" spans="1:21" x14ac:dyDescent="0.2">
      <c r="A406" s="71" t="s">
        <v>627</v>
      </c>
      <c r="B406" s="72" t="s">
        <v>300</v>
      </c>
      <c r="C406" s="72" t="s">
        <v>330</v>
      </c>
      <c r="D406" s="72" t="s">
        <v>607</v>
      </c>
      <c r="E406" s="72" t="s">
        <v>300</v>
      </c>
      <c r="F406" s="73" t="s">
        <v>632</v>
      </c>
      <c r="G406" s="72" t="s">
        <v>631</v>
      </c>
      <c r="H406" s="72" t="s">
        <v>205</v>
      </c>
      <c r="I406" s="72" t="s">
        <v>25</v>
      </c>
      <c r="J406" s="72" t="s">
        <v>187</v>
      </c>
      <c r="K406" s="74">
        <v>37</v>
      </c>
      <c r="L406" s="74">
        <f t="shared" si="64"/>
        <v>6.5294117647058831</v>
      </c>
      <c r="M406" s="75">
        <f>prodnorm56</f>
        <v>0</v>
      </c>
      <c r="N406" s="76">
        <f>dagwerk56</f>
        <v>0</v>
      </c>
      <c r="O406" s="72" t="s">
        <v>54</v>
      </c>
      <c r="P406" s="77">
        <f>uurtarief56</f>
        <v>0</v>
      </c>
      <c r="Q406" s="74" t="e">
        <f t="shared" si="65"/>
        <v>#DIV/0!</v>
      </c>
      <c r="R406" s="74" t="e">
        <f t="shared" si="66"/>
        <v>#DIV/0!</v>
      </c>
      <c r="S406" s="77" t="e">
        <f t="shared" si="67"/>
        <v>#DIV/0!</v>
      </c>
      <c r="T406" s="74" t="e">
        <f t="shared" si="68"/>
        <v>#DIV/0!</v>
      </c>
      <c r="U406" s="78" t="e">
        <f t="shared" si="69"/>
        <v>#DIV/0!</v>
      </c>
    </row>
    <row r="407" spans="1:21" x14ac:dyDescent="0.2">
      <c r="A407" s="71" t="s">
        <v>627</v>
      </c>
      <c r="B407" s="72" t="s">
        <v>300</v>
      </c>
      <c r="C407" s="72" t="s">
        <v>330</v>
      </c>
      <c r="D407" s="72" t="s">
        <v>607</v>
      </c>
      <c r="E407" s="72" t="s">
        <v>300</v>
      </c>
      <c r="F407" s="73" t="s">
        <v>632</v>
      </c>
      <c r="G407" s="72" t="s">
        <v>631</v>
      </c>
      <c r="H407" s="72" t="s">
        <v>244</v>
      </c>
      <c r="I407" s="72" t="s">
        <v>40</v>
      </c>
      <c r="J407" s="72" t="s">
        <v>242</v>
      </c>
      <c r="K407" s="74">
        <v>37</v>
      </c>
      <c r="L407" s="74">
        <f t="shared" si="64"/>
        <v>0.29019607843137252</v>
      </c>
      <c r="M407" s="75">
        <f>prodnorm118</f>
        <v>0</v>
      </c>
      <c r="N407" s="76">
        <f>dagwerk118</f>
        <v>0</v>
      </c>
      <c r="O407" s="72" t="s">
        <v>54</v>
      </c>
      <c r="P407" s="77">
        <f>uurtarief118</f>
        <v>0</v>
      </c>
      <c r="Q407" s="74" t="e">
        <f t="shared" si="65"/>
        <v>#DIV/0!</v>
      </c>
      <c r="R407" s="74" t="e">
        <f t="shared" si="66"/>
        <v>#DIV/0!</v>
      </c>
      <c r="S407" s="77" t="e">
        <f t="shared" si="67"/>
        <v>#DIV/0!</v>
      </c>
      <c r="T407" s="74" t="e">
        <f t="shared" si="68"/>
        <v>#DIV/0!</v>
      </c>
      <c r="U407" s="78" t="e">
        <f t="shared" si="69"/>
        <v>#DIV/0!</v>
      </c>
    </row>
    <row r="408" spans="1:21" x14ac:dyDescent="0.2">
      <c r="A408" s="79" t="s">
        <v>627</v>
      </c>
      <c r="B408" s="80" t="s">
        <v>300</v>
      </c>
      <c r="C408" s="80" t="s">
        <v>633</v>
      </c>
      <c r="D408" s="80" t="s">
        <v>300</v>
      </c>
      <c r="E408" s="80" t="s">
        <v>300</v>
      </c>
      <c r="F408" s="81" t="s">
        <v>589</v>
      </c>
      <c r="G408" s="80" t="s">
        <v>300</v>
      </c>
      <c r="H408" s="80" t="s">
        <v>260</v>
      </c>
      <c r="I408" s="80" t="s">
        <v>28</v>
      </c>
      <c r="J408" s="80" t="s">
        <v>253</v>
      </c>
      <c r="K408" s="82">
        <v>1</v>
      </c>
      <c r="L408" s="82">
        <f t="shared" si="64"/>
        <v>9.8039215686274508E-2</v>
      </c>
      <c r="M408" s="83">
        <f>prodnorm21</f>
        <v>0</v>
      </c>
      <c r="N408" s="84">
        <f>dagwerk21</f>
        <v>0</v>
      </c>
      <c r="O408" s="80" t="s">
        <v>255</v>
      </c>
      <c r="P408" s="85">
        <f>uurtarief21</f>
        <v>0</v>
      </c>
      <c r="Q408" s="82">
        <f>L408*ROUND(M408,4)/60</f>
        <v>0</v>
      </c>
      <c r="R408" s="82">
        <f t="shared" si="66"/>
        <v>0</v>
      </c>
      <c r="S408" s="85">
        <f t="shared" si="67"/>
        <v>0</v>
      </c>
      <c r="T408" s="82">
        <f t="shared" si="68"/>
        <v>0</v>
      </c>
      <c r="U408" s="86">
        <f t="shared" si="69"/>
        <v>0</v>
      </c>
    </row>
    <row r="409" spans="1:21" x14ac:dyDescent="0.2">
      <c r="A409" s="87" t="s">
        <v>536</v>
      </c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3" t="e">
        <f>IF(_xlfn.SINGLE(object7_urenjaar1)&gt;0,_xlfn.SINGLE(object7_prijsjaar1)/_xlfn.SINGLE(object7_urenjaar1),0)</f>
        <v>#DIV/0!</v>
      </c>
      <c r="Q409" s="52" t="e">
        <f>SUM(Q392:Q408)</f>
        <v>#DIV/0!</v>
      </c>
      <c r="R409" s="52" t="e">
        <f>SUM(R392:R408)</f>
        <v>#DIV/0!</v>
      </c>
      <c r="S409" s="53" t="e">
        <f>SUM(S392:S408)</f>
        <v>#DIV/0!</v>
      </c>
      <c r="T409" s="52" t="e">
        <f>SUM(T392:T408)</f>
        <v>#DIV/0!</v>
      </c>
      <c r="U409" s="54" t="e">
        <f>SUM(U392:U408)</f>
        <v>#DIV/0!</v>
      </c>
    </row>
    <row r="410" spans="1:21" x14ac:dyDescent="0.2">
      <c r="A410" s="61" t="s">
        <v>634</v>
      </c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49"/>
    </row>
    <row r="411" spans="1:21" x14ac:dyDescent="0.2">
      <c r="A411" s="63" t="s">
        <v>635</v>
      </c>
      <c r="B411" s="64" t="s">
        <v>300</v>
      </c>
      <c r="C411" s="64" t="s">
        <v>330</v>
      </c>
      <c r="D411" s="64" t="s">
        <v>540</v>
      </c>
      <c r="E411" s="64" t="s">
        <v>300</v>
      </c>
      <c r="F411" s="65" t="s">
        <v>338</v>
      </c>
      <c r="G411" s="64" t="s">
        <v>326</v>
      </c>
      <c r="H411" s="64" t="s">
        <v>199</v>
      </c>
      <c r="I411" s="64" t="s">
        <v>12</v>
      </c>
      <c r="J411" s="64" t="s">
        <v>187</v>
      </c>
      <c r="K411" s="66">
        <v>6.6</v>
      </c>
      <c r="L411" s="66">
        <f t="shared" ref="L411:L451" si="70">K411*VLOOKUP(I411,dagsoorttabel1,2,FALSE)</f>
        <v>5.8235294117647056</v>
      </c>
      <c r="M411" s="67">
        <f>prodnorm49</f>
        <v>0</v>
      </c>
      <c r="N411" s="68">
        <f>dagwerk49</f>
        <v>0</v>
      </c>
      <c r="O411" s="64" t="s">
        <v>54</v>
      </c>
      <c r="P411" s="69">
        <f>uurtarief49</f>
        <v>0</v>
      </c>
      <c r="Q411" s="66" t="e">
        <f t="shared" ref="Q411:Q450" si="71">IF(ISBLANK(M411),0,L411/ROUND(M411,4))</f>
        <v>#DIV/0!</v>
      </c>
      <c r="R411" s="66" t="e">
        <f t="shared" ref="R411:R451" si="72">IF(ISBLANK(M411),0,Q411*ROUND(N411,2))</f>
        <v>#DIV/0!</v>
      </c>
      <c r="S411" s="69" t="e">
        <f t="shared" ref="S411:S451" si="73">ROUND(P411,2)*Q411</f>
        <v>#DIV/0!</v>
      </c>
      <c r="T411" s="66" t="e">
        <f t="shared" ref="T411:T451" si="74">Q411*dagenperjaar1</f>
        <v>#DIV/0!</v>
      </c>
      <c r="U411" s="70" t="e">
        <f t="shared" ref="U411:U451" si="75">T411*ROUND(P411,2)</f>
        <v>#DIV/0!</v>
      </c>
    </row>
    <row r="412" spans="1:21" x14ac:dyDescent="0.2">
      <c r="A412" s="71" t="s">
        <v>635</v>
      </c>
      <c r="B412" s="72" t="s">
        <v>300</v>
      </c>
      <c r="C412" s="72" t="s">
        <v>330</v>
      </c>
      <c r="D412" s="72" t="s">
        <v>540</v>
      </c>
      <c r="E412" s="72" t="s">
        <v>300</v>
      </c>
      <c r="F412" s="73" t="s">
        <v>338</v>
      </c>
      <c r="G412" s="72" t="s">
        <v>326</v>
      </c>
      <c r="H412" s="72" t="s">
        <v>241</v>
      </c>
      <c r="I412" s="72" t="s">
        <v>41</v>
      </c>
      <c r="J412" s="72" t="s">
        <v>242</v>
      </c>
      <c r="K412" s="74">
        <v>6.6</v>
      </c>
      <c r="L412" s="74">
        <f t="shared" si="70"/>
        <v>2.5882352941176467E-2</v>
      </c>
      <c r="M412" s="75">
        <f>prodnorm117</f>
        <v>0</v>
      </c>
      <c r="N412" s="76">
        <f>dagwerk117</f>
        <v>0</v>
      </c>
      <c r="O412" s="72" t="s">
        <v>54</v>
      </c>
      <c r="P412" s="77">
        <f>uurtarief117</f>
        <v>0</v>
      </c>
      <c r="Q412" s="74" t="e">
        <f t="shared" si="71"/>
        <v>#DIV/0!</v>
      </c>
      <c r="R412" s="74" t="e">
        <f t="shared" si="72"/>
        <v>#DIV/0!</v>
      </c>
      <c r="S412" s="77" t="e">
        <f t="shared" si="73"/>
        <v>#DIV/0!</v>
      </c>
      <c r="T412" s="74" t="e">
        <f t="shared" si="74"/>
        <v>#DIV/0!</v>
      </c>
      <c r="U412" s="78" t="e">
        <f t="shared" si="75"/>
        <v>#DIV/0!</v>
      </c>
    </row>
    <row r="413" spans="1:21" x14ac:dyDescent="0.2">
      <c r="A413" s="71" t="s">
        <v>635</v>
      </c>
      <c r="B413" s="72" t="s">
        <v>300</v>
      </c>
      <c r="C413" s="72" t="s">
        <v>330</v>
      </c>
      <c r="D413" s="72" t="s">
        <v>335</v>
      </c>
      <c r="E413" s="72" t="s">
        <v>300</v>
      </c>
      <c r="F413" s="73" t="s">
        <v>559</v>
      </c>
      <c r="G413" s="72" t="s">
        <v>326</v>
      </c>
      <c r="H413" s="72" t="s">
        <v>241</v>
      </c>
      <c r="I413" s="72" t="s">
        <v>41</v>
      </c>
      <c r="J413" s="72" t="s">
        <v>242</v>
      </c>
      <c r="K413" s="74">
        <v>139.09</v>
      </c>
      <c r="L413" s="74">
        <f t="shared" si="70"/>
        <v>0.54545098039215689</v>
      </c>
      <c r="M413" s="75">
        <f>prodnorm117</f>
        <v>0</v>
      </c>
      <c r="N413" s="76">
        <f>dagwerk117</f>
        <v>0</v>
      </c>
      <c r="O413" s="72" t="s">
        <v>54</v>
      </c>
      <c r="P413" s="77">
        <f>uurtarief117</f>
        <v>0</v>
      </c>
      <c r="Q413" s="74" t="e">
        <f t="shared" si="71"/>
        <v>#DIV/0!</v>
      </c>
      <c r="R413" s="74" t="e">
        <f t="shared" si="72"/>
        <v>#DIV/0!</v>
      </c>
      <c r="S413" s="77" t="e">
        <f t="shared" si="73"/>
        <v>#DIV/0!</v>
      </c>
      <c r="T413" s="74" t="e">
        <f t="shared" si="74"/>
        <v>#DIV/0!</v>
      </c>
      <c r="U413" s="78" t="e">
        <f t="shared" si="75"/>
        <v>#DIV/0!</v>
      </c>
    </row>
    <row r="414" spans="1:21" x14ac:dyDescent="0.2">
      <c r="A414" s="71" t="s">
        <v>635</v>
      </c>
      <c r="B414" s="72" t="s">
        <v>300</v>
      </c>
      <c r="C414" s="72" t="s">
        <v>330</v>
      </c>
      <c r="D414" s="72" t="s">
        <v>340</v>
      </c>
      <c r="E414" s="72" t="s">
        <v>300</v>
      </c>
      <c r="F414" s="73" t="s">
        <v>306</v>
      </c>
      <c r="G414" s="72" t="s">
        <v>309</v>
      </c>
      <c r="H414" s="72" t="s">
        <v>231</v>
      </c>
      <c r="I414" s="72" t="s">
        <v>12</v>
      </c>
      <c r="J414" s="72" t="s">
        <v>187</v>
      </c>
      <c r="K414" s="74">
        <v>23.36</v>
      </c>
      <c r="L414" s="74">
        <f t="shared" si="70"/>
        <v>20.611764705882351</v>
      </c>
      <c r="M414" s="75">
        <f>prodnorm100</f>
        <v>0</v>
      </c>
      <c r="N414" s="76">
        <f>dagwerk100</f>
        <v>0</v>
      </c>
      <c r="O414" s="72" t="s">
        <v>54</v>
      </c>
      <c r="P414" s="77">
        <f>uurtarief100</f>
        <v>0</v>
      </c>
      <c r="Q414" s="74" t="e">
        <f t="shared" si="71"/>
        <v>#DIV/0!</v>
      </c>
      <c r="R414" s="74" t="e">
        <f t="shared" si="72"/>
        <v>#DIV/0!</v>
      </c>
      <c r="S414" s="77" t="e">
        <f t="shared" si="73"/>
        <v>#DIV/0!</v>
      </c>
      <c r="T414" s="74" t="e">
        <f t="shared" si="74"/>
        <v>#DIV/0!</v>
      </c>
      <c r="U414" s="78" t="e">
        <f t="shared" si="75"/>
        <v>#DIV/0!</v>
      </c>
    </row>
    <row r="415" spans="1:21" x14ac:dyDescent="0.2">
      <c r="A415" s="71" t="s">
        <v>635</v>
      </c>
      <c r="B415" s="72" t="s">
        <v>300</v>
      </c>
      <c r="C415" s="72" t="s">
        <v>330</v>
      </c>
      <c r="D415" s="72" t="s">
        <v>553</v>
      </c>
      <c r="E415" s="72" t="s">
        <v>300</v>
      </c>
      <c r="F415" s="73" t="s">
        <v>636</v>
      </c>
      <c r="G415" s="72" t="s">
        <v>309</v>
      </c>
      <c r="H415" s="72" t="s">
        <v>222</v>
      </c>
      <c r="I415" s="72" t="s">
        <v>12</v>
      </c>
      <c r="J415" s="72" t="s">
        <v>187</v>
      </c>
      <c r="K415" s="74">
        <v>34.71</v>
      </c>
      <c r="L415" s="74">
        <f t="shared" si="70"/>
        <v>30.626470588235293</v>
      </c>
      <c r="M415" s="75">
        <f>prodnorm80</f>
        <v>0</v>
      </c>
      <c r="N415" s="76">
        <f>dagwerk80</f>
        <v>0</v>
      </c>
      <c r="O415" s="72" t="s">
        <v>54</v>
      </c>
      <c r="P415" s="77">
        <f>uurtarief80</f>
        <v>0</v>
      </c>
      <c r="Q415" s="74" t="e">
        <f t="shared" si="71"/>
        <v>#DIV/0!</v>
      </c>
      <c r="R415" s="74" t="e">
        <f t="shared" si="72"/>
        <v>#DIV/0!</v>
      </c>
      <c r="S415" s="77" t="e">
        <f t="shared" si="73"/>
        <v>#DIV/0!</v>
      </c>
      <c r="T415" s="74" t="e">
        <f t="shared" si="74"/>
        <v>#DIV/0!</v>
      </c>
      <c r="U415" s="78" t="e">
        <f t="shared" si="75"/>
        <v>#DIV/0!</v>
      </c>
    </row>
    <row r="416" spans="1:21" x14ac:dyDescent="0.2">
      <c r="A416" s="71" t="s">
        <v>635</v>
      </c>
      <c r="B416" s="72" t="s">
        <v>300</v>
      </c>
      <c r="C416" s="72" t="s">
        <v>330</v>
      </c>
      <c r="D416" s="72" t="s">
        <v>543</v>
      </c>
      <c r="E416" s="72" t="s">
        <v>300</v>
      </c>
      <c r="F416" s="73" t="s">
        <v>637</v>
      </c>
      <c r="G416" s="72" t="s">
        <v>558</v>
      </c>
      <c r="H416" s="72" t="s">
        <v>222</v>
      </c>
      <c r="I416" s="72" t="s">
        <v>12</v>
      </c>
      <c r="J416" s="72" t="s">
        <v>187</v>
      </c>
      <c r="K416" s="74">
        <v>5.75</v>
      </c>
      <c r="L416" s="74">
        <f t="shared" si="70"/>
        <v>5.0735294117647056</v>
      </c>
      <c r="M416" s="75">
        <f>prodnorm80</f>
        <v>0</v>
      </c>
      <c r="N416" s="76">
        <f>dagwerk80</f>
        <v>0</v>
      </c>
      <c r="O416" s="72" t="s">
        <v>54</v>
      </c>
      <c r="P416" s="77">
        <f>uurtarief80</f>
        <v>0</v>
      </c>
      <c r="Q416" s="74" t="e">
        <f t="shared" si="71"/>
        <v>#DIV/0!</v>
      </c>
      <c r="R416" s="74" t="e">
        <f t="shared" si="72"/>
        <v>#DIV/0!</v>
      </c>
      <c r="S416" s="77" t="e">
        <f t="shared" si="73"/>
        <v>#DIV/0!</v>
      </c>
      <c r="T416" s="74" t="e">
        <f t="shared" si="74"/>
        <v>#DIV/0!</v>
      </c>
      <c r="U416" s="78" t="e">
        <f t="shared" si="75"/>
        <v>#DIV/0!</v>
      </c>
    </row>
    <row r="417" spans="1:21" x14ac:dyDescent="0.2">
      <c r="A417" s="71" t="s">
        <v>635</v>
      </c>
      <c r="B417" s="72" t="s">
        <v>300</v>
      </c>
      <c r="C417" s="72" t="s">
        <v>330</v>
      </c>
      <c r="D417" s="72" t="s">
        <v>352</v>
      </c>
      <c r="E417" s="72" t="s">
        <v>300</v>
      </c>
      <c r="F417" s="73" t="s">
        <v>629</v>
      </c>
      <c r="G417" s="72" t="s">
        <v>558</v>
      </c>
      <c r="H417" s="72" t="s">
        <v>195</v>
      </c>
      <c r="I417" s="72" t="s">
        <v>12</v>
      </c>
      <c r="J417" s="72" t="s">
        <v>187</v>
      </c>
      <c r="K417" s="74">
        <v>17.34</v>
      </c>
      <c r="L417" s="74">
        <f t="shared" si="70"/>
        <v>15.299999999999999</v>
      </c>
      <c r="M417" s="75">
        <f>prodnorm43</f>
        <v>0</v>
      </c>
      <c r="N417" s="76">
        <f>dagwerk43</f>
        <v>0</v>
      </c>
      <c r="O417" s="72" t="s">
        <v>54</v>
      </c>
      <c r="P417" s="77">
        <f>uurtarief43</f>
        <v>0</v>
      </c>
      <c r="Q417" s="74" t="e">
        <f t="shared" si="71"/>
        <v>#DIV/0!</v>
      </c>
      <c r="R417" s="74" t="e">
        <f t="shared" si="72"/>
        <v>#DIV/0!</v>
      </c>
      <c r="S417" s="77" t="e">
        <f t="shared" si="73"/>
        <v>#DIV/0!</v>
      </c>
      <c r="T417" s="74" t="e">
        <f t="shared" si="74"/>
        <v>#DIV/0!</v>
      </c>
      <c r="U417" s="78" t="e">
        <f t="shared" si="75"/>
        <v>#DIV/0!</v>
      </c>
    </row>
    <row r="418" spans="1:21" x14ac:dyDescent="0.2">
      <c r="A418" s="71" t="s">
        <v>635</v>
      </c>
      <c r="B418" s="72" t="s">
        <v>300</v>
      </c>
      <c r="C418" s="72" t="s">
        <v>330</v>
      </c>
      <c r="D418" s="72" t="s">
        <v>354</v>
      </c>
      <c r="E418" s="72" t="s">
        <v>300</v>
      </c>
      <c r="F418" s="73" t="s">
        <v>319</v>
      </c>
      <c r="G418" s="72" t="s">
        <v>558</v>
      </c>
      <c r="H418" s="72" t="s">
        <v>222</v>
      </c>
      <c r="I418" s="72" t="s">
        <v>12</v>
      </c>
      <c r="J418" s="72" t="s">
        <v>187</v>
      </c>
      <c r="K418" s="74">
        <v>2</v>
      </c>
      <c r="L418" s="74">
        <f t="shared" si="70"/>
        <v>1.7647058823529411</v>
      </c>
      <c r="M418" s="75">
        <f>prodnorm80</f>
        <v>0</v>
      </c>
      <c r="N418" s="76">
        <f>dagwerk80</f>
        <v>0</v>
      </c>
      <c r="O418" s="72" t="s">
        <v>54</v>
      </c>
      <c r="P418" s="77">
        <f>uurtarief80</f>
        <v>0</v>
      </c>
      <c r="Q418" s="74" t="e">
        <f t="shared" si="71"/>
        <v>#DIV/0!</v>
      </c>
      <c r="R418" s="74" t="e">
        <f t="shared" si="72"/>
        <v>#DIV/0!</v>
      </c>
      <c r="S418" s="77" t="e">
        <f t="shared" si="73"/>
        <v>#DIV/0!</v>
      </c>
      <c r="T418" s="74" t="e">
        <f t="shared" si="74"/>
        <v>#DIV/0!</v>
      </c>
      <c r="U418" s="78" t="e">
        <f t="shared" si="75"/>
        <v>#DIV/0!</v>
      </c>
    </row>
    <row r="419" spans="1:21" x14ac:dyDescent="0.2">
      <c r="A419" s="71" t="s">
        <v>635</v>
      </c>
      <c r="B419" s="72" t="s">
        <v>300</v>
      </c>
      <c r="C419" s="72" t="s">
        <v>330</v>
      </c>
      <c r="D419" s="72" t="s">
        <v>356</v>
      </c>
      <c r="E419" s="72" t="s">
        <v>300</v>
      </c>
      <c r="F419" s="73" t="s">
        <v>638</v>
      </c>
      <c r="G419" s="72" t="s">
        <v>309</v>
      </c>
      <c r="H419" s="72" t="s">
        <v>222</v>
      </c>
      <c r="I419" s="72" t="s">
        <v>12</v>
      </c>
      <c r="J419" s="72" t="s">
        <v>187</v>
      </c>
      <c r="K419" s="74">
        <v>29.99</v>
      </c>
      <c r="L419" s="74">
        <f t="shared" si="70"/>
        <v>26.461764705882352</v>
      </c>
      <c r="M419" s="75">
        <f>prodnorm80</f>
        <v>0</v>
      </c>
      <c r="N419" s="76">
        <f>dagwerk80</f>
        <v>0</v>
      </c>
      <c r="O419" s="72" t="s">
        <v>54</v>
      </c>
      <c r="P419" s="77">
        <f>uurtarief80</f>
        <v>0</v>
      </c>
      <c r="Q419" s="74" t="e">
        <f t="shared" si="71"/>
        <v>#DIV/0!</v>
      </c>
      <c r="R419" s="74" t="e">
        <f t="shared" si="72"/>
        <v>#DIV/0!</v>
      </c>
      <c r="S419" s="77" t="e">
        <f t="shared" si="73"/>
        <v>#DIV/0!</v>
      </c>
      <c r="T419" s="74" t="e">
        <f t="shared" si="74"/>
        <v>#DIV/0!</v>
      </c>
      <c r="U419" s="78" t="e">
        <f t="shared" si="75"/>
        <v>#DIV/0!</v>
      </c>
    </row>
    <row r="420" spans="1:21" x14ac:dyDescent="0.2">
      <c r="A420" s="71" t="s">
        <v>635</v>
      </c>
      <c r="B420" s="72" t="s">
        <v>300</v>
      </c>
      <c r="C420" s="72" t="s">
        <v>330</v>
      </c>
      <c r="D420" s="72" t="s">
        <v>363</v>
      </c>
      <c r="E420" s="72" t="s">
        <v>300</v>
      </c>
      <c r="F420" s="73" t="s">
        <v>615</v>
      </c>
      <c r="G420" s="72" t="s">
        <v>558</v>
      </c>
      <c r="H420" s="72" t="s">
        <v>195</v>
      </c>
      <c r="I420" s="72" t="s">
        <v>12</v>
      </c>
      <c r="J420" s="72" t="s">
        <v>187</v>
      </c>
      <c r="K420" s="74">
        <v>17.02</v>
      </c>
      <c r="L420" s="74">
        <f t="shared" si="70"/>
        <v>15.017647058823529</v>
      </c>
      <c r="M420" s="75">
        <f>prodnorm43</f>
        <v>0</v>
      </c>
      <c r="N420" s="76">
        <f>dagwerk43</f>
        <v>0</v>
      </c>
      <c r="O420" s="72" t="s">
        <v>54</v>
      </c>
      <c r="P420" s="77">
        <f>uurtarief43</f>
        <v>0</v>
      </c>
      <c r="Q420" s="74" t="e">
        <f t="shared" si="71"/>
        <v>#DIV/0!</v>
      </c>
      <c r="R420" s="74" t="e">
        <f t="shared" si="72"/>
        <v>#DIV/0!</v>
      </c>
      <c r="S420" s="77" t="e">
        <f t="shared" si="73"/>
        <v>#DIV/0!</v>
      </c>
      <c r="T420" s="74" t="e">
        <f t="shared" si="74"/>
        <v>#DIV/0!</v>
      </c>
      <c r="U420" s="78" t="e">
        <f t="shared" si="75"/>
        <v>#DIV/0!</v>
      </c>
    </row>
    <row r="421" spans="1:21" x14ac:dyDescent="0.2">
      <c r="A421" s="71" t="s">
        <v>635</v>
      </c>
      <c r="B421" s="72" t="s">
        <v>300</v>
      </c>
      <c r="C421" s="72" t="s">
        <v>330</v>
      </c>
      <c r="D421" s="72" t="s">
        <v>546</v>
      </c>
      <c r="E421" s="72" t="s">
        <v>300</v>
      </c>
      <c r="F421" s="73" t="s">
        <v>319</v>
      </c>
      <c r="G421" s="72" t="s">
        <v>558</v>
      </c>
      <c r="H421" s="72" t="s">
        <v>222</v>
      </c>
      <c r="I421" s="72" t="s">
        <v>12</v>
      </c>
      <c r="J421" s="72" t="s">
        <v>187</v>
      </c>
      <c r="K421" s="74">
        <v>2</v>
      </c>
      <c r="L421" s="74">
        <f t="shared" si="70"/>
        <v>1.7647058823529411</v>
      </c>
      <c r="M421" s="75">
        <f t="shared" ref="M421:M426" si="76">prodnorm80</f>
        <v>0</v>
      </c>
      <c r="N421" s="76">
        <f t="shared" ref="N421:N426" si="77">dagwerk80</f>
        <v>0</v>
      </c>
      <c r="O421" s="72" t="s">
        <v>54</v>
      </c>
      <c r="P421" s="77">
        <f t="shared" ref="P421:P426" si="78">uurtarief80</f>
        <v>0</v>
      </c>
      <c r="Q421" s="74" t="e">
        <f t="shared" si="71"/>
        <v>#DIV/0!</v>
      </c>
      <c r="R421" s="74" t="e">
        <f t="shared" si="72"/>
        <v>#DIV/0!</v>
      </c>
      <c r="S421" s="77" t="e">
        <f t="shared" si="73"/>
        <v>#DIV/0!</v>
      </c>
      <c r="T421" s="74" t="e">
        <f t="shared" si="74"/>
        <v>#DIV/0!</v>
      </c>
      <c r="U421" s="78" t="e">
        <f t="shared" si="75"/>
        <v>#DIV/0!</v>
      </c>
    </row>
    <row r="422" spans="1:21" x14ac:dyDescent="0.2">
      <c r="A422" s="71" t="s">
        <v>635</v>
      </c>
      <c r="B422" s="72" t="s">
        <v>300</v>
      </c>
      <c r="C422" s="72" t="s">
        <v>330</v>
      </c>
      <c r="D422" s="72" t="s">
        <v>365</v>
      </c>
      <c r="E422" s="72" t="s">
        <v>300</v>
      </c>
      <c r="F422" s="73" t="s">
        <v>639</v>
      </c>
      <c r="G422" s="72" t="s">
        <v>309</v>
      </c>
      <c r="H422" s="72" t="s">
        <v>222</v>
      </c>
      <c r="I422" s="72" t="s">
        <v>12</v>
      </c>
      <c r="J422" s="72" t="s">
        <v>187</v>
      </c>
      <c r="K422" s="74">
        <v>4.4700000000000006</v>
      </c>
      <c r="L422" s="74">
        <f t="shared" si="70"/>
        <v>3.9441176470588242</v>
      </c>
      <c r="M422" s="75">
        <f t="shared" si="76"/>
        <v>0</v>
      </c>
      <c r="N422" s="76">
        <f t="shared" si="77"/>
        <v>0</v>
      </c>
      <c r="O422" s="72" t="s">
        <v>54</v>
      </c>
      <c r="P422" s="77">
        <f t="shared" si="78"/>
        <v>0</v>
      </c>
      <c r="Q422" s="74" t="e">
        <f t="shared" si="71"/>
        <v>#DIV/0!</v>
      </c>
      <c r="R422" s="74" t="e">
        <f t="shared" si="72"/>
        <v>#DIV/0!</v>
      </c>
      <c r="S422" s="77" t="e">
        <f t="shared" si="73"/>
        <v>#DIV/0!</v>
      </c>
      <c r="T422" s="74" t="e">
        <f t="shared" si="74"/>
        <v>#DIV/0!</v>
      </c>
      <c r="U422" s="78" t="e">
        <f t="shared" si="75"/>
        <v>#DIV/0!</v>
      </c>
    </row>
    <row r="423" spans="1:21" x14ac:dyDescent="0.2">
      <c r="A423" s="71" t="s">
        <v>635</v>
      </c>
      <c r="B423" s="72" t="s">
        <v>300</v>
      </c>
      <c r="C423" s="72" t="s">
        <v>330</v>
      </c>
      <c r="D423" s="72" t="s">
        <v>549</v>
      </c>
      <c r="E423" s="72" t="s">
        <v>300</v>
      </c>
      <c r="F423" s="73" t="s">
        <v>640</v>
      </c>
      <c r="G423" s="72" t="s">
        <v>558</v>
      </c>
      <c r="H423" s="72" t="s">
        <v>222</v>
      </c>
      <c r="I423" s="72" t="s">
        <v>12</v>
      </c>
      <c r="J423" s="72" t="s">
        <v>187</v>
      </c>
      <c r="K423" s="74">
        <v>2.0699999999999998</v>
      </c>
      <c r="L423" s="74">
        <f t="shared" si="70"/>
        <v>1.8264705882352938</v>
      </c>
      <c r="M423" s="75">
        <f t="shared" si="76"/>
        <v>0</v>
      </c>
      <c r="N423" s="76">
        <f t="shared" si="77"/>
        <v>0</v>
      </c>
      <c r="O423" s="72" t="s">
        <v>54</v>
      </c>
      <c r="P423" s="77">
        <f t="shared" si="78"/>
        <v>0</v>
      </c>
      <c r="Q423" s="74" t="e">
        <f t="shared" si="71"/>
        <v>#DIV/0!</v>
      </c>
      <c r="R423" s="74" t="e">
        <f t="shared" si="72"/>
        <v>#DIV/0!</v>
      </c>
      <c r="S423" s="77" t="e">
        <f t="shared" si="73"/>
        <v>#DIV/0!</v>
      </c>
      <c r="T423" s="74" t="e">
        <f t="shared" si="74"/>
        <v>#DIV/0!</v>
      </c>
      <c r="U423" s="78" t="e">
        <f t="shared" si="75"/>
        <v>#DIV/0!</v>
      </c>
    </row>
    <row r="424" spans="1:21" x14ac:dyDescent="0.2">
      <c r="A424" s="71" t="s">
        <v>635</v>
      </c>
      <c r="B424" s="72" t="s">
        <v>300</v>
      </c>
      <c r="C424" s="72" t="s">
        <v>330</v>
      </c>
      <c r="D424" s="72" t="s">
        <v>599</v>
      </c>
      <c r="E424" s="72" t="s">
        <v>300</v>
      </c>
      <c r="F424" s="73" t="s">
        <v>639</v>
      </c>
      <c r="G424" s="72" t="s">
        <v>309</v>
      </c>
      <c r="H424" s="72" t="s">
        <v>222</v>
      </c>
      <c r="I424" s="72" t="s">
        <v>12</v>
      </c>
      <c r="J424" s="72" t="s">
        <v>187</v>
      </c>
      <c r="K424" s="74">
        <v>4.4700000000000006</v>
      </c>
      <c r="L424" s="74">
        <f t="shared" si="70"/>
        <v>3.9441176470588242</v>
      </c>
      <c r="M424" s="75">
        <f t="shared" si="76"/>
        <v>0</v>
      </c>
      <c r="N424" s="76">
        <f t="shared" si="77"/>
        <v>0</v>
      </c>
      <c r="O424" s="72" t="s">
        <v>54</v>
      </c>
      <c r="P424" s="77">
        <f t="shared" si="78"/>
        <v>0</v>
      </c>
      <c r="Q424" s="74" t="e">
        <f t="shared" si="71"/>
        <v>#DIV/0!</v>
      </c>
      <c r="R424" s="74" t="e">
        <f t="shared" si="72"/>
        <v>#DIV/0!</v>
      </c>
      <c r="S424" s="77" t="e">
        <f t="shared" si="73"/>
        <v>#DIV/0!</v>
      </c>
      <c r="T424" s="74" t="e">
        <f t="shared" si="74"/>
        <v>#DIV/0!</v>
      </c>
      <c r="U424" s="78" t="e">
        <f t="shared" si="75"/>
        <v>#DIV/0!</v>
      </c>
    </row>
    <row r="425" spans="1:21" x14ac:dyDescent="0.2">
      <c r="A425" s="71" t="s">
        <v>635</v>
      </c>
      <c r="B425" s="72" t="s">
        <v>300</v>
      </c>
      <c r="C425" s="72" t="s">
        <v>330</v>
      </c>
      <c r="D425" s="72" t="s">
        <v>604</v>
      </c>
      <c r="E425" s="72" t="s">
        <v>300</v>
      </c>
      <c r="F425" s="73" t="s">
        <v>641</v>
      </c>
      <c r="G425" s="72" t="s">
        <v>558</v>
      </c>
      <c r="H425" s="72" t="s">
        <v>222</v>
      </c>
      <c r="I425" s="72" t="s">
        <v>12</v>
      </c>
      <c r="J425" s="72" t="s">
        <v>187</v>
      </c>
      <c r="K425" s="74">
        <v>8.8000000000000007</v>
      </c>
      <c r="L425" s="74">
        <f t="shared" si="70"/>
        <v>7.764705882352942</v>
      </c>
      <c r="M425" s="75">
        <f t="shared" si="76"/>
        <v>0</v>
      </c>
      <c r="N425" s="76">
        <f t="shared" si="77"/>
        <v>0</v>
      </c>
      <c r="O425" s="72" t="s">
        <v>54</v>
      </c>
      <c r="P425" s="77">
        <f t="shared" si="78"/>
        <v>0</v>
      </c>
      <c r="Q425" s="74" t="e">
        <f t="shared" si="71"/>
        <v>#DIV/0!</v>
      </c>
      <c r="R425" s="74" t="e">
        <f t="shared" si="72"/>
        <v>#DIV/0!</v>
      </c>
      <c r="S425" s="77" t="e">
        <f t="shared" si="73"/>
        <v>#DIV/0!</v>
      </c>
      <c r="T425" s="74" t="e">
        <f t="shared" si="74"/>
        <v>#DIV/0!</v>
      </c>
      <c r="U425" s="78" t="e">
        <f t="shared" si="75"/>
        <v>#DIV/0!</v>
      </c>
    </row>
    <row r="426" spans="1:21" x14ac:dyDescent="0.2">
      <c r="A426" s="71" t="s">
        <v>635</v>
      </c>
      <c r="B426" s="72" t="s">
        <v>300</v>
      </c>
      <c r="C426" s="72" t="s">
        <v>330</v>
      </c>
      <c r="D426" s="72" t="s">
        <v>606</v>
      </c>
      <c r="E426" s="72" t="s">
        <v>300</v>
      </c>
      <c r="F426" s="73" t="s">
        <v>566</v>
      </c>
      <c r="G426" s="72" t="s">
        <v>558</v>
      </c>
      <c r="H426" s="72" t="s">
        <v>222</v>
      </c>
      <c r="I426" s="72" t="s">
        <v>12</v>
      </c>
      <c r="J426" s="72" t="s">
        <v>187</v>
      </c>
      <c r="K426" s="74">
        <v>10.860000000000001</v>
      </c>
      <c r="L426" s="74">
        <f t="shared" si="70"/>
        <v>9.5823529411764721</v>
      </c>
      <c r="M426" s="75">
        <f t="shared" si="76"/>
        <v>0</v>
      </c>
      <c r="N426" s="76">
        <f t="shared" si="77"/>
        <v>0</v>
      </c>
      <c r="O426" s="72" t="s">
        <v>54</v>
      </c>
      <c r="P426" s="77">
        <f t="shared" si="78"/>
        <v>0</v>
      </c>
      <c r="Q426" s="74" t="e">
        <f t="shared" si="71"/>
        <v>#DIV/0!</v>
      </c>
      <c r="R426" s="74" t="e">
        <f t="shared" si="72"/>
        <v>#DIV/0!</v>
      </c>
      <c r="S426" s="77" t="e">
        <f t="shared" si="73"/>
        <v>#DIV/0!</v>
      </c>
      <c r="T426" s="74" t="e">
        <f t="shared" si="74"/>
        <v>#DIV/0!</v>
      </c>
      <c r="U426" s="78" t="e">
        <f t="shared" si="75"/>
        <v>#DIV/0!</v>
      </c>
    </row>
    <row r="427" spans="1:21" x14ac:dyDescent="0.2">
      <c r="A427" s="71" t="s">
        <v>635</v>
      </c>
      <c r="B427" s="72" t="s">
        <v>300</v>
      </c>
      <c r="C427" s="72" t="s">
        <v>330</v>
      </c>
      <c r="D427" s="72" t="s">
        <v>561</v>
      </c>
      <c r="E427" s="72" t="s">
        <v>300</v>
      </c>
      <c r="F427" s="73" t="s">
        <v>306</v>
      </c>
      <c r="G427" s="72" t="s">
        <v>309</v>
      </c>
      <c r="H427" s="72" t="s">
        <v>231</v>
      </c>
      <c r="I427" s="72" t="s">
        <v>12</v>
      </c>
      <c r="J427" s="72" t="s">
        <v>187</v>
      </c>
      <c r="K427" s="74">
        <v>22.830000000000002</v>
      </c>
      <c r="L427" s="74">
        <f t="shared" si="70"/>
        <v>20.144117647058824</v>
      </c>
      <c r="M427" s="75">
        <f>prodnorm100</f>
        <v>0</v>
      </c>
      <c r="N427" s="76">
        <f>dagwerk100</f>
        <v>0</v>
      </c>
      <c r="O427" s="72" t="s">
        <v>54</v>
      </c>
      <c r="P427" s="77">
        <f>uurtarief100</f>
        <v>0</v>
      </c>
      <c r="Q427" s="74" t="e">
        <f t="shared" si="71"/>
        <v>#DIV/0!</v>
      </c>
      <c r="R427" s="74" t="e">
        <f t="shared" si="72"/>
        <v>#DIV/0!</v>
      </c>
      <c r="S427" s="77" t="e">
        <f t="shared" si="73"/>
        <v>#DIV/0!</v>
      </c>
      <c r="T427" s="74" t="e">
        <f t="shared" si="74"/>
        <v>#DIV/0!</v>
      </c>
      <c r="U427" s="78" t="e">
        <f t="shared" si="75"/>
        <v>#DIV/0!</v>
      </c>
    </row>
    <row r="428" spans="1:21" x14ac:dyDescent="0.2">
      <c r="A428" s="71" t="s">
        <v>635</v>
      </c>
      <c r="B428" s="72" t="s">
        <v>300</v>
      </c>
      <c r="C428" s="72" t="s">
        <v>330</v>
      </c>
      <c r="D428" s="72" t="s">
        <v>607</v>
      </c>
      <c r="E428" s="72" t="s">
        <v>300</v>
      </c>
      <c r="F428" s="73" t="s">
        <v>642</v>
      </c>
      <c r="G428" s="72" t="s">
        <v>309</v>
      </c>
      <c r="H428" s="72" t="s">
        <v>222</v>
      </c>
      <c r="I428" s="72" t="s">
        <v>12</v>
      </c>
      <c r="J428" s="72" t="s">
        <v>187</v>
      </c>
      <c r="K428" s="74">
        <v>30.08</v>
      </c>
      <c r="L428" s="74">
        <f t="shared" si="70"/>
        <v>26.541176470588233</v>
      </c>
      <c r="M428" s="75">
        <f>prodnorm80</f>
        <v>0</v>
      </c>
      <c r="N428" s="76">
        <f>dagwerk80</f>
        <v>0</v>
      </c>
      <c r="O428" s="72" t="s">
        <v>54</v>
      </c>
      <c r="P428" s="77">
        <f>uurtarief80</f>
        <v>0</v>
      </c>
      <c r="Q428" s="74" t="e">
        <f t="shared" si="71"/>
        <v>#DIV/0!</v>
      </c>
      <c r="R428" s="74" t="e">
        <f t="shared" si="72"/>
        <v>#DIV/0!</v>
      </c>
      <c r="S428" s="77" t="e">
        <f t="shared" si="73"/>
        <v>#DIV/0!</v>
      </c>
      <c r="T428" s="74" t="e">
        <f t="shared" si="74"/>
        <v>#DIV/0!</v>
      </c>
      <c r="U428" s="78" t="e">
        <f t="shared" si="75"/>
        <v>#DIV/0!</v>
      </c>
    </row>
    <row r="429" spans="1:21" x14ac:dyDescent="0.2">
      <c r="A429" s="71" t="s">
        <v>635</v>
      </c>
      <c r="B429" s="72" t="s">
        <v>300</v>
      </c>
      <c r="C429" s="72" t="s">
        <v>330</v>
      </c>
      <c r="D429" s="72" t="s">
        <v>608</v>
      </c>
      <c r="E429" s="72" t="s">
        <v>300</v>
      </c>
      <c r="F429" s="73" t="s">
        <v>615</v>
      </c>
      <c r="G429" s="72" t="s">
        <v>558</v>
      </c>
      <c r="H429" s="72" t="s">
        <v>195</v>
      </c>
      <c r="I429" s="72" t="s">
        <v>12</v>
      </c>
      <c r="J429" s="72" t="s">
        <v>187</v>
      </c>
      <c r="K429" s="74">
        <v>16.130000000000003</v>
      </c>
      <c r="L429" s="74">
        <f t="shared" si="70"/>
        <v>14.232352941176472</v>
      </c>
      <c r="M429" s="75">
        <f>prodnorm43</f>
        <v>0</v>
      </c>
      <c r="N429" s="76">
        <f>dagwerk43</f>
        <v>0</v>
      </c>
      <c r="O429" s="72" t="s">
        <v>54</v>
      </c>
      <c r="P429" s="77">
        <f>uurtarief43</f>
        <v>0</v>
      </c>
      <c r="Q429" s="74" t="e">
        <f t="shared" si="71"/>
        <v>#DIV/0!</v>
      </c>
      <c r="R429" s="74" t="e">
        <f t="shared" si="72"/>
        <v>#DIV/0!</v>
      </c>
      <c r="S429" s="77" t="e">
        <f t="shared" si="73"/>
        <v>#DIV/0!</v>
      </c>
      <c r="T429" s="74" t="e">
        <f t="shared" si="74"/>
        <v>#DIV/0!</v>
      </c>
      <c r="U429" s="78" t="e">
        <f t="shared" si="75"/>
        <v>#DIV/0!</v>
      </c>
    </row>
    <row r="430" spans="1:21" x14ac:dyDescent="0.2">
      <c r="A430" s="71" t="s">
        <v>635</v>
      </c>
      <c r="B430" s="72" t="s">
        <v>300</v>
      </c>
      <c r="C430" s="72" t="s">
        <v>330</v>
      </c>
      <c r="D430" s="72" t="s">
        <v>562</v>
      </c>
      <c r="E430" s="72" t="s">
        <v>300</v>
      </c>
      <c r="F430" s="73" t="s">
        <v>319</v>
      </c>
      <c r="G430" s="72" t="s">
        <v>558</v>
      </c>
      <c r="H430" s="72" t="s">
        <v>222</v>
      </c>
      <c r="I430" s="72" t="s">
        <v>12</v>
      </c>
      <c r="J430" s="72" t="s">
        <v>187</v>
      </c>
      <c r="K430" s="74">
        <v>1</v>
      </c>
      <c r="L430" s="74">
        <f t="shared" si="70"/>
        <v>0.88235294117647056</v>
      </c>
      <c r="M430" s="75">
        <f>prodnorm80</f>
        <v>0</v>
      </c>
      <c r="N430" s="76">
        <f>dagwerk80</f>
        <v>0</v>
      </c>
      <c r="O430" s="72" t="s">
        <v>54</v>
      </c>
      <c r="P430" s="77">
        <f>uurtarief80</f>
        <v>0</v>
      </c>
      <c r="Q430" s="74" t="e">
        <f t="shared" si="71"/>
        <v>#DIV/0!</v>
      </c>
      <c r="R430" s="74" t="e">
        <f t="shared" si="72"/>
        <v>#DIV/0!</v>
      </c>
      <c r="S430" s="77" t="e">
        <f t="shared" si="73"/>
        <v>#DIV/0!</v>
      </c>
      <c r="T430" s="74" t="e">
        <f t="shared" si="74"/>
        <v>#DIV/0!</v>
      </c>
      <c r="U430" s="78" t="e">
        <f t="shared" si="75"/>
        <v>#DIV/0!</v>
      </c>
    </row>
    <row r="431" spans="1:21" x14ac:dyDescent="0.2">
      <c r="A431" s="71" t="s">
        <v>635</v>
      </c>
      <c r="B431" s="72" t="s">
        <v>300</v>
      </c>
      <c r="C431" s="72" t="s">
        <v>330</v>
      </c>
      <c r="D431" s="72" t="s">
        <v>643</v>
      </c>
      <c r="E431" s="72" t="s">
        <v>300</v>
      </c>
      <c r="F431" s="73" t="s">
        <v>644</v>
      </c>
      <c r="G431" s="72" t="s">
        <v>309</v>
      </c>
      <c r="H431" s="72" t="s">
        <v>222</v>
      </c>
      <c r="I431" s="72" t="s">
        <v>12</v>
      </c>
      <c r="J431" s="72" t="s">
        <v>187</v>
      </c>
      <c r="K431" s="74">
        <v>47.449999999999996</v>
      </c>
      <c r="L431" s="74">
        <f t="shared" si="70"/>
        <v>41.867647058823522</v>
      </c>
      <c r="M431" s="75">
        <f>prodnorm80</f>
        <v>0</v>
      </c>
      <c r="N431" s="76">
        <f>dagwerk80</f>
        <v>0</v>
      </c>
      <c r="O431" s="72" t="s">
        <v>54</v>
      </c>
      <c r="P431" s="77">
        <f>uurtarief80</f>
        <v>0</v>
      </c>
      <c r="Q431" s="74" t="e">
        <f t="shared" si="71"/>
        <v>#DIV/0!</v>
      </c>
      <c r="R431" s="74" t="e">
        <f t="shared" si="72"/>
        <v>#DIV/0!</v>
      </c>
      <c r="S431" s="77" t="e">
        <f t="shared" si="73"/>
        <v>#DIV/0!</v>
      </c>
      <c r="T431" s="74" t="e">
        <f t="shared" si="74"/>
        <v>#DIV/0!</v>
      </c>
      <c r="U431" s="78" t="e">
        <f t="shared" si="75"/>
        <v>#DIV/0!</v>
      </c>
    </row>
    <row r="432" spans="1:21" x14ac:dyDescent="0.2">
      <c r="A432" s="71" t="s">
        <v>635</v>
      </c>
      <c r="B432" s="72" t="s">
        <v>300</v>
      </c>
      <c r="C432" s="72" t="s">
        <v>330</v>
      </c>
      <c r="D432" s="72" t="s">
        <v>375</v>
      </c>
      <c r="E432" s="72" t="s">
        <v>300</v>
      </c>
      <c r="F432" s="73" t="s">
        <v>637</v>
      </c>
      <c r="G432" s="72" t="s">
        <v>558</v>
      </c>
      <c r="H432" s="72" t="s">
        <v>222</v>
      </c>
      <c r="I432" s="72" t="s">
        <v>12</v>
      </c>
      <c r="J432" s="72" t="s">
        <v>187</v>
      </c>
      <c r="K432" s="74">
        <v>16.510000000000002</v>
      </c>
      <c r="L432" s="74">
        <f t="shared" si="70"/>
        <v>14.56764705882353</v>
      </c>
      <c r="M432" s="75">
        <f>prodnorm80</f>
        <v>0</v>
      </c>
      <c r="N432" s="76">
        <f>dagwerk80</f>
        <v>0</v>
      </c>
      <c r="O432" s="72" t="s">
        <v>54</v>
      </c>
      <c r="P432" s="77">
        <f>uurtarief80</f>
        <v>0</v>
      </c>
      <c r="Q432" s="74" t="e">
        <f t="shared" si="71"/>
        <v>#DIV/0!</v>
      </c>
      <c r="R432" s="74" t="e">
        <f t="shared" si="72"/>
        <v>#DIV/0!</v>
      </c>
      <c r="S432" s="77" t="e">
        <f t="shared" si="73"/>
        <v>#DIV/0!</v>
      </c>
      <c r="T432" s="74" t="e">
        <f t="shared" si="74"/>
        <v>#DIV/0!</v>
      </c>
      <c r="U432" s="78" t="e">
        <f t="shared" si="75"/>
        <v>#DIV/0!</v>
      </c>
    </row>
    <row r="433" spans="1:21" x14ac:dyDescent="0.2">
      <c r="A433" s="71" t="s">
        <v>635</v>
      </c>
      <c r="B433" s="72" t="s">
        <v>300</v>
      </c>
      <c r="C433" s="72" t="s">
        <v>330</v>
      </c>
      <c r="D433" s="72" t="s">
        <v>609</v>
      </c>
      <c r="E433" s="72" t="s">
        <v>300</v>
      </c>
      <c r="F433" s="73" t="s">
        <v>615</v>
      </c>
      <c r="G433" s="72" t="s">
        <v>558</v>
      </c>
      <c r="H433" s="72" t="s">
        <v>195</v>
      </c>
      <c r="I433" s="72" t="s">
        <v>12</v>
      </c>
      <c r="J433" s="72" t="s">
        <v>187</v>
      </c>
      <c r="K433" s="74">
        <v>16</v>
      </c>
      <c r="L433" s="74">
        <f t="shared" si="70"/>
        <v>14.117647058823529</v>
      </c>
      <c r="M433" s="75">
        <f>prodnorm43</f>
        <v>0</v>
      </c>
      <c r="N433" s="76">
        <f>dagwerk43</f>
        <v>0</v>
      </c>
      <c r="O433" s="72" t="s">
        <v>54</v>
      </c>
      <c r="P433" s="77">
        <f>uurtarief43</f>
        <v>0</v>
      </c>
      <c r="Q433" s="74" t="e">
        <f t="shared" si="71"/>
        <v>#DIV/0!</v>
      </c>
      <c r="R433" s="74" t="e">
        <f t="shared" si="72"/>
        <v>#DIV/0!</v>
      </c>
      <c r="S433" s="77" t="e">
        <f t="shared" si="73"/>
        <v>#DIV/0!</v>
      </c>
      <c r="T433" s="74" t="e">
        <f t="shared" si="74"/>
        <v>#DIV/0!</v>
      </c>
      <c r="U433" s="78" t="e">
        <f t="shared" si="75"/>
        <v>#DIV/0!</v>
      </c>
    </row>
    <row r="434" spans="1:21" x14ac:dyDescent="0.2">
      <c r="A434" s="71" t="s">
        <v>635</v>
      </c>
      <c r="B434" s="72" t="s">
        <v>300</v>
      </c>
      <c r="C434" s="72" t="s">
        <v>330</v>
      </c>
      <c r="D434" s="72" t="s">
        <v>611</v>
      </c>
      <c r="E434" s="72" t="s">
        <v>300</v>
      </c>
      <c r="F434" s="73" t="s">
        <v>319</v>
      </c>
      <c r="G434" s="72" t="s">
        <v>558</v>
      </c>
      <c r="H434" s="72" t="s">
        <v>222</v>
      </c>
      <c r="I434" s="72" t="s">
        <v>12</v>
      </c>
      <c r="J434" s="72" t="s">
        <v>187</v>
      </c>
      <c r="K434" s="74">
        <v>2</v>
      </c>
      <c r="L434" s="74">
        <f t="shared" si="70"/>
        <v>1.7647058823529411</v>
      </c>
      <c r="M434" s="75">
        <f>prodnorm80</f>
        <v>0</v>
      </c>
      <c r="N434" s="76">
        <f>dagwerk80</f>
        <v>0</v>
      </c>
      <c r="O434" s="72" t="s">
        <v>54</v>
      </c>
      <c r="P434" s="77">
        <f>uurtarief80</f>
        <v>0</v>
      </c>
      <c r="Q434" s="74" t="e">
        <f t="shared" si="71"/>
        <v>#DIV/0!</v>
      </c>
      <c r="R434" s="74" t="e">
        <f t="shared" si="72"/>
        <v>#DIV/0!</v>
      </c>
      <c r="S434" s="77" t="e">
        <f t="shared" si="73"/>
        <v>#DIV/0!</v>
      </c>
      <c r="T434" s="74" t="e">
        <f t="shared" si="74"/>
        <v>#DIV/0!</v>
      </c>
      <c r="U434" s="78" t="e">
        <f t="shared" si="75"/>
        <v>#DIV/0!</v>
      </c>
    </row>
    <row r="435" spans="1:21" x14ac:dyDescent="0.2">
      <c r="A435" s="71" t="s">
        <v>635</v>
      </c>
      <c r="B435" s="72" t="s">
        <v>300</v>
      </c>
      <c r="C435" s="72" t="s">
        <v>330</v>
      </c>
      <c r="D435" s="72" t="s">
        <v>645</v>
      </c>
      <c r="E435" s="72" t="s">
        <v>300</v>
      </c>
      <c r="F435" s="73" t="s">
        <v>306</v>
      </c>
      <c r="G435" s="72" t="s">
        <v>309</v>
      </c>
      <c r="H435" s="72" t="s">
        <v>231</v>
      </c>
      <c r="I435" s="72" t="s">
        <v>12</v>
      </c>
      <c r="J435" s="72" t="s">
        <v>187</v>
      </c>
      <c r="K435" s="74">
        <v>9.75</v>
      </c>
      <c r="L435" s="74">
        <f t="shared" si="70"/>
        <v>8.6029411764705888</v>
      </c>
      <c r="M435" s="75">
        <f>prodnorm100</f>
        <v>0</v>
      </c>
      <c r="N435" s="76">
        <f>dagwerk100</f>
        <v>0</v>
      </c>
      <c r="O435" s="72" t="s">
        <v>54</v>
      </c>
      <c r="P435" s="77">
        <f>uurtarief100</f>
        <v>0</v>
      </c>
      <c r="Q435" s="74" t="e">
        <f t="shared" si="71"/>
        <v>#DIV/0!</v>
      </c>
      <c r="R435" s="74" t="e">
        <f t="shared" si="72"/>
        <v>#DIV/0!</v>
      </c>
      <c r="S435" s="77" t="e">
        <f t="shared" si="73"/>
        <v>#DIV/0!</v>
      </c>
      <c r="T435" s="74" t="e">
        <f t="shared" si="74"/>
        <v>#DIV/0!</v>
      </c>
      <c r="U435" s="78" t="e">
        <f t="shared" si="75"/>
        <v>#DIV/0!</v>
      </c>
    </row>
    <row r="436" spans="1:21" x14ac:dyDescent="0.2">
      <c r="A436" s="71" t="s">
        <v>635</v>
      </c>
      <c r="B436" s="72" t="s">
        <v>300</v>
      </c>
      <c r="C436" s="72" t="s">
        <v>330</v>
      </c>
      <c r="D436" s="72" t="s">
        <v>646</v>
      </c>
      <c r="E436" s="72" t="s">
        <v>300</v>
      </c>
      <c r="F436" s="73" t="s">
        <v>647</v>
      </c>
      <c r="G436" s="72" t="s">
        <v>326</v>
      </c>
      <c r="H436" s="72" t="s">
        <v>191</v>
      </c>
      <c r="I436" s="72" t="s">
        <v>12</v>
      </c>
      <c r="J436" s="72" t="s">
        <v>187</v>
      </c>
      <c r="K436" s="74">
        <v>16</v>
      </c>
      <c r="L436" s="74">
        <f t="shared" si="70"/>
        <v>14.117647058823529</v>
      </c>
      <c r="M436" s="75">
        <f>prodnorm34</f>
        <v>0</v>
      </c>
      <c r="N436" s="76">
        <f>dagwerk34</f>
        <v>0</v>
      </c>
      <c r="O436" s="72" t="s">
        <v>54</v>
      </c>
      <c r="P436" s="77">
        <f>uurtarief34</f>
        <v>0</v>
      </c>
      <c r="Q436" s="74" t="e">
        <f t="shared" si="71"/>
        <v>#DIV/0!</v>
      </c>
      <c r="R436" s="74" t="e">
        <f t="shared" si="72"/>
        <v>#DIV/0!</v>
      </c>
      <c r="S436" s="77" t="e">
        <f t="shared" si="73"/>
        <v>#DIV/0!</v>
      </c>
      <c r="T436" s="74" t="e">
        <f t="shared" si="74"/>
        <v>#DIV/0!</v>
      </c>
      <c r="U436" s="78" t="e">
        <f t="shared" si="75"/>
        <v>#DIV/0!</v>
      </c>
    </row>
    <row r="437" spans="1:21" x14ac:dyDescent="0.2">
      <c r="A437" s="71" t="s">
        <v>635</v>
      </c>
      <c r="B437" s="72" t="s">
        <v>300</v>
      </c>
      <c r="C437" s="72" t="s">
        <v>330</v>
      </c>
      <c r="D437" s="72" t="s">
        <v>646</v>
      </c>
      <c r="E437" s="72" t="s">
        <v>300</v>
      </c>
      <c r="F437" s="73" t="s">
        <v>647</v>
      </c>
      <c r="G437" s="72" t="s">
        <v>326</v>
      </c>
      <c r="H437" s="72" t="s">
        <v>241</v>
      </c>
      <c r="I437" s="72" t="s">
        <v>41</v>
      </c>
      <c r="J437" s="72" t="s">
        <v>242</v>
      </c>
      <c r="K437" s="74">
        <v>16</v>
      </c>
      <c r="L437" s="74">
        <f t="shared" si="70"/>
        <v>6.2745098039215685E-2</v>
      </c>
      <c r="M437" s="75">
        <f>prodnorm117</f>
        <v>0</v>
      </c>
      <c r="N437" s="76">
        <f>dagwerk117</f>
        <v>0</v>
      </c>
      <c r="O437" s="72" t="s">
        <v>54</v>
      </c>
      <c r="P437" s="77">
        <f>uurtarief117</f>
        <v>0</v>
      </c>
      <c r="Q437" s="74" t="e">
        <f t="shared" si="71"/>
        <v>#DIV/0!</v>
      </c>
      <c r="R437" s="74" t="e">
        <f t="shared" si="72"/>
        <v>#DIV/0!</v>
      </c>
      <c r="S437" s="77" t="e">
        <f t="shared" si="73"/>
        <v>#DIV/0!</v>
      </c>
      <c r="T437" s="74" t="e">
        <f t="shared" si="74"/>
        <v>#DIV/0!</v>
      </c>
      <c r="U437" s="78" t="e">
        <f t="shared" si="75"/>
        <v>#DIV/0!</v>
      </c>
    </row>
    <row r="438" spans="1:21" x14ac:dyDescent="0.2">
      <c r="A438" s="71" t="s">
        <v>635</v>
      </c>
      <c r="B438" s="72" t="s">
        <v>300</v>
      </c>
      <c r="C438" s="72" t="s">
        <v>330</v>
      </c>
      <c r="D438" s="72" t="s">
        <v>648</v>
      </c>
      <c r="E438" s="72" t="s">
        <v>300</v>
      </c>
      <c r="F438" s="73" t="s">
        <v>649</v>
      </c>
      <c r="G438" s="72" t="s">
        <v>326</v>
      </c>
      <c r="H438" s="72" t="s">
        <v>231</v>
      </c>
      <c r="I438" s="72" t="s">
        <v>12</v>
      </c>
      <c r="J438" s="72" t="s">
        <v>187</v>
      </c>
      <c r="K438" s="74">
        <v>187.03</v>
      </c>
      <c r="L438" s="74">
        <f t="shared" si="70"/>
        <v>165.0264705882353</v>
      </c>
      <c r="M438" s="75">
        <f>prodnorm100</f>
        <v>0</v>
      </c>
      <c r="N438" s="76">
        <f>dagwerk100</f>
        <v>0</v>
      </c>
      <c r="O438" s="72" t="s">
        <v>54</v>
      </c>
      <c r="P438" s="77">
        <f>uurtarief100</f>
        <v>0</v>
      </c>
      <c r="Q438" s="74" t="e">
        <f t="shared" si="71"/>
        <v>#DIV/0!</v>
      </c>
      <c r="R438" s="74" t="e">
        <f t="shared" si="72"/>
        <v>#DIV/0!</v>
      </c>
      <c r="S438" s="77" t="e">
        <f t="shared" si="73"/>
        <v>#DIV/0!</v>
      </c>
      <c r="T438" s="74" t="e">
        <f t="shared" si="74"/>
        <v>#DIV/0!</v>
      </c>
      <c r="U438" s="78" t="e">
        <f t="shared" si="75"/>
        <v>#DIV/0!</v>
      </c>
    </row>
    <row r="439" spans="1:21" x14ac:dyDescent="0.2">
      <c r="A439" s="71" t="s">
        <v>635</v>
      </c>
      <c r="B439" s="72" t="s">
        <v>300</v>
      </c>
      <c r="C439" s="72" t="s">
        <v>330</v>
      </c>
      <c r="D439" s="72" t="s">
        <v>648</v>
      </c>
      <c r="E439" s="72" t="s">
        <v>300</v>
      </c>
      <c r="F439" s="73" t="s">
        <v>649</v>
      </c>
      <c r="G439" s="72" t="s">
        <v>326</v>
      </c>
      <c r="H439" s="72" t="s">
        <v>241</v>
      </c>
      <c r="I439" s="72" t="s">
        <v>41</v>
      </c>
      <c r="J439" s="72" t="s">
        <v>242</v>
      </c>
      <c r="K439" s="74">
        <v>187.03</v>
      </c>
      <c r="L439" s="74">
        <f t="shared" si="70"/>
        <v>0.73345098039215684</v>
      </c>
      <c r="M439" s="75">
        <f>prodnorm117</f>
        <v>0</v>
      </c>
      <c r="N439" s="76">
        <f>dagwerk117</f>
        <v>0</v>
      </c>
      <c r="O439" s="72" t="s">
        <v>54</v>
      </c>
      <c r="P439" s="77">
        <f>uurtarief117</f>
        <v>0</v>
      </c>
      <c r="Q439" s="74" t="e">
        <f t="shared" si="71"/>
        <v>#DIV/0!</v>
      </c>
      <c r="R439" s="74" t="e">
        <f t="shared" si="72"/>
        <v>#DIV/0!</v>
      </c>
      <c r="S439" s="77" t="e">
        <f t="shared" si="73"/>
        <v>#DIV/0!</v>
      </c>
      <c r="T439" s="74" t="e">
        <f t="shared" si="74"/>
        <v>#DIV/0!</v>
      </c>
      <c r="U439" s="78" t="e">
        <f t="shared" si="75"/>
        <v>#DIV/0!</v>
      </c>
    </row>
    <row r="440" spans="1:21" x14ac:dyDescent="0.2">
      <c r="A440" s="71" t="s">
        <v>635</v>
      </c>
      <c r="B440" s="72" t="s">
        <v>300</v>
      </c>
      <c r="C440" s="72" t="s">
        <v>330</v>
      </c>
      <c r="D440" s="72" t="s">
        <v>379</v>
      </c>
      <c r="E440" s="72" t="s">
        <v>300</v>
      </c>
      <c r="F440" s="73" t="s">
        <v>306</v>
      </c>
      <c r="G440" s="72" t="s">
        <v>309</v>
      </c>
      <c r="H440" s="72" t="s">
        <v>231</v>
      </c>
      <c r="I440" s="72" t="s">
        <v>12</v>
      </c>
      <c r="J440" s="72" t="s">
        <v>187</v>
      </c>
      <c r="K440" s="74">
        <v>14.1</v>
      </c>
      <c r="L440" s="74">
        <f t="shared" si="70"/>
        <v>12.441176470588234</v>
      </c>
      <c r="M440" s="75">
        <f>prodnorm100</f>
        <v>0</v>
      </c>
      <c r="N440" s="76">
        <f>dagwerk100</f>
        <v>0</v>
      </c>
      <c r="O440" s="72" t="s">
        <v>54</v>
      </c>
      <c r="P440" s="77">
        <f>uurtarief100</f>
        <v>0</v>
      </c>
      <c r="Q440" s="74" t="e">
        <f t="shared" si="71"/>
        <v>#DIV/0!</v>
      </c>
      <c r="R440" s="74" t="e">
        <f t="shared" si="72"/>
        <v>#DIV/0!</v>
      </c>
      <c r="S440" s="77" t="e">
        <f t="shared" si="73"/>
        <v>#DIV/0!</v>
      </c>
      <c r="T440" s="74" t="e">
        <f t="shared" si="74"/>
        <v>#DIV/0!</v>
      </c>
      <c r="U440" s="78" t="e">
        <f t="shared" si="75"/>
        <v>#DIV/0!</v>
      </c>
    </row>
    <row r="441" spans="1:21" x14ac:dyDescent="0.2">
      <c r="A441" s="71" t="s">
        <v>635</v>
      </c>
      <c r="B441" s="72" t="s">
        <v>300</v>
      </c>
      <c r="C441" s="72" t="s">
        <v>330</v>
      </c>
      <c r="D441" s="72" t="s">
        <v>384</v>
      </c>
      <c r="E441" s="72" t="s">
        <v>300</v>
      </c>
      <c r="F441" s="73" t="s">
        <v>650</v>
      </c>
      <c r="G441" s="72" t="s">
        <v>326</v>
      </c>
      <c r="H441" s="72" t="s">
        <v>231</v>
      </c>
      <c r="I441" s="72" t="s">
        <v>12</v>
      </c>
      <c r="J441" s="72" t="s">
        <v>187</v>
      </c>
      <c r="K441" s="74">
        <v>12.18</v>
      </c>
      <c r="L441" s="74">
        <f t="shared" si="70"/>
        <v>10.747058823529411</v>
      </c>
      <c r="M441" s="75">
        <f>prodnorm100</f>
        <v>0</v>
      </c>
      <c r="N441" s="76">
        <f>dagwerk100</f>
        <v>0</v>
      </c>
      <c r="O441" s="72" t="s">
        <v>54</v>
      </c>
      <c r="P441" s="77">
        <f>uurtarief100</f>
        <v>0</v>
      </c>
      <c r="Q441" s="74" t="e">
        <f t="shared" si="71"/>
        <v>#DIV/0!</v>
      </c>
      <c r="R441" s="74" t="e">
        <f t="shared" si="72"/>
        <v>#DIV/0!</v>
      </c>
      <c r="S441" s="77" t="e">
        <f t="shared" si="73"/>
        <v>#DIV/0!</v>
      </c>
      <c r="T441" s="74" t="e">
        <f t="shared" si="74"/>
        <v>#DIV/0!</v>
      </c>
      <c r="U441" s="78" t="e">
        <f t="shared" si="75"/>
        <v>#DIV/0!</v>
      </c>
    </row>
    <row r="442" spans="1:21" x14ac:dyDescent="0.2">
      <c r="A442" s="71" t="s">
        <v>635</v>
      </c>
      <c r="B442" s="72" t="s">
        <v>300</v>
      </c>
      <c r="C442" s="72" t="s">
        <v>330</v>
      </c>
      <c r="D442" s="72" t="s">
        <v>384</v>
      </c>
      <c r="E442" s="72" t="s">
        <v>300</v>
      </c>
      <c r="F442" s="73" t="s">
        <v>650</v>
      </c>
      <c r="G442" s="72" t="s">
        <v>326</v>
      </c>
      <c r="H442" s="72" t="s">
        <v>241</v>
      </c>
      <c r="I442" s="72" t="s">
        <v>41</v>
      </c>
      <c r="J442" s="72" t="s">
        <v>242</v>
      </c>
      <c r="K442" s="74">
        <v>12.18</v>
      </c>
      <c r="L442" s="74">
        <f t="shared" si="70"/>
        <v>4.7764705882352938E-2</v>
      </c>
      <c r="M442" s="75">
        <f>prodnorm117</f>
        <v>0</v>
      </c>
      <c r="N442" s="76">
        <f>dagwerk117</f>
        <v>0</v>
      </c>
      <c r="O442" s="72" t="s">
        <v>54</v>
      </c>
      <c r="P442" s="77">
        <f>uurtarief117</f>
        <v>0</v>
      </c>
      <c r="Q442" s="74" t="e">
        <f t="shared" si="71"/>
        <v>#DIV/0!</v>
      </c>
      <c r="R442" s="74" t="e">
        <f t="shared" si="72"/>
        <v>#DIV/0!</v>
      </c>
      <c r="S442" s="77" t="e">
        <f t="shared" si="73"/>
        <v>#DIV/0!</v>
      </c>
      <c r="T442" s="74" t="e">
        <f t="shared" si="74"/>
        <v>#DIV/0!</v>
      </c>
      <c r="U442" s="78" t="e">
        <f t="shared" si="75"/>
        <v>#DIV/0!</v>
      </c>
    </row>
    <row r="443" spans="1:21" x14ac:dyDescent="0.2">
      <c r="A443" s="71" t="s">
        <v>635</v>
      </c>
      <c r="B443" s="72" t="s">
        <v>300</v>
      </c>
      <c r="C443" s="72" t="s">
        <v>330</v>
      </c>
      <c r="D443" s="72" t="s">
        <v>651</v>
      </c>
      <c r="E443" s="72" t="s">
        <v>300</v>
      </c>
      <c r="F443" s="73" t="s">
        <v>652</v>
      </c>
      <c r="G443" s="72" t="s">
        <v>653</v>
      </c>
      <c r="H443" s="72" t="s">
        <v>205</v>
      </c>
      <c r="I443" s="72" t="s">
        <v>12</v>
      </c>
      <c r="J443" s="72" t="s">
        <v>187</v>
      </c>
      <c r="K443" s="74">
        <v>634.21</v>
      </c>
      <c r="L443" s="74">
        <f t="shared" si="70"/>
        <v>559.59705882352944</v>
      </c>
      <c r="M443" s="75">
        <f>prodnorm54</f>
        <v>0</v>
      </c>
      <c r="N443" s="76">
        <f>dagwerk54</f>
        <v>0</v>
      </c>
      <c r="O443" s="72" t="s">
        <v>54</v>
      </c>
      <c r="P443" s="77">
        <f>uurtarief54</f>
        <v>0</v>
      </c>
      <c r="Q443" s="74" t="e">
        <f t="shared" si="71"/>
        <v>#DIV/0!</v>
      </c>
      <c r="R443" s="74" t="e">
        <f t="shared" si="72"/>
        <v>#DIV/0!</v>
      </c>
      <c r="S443" s="77" t="e">
        <f t="shared" si="73"/>
        <v>#DIV/0!</v>
      </c>
      <c r="T443" s="74" t="e">
        <f t="shared" si="74"/>
        <v>#DIV/0!</v>
      </c>
      <c r="U443" s="78" t="e">
        <f t="shared" si="75"/>
        <v>#DIV/0!</v>
      </c>
    </row>
    <row r="444" spans="1:21" x14ac:dyDescent="0.2">
      <c r="A444" s="71" t="s">
        <v>635</v>
      </c>
      <c r="B444" s="72" t="s">
        <v>300</v>
      </c>
      <c r="C444" s="72" t="s">
        <v>330</v>
      </c>
      <c r="D444" s="72" t="s">
        <v>651</v>
      </c>
      <c r="E444" s="72" t="s">
        <v>300</v>
      </c>
      <c r="F444" s="73" t="s">
        <v>652</v>
      </c>
      <c r="G444" s="72" t="s">
        <v>653</v>
      </c>
      <c r="H444" s="72" t="s">
        <v>244</v>
      </c>
      <c r="I444" s="72" t="s">
        <v>40</v>
      </c>
      <c r="J444" s="72" t="s">
        <v>242</v>
      </c>
      <c r="K444" s="74">
        <v>634.21</v>
      </c>
      <c r="L444" s="74">
        <f t="shared" si="70"/>
        <v>4.9741960784313726</v>
      </c>
      <c r="M444" s="75">
        <f>prodnorm118</f>
        <v>0</v>
      </c>
      <c r="N444" s="76">
        <f>dagwerk118</f>
        <v>0</v>
      </c>
      <c r="O444" s="72" t="s">
        <v>54</v>
      </c>
      <c r="P444" s="77">
        <f>uurtarief118</f>
        <v>0</v>
      </c>
      <c r="Q444" s="74" t="e">
        <f t="shared" si="71"/>
        <v>#DIV/0!</v>
      </c>
      <c r="R444" s="74" t="e">
        <f t="shared" si="72"/>
        <v>#DIV/0!</v>
      </c>
      <c r="S444" s="77" t="e">
        <f t="shared" si="73"/>
        <v>#DIV/0!</v>
      </c>
      <c r="T444" s="74" t="e">
        <f t="shared" si="74"/>
        <v>#DIV/0!</v>
      </c>
      <c r="U444" s="78" t="e">
        <f t="shared" si="75"/>
        <v>#DIV/0!</v>
      </c>
    </row>
    <row r="445" spans="1:21" x14ac:dyDescent="0.2">
      <c r="A445" s="71" t="s">
        <v>635</v>
      </c>
      <c r="B445" s="72" t="s">
        <v>300</v>
      </c>
      <c r="C445" s="72" t="s">
        <v>330</v>
      </c>
      <c r="D445" s="72" t="s">
        <v>654</v>
      </c>
      <c r="E445" s="72" t="s">
        <v>300</v>
      </c>
      <c r="F445" s="73" t="s">
        <v>655</v>
      </c>
      <c r="G445" s="72" t="s">
        <v>653</v>
      </c>
      <c r="H445" s="72" t="s">
        <v>205</v>
      </c>
      <c r="I445" s="72" t="s">
        <v>12</v>
      </c>
      <c r="J445" s="72" t="s">
        <v>187</v>
      </c>
      <c r="K445" s="74">
        <v>634.21</v>
      </c>
      <c r="L445" s="74">
        <f t="shared" si="70"/>
        <v>559.59705882352944</v>
      </c>
      <c r="M445" s="75">
        <f>prodnorm54</f>
        <v>0</v>
      </c>
      <c r="N445" s="76">
        <f>dagwerk54</f>
        <v>0</v>
      </c>
      <c r="O445" s="72" t="s">
        <v>54</v>
      </c>
      <c r="P445" s="77">
        <f>uurtarief54</f>
        <v>0</v>
      </c>
      <c r="Q445" s="74" t="e">
        <f t="shared" si="71"/>
        <v>#DIV/0!</v>
      </c>
      <c r="R445" s="74" t="e">
        <f t="shared" si="72"/>
        <v>#DIV/0!</v>
      </c>
      <c r="S445" s="77" t="e">
        <f t="shared" si="73"/>
        <v>#DIV/0!</v>
      </c>
      <c r="T445" s="74" t="e">
        <f t="shared" si="74"/>
        <v>#DIV/0!</v>
      </c>
      <c r="U445" s="78" t="e">
        <f t="shared" si="75"/>
        <v>#DIV/0!</v>
      </c>
    </row>
    <row r="446" spans="1:21" x14ac:dyDescent="0.2">
      <c r="A446" s="71" t="s">
        <v>635</v>
      </c>
      <c r="B446" s="72" t="s">
        <v>300</v>
      </c>
      <c r="C446" s="72" t="s">
        <v>330</v>
      </c>
      <c r="D446" s="72" t="s">
        <v>654</v>
      </c>
      <c r="E446" s="72" t="s">
        <v>300</v>
      </c>
      <c r="F446" s="73" t="s">
        <v>655</v>
      </c>
      <c r="G446" s="72" t="s">
        <v>653</v>
      </c>
      <c r="H446" s="72" t="s">
        <v>244</v>
      </c>
      <c r="I446" s="72" t="s">
        <v>40</v>
      </c>
      <c r="J446" s="72" t="s">
        <v>242</v>
      </c>
      <c r="K446" s="74">
        <v>634.21</v>
      </c>
      <c r="L446" s="74">
        <f t="shared" si="70"/>
        <v>4.9741960784313726</v>
      </c>
      <c r="M446" s="75">
        <f>prodnorm118</f>
        <v>0</v>
      </c>
      <c r="N446" s="76">
        <f>dagwerk118</f>
        <v>0</v>
      </c>
      <c r="O446" s="72" t="s">
        <v>54</v>
      </c>
      <c r="P446" s="77">
        <f>uurtarief118</f>
        <v>0</v>
      </c>
      <c r="Q446" s="74" t="e">
        <f t="shared" si="71"/>
        <v>#DIV/0!</v>
      </c>
      <c r="R446" s="74" t="e">
        <f t="shared" si="72"/>
        <v>#DIV/0!</v>
      </c>
      <c r="S446" s="77" t="e">
        <f t="shared" si="73"/>
        <v>#DIV/0!</v>
      </c>
      <c r="T446" s="74" t="e">
        <f t="shared" si="74"/>
        <v>#DIV/0!</v>
      </c>
      <c r="U446" s="78" t="e">
        <f t="shared" si="75"/>
        <v>#DIV/0!</v>
      </c>
    </row>
    <row r="447" spans="1:21" x14ac:dyDescent="0.2">
      <c r="A447" s="71" t="s">
        <v>635</v>
      </c>
      <c r="B447" s="72" t="s">
        <v>300</v>
      </c>
      <c r="C447" s="72" t="s">
        <v>330</v>
      </c>
      <c r="D447" s="72" t="s">
        <v>389</v>
      </c>
      <c r="E447" s="72" t="s">
        <v>300</v>
      </c>
      <c r="F447" s="73" t="s">
        <v>656</v>
      </c>
      <c r="G447" s="72" t="s">
        <v>657</v>
      </c>
      <c r="H447" s="72" t="s">
        <v>233</v>
      </c>
      <c r="I447" s="72" t="s">
        <v>12</v>
      </c>
      <c r="J447" s="72" t="s">
        <v>187</v>
      </c>
      <c r="K447" s="74">
        <v>15</v>
      </c>
      <c r="L447" s="74">
        <f t="shared" si="70"/>
        <v>13.235294117647058</v>
      </c>
      <c r="M447" s="75">
        <f>prodnorm108</f>
        <v>0</v>
      </c>
      <c r="N447" s="76">
        <f>dagwerk108</f>
        <v>0</v>
      </c>
      <c r="O447" s="72" t="s">
        <v>54</v>
      </c>
      <c r="P447" s="77">
        <f>uurtarief108</f>
        <v>0</v>
      </c>
      <c r="Q447" s="74" t="e">
        <f t="shared" si="71"/>
        <v>#DIV/0!</v>
      </c>
      <c r="R447" s="74" t="e">
        <f t="shared" si="72"/>
        <v>#DIV/0!</v>
      </c>
      <c r="S447" s="77" t="e">
        <f t="shared" si="73"/>
        <v>#DIV/0!</v>
      </c>
      <c r="T447" s="74" t="e">
        <f t="shared" si="74"/>
        <v>#DIV/0!</v>
      </c>
      <c r="U447" s="78" t="e">
        <f t="shared" si="75"/>
        <v>#DIV/0!</v>
      </c>
    </row>
    <row r="448" spans="1:21" x14ac:dyDescent="0.2">
      <c r="A448" s="71" t="s">
        <v>635</v>
      </c>
      <c r="B448" s="72" t="s">
        <v>300</v>
      </c>
      <c r="C448" s="72" t="s">
        <v>330</v>
      </c>
      <c r="D448" s="72" t="s">
        <v>390</v>
      </c>
      <c r="E448" s="72" t="s">
        <v>300</v>
      </c>
      <c r="F448" s="73" t="s">
        <v>658</v>
      </c>
      <c r="G448" s="72" t="s">
        <v>653</v>
      </c>
      <c r="H448" s="72" t="s">
        <v>205</v>
      </c>
      <c r="I448" s="72" t="s">
        <v>25</v>
      </c>
      <c r="J448" s="72" t="s">
        <v>187</v>
      </c>
      <c r="K448" s="74">
        <v>114.51</v>
      </c>
      <c r="L448" s="74">
        <f t="shared" si="70"/>
        <v>20.207647058823532</v>
      </c>
      <c r="M448" s="75">
        <f>prodnorm56</f>
        <v>0</v>
      </c>
      <c r="N448" s="76">
        <f>dagwerk56</f>
        <v>0</v>
      </c>
      <c r="O448" s="72" t="s">
        <v>54</v>
      </c>
      <c r="P448" s="77">
        <f>uurtarief56</f>
        <v>0</v>
      </c>
      <c r="Q448" s="74" t="e">
        <f t="shared" si="71"/>
        <v>#DIV/0!</v>
      </c>
      <c r="R448" s="74" t="e">
        <f t="shared" si="72"/>
        <v>#DIV/0!</v>
      </c>
      <c r="S448" s="77" t="e">
        <f t="shared" si="73"/>
        <v>#DIV/0!</v>
      </c>
      <c r="T448" s="74" t="e">
        <f t="shared" si="74"/>
        <v>#DIV/0!</v>
      </c>
      <c r="U448" s="78" t="e">
        <f t="shared" si="75"/>
        <v>#DIV/0!</v>
      </c>
    </row>
    <row r="449" spans="1:21" x14ac:dyDescent="0.2">
      <c r="A449" s="71" t="s">
        <v>635</v>
      </c>
      <c r="B449" s="72" t="s">
        <v>300</v>
      </c>
      <c r="C449" s="72" t="s">
        <v>330</v>
      </c>
      <c r="D449" s="72" t="s">
        <v>390</v>
      </c>
      <c r="E449" s="72" t="s">
        <v>300</v>
      </c>
      <c r="F449" s="73" t="s">
        <v>658</v>
      </c>
      <c r="G449" s="72" t="s">
        <v>653</v>
      </c>
      <c r="H449" s="72" t="s">
        <v>244</v>
      </c>
      <c r="I449" s="72" t="s">
        <v>40</v>
      </c>
      <c r="J449" s="72" t="s">
        <v>242</v>
      </c>
      <c r="K449" s="74">
        <v>114.51</v>
      </c>
      <c r="L449" s="74">
        <f t="shared" si="70"/>
        <v>0.89811764705882358</v>
      </c>
      <c r="M449" s="75">
        <f>prodnorm118</f>
        <v>0</v>
      </c>
      <c r="N449" s="76">
        <f>dagwerk118</f>
        <v>0</v>
      </c>
      <c r="O449" s="72" t="s">
        <v>54</v>
      </c>
      <c r="P449" s="77">
        <f>uurtarief118</f>
        <v>0</v>
      </c>
      <c r="Q449" s="74" t="e">
        <f t="shared" si="71"/>
        <v>#DIV/0!</v>
      </c>
      <c r="R449" s="74" t="e">
        <f t="shared" si="72"/>
        <v>#DIV/0!</v>
      </c>
      <c r="S449" s="77" t="e">
        <f t="shared" si="73"/>
        <v>#DIV/0!</v>
      </c>
      <c r="T449" s="74" t="e">
        <f t="shared" si="74"/>
        <v>#DIV/0!</v>
      </c>
      <c r="U449" s="78" t="e">
        <f t="shared" si="75"/>
        <v>#DIV/0!</v>
      </c>
    </row>
    <row r="450" spans="1:21" x14ac:dyDescent="0.2">
      <c r="A450" s="71" t="s">
        <v>635</v>
      </c>
      <c r="B450" s="72" t="s">
        <v>300</v>
      </c>
      <c r="C450" s="72" t="s">
        <v>330</v>
      </c>
      <c r="D450" s="72" t="s">
        <v>391</v>
      </c>
      <c r="E450" s="72" t="s">
        <v>300</v>
      </c>
      <c r="F450" s="73" t="s">
        <v>659</v>
      </c>
      <c r="G450" s="72" t="s">
        <v>326</v>
      </c>
      <c r="H450" s="72" t="s">
        <v>241</v>
      </c>
      <c r="I450" s="72" t="s">
        <v>41</v>
      </c>
      <c r="J450" s="72" t="s">
        <v>242</v>
      </c>
      <c r="K450" s="74">
        <v>11.69</v>
      </c>
      <c r="L450" s="74">
        <f t="shared" si="70"/>
        <v>4.584313725490196E-2</v>
      </c>
      <c r="M450" s="75">
        <f>prodnorm117</f>
        <v>0</v>
      </c>
      <c r="N450" s="76">
        <f>dagwerk117</f>
        <v>0</v>
      </c>
      <c r="O450" s="72" t="s">
        <v>54</v>
      </c>
      <c r="P450" s="77">
        <f>uurtarief117</f>
        <v>0</v>
      </c>
      <c r="Q450" s="74" t="e">
        <f t="shared" si="71"/>
        <v>#DIV/0!</v>
      </c>
      <c r="R450" s="74" t="e">
        <f t="shared" si="72"/>
        <v>#DIV/0!</v>
      </c>
      <c r="S450" s="77" t="e">
        <f t="shared" si="73"/>
        <v>#DIV/0!</v>
      </c>
      <c r="T450" s="74" t="e">
        <f t="shared" si="74"/>
        <v>#DIV/0!</v>
      </c>
      <c r="U450" s="78" t="e">
        <f t="shared" si="75"/>
        <v>#DIV/0!</v>
      </c>
    </row>
    <row r="451" spans="1:21" x14ac:dyDescent="0.2">
      <c r="A451" s="79" t="s">
        <v>635</v>
      </c>
      <c r="B451" s="80" t="s">
        <v>300</v>
      </c>
      <c r="C451" s="80" t="s">
        <v>633</v>
      </c>
      <c r="D451" s="80" t="s">
        <v>300</v>
      </c>
      <c r="E451" s="80" t="s">
        <v>300</v>
      </c>
      <c r="F451" s="81" t="s">
        <v>589</v>
      </c>
      <c r="G451" s="80" t="s">
        <v>300</v>
      </c>
      <c r="H451" s="80" t="s">
        <v>262</v>
      </c>
      <c r="I451" s="80" t="s">
        <v>30</v>
      </c>
      <c r="J451" s="80" t="s">
        <v>253</v>
      </c>
      <c r="K451" s="82">
        <v>1</v>
      </c>
      <c r="L451" s="82">
        <f t="shared" si="70"/>
        <v>7.8431372549019607E-2</v>
      </c>
      <c r="M451" s="83">
        <f>prodnorm22</f>
        <v>0</v>
      </c>
      <c r="N451" s="84">
        <f>dagwerk22</f>
        <v>0</v>
      </c>
      <c r="O451" s="80" t="s">
        <v>255</v>
      </c>
      <c r="P451" s="85">
        <f>uurtarief22</f>
        <v>0</v>
      </c>
      <c r="Q451" s="82">
        <f>L451*ROUND(M451,4)/60</f>
        <v>0</v>
      </c>
      <c r="R451" s="82">
        <f t="shared" si="72"/>
        <v>0</v>
      </c>
      <c r="S451" s="85">
        <f t="shared" si="73"/>
        <v>0</v>
      </c>
      <c r="T451" s="82">
        <f t="shared" si="74"/>
        <v>0</v>
      </c>
      <c r="U451" s="86">
        <f t="shared" si="75"/>
        <v>0</v>
      </c>
    </row>
    <row r="452" spans="1:21" x14ac:dyDescent="0.2">
      <c r="A452" s="87" t="s">
        <v>536</v>
      </c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3" t="e">
        <f>IF(_xlfn.SINGLE(object8_urenjaar1)&gt;0,_xlfn.SINGLE(object8_prijsjaar1)/_xlfn.SINGLE(object8_urenjaar1),0)</f>
        <v>#DIV/0!</v>
      </c>
      <c r="Q452" s="52" t="e">
        <f>SUM(Q411:Q451)</f>
        <v>#DIV/0!</v>
      </c>
      <c r="R452" s="52" t="e">
        <f>SUM(R411:R451)</f>
        <v>#DIV/0!</v>
      </c>
      <c r="S452" s="53" t="e">
        <f>SUM(S411:S451)</f>
        <v>#DIV/0!</v>
      </c>
      <c r="T452" s="52" t="e">
        <f>SUM(T411:T451)</f>
        <v>#DIV/0!</v>
      </c>
      <c r="U452" s="54" t="e">
        <f>SUM(U411:U451)</f>
        <v>#DIV/0!</v>
      </c>
    </row>
    <row r="453" spans="1:21" x14ac:dyDescent="0.2">
      <c r="A453" s="61" t="s">
        <v>660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49"/>
    </row>
    <row r="454" spans="1:21" x14ac:dyDescent="0.2">
      <c r="A454" s="63" t="s">
        <v>661</v>
      </c>
      <c r="B454" s="64" t="s">
        <v>300</v>
      </c>
      <c r="C454" s="64" t="s">
        <v>406</v>
      </c>
      <c r="D454" s="64" t="s">
        <v>540</v>
      </c>
      <c r="E454" s="64" t="s">
        <v>300</v>
      </c>
      <c r="F454" s="65" t="s">
        <v>338</v>
      </c>
      <c r="G454" s="64" t="s">
        <v>662</v>
      </c>
      <c r="H454" s="64" t="s">
        <v>199</v>
      </c>
      <c r="I454" s="64" t="s">
        <v>12</v>
      </c>
      <c r="J454" s="64" t="s">
        <v>187</v>
      </c>
      <c r="K454" s="66">
        <v>11</v>
      </c>
      <c r="L454" s="66">
        <f t="shared" ref="L454:L493" si="79">K454*VLOOKUP(I454,dagsoorttabel1,2,FALSE)</f>
        <v>9.7058823529411757</v>
      </c>
      <c r="M454" s="67">
        <f>prodnorm49</f>
        <v>0</v>
      </c>
      <c r="N454" s="68">
        <f>dagwerk49</f>
        <v>0</v>
      </c>
      <c r="O454" s="64" t="s">
        <v>54</v>
      </c>
      <c r="P454" s="69">
        <f>uurtarief49</f>
        <v>0</v>
      </c>
      <c r="Q454" s="66" t="e">
        <f t="shared" ref="Q454:Q492" si="80">IF(ISBLANK(M454),0,L454/ROUND(M454,4))</f>
        <v>#DIV/0!</v>
      </c>
      <c r="R454" s="66" t="e">
        <f t="shared" ref="R454:R493" si="81">IF(ISBLANK(M454),0,Q454*ROUND(N454,2))</f>
        <v>#DIV/0!</v>
      </c>
      <c r="S454" s="69" t="e">
        <f t="shared" ref="S454:S493" si="82">ROUND(P454,2)*Q454</f>
        <v>#DIV/0!</v>
      </c>
      <c r="T454" s="66" t="e">
        <f t="shared" ref="T454:T493" si="83">Q454*dagenperjaar1</f>
        <v>#DIV/0!</v>
      </c>
      <c r="U454" s="70" t="e">
        <f t="shared" ref="U454:U493" si="84">T454*ROUND(P454,2)</f>
        <v>#DIV/0!</v>
      </c>
    </row>
    <row r="455" spans="1:21" x14ac:dyDescent="0.2">
      <c r="A455" s="71" t="s">
        <v>661</v>
      </c>
      <c r="B455" s="72" t="s">
        <v>300</v>
      </c>
      <c r="C455" s="72" t="s">
        <v>406</v>
      </c>
      <c r="D455" s="72" t="s">
        <v>540</v>
      </c>
      <c r="E455" s="72" t="s">
        <v>300</v>
      </c>
      <c r="F455" s="73" t="s">
        <v>338</v>
      </c>
      <c r="G455" s="72" t="s">
        <v>662</v>
      </c>
      <c r="H455" s="72" t="s">
        <v>241</v>
      </c>
      <c r="I455" s="72" t="s">
        <v>41</v>
      </c>
      <c r="J455" s="72" t="s">
        <v>242</v>
      </c>
      <c r="K455" s="74">
        <v>11</v>
      </c>
      <c r="L455" s="74">
        <f t="shared" si="79"/>
        <v>4.3137254901960784E-2</v>
      </c>
      <c r="M455" s="75">
        <f>prodnorm117</f>
        <v>0</v>
      </c>
      <c r="N455" s="76">
        <f>dagwerk117</f>
        <v>0</v>
      </c>
      <c r="O455" s="72" t="s">
        <v>54</v>
      </c>
      <c r="P455" s="77">
        <f>uurtarief117</f>
        <v>0</v>
      </c>
      <c r="Q455" s="74" t="e">
        <f t="shared" si="80"/>
        <v>#DIV/0!</v>
      </c>
      <c r="R455" s="74" t="e">
        <f t="shared" si="81"/>
        <v>#DIV/0!</v>
      </c>
      <c r="S455" s="77" t="e">
        <f t="shared" si="82"/>
        <v>#DIV/0!</v>
      </c>
      <c r="T455" s="74" t="e">
        <f t="shared" si="83"/>
        <v>#DIV/0!</v>
      </c>
      <c r="U455" s="78" t="e">
        <f t="shared" si="84"/>
        <v>#DIV/0!</v>
      </c>
    </row>
    <row r="456" spans="1:21" x14ac:dyDescent="0.2">
      <c r="A456" s="71" t="s">
        <v>661</v>
      </c>
      <c r="B456" s="72" t="s">
        <v>300</v>
      </c>
      <c r="C456" s="72" t="s">
        <v>406</v>
      </c>
      <c r="D456" s="72" t="s">
        <v>340</v>
      </c>
      <c r="E456" s="72" t="s">
        <v>300</v>
      </c>
      <c r="F456" s="73" t="s">
        <v>637</v>
      </c>
      <c r="G456" s="72" t="s">
        <v>309</v>
      </c>
      <c r="H456" s="72" t="s">
        <v>222</v>
      </c>
      <c r="I456" s="72" t="s">
        <v>12</v>
      </c>
      <c r="J456" s="72" t="s">
        <v>187</v>
      </c>
      <c r="K456" s="74">
        <v>4</v>
      </c>
      <c r="L456" s="74">
        <f t="shared" si="79"/>
        <v>3.5294117647058822</v>
      </c>
      <c r="M456" s="75">
        <f>prodnorm80</f>
        <v>0</v>
      </c>
      <c r="N456" s="76">
        <f>dagwerk80</f>
        <v>0</v>
      </c>
      <c r="O456" s="72" t="s">
        <v>54</v>
      </c>
      <c r="P456" s="77">
        <f>uurtarief80</f>
        <v>0</v>
      </c>
      <c r="Q456" s="74" t="e">
        <f t="shared" si="80"/>
        <v>#DIV/0!</v>
      </c>
      <c r="R456" s="74" t="e">
        <f t="shared" si="81"/>
        <v>#DIV/0!</v>
      </c>
      <c r="S456" s="77" t="e">
        <f t="shared" si="82"/>
        <v>#DIV/0!</v>
      </c>
      <c r="T456" s="74" t="e">
        <f t="shared" si="83"/>
        <v>#DIV/0!</v>
      </c>
      <c r="U456" s="78" t="e">
        <f t="shared" si="84"/>
        <v>#DIV/0!</v>
      </c>
    </row>
    <row r="457" spans="1:21" x14ac:dyDescent="0.2">
      <c r="A457" s="71" t="s">
        <v>661</v>
      </c>
      <c r="B457" s="72" t="s">
        <v>300</v>
      </c>
      <c r="C457" s="72" t="s">
        <v>406</v>
      </c>
      <c r="D457" s="72" t="s">
        <v>543</v>
      </c>
      <c r="E457" s="72" t="s">
        <v>300</v>
      </c>
      <c r="F457" s="73" t="s">
        <v>652</v>
      </c>
      <c r="G457" s="72" t="s">
        <v>631</v>
      </c>
      <c r="H457" s="72" t="s">
        <v>205</v>
      </c>
      <c r="I457" s="72" t="s">
        <v>12</v>
      </c>
      <c r="J457" s="72" t="s">
        <v>187</v>
      </c>
      <c r="K457" s="74">
        <v>340</v>
      </c>
      <c r="L457" s="74">
        <f t="shared" si="79"/>
        <v>300</v>
      </c>
      <c r="M457" s="75">
        <f>prodnorm54</f>
        <v>0</v>
      </c>
      <c r="N457" s="76">
        <f>dagwerk54</f>
        <v>0</v>
      </c>
      <c r="O457" s="72" t="s">
        <v>54</v>
      </c>
      <c r="P457" s="77">
        <f>uurtarief54</f>
        <v>0</v>
      </c>
      <c r="Q457" s="74" t="e">
        <f t="shared" si="80"/>
        <v>#DIV/0!</v>
      </c>
      <c r="R457" s="74" t="e">
        <f t="shared" si="81"/>
        <v>#DIV/0!</v>
      </c>
      <c r="S457" s="77" t="e">
        <f t="shared" si="82"/>
        <v>#DIV/0!</v>
      </c>
      <c r="T457" s="74" t="e">
        <f t="shared" si="83"/>
        <v>#DIV/0!</v>
      </c>
      <c r="U457" s="78" t="e">
        <f t="shared" si="84"/>
        <v>#DIV/0!</v>
      </c>
    </row>
    <row r="458" spans="1:21" x14ac:dyDescent="0.2">
      <c r="A458" s="71" t="s">
        <v>661</v>
      </c>
      <c r="B458" s="72" t="s">
        <v>300</v>
      </c>
      <c r="C458" s="72" t="s">
        <v>406</v>
      </c>
      <c r="D458" s="72" t="s">
        <v>543</v>
      </c>
      <c r="E458" s="72" t="s">
        <v>300</v>
      </c>
      <c r="F458" s="73" t="s">
        <v>652</v>
      </c>
      <c r="G458" s="72" t="s">
        <v>631</v>
      </c>
      <c r="H458" s="72" t="s">
        <v>244</v>
      </c>
      <c r="I458" s="72" t="s">
        <v>40</v>
      </c>
      <c r="J458" s="72" t="s">
        <v>242</v>
      </c>
      <c r="K458" s="74">
        <v>340</v>
      </c>
      <c r="L458" s="74">
        <f t="shared" si="79"/>
        <v>2.6666666666666665</v>
      </c>
      <c r="M458" s="75">
        <f>prodnorm118</f>
        <v>0</v>
      </c>
      <c r="N458" s="76">
        <f>dagwerk118</f>
        <v>0</v>
      </c>
      <c r="O458" s="72" t="s">
        <v>54</v>
      </c>
      <c r="P458" s="77">
        <f>uurtarief118</f>
        <v>0</v>
      </c>
      <c r="Q458" s="74" t="e">
        <f t="shared" si="80"/>
        <v>#DIV/0!</v>
      </c>
      <c r="R458" s="74" t="e">
        <f t="shared" si="81"/>
        <v>#DIV/0!</v>
      </c>
      <c r="S458" s="77" t="e">
        <f t="shared" si="82"/>
        <v>#DIV/0!</v>
      </c>
      <c r="T458" s="74" t="e">
        <f t="shared" si="83"/>
        <v>#DIV/0!</v>
      </c>
      <c r="U458" s="78" t="e">
        <f t="shared" si="84"/>
        <v>#DIV/0!</v>
      </c>
    </row>
    <row r="459" spans="1:21" x14ac:dyDescent="0.2">
      <c r="A459" s="71" t="s">
        <v>661</v>
      </c>
      <c r="B459" s="72" t="s">
        <v>300</v>
      </c>
      <c r="C459" s="72" t="s">
        <v>406</v>
      </c>
      <c r="D459" s="72" t="s">
        <v>352</v>
      </c>
      <c r="E459" s="72" t="s">
        <v>300</v>
      </c>
      <c r="F459" s="73" t="s">
        <v>655</v>
      </c>
      <c r="G459" s="72" t="s">
        <v>631</v>
      </c>
      <c r="H459" s="72" t="s">
        <v>205</v>
      </c>
      <c r="I459" s="72" t="s">
        <v>12</v>
      </c>
      <c r="J459" s="72" t="s">
        <v>187</v>
      </c>
      <c r="K459" s="74">
        <v>340</v>
      </c>
      <c r="L459" s="74">
        <f t="shared" si="79"/>
        <v>300</v>
      </c>
      <c r="M459" s="75">
        <f>prodnorm54</f>
        <v>0</v>
      </c>
      <c r="N459" s="76">
        <f>dagwerk54</f>
        <v>0</v>
      </c>
      <c r="O459" s="72" t="s">
        <v>54</v>
      </c>
      <c r="P459" s="77">
        <f>uurtarief54</f>
        <v>0</v>
      </c>
      <c r="Q459" s="74" t="e">
        <f t="shared" si="80"/>
        <v>#DIV/0!</v>
      </c>
      <c r="R459" s="74" t="e">
        <f t="shared" si="81"/>
        <v>#DIV/0!</v>
      </c>
      <c r="S459" s="77" t="e">
        <f t="shared" si="82"/>
        <v>#DIV/0!</v>
      </c>
      <c r="T459" s="74" t="e">
        <f t="shared" si="83"/>
        <v>#DIV/0!</v>
      </c>
      <c r="U459" s="78" t="e">
        <f t="shared" si="84"/>
        <v>#DIV/0!</v>
      </c>
    </row>
    <row r="460" spans="1:21" x14ac:dyDescent="0.2">
      <c r="A460" s="71" t="s">
        <v>661</v>
      </c>
      <c r="B460" s="72" t="s">
        <v>300</v>
      </c>
      <c r="C460" s="72" t="s">
        <v>406</v>
      </c>
      <c r="D460" s="72" t="s">
        <v>352</v>
      </c>
      <c r="E460" s="72" t="s">
        <v>300</v>
      </c>
      <c r="F460" s="73" t="s">
        <v>655</v>
      </c>
      <c r="G460" s="72" t="s">
        <v>631</v>
      </c>
      <c r="H460" s="72" t="s">
        <v>244</v>
      </c>
      <c r="I460" s="72" t="s">
        <v>40</v>
      </c>
      <c r="J460" s="72" t="s">
        <v>242</v>
      </c>
      <c r="K460" s="74">
        <v>340</v>
      </c>
      <c r="L460" s="74">
        <f t="shared" si="79"/>
        <v>2.6666666666666665</v>
      </c>
      <c r="M460" s="75">
        <f>prodnorm118</f>
        <v>0</v>
      </c>
      <c r="N460" s="76">
        <f>dagwerk118</f>
        <v>0</v>
      </c>
      <c r="O460" s="72" t="s">
        <v>54</v>
      </c>
      <c r="P460" s="77">
        <f>uurtarief118</f>
        <v>0</v>
      </c>
      <c r="Q460" s="74" t="e">
        <f t="shared" si="80"/>
        <v>#DIV/0!</v>
      </c>
      <c r="R460" s="74" t="e">
        <f t="shared" si="81"/>
        <v>#DIV/0!</v>
      </c>
      <c r="S460" s="77" t="e">
        <f t="shared" si="82"/>
        <v>#DIV/0!</v>
      </c>
      <c r="T460" s="74" t="e">
        <f t="shared" si="83"/>
        <v>#DIV/0!</v>
      </c>
      <c r="U460" s="78" t="e">
        <f t="shared" si="84"/>
        <v>#DIV/0!</v>
      </c>
    </row>
    <row r="461" spans="1:21" x14ac:dyDescent="0.2">
      <c r="A461" s="71" t="s">
        <v>661</v>
      </c>
      <c r="B461" s="72" t="s">
        <v>300</v>
      </c>
      <c r="C461" s="72" t="s">
        <v>406</v>
      </c>
      <c r="D461" s="72" t="s">
        <v>354</v>
      </c>
      <c r="E461" s="72" t="s">
        <v>300</v>
      </c>
      <c r="F461" s="73" t="s">
        <v>658</v>
      </c>
      <c r="G461" s="72" t="s">
        <v>631</v>
      </c>
      <c r="H461" s="72" t="s">
        <v>205</v>
      </c>
      <c r="I461" s="72" t="s">
        <v>25</v>
      </c>
      <c r="J461" s="72" t="s">
        <v>187</v>
      </c>
      <c r="K461" s="74">
        <v>41</v>
      </c>
      <c r="L461" s="74">
        <f t="shared" si="79"/>
        <v>7.2352941176470589</v>
      </c>
      <c r="M461" s="75">
        <f>prodnorm56</f>
        <v>0</v>
      </c>
      <c r="N461" s="76">
        <f>dagwerk56</f>
        <v>0</v>
      </c>
      <c r="O461" s="72" t="s">
        <v>54</v>
      </c>
      <c r="P461" s="77">
        <f>uurtarief56</f>
        <v>0</v>
      </c>
      <c r="Q461" s="74" t="e">
        <f t="shared" si="80"/>
        <v>#DIV/0!</v>
      </c>
      <c r="R461" s="74" t="e">
        <f t="shared" si="81"/>
        <v>#DIV/0!</v>
      </c>
      <c r="S461" s="77" t="e">
        <f t="shared" si="82"/>
        <v>#DIV/0!</v>
      </c>
      <c r="T461" s="74" t="e">
        <f t="shared" si="83"/>
        <v>#DIV/0!</v>
      </c>
      <c r="U461" s="78" t="e">
        <f t="shared" si="84"/>
        <v>#DIV/0!</v>
      </c>
    </row>
    <row r="462" spans="1:21" x14ac:dyDescent="0.2">
      <c r="A462" s="71" t="s">
        <v>661</v>
      </c>
      <c r="B462" s="72" t="s">
        <v>300</v>
      </c>
      <c r="C462" s="72" t="s">
        <v>406</v>
      </c>
      <c r="D462" s="72" t="s">
        <v>354</v>
      </c>
      <c r="E462" s="72" t="s">
        <v>300</v>
      </c>
      <c r="F462" s="73" t="s">
        <v>658</v>
      </c>
      <c r="G462" s="72" t="s">
        <v>631</v>
      </c>
      <c r="H462" s="72" t="s">
        <v>244</v>
      </c>
      <c r="I462" s="72" t="s">
        <v>40</v>
      </c>
      <c r="J462" s="72" t="s">
        <v>242</v>
      </c>
      <c r="K462" s="74">
        <v>41</v>
      </c>
      <c r="L462" s="74">
        <f t="shared" si="79"/>
        <v>0.32156862745098036</v>
      </c>
      <c r="M462" s="75">
        <f>prodnorm118</f>
        <v>0</v>
      </c>
      <c r="N462" s="76">
        <f>dagwerk118</f>
        <v>0</v>
      </c>
      <c r="O462" s="72" t="s">
        <v>54</v>
      </c>
      <c r="P462" s="77">
        <f>uurtarief118</f>
        <v>0</v>
      </c>
      <c r="Q462" s="74" t="e">
        <f t="shared" si="80"/>
        <v>#DIV/0!</v>
      </c>
      <c r="R462" s="74" t="e">
        <f t="shared" si="81"/>
        <v>#DIV/0!</v>
      </c>
      <c r="S462" s="77" t="e">
        <f t="shared" si="82"/>
        <v>#DIV/0!</v>
      </c>
      <c r="T462" s="74" t="e">
        <f t="shared" si="83"/>
        <v>#DIV/0!</v>
      </c>
      <c r="U462" s="78" t="e">
        <f t="shared" si="84"/>
        <v>#DIV/0!</v>
      </c>
    </row>
    <row r="463" spans="1:21" x14ac:dyDescent="0.2">
      <c r="A463" s="71" t="s">
        <v>661</v>
      </c>
      <c r="B463" s="72" t="s">
        <v>300</v>
      </c>
      <c r="C463" s="72" t="s">
        <v>406</v>
      </c>
      <c r="D463" s="72" t="s">
        <v>356</v>
      </c>
      <c r="E463" s="72" t="s">
        <v>300</v>
      </c>
      <c r="F463" s="73" t="s">
        <v>658</v>
      </c>
      <c r="G463" s="72" t="s">
        <v>631</v>
      </c>
      <c r="H463" s="72" t="s">
        <v>205</v>
      </c>
      <c r="I463" s="72" t="s">
        <v>25</v>
      </c>
      <c r="J463" s="72" t="s">
        <v>187</v>
      </c>
      <c r="K463" s="74">
        <v>41</v>
      </c>
      <c r="L463" s="74">
        <f t="shared" si="79"/>
        <v>7.2352941176470589</v>
      </c>
      <c r="M463" s="75">
        <f>prodnorm56</f>
        <v>0</v>
      </c>
      <c r="N463" s="76">
        <f>dagwerk56</f>
        <v>0</v>
      </c>
      <c r="O463" s="72" t="s">
        <v>54</v>
      </c>
      <c r="P463" s="77">
        <f>uurtarief56</f>
        <v>0</v>
      </c>
      <c r="Q463" s="74" t="e">
        <f t="shared" si="80"/>
        <v>#DIV/0!</v>
      </c>
      <c r="R463" s="74" t="e">
        <f t="shared" si="81"/>
        <v>#DIV/0!</v>
      </c>
      <c r="S463" s="77" t="e">
        <f t="shared" si="82"/>
        <v>#DIV/0!</v>
      </c>
      <c r="T463" s="74" t="e">
        <f t="shared" si="83"/>
        <v>#DIV/0!</v>
      </c>
      <c r="U463" s="78" t="e">
        <f t="shared" si="84"/>
        <v>#DIV/0!</v>
      </c>
    </row>
    <row r="464" spans="1:21" x14ac:dyDescent="0.2">
      <c r="A464" s="71" t="s">
        <v>661</v>
      </c>
      <c r="B464" s="72" t="s">
        <v>300</v>
      </c>
      <c r="C464" s="72" t="s">
        <v>406</v>
      </c>
      <c r="D464" s="72" t="s">
        <v>356</v>
      </c>
      <c r="E464" s="72" t="s">
        <v>300</v>
      </c>
      <c r="F464" s="73" t="s">
        <v>658</v>
      </c>
      <c r="G464" s="72" t="s">
        <v>631</v>
      </c>
      <c r="H464" s="72" t="s">
        <v>244</v>
      </c>
      <c r="I464" s="72" t="s">
        <v>40</v>
      </c>
      <c r="J464" s="72" t="s">
        <v>242</v>
      </c>
      <c r="K464" s="74">
        <v>41</v>
      </c>
      <c r="L464" s="74">
        <f t="shared" si="79"/>
        <v>0.32156862745098036</v>
      </c>
      <c r="M464" s="75">
        <f>prodnorm118</f>
        <v>0</v>
      </c>
      <c r="N464" s="76">
        <f>dagwerk118</f>
        <v>0</v>
      </c>
      <c r="O464" s="72" t="s">
        <v>54</v>
      </c>
      <c r="P464" s="77">
        <f>uurtarief118</f>
        <v>0</v>
      </c>
      <c r="Q464" s="74" t="e">
        <f t="shared" si="80"/>
        <v>#DIV/0!</v>
      </c>
      <c r="R464" s="74" t="e">
        <f t="shared" si="81"/>
        <v>#DIV/0!</v>
      </c>
      <c r="S464" s="77" t="e">
        <f t="shared" si="82"/>
        <v>#DIV/0!</v>
      </c>
      <c r="T464" s="74" t="e">
        <f t="shared" si="83"/>
        <v>#DIV/0!</v>
      </c>
      <c r="U464" s="78" t="e">
        <f t="shared" si="84"/>
        <v>#DIV/0!</v>
      </c>
    </row>
    <row r="465" spans="1:21" x14ac:dyDescent="0.2">
      <c r="A465" s="71" t="s">
        <v>661</v>
      </c>
      <c r="B465" s="72" t="s">
        <v>300</v>
      </c>
      <c r="C465" s="72" t="s">
        <v>406</v>
      </c>
      <c r="D465" s="72" t="s">
        <v>363</v>
      </c>
      <c r="E465" s="72" t="s">
        <v>300</v>
      </c>
      <c r="F465" s="73" t="s">
        <v>338</v>
      </c>
      <c r="G465" s="72" t="s">
        <v>662</v>
      </c>
      <c r="H465" s="72" t="s">
        <v>199</v>
      </c>
      <c r="I465" s="72" t="s">
        <v>12</v>
      </c>
      <c r="J465" s="72" t="s">
        <v>187</v>
      </c>
      <c r="K465" s="74">
        <v>11</v>
      </c>
      <c r="L465" s="74">
        <f t="shared" si="79"/>
        <v>9.7058823529411757</v>
      </c>
      <c r="M465" s="75">
        <f>prodnorm49</f>
        <v>0</v>
      </c>
      <c r="N465" s="76">
        <f>dagwerk49</f>
        <v>0</v>
      </c>
      <c r="O465" s="72" t="s">
        <v>54</v>
      </c>
      <c r="P465" s="77">
        <f>uurtarief49</f>
        <v>0</v>
      </c>
      <c r="Q465" s="74" t="e">
        <f t="shared" si="80"/>
        <v>#DIV/0!</v>
      </c>
      <c r="R465" s="74" t="e">
        <f t="shared" si="81"/>
        <v>#DIV/0!</v>
      </c>
      <c r="S465" s="77" t="e">
        <f t="shared" si="82"/>
        <v>#DIV/0!</v>
      </c>
      <c r="T465" s="74" t="e">
        <f t="shared" si="83"/>
        <v>#DIV/0!</v>
      </c>
      <c r="U465" s="78" t="e">
        <f t="shared" si="84"/>
        <v>#DIV/0!</v>
      </c>
    </row>
    <row r="466" spans="1:21" x14ac:dyDescent="0.2">
      <c r="A466" s="71" t="s">
        <v>661</v>
      </c>
      <c r="B466" s="72" t="s">
        <v>300</v>
      </c>
      <c r="C466" s="72" t="s">
        <v>406</v>
      </c>
      <c r="D466" s="72" t="s">
        <v>363</v>
      </c>
      <c r="E466" s="72" t="s">
        <v>300</v>
      </c>
      <c r="F466" s="73" t="s">
        <v>338</v>
      </c>
      <c r="G466" s="72" t="s">
        <v>662</v>
      </c>
      <c r="H466" s="72" t="s">
        <v>241</v>
      </c>
      <c r="I466" s="72" t="s">
        <v>41</v>
      </c>
      <c r="J466" s="72" t="s">
        <v>242</v>
      </c>
      <c r="K466" s="74">
        <v>11</v>
      </c>
      <c r="L466" s="74">
        <f t="shared" si="79"/>
        <v>4.3137254901960784E-2</v>
      </c>
      <c r="M466" s="75">
        <f>prodnorm117</f>
        <v>0</v>
      </c>
      <c r="N466" s="76">
        <f>dagwerk117</f>
        <v>0</v>
      </c>
      <c r="O466" s="72" t="s">
        <v>54</v>
      </c>
      <c r="P466" s="77">
        <f>uurtarief117</f>
        <v>0</v>
      </c>
      <c r="Q466" s="74" t="e">
        <f t="shared" si="80"/>
        <v>#DIV/0!</v>
      </c>
      <c r="R466" s="74" t="e">
        <f t="shared" si="81"/>
        <v>#DIV/0!</v>
      </c>
      <c r="S466" s="77" t="e">
        <f t="shared" si="82"/>
        <v>#DIV/0!</v>
      </c>
      <c r="T466" s="74" t="e">
        <f t="shared" si="83"/>
        <v>#DIV/0!</v>
      </c>
      <c r="U466" s="78" t="e">
        <f t="shared" si="84"/>
        <v>#DIV/0!</v>
      </c>
    </row>
    <row r="467" spans="1:21" x14ac:dyDescent="0.2">
      <c r="A467" s="71" t="s">
        <v>661</v>
      </c>
      <c r="B467" s="72" t="s">
        <v>300</v>
      </c>
      <c r="C467" s="72" t="s">
        <v>406</v>
      </c>
      <c r="D467" s="72" t="s">
        <v>546</v>
      </c>
      <c r="E467" s="72" t="s">
        <v>300</v>
      </c>
      <c r="F467" s="73" t="s">
        <v>380</v>
      </c>
      <c r="G467" s="72" t="s">
        <v>364</v>
      </c>
      <c r="H467" s="72" t="s">
        <v>208</v>
      </c>
      <c r="I467" s="72" t="s">
        <v>12</v>
      </c>
      <c r="J467" s="72" t="s">
        <v>187</v>
      </c>
      <c r="K467" s="74">
        <v>2</v>
      </c>
      <c r="L467" s="74">
        <f t="shared" si="79"/>
        <v>1.7647058823529411</v>
      </c>
      <c r="M467" s="75">
        <f>prodnorm57</f>
        <v>0</v>
      </c>
      <c r="N467" s="76">
        <f>dagwerk57</f>
        <v>0</v>
      </c>
      <c r="O467" s="72" t="s">
        <v>54</v>
      </c>
      <c r="P467" s="77">
        <f>uurtarief57</f>
        <v>0</v>
      </c>
      <c r="Q467" s="74" t="e">
        <f t="shared" si="80"/>
        <v>#DIV/0!</v>
      </c>
      <c r="R467" s="74" t="e">
        <f t="shared" si="81"/>
        <v>#DIV/0!</v>
      </c>
      <c r="S467" s="77" t="e">
        <f t="shared" si="82"/>
        <v>#DIV/0!</v>
      </c>
      <c r="T467" s="74" t="e">
        <f t="shared" si="83"/>
        <v>#DIV/0!</v>
      </c>
      <c r="U467" s="78" t="e">
        <f t="shared" si="84"/>
        <v>#DIV/0!</v>
      </c>
    </row>
    <row r="468" spans="1:21" x14ac:dyDescent="0.2">
      <c r="A468" s="71" t="s">
        <v>661</v>
      </c>
      <c r="B468" s="72" t="s">
        <v>300</v>
      </c>
      <c r="C468" s="72" t="s">
        <v>406</v>
      </c>
      <c r="D468" s="72" t="s">
        <v>365</v>
      </c>
      <c r="E468" s="72" t="s">
        <v>300</v>
      </c>
      <c r="F468" s="73" t="s">
        <v>663</v>
      </c>
      <c r="G468" s="72" t="s">
        <v>309</v>
      </c>
      <c r="H468" s="72" t="s">
        <v>222</v>
      </c>
      <c r="I468" s="72" t="s">
        <v>12</v>
      </c>
      <c r="J468" s="72" t="s">
        <v>187</v>
      </c>
      <c r="K468" s="74">
        <v>1</v>
      </c>
      <c r="L468" s="74">
        <f t="shared" si="79"/>
        <v>0.88235294117647056</v>
      </c>
      <c r="M468" s="75">
        <f>prodnorm80</f>
        <v>0</v>
      </c>
      <c r="N468" s="76">
        <f>dagwerk80</f>
        <v>0</v>
      </c>
      <c r="O468" s="72" t="s">
        <v>54</v>
      </c>
      <c r="P468" s="77">
        <f>uurtarief80</f>
        <v>0</v>
      </c>
      <c r="Q468" s="74" t="e">
        <f t="shared" si="80"/>
        <v>#DIV/0!</v>
      </c>
      <c r="R468" s="74" t="e">
        <f t="shared" si="81"/>
        <v>#DIV/0!</v>
      </c>
      <c r="S468" s="77" t="e">
        <f t="shared" si="82"/>
        <v>#DIV/0!</v>
      </c>
      <c r="T468" s="74" t="e">
        <f t="shared" si="83"/>
        <v>#DIV/0!</v>
      </c>
      <c r="U468" s="78" t="e">
        <f t="shared" si="84"/>
        <v>#DIV/0!</v>
      </c>
    </row>
    <row r="469" spans="1:21" x14ac:dyDescent="0.2">
      <c r="A469" s="71" t="s">
        <v>661</v>
      </c>
      <c r="B469" s="72" t="s">
        <v>300</v>
      </c>
      <c r="C469" s="72" t="s">
        <v>406</v>
      </c>
      <c r="D469" s="72" t="s">
        <v>407</v>
      </c>
      <c r="E469" s="72" t="s">
        <v>300</v>
      </c>
      <c r="F469" s="73" t="s">
        <v>306</v>
      </c>
      <c r="G469" s="72" t="s">
        <v>309</v>
      </c>
      <c r="H469" s="72" t="s">
        <v>231</v>
      </c>
      <c r="I469" s="72" t="s">
        <v>12</v>
      </c>
      <c r="J469" s="72" t="s">
        <v>187</v>
      </c>
      <c r="K469" s="74">
        <v>23</v>
      </c>
      <c r="L469" s="74">
        <f t="shared" si="79"/>
        <v>20.294117647058822</v>
      </c>
      <c r="M469" s="75">
        <f>prodnorm100</f>
        <v>0</v>
      </c>
      <c r="N469" s="76">
        <f>dagwerk100</f>
        <v>0</v>
      </c>
      <c r="O469" s="72" t="s">
        <v>54</v>
      </c>
      <c r="P469" s="77">
        <f>uurtarief100</f>
        <v>0</v>
      </c>
      <c r="Q469" s="74" t="e">
        <f t="shared" si="80"/>
        <v>#DIV/0!</v>
      </c>
      <c r="R469" s="74" t="e">
        <f t="shared" si="81"/>
        <v>#DIV/0!</v>
      </c>
      <c r="S469" s="77" t="e">
        <f t="shared" si="82"/>
        <v>#DIV/0!</v>
      </c>
      <c r="T469" s="74" t="e">
        <f t="shared" si="83"/>
        <v>#DIV/0!</v>
      </c>
      <c r="U469" s="78" t="e">
        <f t="shared" si="84"/>
        <v>#DIV/0!</v>
      </c>
    </row>
    <row r="470" spans="1:21" x14ac:dyDescent="0.2">
      <c r="A470" s="71" t="s">
        <v>661</v>
      </c>
      <c r="B470" s="72" t="s">
        <v>300</v>
      </c>
      <c r="C470" s="72" t="s">
        <v>406</v>
      </c>
      <c r="D470" s="72" t="s">
        <v>408</v>
      </c>
      <c r="E470" s="72" t="s">
        <v>300</v>
      </c>
      <c r="F470" s="73" t="s">
        <v>664</v>
      </c>
      <c r="G470" s="72" t="s">
        <v>309</v>
      </c>
      <c r="H470" s="72" t="s">
        <v>231</v>
      </c>
      <c r="I470" s="72" t="s">
        <v>12</v>
      </c>
      <c r="J470" s="72" t="s">
        <v>187</v>
      </c>
      <c r="K470" s="74">
        <v>12</v>
      </c>
      <c r="L470" s="74">
        <f t="shared" si="79"/>
        <v>10.588235294117647</v>
      </c>
      <c r="M470" s="75">
        <f>prodnorm100</f>
        <v>0</v>
      </c>
      <c r="N470" s="76">
        <f>dagwerk100</f>
        <v>0</v>
      </c>
      <c r="O470" s="72" t="s">
        <v>54</v>
      </c>
      <c r="P470" s="77">
        <f>uurtarief100</f>
        <v>0</v>
      </c>
      <c r="Q470" s="74" t="e">
        <f t="shared" si="80"/>
        <v>#DIV/0!</v>
      </c>
      <c r="R470" s="74" t="e">
        <f t="shared" si="81"/>
        <v>#DIV/0!</v>
      </c>
      <c r="S470" s="77" t="e">
        <f t="shared" si="82"/>
        <v>#DIV/0!</v>
      </c>
      <c r="T470" s="74" t="e">
        <f t="shared" si="83"/>
        <v>#DIV/0!</v>
      </c>
      <c r="U470" s="78" t="e">
        <f t="shared" si="84"/>
        <v>#DIV/0!</v>
      </c>
    </row>
    <row r="471" spans="1:21" x14ac:dyDescent="0.2">
      <c r="A471" s="71" t="s">
        <v>661</v>
      </c>
      <c r="B471" s="72" t="s">
        <v>300</v>
      </c>
      <c r="C471" s="72" t="s">
        <v>406</v>
      </c>
      <c r="D471" s="72" t="s">
        <v>409</v>
      </c>
      <c r="E471" s="72" t="s">
        <v>300</v>
      </c>
      <c r="F471" s="73" t="s">
        <v>664</v>
      </c>
      <c r="G471" s="72" t="s">
        <v>309</v>
      </c>
      <c r="H471" s="72" t="s">
        <v>231</v>
      </c>
      <c r="I471" s="72" t="s">
        <v>12</v>
      </c>
      <c r="J471" s="72" t="s">
        <v>187</v>
      </c>
      <c r="K471" s="74">
        <v>12</v>
      </c>
      <c r="L471" s="74">
        <f t="shared" si="79"/>
        <v>10.588235294117647</v>
      </c>
      <c r="M471" s="75">
        <f>prodnorm100</f>
        <v>0</v>
      </c>
      <c r="N471" s="76">
        <f>dagwerk100</f>
        <v>0</v>
      </c>
      <c r="O471" s="72" t="s">
        <v>54</v>
      </c>
      <c r="P471" s="77">
        <f>uurtarief100</f>
        <v>0</v>
      </c>
      <c r="Q471" s="74" t="e">
        <f t="shared" si="80"/>
        <v>#DIV/0!</v>
      </c>
      <c r="R471" s="74" t="e">
        <f t="shared" si="81"/>
        <v>#DIV/0!</v>
      </c>
      <c r="S471" s="77" t="e">
        <f t="shared" si="82"/>
        <v>#DIV/0!</v>
      </c>
      <c r="T471" s="74" t="e">
        <f t="shared" si="83"/>
        <v>#DIV/0!</v>
      </c>
      <c r="U471" s="78" t="e">
        <f t="shared" si="84"/>
        <v>#DIV/0!</v>
      </c>
    </row>
    <row r="472" spans="1:21" x14ac:dyDescent="0.2">
      <c r="A472" s="71" t="s">
        <v>661</v>
      </c>
      <c r="B472" s="72" t="s">
        <v>300</v>
      </c>
      <c r="C472" s="72" t="s">
        <v>406</v>
      </c>
      <c r="D472" s="72" t="s">
        <v>410</v>
      </c>
      <c r="E472" s="72" t="s">
        <v>300</v>
      </c>
      <c r="F472" s="73" t="s">
        <v>665</v>
      </c>
      <c r="G472" s="72" t="s">
        <v>309</v>
      </c>
      <c r="H472" s="72" t="s">
        <v>222</v>
      </c>
      <c r="I472" s="72" t="s">
        <v>12</v>
      </c>
      <c r="J472" s="72" t="s">
        <v>187</v>
      </c>
      <c r="K472" s="74">
        <v>8</v>
      </c>
      <c r="L472" s="74">
        <f t="shared" si="79"/>
        <v>7.0588235294117645</v>
      </c>
      <c r="M472" s="75">
        <f>prodnorm80</f>
        <v>0</v>
      </c>
      <c r="N472" s="76">
        <f>dagwerk80</f>
        <v>0</v>
      </c>
      <c r="O472" s="72" t="s">
        <v>54</v>
      </c>
      <c r="P472" s="77">
        <f>uurtarief80</f>
        <v>0</v>
      </c>
      <c r="Q472" s="74" t="e">
        <f t="shared" si="80"/>
        <v>#DIV/0!</v>
      </c>
      <c r="R472" s="74" t="e">
        <f t="shared" si="81"/>
        <v>#DIV/0!</v>
      </c>
      <c r="S472" s="77" t="e">
        <f t="shared" si="82"/>
        <v>#DIV/0!</v>
      </c>
      <c r="T472" s="74" t="e">
        <f t="shared" si="83"/>
        <v>#DIV/0!</v>
      </c>
      <c r="U472" s="78" t="e">
        <f t="shared" si="84"/>
        <v>#DIV/0!</v>
      </c>
    </row>
    <row r="473" spans="1:21" x14ac:dyDescent="0.2">
      <c r="A473" s="71" t="s">
        <v>661</v>
      </c>
      <c r="B473" s="72" t="s">
        <v>300</v>
      </c>
      <c r="C473" s="72" t="s">
        <v>406</v>
      </c>
      <c r="D473" s="72" t="s">
        <v>411</v>
      </c>
      <c r="E473" s="72" t="s">
        <v>300</v>
      </c>
      <c r="F473" s="73" t="s">
        <v>666</v>
      </c>
      <c r="G473" s="72" t="s">
        <v>309</v>
      </c>
      <c r="H473" s="72" t="s">
        <v>222</v>
      </c>
      <c r="I473" s="72" t="s">
        <v>12</v>
      </c>
      <c r="J473" s="72" t="s">
        <v>187</v>
      </c>
      <c r="K473" s="74">
        <v>3</v>
      </c>
      <c r="L473" s="74">
        <f t="shared" si="79"/>
        <v>2.6470588235294117</v>
      </c>
      <c r="M473" s="75">
        <f>prodnorm80</f>
        <v>0</v>
      </c>
      <c r="N473" s="76">
        <f>dagwerk80</f>
        <v>0</v>
      </c>
      <c r="O473" s="72" t="s">
        <v>54</v>
      </c>
      <c r="P473" s="77">
        <f>uurtarief80</f>
        <v>0</v>
      </c>
      <c r="Q473" s="74" t="e">
        <f t="shared" si="80"/>
        <v>#DIV/0!</v>
      </c>
      <c r="R473" s="74" t="e">
        <f t="shared" si="81"/>
        <v>#DIV/0!</v>
      </c>
      <c r="S473" s="77" t="e">
        <f t="shared" si="82"/>
        <v>#DIV/0!</v>
      </c>
      <c r="T473" s="74" t="e">
        <f t="shared" si="83"/>
        <v>#DIV/0!</v>
      </c>
      <c r="U473" s="78" t="e">
        <f t="shared" si="84"/>
        <v>#DIV/0!</v>
      </c>
    </row>
    <row r="474" spans="1:21" x14ac:dyDescent="0.2">
      <c r="A474" s="71" t="s">
        <v>661</v>
      </c>
      <c r="B474" s="72" t="s">
        <v>300</v>
      </c>
      <c r="C474" s="72" t="s">
        <v>406</v>
      </c>
      <c r="D474" s="72" t="s">
        <v>412</v>
      </c>
      <c r="E474" s="72" t="s">
        <v>300</v>
      </c>
      <c r="F474" s="73" t="s">
        <v>667</v>
      </c>
      <c r="G474" s="72" t="s">
        <v>309</v>
      </c>
      <c r="H474" s="72" t="s">
        <v>222</v>
      </c>
      <c r="I474" s="72" t="s">
        <v>12</v>
      </c>
      <c r="J474" s="72" t="s">
        <v>187</v>
      </c>
      <c r="K474" s="74">
        <v>8</v>
      </c>
      <c r="L474" s="74">
        <f t="shared" si="79"/>
        <v>7.0588235294117645</v>
      </c>
      <c r="M474" s="75">
        <f>prodnorm80</f>
        <v>0</v>
      </c>
      <c r="N474" s="76">
        <f>dagwerk80</f>
        <v>0</v>
      </c>
      <c r="O474" s="72" t="s">
        <v>54</v>
      </c>
      <c r="P474" s="77">
        <f>uurtarief80</f>
        <v>0</v>
      </c>
      <c r="Q474" s="74" t="e">
        <f t="shared" si="80"/>
        <v>#DIV/0!</v>
      </c>
      <c r="R474" s="74" t="e">
        <f t="shared" si="81"/>
        <v>#DIV/0!</v>
      </c>
      <c r="S474" s="77" t="e">
        <f t="shared" si="82"/>
        <v>#DIV/0!</v>
      </c>
      <c r="T474" s="74" t="e">
        <f t="shared" si="83"/>
        <v>#DIV/0!</v>
      </c>
      <c r="U474" s="78" t="e">
        <f t="shared" si="84"/>
        <v>#DIV/0!</v>
      </c>
    </row>
    <row r="475" spans="1:21" x14ac:dyDescent="0.2">
      <c r="A475" s="71" t="s">
        <v>661</v>
      </c>
      <c r="B475" s="72" t="s">
        <v>300</v>
      </c>
      <c r="C475" s="72" t="s">
        <v>406</v>
      </c>
      <c r="D475" s="72" t="s">
        <v>415</v>
      </c>
      <c r="E475" s="72" t="s">
        <v>300</v>
      </c>
      <c r="F475" s="73" t="s">
        <v>668</v>
      </c>
      <c r="G475" s="72" t="s">
        <v>309</v>
      </c>
      <c r="H475" s="72" t="s">
        <v>222</v>
      </c>
      <c r="I475" s="72" t="s">
        <v>12</v>
      </c>
      <c r="J475" s="72" t="s">
        <v>187</v>
      </c>
      <c r="K475" s="74">
        <v>3</v>
      </c>
      <c r="L475" s="74">
        <f t="shared" si="79"/>
        <v>2.6470588235294117</v>
      </c>
      <c r="M475" s="75">
        <f>prodnorm80</f>
        <v>0</v>
      </c>
      <c r="N475" s="76">
        <f>dagwerk80</f>
        <v>0</v>
      </c>
      <c r="O475" s="72" t="s">
        <v>54</v>
      </c>
      <c r="P475" s="77">
        <f>uurtarief80</f>
        <v>0</v>
      </c>
      <c r="Q475" s="74" t="e">
        <f t="shared" si="80"/>
        <v>#DIV/0!</v>
      </c>
      <c r="R475" s="74" t="e">
        <f t="shared" si="81"/>
        <v>#DIV/0!</v>
      </c>
      <c r="S475" s="77" t="e">
        <f t="shared" si="82"/>
        <v>#DIV/0!</v>
      </c>
      <c r="T475" s="74" t="e">
        <f t="shared" si="83"/>
        <v>#DIV/0!</v>
      </c>
      <c r="U475" s="78" t="e">
        <f t="shared" si="84"/>
        <v>#DIV/0!</v>
      </c>
    </row>
    <row r="476" spans="1:21" x14ac:dyDescent="0.2">
      <c r="A476" s="71" t="s">
        <v>661</v>
      </c>
      <c r="B476" s="72" t="s">
        <v>300</v>
      </c>
      <c r="C476" s="72" t="s">
        <v>406</v>
      </c>
      <c r="D476" s="72" t="s">
        <v>416</v>
      </c>
      <c r="E476" s="72" t="s">
        <v>300</v>
      </c>
      <c r="F476" s="73" t="s">
        <v>669</v>
      </c>
      <c r="G476" s="72" t="s">
        <v>309</v>
      </c>
      <c r="H476" s="72" t="s">
        <v>222</v>
      </c>
      <c r="I476" s="72" t="s">
        <v>12</v>
      </c>
      <c r="J476" s="72" t="s">
        <v>187</v>
      </c>
      <c r="K476" s="74">
        <v>24</v>
      </c>
      <c r="L476" s="74">
        <f t="shared" si="79"/>
        <v>21.176470588235293</v>
      </c>
      <c r="M476" s="75">
        <f>prodnorm80</f>
        <v>0</v>
      </c>
      <c r="N476" s="76">
        <f>dagwerk80</f>
        <v>0</v>
      </c>
      <c r="O476" s="72" t="s">
        <v>54</v>
      </c>
      <c r="P476" s="77">
        <f>uurtarief80</f>
        <v>0</v>
      </c>
      <c r="Q476" s="74" t="e">
        <f t="shared" si="80"/>
        <v>#DIV/0!</v>
      </c>
      <c r="R476" s="74" t="e">
        <f t="shared" si="81"/>
        <v>#DIV/0!</v>
      </c>
      <c r="S476" s="77" t="e">
        <f t="shared" si="82"/>
        <v>#DIV/0!</v>
      </c>
      <c r="T476" s="74" t="e">
        <f t="shared" si="83"/>
        <v>#DIV/0!</v>
      </c>
      <c r="U476" s="78" t="e">
        <f t="shared" si="84"/>
        <v>#DIV/0!</v>
      </c>
    </row>
    <row r="477" spans="1:21" x14ac:dyDescent="0.2">
      <c r="A477" s="71" t="s">
        <v>661</v>
      </c>
      <c r="B477" s="72" t="s">
        <v>300</v>
      </c>
      <c r="C477" s="72" t="s">
        <v>406</v>
      </c>
      <c r="D477" s="72" t="s">
        <v>417</v>
      </c>
      <c r="E477" s="72" t="s">
        <v>300</v>
      </c>
      <c r="F477" s="73" t="s">
        <v>670</v>
      </c>
      <c r="G477" s="72" t="s">
        <v>309</v>
      </c>
      <c r="H477" s="72" t="s">
        <v>195</v>
      </c>
      <c r="I477" s="72" t="s">
        <v>12</v>
      </c>
      <c r="J477" s="72" t="s">
        <v>187</v>
      </c>
      <c r="K477" s="74">
        <v>12</v>
      </c>
      <c r="L477" s="74">
        <f t="shared" si="79"/>
        <v>10.588235294117647</v>
      </c>
      <c r="M477" s="75">
        <f>prodnorm43</f>
        <v>0</v>
      </c>
      <c r="N477" s="76">
        <f>dagwerk43</f>
        <v>0</v>
      </c>
      <c r="O477" s="72" t="s">
        <v>54</v>
      </c>
      <c r="P477" s="77">
        <f>uurtarief43</f>
        <v>0</v>
      </c>
      <c r="Q477" s="74" t="e">
        <f t="shared" si="80"/>
        <v>#DIV/0!</v>
      </c>
      <c r="R477" s="74" t="e">
        <f t="shared" si="81"/>
        <v>#DIV/0!</v>
      </c>
      <c r="S477" s="77" t="e">
        <f t="shared" si="82"/>
        <v>#DIV/0!</v>
      </c>
      <c r="T477" s="74" t="e">
        <f t="shared" si="83"/>
        <v>#DIV/0!</v>
      </c>
      <c r="U477" s="78" t="e">
        <f t="shared" si="84"/>
        <v>#DIV/0!</v>
      </c>
    </row>
    <row r="478" spans="1:21" x14ac:dyDescent="0.2">
      <c r="A478" s="71" t="s">
        <v>661</v>
      </c>
      <c r="B478" s="72" t="s">
        <v>300</v>
      </c>
      <c r="C478" s="72" t="s">
        <v>406</v>
      </c>
      <c r="D478" s="72" t="s">
        <v>418</v>
      </c>
      <c r="E478" s="72" t="s">
        <v>300</v>
      </c>
      <c r="F478" s="73" t="s">
        <v>671</v>
      </c>
      <c r="G478" s="72" t="s">
        <v>309</v>
      </c>
      <c r="H478" s="72" t="s">
        <v>222</v>
      </c>
      <c r="I478" s="72" t="s">
        <v>12</v>
      </c>
      <c r="J478" s="72" t="s">
        <v>187</v>
      </c>
      <c r="K478" s="74">
        <v>1</v>
      </c>
      <c r="L478" s="74">
        <f t="shared" si="79"/>
        <v>0.88235294117647056</v>
      </c>
      <c r="M478" s="75">
        <f>prodnorm80</f>
        <v>0</v>
      </c>
      <c r="N478" s="76">
        <f>dagwerk80</f>
        <v>0</v>
      </c>
      <c r="O478" s="72" t="s">
        <v>54</v>
      </c>
      <c r="P478" s="77">
        <f>uurtarief80</f>
        <v>0</v>
      </c>
      <c r="Q478" s="74" t="e">
        <f t="shared" si="80"/>
        <v>#DIV/0!</v>
      </c>
      <c r="R478" s="74" t="e">
        <f t="shared" si="81"/>
        <v>#DIV/0!</v>
      </c>
      <c r="S478" s="77" t="e">
        <f t="shared" si="82"/>
        <v>#DIV/0!</v>
      </c>
      <c r="T478" s="74" t="e">
        <f t="shared" si="83"/>
        <v>#DIV/0!</v>
      </c>
      <c r="U478" s="78" t="e">
        <f t="shared" si="84"/>
        <v>#DIV/0!</v>
      </c>
    </row>
    <row r="479" spans="1:21" x14ac:dyDescent="0.2">
      <c r="A479" s="71" t="s">
        <v>661</v>
      </c>
      <c r="B479" s="72" t="s">
        <v>300</v>
      </c>
      <c r="C479" s="72" t="s">
        <v>406</v>
      </c>
      <c r="D479" s="72" t="s">
        <v>614</v>
      </c>
      <c r="E479" s="72" t="s">
        <v>300</v>
      </c>
      <c r="F479" s="73" t="s">
        <v>672</v>
      </c>
      <c r="G479" s="72" t="s">
        <v>309</v>
      </c>
      <c r="H479" s="72" t="s">
        <v>231</v>
      </c>
      <c r="I479" s="72" t="s">
        <v>12</v>
      </c>
      <c r="J479" s="72" t="s">
        <v>187</v>
      </c>
      <c r="K479" s="74">
        <v>1</v>
      </c>
      <c r="L479" s="74">
        <f t="shared" si="79"/>
        <v>0.88235294117647056</v>
      </c>
      <c r="M479" s="75">
        <f>prodnorm100</f>
        <v>0</v>
      </c>
      <c r="N479" s="76">
        <f>dagwerk100</f>
        <v>0</v>
      </c>
      <c r="O479" s="72" t="s">
        <v>54</v>
      </c>
      <c r="P479" s="77">
        <f>uurtarief100</f>
        <v>0</v>
      </c>
      <c r="Q479" s="74" t="e">
        <f t="shared" si="80"/>
        <v>#DIV/0!</v>
      </c>
      <c r="R479" s="74" t="e">
        <f t="shared" si="81"/>
        <v>#DIV/0!</v>
      </c>
      <c r="S479" s="77" t="e">
        <f t="shared" si="82"/>
        <v>#DIV/0!</v>
      </c>
      <c r="T479" s="74" t="e">
        <f t="shared" si="83"/>
        <v>#DIV/0!</v>
      </c>
      <c r="U479" s="78" t="e">
        <f t="shared" si="84"/>
        <v>#DIV/0!</v>
      </c>
    </row>
    <row r="480" spans="1:21" x14ac:dyDescent="0.2">
      <c r="A480" s="71" t="s">
        <v>661</v>
      </c>
      <c r="B480" s="72" t="s">
        <v>300</v>
      </c>
      <c r="C480" s="72" t="s">
        <v>406</v>
      </c>
      <c r="D480" s="72" t="s">
        <v>419</v>
      </c>
      <c r="E480" s="72" t="s">
        <v>300</v>
      </c>
      <c r="F480" s="73" t="s">
        <v>671</v>
      </c>
      <c r="G480" s="72" t="s">
        <v>309</v>
      </c>
      <c r="H480" s="72" t="s">
        <v>222</v>
      </c>
      <c r="I480" s="72" t="s">
        <v>12</v>
      </c>
      <c r="J480" s="72" t="s">
        <v>187</v>
      </c>
      <c r="K480" s="74">
        <v>1</v>
      </c>
      <c r="L480" s="74">
        <f t="shared" si="79"/>
        <v>0.88235294117647056</v>
      </c>
      <c r="M480" s="75">
        <f>prodnorm80</f>
        <v>0</v>
      </c>
      <c r="N480" s="76">
        <f>dagwerk80</f>
        <v>0</v>
      </c>
      <c r="O480" s="72" t="s">
        <v>54</v>
      </c>
      <c r="P480" s="77">
        <f>uurtarief80</f>
        <v>0</v>
      </c>
      <c r="Q480" s="74" t="e">
        <f t="shared" si="80"/>
        <v>#DIV/0!</v>
      </c>
      <c r="R480" s="74" t="e">
        <f t="shared" si="81"/>
        <v>#DIV/0!</v>
      </c>
      <c r="S480" s="77" t="e">
        <f t="shared" si="82"/>
        <v>#DIV/0!</v>
      </c>
      <c r="T480" s="74" t="e">
        <f t="shared" si="83"/>
        <v>#DIV/0!</v>
      </c>
      <c r="U480" s="78" t="e">
        <f t="shared" si="84"/>
        <v>#DIV/0!</v>
      </c>
    </row>
    <row r="481" spans="1:21" x14ac:dyDescent="0.2">
      <c r="A481" s="71" t="s">
        <v>661</v>
      </c>
      <c r="B481" s="72" t="s">
        <v>300</v>
      </c>
      <c r="C481" s="72" t="s">
        <v>406</v>
      </c>
      <c r="D481" s="72" t="s">
        <v>616</v>
      </c>
      <c r="E481" s="72" t="s">
        <v>300</v>
      </c>
      <c r="F481" s="73" t="s">
        <v>673</v>
      </c>
      <c r="G481" s="72" t="s">
        <v>309</v>
      </c>
      <c r="H481" s="72" t="s">
        <v>222</v>
      </c>
      <c r="I481" s="72" t="s">
        <v>12</v>
      </c>
      <c r="J481" s="72" t="s">
        <v>187</v>
      </c>
      <c r="K481" s="74">
        <v>24</v>
      </c>
      <c r="L481" s="74">
        <f t="shared" si="79"/>
        <v>21.176470588235293</v>
      </c>
      <c r="M481" s="75">
        <f>prodnorm80</f>
        <v>0</v>
      </c>
      <c r="N481" s="76">
        <f>dagwerk80</f>
        <v>0</v>
      </c>
      <c r="O481" s="72" t="s">
        <v>54</v>
      </c>
      <c r="P481" s="77">
        <f>uurtarief80</f>
        <v>0</v>
      </c>
      <c r="Q481" s="74" t="e">
        <f t="shared" si="80"/>
        <v>#DIV/0!</v>
      </c>
      <c r="R481" s="74" t="e">
        <f t="shared" si="81"/>
        <v>#DIV/0!</v>
      </c>
      <c r="S481" s="77" t="e">
        <f t="shared" si="82"/>
        <v>#DIV/0!</v>
      </c>
      <c r="T481" s="74" t="e">
        <f t="shared" si="83"/>
        <v>#DIV/0!</v>
      </c>
      <c r="U481" s="78" t="e">
        <f t="shared" si="84"/>
        <v>#DIV/0!</v>
      </c>
    </row>
    <row r="482" spans="1:21" x14ac:dyDescent="0.2">
      <c r="A482" s="71" t="s">
        <v>661</v>
      </c>
      <c r="B482" s="72" t="s">
        <v>300</v>
      </c>
      <c r="C482" s="72" t="s">
        <v>406</v>
      </c>
      <c r="D482" s="72" t="s">
        <v>617</v>
      </c>
      <c r="E482" s="72" t="s">
        <v>300</v>
      </c>
      <c r="F482" s="73" t="s">
        <v>674</v>
      </c>
      <c r="G482" s="72" t="s">
        <v>309</v>
      </c>
      <c r="H482" s="72" t="s">
        <v>195</v>
      </c>
      <c r="I482" s="72" t="s">
        <v>12</v>
      </c>
      <c r="J482" s="72" t="s">
        <v>187</v>
      </c>
      <c r="K482" s="74">
        <v>12</v>
      </c>
      <c r="L482" s="74">
        <f t="shared" si="79"/>
        <v>10.588235294117647</v>
      </c>
      <c r="M482" s="75">
        <f>prodnorm43</f>
        <v>0</v>
      </c>
      <c r="N482" s="76">
        <f>dagwerk43</f>
        <v>0</v>
      </c>
      <c r="O482" s="72" t="s">
        <v>54</v>
      </c>
      <c r="P482" s="77">
        <f>uurtarief43</f>
        <v>0</v>
      </c>
      <c r="Q482" s="74" t="e">
        <f t="shared" si="80"/>
        <v>#DIV/0!</v>
      </c>
      <c r="R482" s="74" t="e">
        <f t="shared" si="81"/>
        <v>#DIV/0!</v>
      </c>
      <c r="S482" s="77" t="e">
        <f t="shared" si="82"/>
        <v>#DIV/0!</v>
      </c>
      <c r="T482" s="74" t="e">
        <f t="shared" si="83"/>
        <v>#DIV/0!</v>
      </c>
      <c r="U482" s="78" t="e">
        <f t="shared" si="84"/>
        <v>#DIV/0!</v>
      </c>
    </row>
    <row r="483" spans="1:21" x14ac:dyDescent="0.2">
      <c r="A483" s="71" t="s">
        <v>661</v>
      </c>
      <c r="B483" s="72" t="s">
        <v>300</v>
      </c>
      <c r="C483" s="72" t="s">
        <v>406</v>
      </c>
      <c r="D483" s="72" t="s">
        <v>420</v>
      </c>
      <c r="E483" s="72" t="s">
        <v>300</v>
      </c>
      <c r="F483" s="73" t="s">
        <v>663</v>
      </c>
      <c r="G483" s="72" t="s">
        <v>309</v>
      </c>
      <c r="H483" s="72" t="s">
        <v>222</v>
      </c>
      <c r="I483" s="72" t="s">
        <v>12</v>
      </c>
      <c r="J483" s="72" t="s">
        <v>187</v>
      </c>
      <c r="K483" s="74">
        <v>1</v>
      </c>
      <c r="L483" s="74">
        <f t="shared" si="79"/>
        <v>0.88235294117647056</v>
      </c>
      <c r="M483" s="75">
        <f>prodnorm80</f>
        <v>0</v>
      </c>
      <c r="N483" s="76">
        <f>dagwerk80</f>
        <v>0</v>
      </c>
      <c r="O483" s="72" t="s">
        <v>54</v>
      </c>
      <c r="P483" s="77">
        <f>uurtarief80</f>
        <v>0</v>
      </c>
      <c r="Q483" s="74" t="e">
        <f t="shared" si="80"/>
        <v>#DIV/0!</v>
      </c>
      <c r="R483" s="74" t="e">
        <f t="shared" si="81"/>
        <v>#DIV/0!</v>
      </c>
      <c r="S483" s="77" t="e">
        <f t="shared" si="82"/>
        <v>#DIV/0!</v>
      </c>
      <c r="T483" s="74" t="e">
        <f t="shared" si="83"/>
        <v>#DIV/0!</v>
      </c>
      <c r="U483" s="78" t="e">
        <f t="shared" si="84"/>
        <v>#DIV/0!</v>
      </c>
    </row>
    <row r="484" spans="1:21" x14ac:dyDescent="0.2">
      <c r="A484" s="71" t="s">
        <v>661</v>
      </c>
      <c r="B484" s="72" t="s">
        <v>300</v>
      </c>
      <c r="C484" s="72" t="s">
        <v>406</v>
      </c>
      <c r="D484" s="72" t="s">
        <v>618</v>
      </c>
      <c r="E484" s="72" t="s">
        <v>300</v>
      </c>
      <c r="F484" s="73" t="s">
        <v>675</v>
      </c>
      <c r="G484" s="72" t="s">
        <v>309</v>
      </c>
      <c r="H484" s="72" t="s">
        <v>222</v>
      </c>
      <c r="I484" s="72" t="s">
        <v>12</v>
      </c>
      <c r="J484" s="72" t="s">
        <v>187</v>
      </c>
      <c r="K484" s="74">
        <v>24</v>
      </c>
      <c r="L484" s="74">
        <f t="shared" si="79"/>
        <v>21.176470588235293</v>
      </c>
      <c r="M484" s="75">
        <f>prodnorm80</f>
        <v>0</v>
      </c>
      <c r="N484" s="76">
        <f>dagwerk80</f>
        <v>0</v>
      </c>
      <c r="O484" s="72" t="s">
        <v>54</v>
      </c>
      <c r="P484" s="77">
        <f>uurtarief80</f>
        <v>0</v>
      </c>
      <c r="Q484" s="74" t="e">
        <f t="shared" si="80"/>
        <v>#DIV/0!</v>
      </c>
      <c r="R484" s="74" t="e">
        <f t="shared" si="81"/>
        <v>#DIV/0!</v>
      </c>
      <c r="S484" s="77" t="e">
        <f t="shared" si="82"/>
        <v>#DIV/0!</v>
      </c>
      <c r="T484" s="74" t="e">
        <f t="shared" si="83"/>
        <v>#DIV/0!</v>
      </c>
      <c r="U484" s="78" t="e">
        <f t="shared" si="84"/>
        <v>#DIV/0!</v>
      </c>
    </row>
    <row r="485" spans="1:21" x14ac:dyDescent="0.2">
      <c r="A485" s="71" t="s">
        <v>661</v>
      </c>
      <c r="B485" s="72" t="s">
        <v>300</v>
      </c>
      <c r="C485" s="72" t="s">
        <v>406</v>
      </c>
      <c r="D485" s="72" t="s">
        <v>619</v>
      </c>
      <c r="E485" s="72" t="s">
        <v>300</v>
      </c>
      <c r="F485" s="73" t="s">
        <v>676</v>
      </c>
      <c r="G485" s="72" t="s">
        <v>309</v>
      </c>
      <c r="H485" s="72" t="s">
        <v>195</v>
      </c>
      <c r="I485" s="72" t="s">
        <v>12</v>
      </c>
      <c r="J485" s="72" t="s">
        <v>187</v>
      </c>
      <c r="K485" s="74">
        <v>12</v>
      </c>
      <c r="L485" s="74">
        <f t="shared" si="79"/>
        <v>10.588235294117647</v>
      </c>
      <c r="M485" s="75">
        <f>prodnorm43</f>
        <v>0</v>
      </c>
      <c r="N485" s="76">
        <f>dagwerk43</f>
        <v>0</v>
      </c>
      <c r="O485" s="72" t="s">
        <v>54</v>
      </c>
      <c r="P485" s="77">
        <f>uurtarief43</f>
        <v>0</v>
      </c>
      <c r="Q485" s="74" t="e">
        <f t="shared" si="80"/>
        <v>#DIV/0!</v>
      </c>
      <c r="R485" s="74" t="e">
        <f t="shared" si="81"/>
        <v>#DIV/0!</v>
      </c>
      <c r="S485" s="77" t="e">
        <f t="shared" si="82"/>
        <v>#DIV/0!</v>
      </c>
      <c r="T485" s="74" t="e">
        <f t="shared" si="83"/>
        <v>#DIV/0!</v>
      </c>
      <c r="U485" s="78" t="e">
        <f t="shared" si="84"/>
        <v>#DIV/0!</v>
      </c>
    </row>
    <row r="486" spans="1:21" x14ac:dyDescent="0.2">
      <c r="A486" s="71" t="s">
        <v>661</v>
      </c>
      <c r="B486" s="72" t="s">
        <v>300</v>
      </c>
      <c r="C486" s="72" t="s">
        <v>406</v>
      </c>
      <c r="D486" s="72" t="s">
        <v>620</v>
      </c>
      <c r="E486" s="72" t="s">
        <v>300</v>
      </c>
      <c r="F486" s="73" t="s">
        <v>677</v>
      </c>
      <c r="G486" s="72" t="s">
        <v>309</v>
      </c>
      <c r="H486" s="72" t="s">
        <v>222</v>
      </c>
      <c r="I486" s="72" t="s">
        <v>12</v>
      </c>
      <c r="J486" s="72" t="s">
        <v>187</v>
      </c>
      <c r="K486" s="74">
        <v>1</v>
      </c>
      <c r="L486" s="74">
        <f t="shared" si="79"/>
        <v>0.88235294117647056</v>
      </c>
      <c r="M486" s="75">
        <f>prodnorm80</f>
        <v>0</v>
      </c>
      <c r="N486" s="76">
        <f>dagwerk80</f>
        <v>0</v>
      </c>
      <c r="O486" s="72" t="s">
        <v>54</v>
      </c>
      <c r="P486" s="77">
        <f>uurtarief80</f>
        <v>0</v>
      </c>
      <c r="Q486" s="74" t="e">
        <f t="shared" si="80"/>
        <v>#DIV/0!</v>
      </c>
      <c r="R486" s="74" t="e">
        <f t="shared" si="81"/>
        <v>#DIV/0!</v>
      </c>
      <c r="S486" s="77" t="e">
        <f t="shared" si="82"/>
        <v>#DIV/0!</v>
      </c>
      <c r="T486" s="74" t="e">
        <f t="shared" si="83"/>
        <v>#DIV/0!</v>
      </c>
      <c r="U486" s="78" t="e">
        <f t="shared" si="84"/>
        <v>#DIV/0!</v>
      </c>
    </row>
    <row r="487" spans="1:21" x14ac:dyDescent="0.2">
      <c r="A487" s="71" t="s">
        <v>661</v>
      </c>
      <c r="B487" s="72" t="s">
        <v>300</v>
      </c>
      <c r="C487" s="72" t="s">
        <v>406</v>
      </c>
      <c r="D487" s="72" t="s">
        <v>621</v>
      </c>
      <c r="E487" s="72" t="s">
        <v>300</v>
      </c>
      <c r="F487" s="73" t="s">
        <v>678</v>
      </c>
      <c r="G487" s="72" t="s">
        <v>309</v>
      </c>
      <c r="H487" s="72" t="s">
        <v>231</v>
      </c>
      <c r="I487" s="72" t="s">
        <v>12</v>
      </c>
      <c r="J487" s="72" t="s">
        <v>187</v>
      </c>
      <c r="K487" s="74">
        <v>1</v>
      </c>
      <c r="L487" s="74">
        <f t="shared" si="79"/>
        <v>0.88235294117647056</v>
      </c>
      <c r="M487" s="75">
        <f>prodnorm100</f>
        <v>0</v>
      </c>
      <c r="N487" s="76">
        <f>dagwerk100</f>
        <v>0</v>
      </c>
      <c r="O487" s="72" t="s">
        <v>54</v>
      </c>
      <c r="P487" s="77">
        <f>uurtarief100</f>
        <v>0</v>
      </c>
      <c r="Q487" s="74" t="e">
        <f t="shared" si="80"/>
        <v>#DIV/0!</v>
      </c>
      <c r="R487" s="74" t="e">
        <f t="shared" si="81"/>
        <v>#DIV/0!</v>
      </c>
      <c r="S487" s="77" t="e">
        <f t="shared" si="82"/>
        <v>#DIV/0!</v>
      </c>
      <c r="T487" s="74" t="e">
        <f t="shared" si="83"/>
        <v>#DIV/0!</v>
      </c>
      <c r="U487" s="78" t="e">
        <f t="shared" si="84"/>
        <v>#DIV/0!</v>
      </c>
    </row>
    <row r="488" spans="1:21" x14ac:dyDescent="0.2">
      <c r="A488" s="71" t="s">
        <v>661</v>
      </c>
      <c r="B488" s="72" t="s">
        <v>300</v>
      </c>
      <c r="C488" s="72" t="s">
        <v>406</v>
      </c>
      <c r="D488" s="72" t="s">
        <v>424</v>
      </c>
      <c r="E488" s="72" t="s">
        <v>300</v>
      </c>
      <c r="F488" s="73" t="s">
        <v>663</v>
      </c>
      <c r="G488" s="72" t="s">
        <v>309</v>
      </c>
      <c r="H488" s="72" t="s">
        <v>222</v>
      </c>
      <c r="I488" s="72" t="s">
        <v>12</v>
      </c>
      <c r="J488" s="72" t="s">
        <v>187</v>
      </c>
      <c r="K488" s="74">
        <v>1</v>
      </c>
      <c r="L488" s="74">
        <f t="shared" si="79"/>
        <v>0.88235294117647056</v>
      </c>
      <c r="M488" s="75">
        <f>prodnorm80</f>
        <v>0</v>
      </c>
      <c r="N488" s="76">
        <f>dagwerk80</f>
        <v>0</v>
      </c>
      <c r="O488" s="72" t="s">
        <v>54</v>
      </c>
      <c r="P488" s="77">
        <f>uurtarief80</f>
        <v>0</v>
      </c>
      <c r="Q488" s="74" t="e">
        <f t="shared" si="80"/>
        <v>#DIV/0!</v>
      </c>
      <c r="R488" s="74" t="e">
        <f t="shared" si="81"/>
        <v>#DIV/0!</v>
      </c>
      <c r="S488" s="77" t="e">
        <f t="shared" si="82"/>
        <v>#DIV/0!</v>
      </c>
      <c r="T488" s="74" t="e">
        <f t="shared" si="83"/>
        <v>#DIV/0!</v>
      </c>
      <c r="U488" s="78" t="e">
        <f t="shared" si="84"/>
        <v>#DIV/0!</v>
      </c>
    </row>
    <row r="489" spans="1:21" x14ac:dyDescent="0.2">
      <c r="A489" s="71" t="s">
        <v>661</v>
      </c>
      <c r="B489" s="72" t="s">
        <v>300</v>
      </c>
      <c r="C489" s="72" t="s">
        <v>406</v>
      </c>
      <c r="D489" s="72" t="s">
        <v>426</v>
      </c>
      <c r="E489" s="72" t="s">
        <v>300</v>
      </c>
      <c r="F489" s="73" t="s">
        <v>679</v>
      </c>
      <c r="G489" s="72" t="s">
        <v>309</v>
      </c>
      <c r="H489" s="72" t="s">
        <v>222</v>
      </c>
      <c r="I489" s="72" t="s">
        <v>12</v>
      </c>
      <c r="J489" s="72" t="s">
        <v>187</v>
      </c>
      <c r="K489" s="74">
        <v>24</v>
      </c>
      <c r="L489" s="74">
        <f t="shared" si="79"/>
        <v>21.176470588235293</v>
      </c>
      <c r="M489" s="75">
        <f>prodnorm80</f>
        <v>0</v>
      </c>
      <c r="N489" s="76">
        <f>dagwerk80</f>
        <v>0</v>
      </c>
      <c r="O489" s="72" t="s">
        <v>54</v>
      </c>
      <c r="P489" s="77">
        <f>uurtarief80</f>
        <v>0</v>
      </c>
      <c r="Q489" s="74" t="e">
        <f t="shared" si="80"/>
        <v>#DIV/0!</v>
      </c>
      <c r="R489" s="74" t="e">
        <f t="shared" si="81"/>
        <v>#DIV/0!</v>
      </c>
      <c r="S489" s="77" t="e">
        <f t="shared" si="82"/>
        <v>#DIV/0!</v>
      </c>
      <c r="T489" s="74" t="e">
        <f t="shared" si="83"/>
        <v>#DIV/0!</v>
      </c>
      <c r="U489" s="78" t="e">
        <f t="shared" si="84"/>
        <v>#DIV/0!</v>
      </c>
    </row>
    <row r="490" spans="1:21" x14ac:dyDescent="0.2">
      <c r="A490" s="71" t="s">
        <v>661</v>
      </c>
      <c r="B490" s="72" t="s">
        <v>300</v>
      </c>
      <c r="C490" s="72" t="s">
        <v>406</v>
      </c>
      <c r="D490" s="72" t="s">
        <v>428</v>
      </c>
      <c r="E490" s="72" t="s">
        <v>300</v>
      </c>
      <c r="F490" s="73" t="s">
        <v>680</v>
      </c>
      <c r="G490" s="72" t="s">
        <v>309</v>
      </c>
      <c r="H490" s="72" t="s">
        <v>195</v>
      </c>
      <c r="I490" s="72" t="s">
        <v>12</v>
      </c>
      <c r="J490" s="72" t="s">
        <v>187</v>
      </c>
      <c r="K490" s="74">
        <v>12</v>
      </c>
      <c r="L490" s="74">
        <f t="shared" si="79"/>
        <v>10.588235294117647</v>
      </c>
      <c r="M490" s="75">
        <f>prodnorm43</f>
        <v>0</v>
      </c>
      <c r="N490" s="76">
        <f>dagwerk43</f>
        <v>0</v>
      </c>
      <c r="O490" s="72" t="s">
        <v>54</v>
      </c>
      <c r="P490" s="77">
        <f>uurtarief43</f>
        <v>0</v>
      </c>
      <c r="Q490" s="74" t="e">
        <f t="shared" si="80"/>
        <v>#DIV/0!</v>
      </c>
      <c r="R490" s="74" t="e">
        <f t="shared" si="81"/>
        <v>#DIV/0!</v>
      </c>
      <c r="S490" s="77" t="e">
        <f t="shared" si="82"/>
        <v>#DIV/0!</v>
      </c>
      <c r="T490" s="74" t="e">
        <f t="shared" si="83"/>
        <v>#DIV/0!</v>
      </c>
      <c r="U490" s="78" t="e">
        <f t="shared" si="84"/>
        <v>#DIV/0!</v>
      </c>
    </row>
    <row r="491" spans="1:21" x14ac:dyDescent="0.2">
      <c r="A491" s="71" t="s">
        <v>661</v>
      </c>
      <c r="B491" s="72" t="s">
        <v>300</v>
      </c>
      <c r="C491" s="72" t="s">
        <v>406</v>
      </c>
      <c r="D491" s="72" t="s">
        <v>429</v>
      </c>
      <c r="E491" s="72" t="s">
        <v>300</v>
      </c>
      <c r="F491" s="73" t="s">
        <v>681</v>
      </c>
      <c r="G491" s="72" t="s">
        <v>309</v>
      </c>
      <c r="H491" s="72" t="s">
        <v>222</v>
      </c>
      <c r="I491" s="72" t="s">
        <v>12</v>
      </c>
      <c r="J491" s="72" t="s">
        <v>187</v>
      </c>
      <c r="K491" s="74">
        <v>1</v>
      </c>
      <c r="L491" s="74">
        <f t="shared" si="79"/>
        <v>0.88235294117647056</v>
      </c>
      <c r="M491" s="75">
        <f>prodnorm80</f>
        <v>0</v>
      </c>
      <c r="N491" s="76">
        <f>dagwerk80</f>
        <v>0</v>
      </c>
      <c r="O491" s="72" t="s">
        <v>54</v>
      </c>
      <c r="P491" s="77">
        <f>uurtarief80</f>
        <v>0</v>
      </c>
      <c r="Q491" s="74" t="e">
        <f t="shared" si="80"/>
        <v>#DIV/0!</v>
      </c>
      <c r="R491" s="74" t="e">
        <f t="shared" si="81"/>
        <v>#DIV/0!</v>
      </c>
      <c r="S491" s="77" t="e">
        <f t="shared" si="82"/>
        <v>#DIV/0!</v>
      </c>
      <c r="T491" s="74" t="e">
        <f t="shared" si="83"/>
        <v>#DIV/0!</v>
      </c>
      <c r="U491" s="78" t="e">
        <f t="shared" si="84"/>
        <v>#DIV/0!</v>
      </c>
    </row>
    <row r="492" spans="1:21" x14ac:dyDescent="0.2">
      <c r="A492" s="71" t="s">
        <v>661</v>
      </c>
      <c r="B492" s="72" t="s">
        <v>300</v>
      </c>
      <c r="C492" s="72" t="s">
        <v>406</v>
      </c>
      <c r="D492" s="72" t="s">
        <v>431</v>
      </c>
      <c r="E492" s="72" t="s">
        <v>300</v>
      </c>
      <c r="F492" s="73" t="s">
        <v>306</v>
      </c>
      <c r="G492" s="72" t="s">
        <v>309</v>
      </c>
      <c r="H492" s="72" t="s">
        <v>231</v>
      </c>
      <c r="I492" s="72" t="s">
        <v>12</v>
      </c>
      <c r="J492" s="72" t="s">
        <v>187</v>
      </c>
      <c r="K492" s="74">
        <v>20</v>
      </c>
      <c r="L492" s="74">
        <f t="shared" si="79"/>
        <v>17.647058823529413</v>
      </c>
      <c r="M492" s="75">
        <f>prodnorm100</f>
        <v>0</v>
      </c>
      <c r="N492" s="76">
        <f>dagwerk100</f>
        <v>0</v>
      </c>
      <c r="O492" s="72" t="s">
        <v>54</v>
      </c>
      <c r="P492" s="77">
        <f>uurtarief100</f>
        <v>0</v>
      </c>
      <c r="Q492" s="74" t="e">
        <f t="shared" si="80"/>
        <v>#DIV/0!</v>
      </c>
      <c r="R492" s="74" t="e">
        <f t="shared" si="81"/>
        <v>#DIV/0!</v>
      </c>
      <c r="S492" s="77" t="e">
        <f t="shared" si="82"/>
        <v>#DIV/0!</v>
      </c>
      <c r="T492" s="74" t="e">
        <f t="shared" si="83"/>
        <v>#DIV/0!</v>
      </c>
      <c r="U492" s="78" t="e">
        <f t="shared" si="84"/>
        <v>#DIV/0!</v>
      </c>
    </row>
    <row r="493" spans="1:21" x14ac:dyDescent="0.2">
      <c r="A493" s="79" t="s">
        <v>661</v>
      </c>
      <c r="B493" s="80" t="s">
        <v>300</v>
      </c>
      <c r="C493" s="80" t="s">
        <v>633</v>
      </c>
      <c r="D493" s="80" t="s">
        <v>300</v>
      </c>
      <c r="E493" s="80" t="s">
        <v>300</v>
      </c>
      <c r="F493" s="81" t="s">
        <v>589</v>
      </c>
      <c r="G493" s="80" t="s">
        <v>300</v>
      </c>
      <c r="H493" s="80" t="s">
        <v>260</v>
      </c>
      <c r="I493" s="80" t="s">
        <v>28</v>
      </c>
      <c r="J493" s="80" t="s">
        <v>253</v>
      </c>
      <c r="K493" s="82">
        <v>1</v>
      </c>
      <c r="L493" s="82">
        <f t="shared" si="79"/>
        <v>9.8039215686274508E-2</v>
      </c>
      <c r="M493" s="83">
        <f>prodnorm21</f>
        <v>0</v>
      </c>
      <c r="N493" s="84">
        <f>dagwerk21</f>
        <v>0</v>
      </c>
      <c r="O493" s="80" t="s">
        <v>255</v>
      </c>
      <c r="P493" s="85">
        <f>uurtarief21</f>
        <v>0</v>
      </c>
      <c r="Q493" s="82">
        <f>L493*ROUND(M493,4)/60</f>
        <v>0</v>
      </c>
      <c r="R493" s="82">
        <f t="shared" si="81"/>
        <v>0</v>
      </c>
      <c r="S493" s="85">
        <f t="shared" si="82"/>
        <v>0</v>
      </c>
      <c r="T493" s="82">
        <f t="shared" si="83"/>
        <v>0</v>
      </c>
      <c r="U493" s="86">
        <f t="shared" si="84"/>
        <v>0</v>
      </c>
    </row>
    <row r="494" spans="1:21" x14ac:dyDescent="0.2">
      <c r="A494" s="87" t="s">
        <v>536</v>
      </c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3" t="e">
        <f>IF(_xlfn.SINGLE(object9_urenjaar1)&gt;0,_xlfn.SINGLE(object9_prijsjaar1)/_xlfn.SINGLE(object9_urenjaar1),0)</f>
        <v>#DIV/0!</v>
      </c>
      <c r="Q494" s="52" t="e">
        <f>SUM(Q454:Q493)</f>
        <v>#DIV/0!</v>
      </c>
      <c r="R494" s="52" t="e">
        <f>SUM(R454:R493)</f>
        <v>#DIV/0!</v>
      </c>
      <c r="S494" s="53" t="e">
        <f>SUM(S454:S493)</f>
        <v>#DIV/0!</v>
      </c>
      <c r="T494" s="52" t="e">
        <f>SUM(T454:T493)</f>
        <v>#DIV/0!</v>
      </c>
      <c r="U494" s="54" t="e">
        <f>SUM(U454:U493)</f>
        <v>#DIV/0!</v>
      </c>
    </row>
    <row r="495" spans="1:21" x14ac:dyDescent="0.2">
      <c r="A495" s="61" t="s">
        <v>682</v>
      </c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49"/>
    </row>
    <row r="496" spans="1:21" x14ac:dyDescent="0.2">
      <c r="A496" s="63" t="s">
        <v>683</v>
      </c>
      <c r="B496" s="64" t="s">
        <v>300</v>
      </c>
      <c r="C496" s="64" t="s">
        <v>330</v>
      </c>
      <c r="D496" s="64" t="s">
        <v>540</v>
      </c>
      <c r="E496" s="64" t="s">
        <v>300</v>
      </c>
      <c r="F496" s="65" t="s">
        <v>338</v>
      </c>
      <c r="G496" s="64" t="s">
        <v>309</v>
      </c>
      <c r="H496" s="64" t="s">
        <v>199</v>
      </c>
      <c r="I496" s="64" t="s">
        <v>11</v>
      </c>
      <c r="J496" s="64" t="s">
        <v>187</v>
      </c>
      <c r="K496" s="66">
        <v>12</v>
      </c>
      <c r="L496" s="66">
        <f t="shared" ref="L496:L530" si="85">K496*VLOOKUP(I496,dagsoorttabel1,2,FALSE)</f>
        <v>11.152941176470588</v>
      </c>
      <c r="M496" s="67">
        <f>prodnorm50</f>
        <v>0</v>
      </c>
      <c r="N496" s="68">
        <f>dagwerk50</f>
        <v>0</v>
      </c>
      <c r="O496" s="64" t="s">
        <v>54</v>
      </c>
      <c r="P496" s="69">
        <f>uurtarief50</f>
        <v>0</v>
      </c>
      <c r="Q496" s="66" t="e">
        <f t="shared" ref="Q496:Q529" si="86">IF(ISBLANK(M496),0,L496/ROUND(M496,4))</f>
        <v>#DIV/0!</v>
      </c>
      <c r="R496" s="66" t="e">
        <f t="shared" ref="R496:R530" si="87">IF(ISBLANK(M496),0,Q496*ROUND(N496,2))</f>
        <v>#DIV/0!</v>
      </c>
      <c r="S496" s="69" t="e">
        <f t="shared" ref="S496:S530" si="88">ROUND(P496,2)*Q496</f>
        <v>#DIV/0!</v>
      </c>
      <c r="T496" s="66" t="e">
        <f t="shared" ref="T496:T530" si="89">Q496*dagenperjaar1</f>
        <v>#DIV/0!</v>
      </c>
      <c r="U496" s="70" t="e">
        <f t="shared" ref="U496:U530" si="90">T496*ROUND(P496,2)</f>
        <v>#DIV/0!</v>
      </c>
    </row>
    <row r="497" spans="1:21" x14ac:dyDescent="0.2">
      <c r="A497" s="71" t="s">
        <v>683</v>
      </c>
      <c r="B497" s="72" t="s">
        <v>300</v>
      </c>
      <c r="C497" s="72" t="s">
        <v>330</v>
      </c>
      <c r="D497" s="72" t="s">
        <v>335</v>
      </c>
      <c r="E497" s="72" t="s">
        <v>300</v>
      </c>
      <c r="F497" s="73" t="s">
        <v>684</v>
      </c>
      <c r="G497" s="72" t="s">
        <v>309</v>
      </c>
      <c r="H497" s="72" t="s">
        <v>231</v>
      </c>
      <c r="I497" s="72" t="s">
        <v>11</v>
      </c>
      <c r="J497" s="72" t="s">
        <v>187</v>
      </c>
      <c r="K497" s="74">
        <v>20</v>
      </c>
      <c r="L497" s="74">
        <f t="shared" si="85"/>
        <v>18.588235294117649</v>
      </c>
      <c r="M497" s="75">
        <f>prodnorm101</f>
        <v>0</v>
      </c>
      <c r="N497" s="76">
        <f>dagwerk101</f>
        <v>0</v>
      </c>
      <c r="O497" s="72" t="s">
        <v>54</v>
      </c>
      <c r="P497" s="77">
        <f>uurtarief101</f>
        <v>0</v>
      </c>
      <c r="Q497" s="74" t="e">
        <f t="shared" si="86"/>
        <v>#DIV/0!</v>
      </c>
      <c r="R497" s="74" t="e">
        <f t="shared" si="87"/>
        <v>#DIV/0!</v>
      </c>
      <c r="S497" s="77" t="e">
        <f t="shared" si="88"/>
        <v>#DIV/0!</v>
      </c>
      <c r="T497" s="74" t="e">
        <f t="shared" si="89"/>
        <v>#DIV/0!</v>
      </c>
      <c r="U497" s="78" t="e">
        <f t="shared" si="90"/>
        <v>#DIV/0!</v>
      </c>
    </row>
    <row r="498" spans="1:21" x14ac:dyDescent="0.2">
      <c r="A498" s="71" t="s">
        <v>683</v>
      </c>
      <c r="B498" s="72" t="s">
        <v>300</v>
      </c>
      <c r="C498" s="72" t="s">
        <v>330</v>
      </c>
      <c r="D498" s="72" t="s">
        <v>685</v>
      </c>
      <c r="E498" s="72" t="s">
        <v>300</v>
      </c>
      <c r="F498" s="73" t="s">
        <v>566</v>
      </c>
      <c r="G498" s="72" t="s">
        <v>309</v>
      </c>
      <c r="H498" s="72" t="s">
        <v>222</v>
      </c>
      <c r="I498" s="72" t="s">
        <v>11</v>
      </c>
      <c r="J498" s="72" t="s">
        <v>187</v>
      </c>
      <c r="K498" s="74">
        <v>5</v>
      </c>
      <c r="L498" s="74">
        <f t="shared" si="85"/>
        <v>4.6470588235294121</v>
      </c>
      <c r="M498" s="75">
        <f>prodnorm81</f>
        <v>0</v>
      </c>
      <c r="N498" s="76">
        <f>dagwerk81</f>
        <v>0</v>
      </c>
      <c r="O498" s="72" t="s">
        <v>54</v>
      </c>
      <c r="P498" s="77">
        <f>uurtarief81</f>
        <v>0</v>
      </c>
      <c r="Q498" s="74" t="e">
        <f t="shared" si="86"/>
        <v>#DIV/0!</v>
      </c>
      <c r="R498" s="74" t="e">
        <f t="shared" si="87"/>
        <v>#DIV/0!</v>
      </c>
      <c r="S498" s="77" t="e">
        <f t="shared" si="88"/>
        <v>#DIV/0!</v>
      </c>
      <c r="T498" s="74" t="e">
        <f t="shared" si="89"/>
        <v>#DIV/0!</v>
      </c>
      <c r="U498" s="78" t="e">
        <f t="shared" si="90"/>
        <v>#DIV/0!</v>
      </c>
    </row>
    <row r="499" spans="1:21" x14ac:dyDescent="0.2">
      <c r="A499" s="71" t="s">
        <v>683</v>
      </c>
      <c r="B499" s="72" t="s">
        <v>300</v>
      </c>
      <c r="C499" s="72" t="s">
        <v>330</v>
      </c>
      <c r="D499" s="72" t="s">
        <v>686</v>
      </c>
      <c r="E499" s="72" t="s">
        <v>300</v>
      </c>
      <c r="F499" s="73" t="s">
        <v>615</v>
      </c>
      <c r="G499" s="72" t="s">
        <v>309</v>
      </c>
      <c r="H499" s="72" t="s">
        <v>195</v>
      </c>
      <c r="I499" s="72" t="s">
        <v>11</v>
      </c>
      <c r="J499" s="72" t="s">
        <v>187</v>
      </c>
      <c r="K499" s="74">
        <v>12</v>
      </c>
      <c r="L499" s="74">
        <f t="shared" si="85"/>
        <v>11.152941176470588</v>
      </c>
      <c r="M499" s="75">
        <f>prodnorm44</f>
        <v>0</v>
      </c>
      <c r="N499" s="76">
        <f>dagwerk44</f>
        <v>0</v>
      </c>
      <c r="O499" s="72" t="s">
        <v>54</v>
      </c>
      <c r="P499" s="77">
        <f>uurtarief44</f>
        <v>0</v>
      </c>
      <c r="Q499" s="74" t="e">
        <f t="shared" si="86"/>
        <v>#DIV/0!</v>
      </c>
      <c r="R499" s="74" t="e">
        <f t="shared" si="87"/>
        <v>#DIV/0!</v>
      </c>
      <c r="S499" s="77" t="e">
        <f t="shared" si="88"/>
        <v>#DIV/0!</v>
      </c>
      <c r="T499" s="74" t="e">
        <f t="shared" si="89"/>
        <v>#DIV/0!</v>
      </c>
      <c r="U499" s="78" t="e">
        <f t="shared" si="90"/>
        <v>#DIV/0!</v>
      </c>
    </row>
    <row r="500" spans="1:21" x14ac:dyDescent="0.2">
      <c r="A500" s="71" t="s">
        <v>683</v>
      </c>
      <c r="B500" s="72" t="s">
        <v>300</v>
      </c>
      <c r="C500" s="72" t="s">
        <v>330</v>
      </c>
      <c r="D500" s="72" t="s">
        <v>553</v>
      </c>
      <c r="E500" s="72" t="s">
        <v>300</v>
      </c>
      <c r="F500" s="73" t="s">
        <v>641</v>
      </c>
      <c r="G500" s="72" t="s">
        <v>309</v>
      </c>
      <c r="H500" s="72" t="s">
        <v>222</v>
      </c>
      <c r="I500" s="72" t="s">
        <v>11</v>
      </c>
      <c r="J500" s="72" t="s">
        <v>187</v>
      </c>
      <c r="K500" s="74">
        <v>3</v>
      </c>
      <c r="L500" s="74">
        <f t="shared" si="85"/>
        <v>2.7882352941176469</v>
      </c>
      <c r="M500" s="75">
        <f>prodnorm81</f>
        <v>0</v>
      </c>
      <c r="N500" s="76">
        <f>dagwerk81</f>
        <v>0</v>
      </c>
      <c r="O500" s="72" t="s">
        <v>54</v>
      </c>
      <c r="P500" s="77">
        <f>uurtarief81</f>
        <v>0</v>
      </c>
      <c r="Q500" s="74" t="e">
        <f t="shared" si="86"/>
        <v>#DIV/0!</v>
      </c>
      <c r="R500" s="74" t="e">
        <f t="shared" si="87"/>
        <v>#DIV/0!</v>
      </c>
      <c r="S500" s="77" t="e">
        <f t="shared" si="88"/>
        <v>#DIV/0!</v>
      </c>
      <c r="T500" s="74" t="e">
        <f t="shared" si="89"/>
        <v>#DIV/0!</v>
      </c>
      <c r="U500" s="78" t="e">
        <f t="shared" si="90"/>
        <v>#DIV/0!</v>
      </c>
    </row>
    <row r="501" spans="1:21" x14ac:dyDescent="0.2">
      <c r="A501" s="71" t="s">
        <v>683</v>
      </c>
      <c r="B501" s="72" t="s">
        <v>300</v>
      </c>
      <c r="C501" s="72" t="s">
        <v>330</v>
      </c>
      <c r="D501" s="72" t="s">
        <v>543</v>
      </c>
      <c r="E501" s="72" t="s">
        <v>300</v>
      </c>
      <c r="F501" s="73" t="s">
        <v>637</v>
      </c>
      <c r="G501" s="72" t="s">
        <v>309</v>
      </c>
      <c r="H501" s="72" t="s">
        <v>222</v>
      </c>
      <c r="I501" s="72" t="s">
        <v>11</v>
      </c>
      <c r="J501" s="72" t="s">
        <v>187</v>
      </c>
      <c r="K501" s="74">
        <v>5</v>
      </c>
      <c r="L501" s="74">
        <f t="shared" si="85"/>
        <v>4.6470588235294121</v>
      </c>
      <c r="M501" s="75">
        <f>prodnorm81</f>
        <v>0</v>
      </c>
      <c r="N501" s="76">
        <f>dagwerk81</f>
        <v>0</v>
      </c>
      <c r="O501" s="72" t="s">
        <v>54</v>
      </c>
      <c r="P501" s="77">
        <f>uurtarief81</f>
        <v>0</v>
      </c>
      <c r="Q501" s="74" t="e">
        <f t="shared" si="86"/>
        <v>#DIV/0!</v>
      </c>
      <c r="R501" s="74" t="e">
        <f t="shared" si="87"/>
        <v>#DIV/0!</v>
      </c>
      <c r="S501" s="77" t="e">
        <f t="shared" si="88"/>
        <v>#DIV/0!</v>
      </c>
      <c r="T501" s="74" t="e">
        <f t="shared" si="89"/>
        <v>#DIV/0!</v>
      </c>
      <c r="U501" s="78" t="e">
        <f t="shared" si="90"/>
        <v>#DIV/0!</v>
      </c>
    </row>
    <row r="502" spans="1:21" x14ac:dyDescent="0.2">
      <c r="A502" s="71" t="s">
        <v>683</v>
      </c>
      <c r="B502" s="72" t="s">
        <v>300</v>
      </c>
      <c r="C502" s="72" t="s">
        <v>330</v>
      </c>
      <c r="D502" s="72" t="s">
        <v>687</v>
      </c>
      <c r="E502" s="72" t="s">
        <v>300</v>
      </c>
      <c r="F502" s="73" t="s">
        <v>688</v>
      </c>
      <c r="G502" s="72" t="s">
        <v>326</v>
      </c>
      <c r="H502" s="72" t="s">
        <v>231</v>
      </c>
      <c r="I502" s="72" t="s">
        <v>11</v>
      </c>
      <c r="J502" s="72" t="s">
        <v>187</v>
      </c>
      <c r="K502" s="74">
        <v>88</v>
      </c>
      <c r="L502" s="74">
        <f t="shared" si="85"/>
        <v>81.788235294117655</v>
      </c>
      <c r="M502" s="75">
        <f>prodnorm101</f>
        <v>0</v>
      </c>
      <c r="N502" s="76">
        <f>dagwerk101</f>
        <v>0</v>
      </c>
      <c r="O502" s="72" t="s">
        <v>54</v>
      </c>
      <c r="P502" s="77">
        <f>uurtarief101</f>
        <v>0</v>
      </c>
      <c r="Q502" s="74" t="e">
        <f t="shared" si="86"/>
        <v>#DIV/0!</v>
      </c>
      <c r="R502" s="74" t="e">
        <f t="shared" si="87"/>
        <v>#DIV/0!</v>
      </c>
      <c r="S502" s="77" t="e">
        <f t="shared" si="88"/>
        <v>#DIV/0!</v>
      </c>
      <c r="T502" s="74" t="e">
        <f t="shared" si="89"/>
        <v>#DIV/0!</v>
      </c>
      <c r="U502" s="78" t="e">
        <f t="shared" si="90"/>
        <v>#DIV/0!</v>
      </c>
    </row>
    <row r="503" spans="1:21" x14ac:dyDescent="0.2">
      <c r="A503" s="71" t="s">
        <v>683</v>
      </c>
      <c r="B503" s="72" t="s">
        <v>300</v>
      </c>
      <c r="C503" s="72" t="s">
        <v>330</v>
      </c>
      <c r="D503" s="72" t="s">
        <v>687</v>
      </c>
      <c r="E503" s="72" t="s">
        <v>300</v>
      </c>
      <c r="F503" s="73" t="s">
        <v>688</v>
      </c>
      <c r="G503" s="72" t="s">
        <v>326</v>
      </c>
      <c r="H503" s="72" t="s">
        <v>241</v>
      </c>
      <c r="I503" s="72" t="s">
        <v>41</v>
      </c>
      <c r="J503" s="72" t="s">
        <v>242</v>
      </c>
      <c r="K503" s="74">
        <v>88</v>
      </c>
      <c r="L503" s="74">
        <f t="shared" si="85"/>
        <v>0.34509803921568627</v>
      </c>
      <c r="M503" s="75">
        <f>prodnorm117</f>
        <v>0</v>
      </c>
      <c r="N503" s="76">
        <f>dagwerk117</f>
        <v>0</v>
      </c>
      <c r="O503" s="72" t="s">
        <v>54</v>
      </c>
      <c r="P503" s="77">
        <f>uurtarief117</f>
        <v>0</v>
      </c>
      <c r="Q503" s="74" t="e">
        <f t="shared" si="86"/>
        <v>#DIV/0!</v>
      </c>
      <c r="R503" s="74" t="e">
        <f t="shared" si="87"/>
        <v>#DIV/0!</v>
      </c>
      <c r="S503" s="77" t="e">
        <f t="shared" si="88"/>
        <v>#DIV/0!</v>
      </c>
      <c r="T503" s="74" t="e">
        <f t="shared" si="89"/>
        <v>#DIV/0!</v>
      </c>
      <c r="U503" s="78" t="e">
        <f t="shared" si="90"/>
        <v>#DIV/0!</v>
      </c>
    </row>
    <row r="504" spans="1:21" x14ac:dyDescent="0.2">
      <c r="A504" s="71" t="s">
        <v>683</v>
      </c>
      <c r="B504" s="72" t="s">
        <v>300</v>
      </c>
      <c r="C504" s="72" t="s">
        <v>330</v>
      </c>
      <c r="D504" s="72" t="s">
        <v>689</v>
      </c>
      <c r="E504" s="72" t="s">
        <v>300</v>
      </c>
      <c r="F504" s="73" t="s">
        <v>306</v>
      </c>
      <c r="G504" s="72" t="s">
        <v>326</v>
      </c>
      <c r="H504" s="72" t="s">
        <v>231</v>
      </c>
      <c r="I504" s="72" t="s">
        <v>11</v>
      </c>
      <c r="J504" s="72" t="s">
        <v>187</v>
      </c>
      <c r="K504" s="74">
        <v>8</v>
      </c>
      <c r="L504" s="74">
        <f t="shared" si="85"/>
        <v>7.4352941176470591</v>
      </c>
      <c r="M504" s="75">
        <f>prodnorm101</f>
        <v>0</v>
      </c>
      <c r="N504" s="76">
        <f>dagwerk101</f>
        <v>0</v>
      </c>
      <c r="O504" s="72" t="s">
        <v>54</v>
      </c>
      <c r="P504" s="77">
        <f>uurtarief101</f>
        <v>0</v>
      </c>
      <c r="Q504" s="74" t="e">
        <f t="shared" si="86"/>
        <v>#DIV/0!</v>
      </c>
      <c r="R504" s="74" t="e">
        <f t="shared" si="87"/>
        <v>#DIV/0!</v>
      </c>
      <c r="S504" s="77" t="e">
        <f t="shared" si="88"/>
        <v>#DIV/0!</v>
      </c>
      <c r="T504" s="74" t="e">
        <f t="shared" si="89"/>
        <v>#DIV/0!</v>
      </c>
      <c r="U504" s="78" t="e">
        <f t="shared" si="90"/>
        <v>#DIV/0!</v>
      </c>
    </row>
    <row r="505" spans="1:21" x14ac:dyDescent="0.2">
      <c r="A505" s="71" t="s">
        <v>683</v>
      </c>
      <c r="B505" s="72" t="s">
        <v>300</v>
      </c>
      <c r="C505" s="72" t="s">
        <v>330</v>
      </c>
      <c r="D505" s="72" t="s">
        <v>689</v>
      </c>
      <c r="E505" s="72" t="s">
        <v>300</v>
      </c>
      <c r="F505" s="73" t="s">
        <v>306</v>
      </c>
      <c r="G505" s="72" t="s">
        <v>326</v>
      </c>
      <c r="H505" s="72" t="s">
        <v>241</v>
      </c>
      <c r="I505" s="72" t="s">
        <v>41</v>
      </c>
      <c r="J505" s="72" t="s">
        <v>242</v>
      </c>
      <c r="K505" s="74">
        <v>8</v>
      </c>
      <c r="L505" s="74">
        <f t="shared" si="85"/>
        <v>3.1372549019607843E-2</v>
      </c>
      <c r="M505" s="75">
        <f>prodnorm117</f>
        <v>0</v>
      </c>
      <c r="N505" s="76">
        <f>dagwerk117</f>
        <v>0</v>
      </c>
      <c r="O505" s="72" t="s">
        <v>54</v>
      </c>
      <c r="P505" s="77">
        <f>uurtarief117</f>
        <v>0</v>
      </c>
      <c r="Q505" s="74" t="e">
        <f t="shared" si="86"/>
        <v>#DIV/0!</v>
      </c>
      <c r="R505" s="74" t="e">
        <f t="shared" si="87"/>
        <v>#DIV/0!</v>
      </c>
      <c r="S505" s="77" t="e">
        <f t="shared" si="88"/>
        <v>#DIV/0!</v>
      </c>
      <c r="T505" s="74" t="e">
        <f t="shared" si="89"/>
        <v>#DIV/0!</v>
      </c>
      <c r="U505" s="78" t="e">
        <f t="shared" si="90"/>
        <v>#DIV/0!</v>
      </c>
    </row>
    <row r="506" spans="1:21" x14ac:dyDescent="0.2">
      <c r="A506" s="71" t="s">
        <v>683</v>
      </c>
      <c r="B506" s="72" t="s">
        <v>300</v>
      </c>
      <c r="C506" s="72" t="s">
        <v>330</v>
      </c>
      <c r="D506" s="72" t="s">
        <v>690</v>
      </c>
      <c r="E506" s="72" t="s">
        <v>300</v>
      </c>
      <c r="F506" s="73" t="s">
        <v>306</v>
      </c>
      <c r="G506" s="72" t="s">
        <v>326</v>
      </c>
      <c r="H506" s="72" t="s">
        <v>231</v>
      </c>
      <c r="I506" s="72" t="s">
        <v>11</v>
      </c>
      <c r="J506" s="72" t="s">
        <v>187</v>
      </c>
      <c r="K506" s="74">
        <v>8</v>
      </c>
      <c r="L506" s="74">
        <f t="shared" si="85"/>
        <v>7.4352941176470591</v>
      </c>
      <c r="M506" s="75">
        <f>prodnorm101</f>
        <v>0</v>
      </c>
      <c r="N506" s="76">
        <f>dagwerk101</f>
        <v>0</v>
      </c>
      <c r="O506" s="72" t="s">
        <v>54</v>
      </c>
      <c r="P506" s="77">
        <f>uurtarief101</f>
        <v>0</v>
      </c>
      <c r="Q506" s="74" t="e">
        <f t="shared" si="86"/>
        <v>#DIV/0!</v>
      </c>
      <c r="R506" s="74" t="e">
        <f t="shared" si="87"/>
        <v>#DIV/0!</v>
      </c>
      <c r="S506" s="77" t="e">
        <f t="shared" si="88"/>
        <v>#DIV/0!</v>
      </c>
      <c r="T506" s="74" t="e">
        <f t="shared" si="89"/>
        <v>#DIV/0!</v>
      </c>
      <c r="U506" s="78" t="e">
        <f t="shared" si="90"/>
        <v>#DIV/0!</v>
      </c>
    </row>
    <row r="507" spans="1:21" x14ac:dyDescent="0.2">
      <c r="A507" s="71" t="s">
        <v>683</v>
      </c>
      <c r="B507" s="72" t="s">
        <v>300</v>
      </c>
      <c r="C507" s="72" t="s">
        <v>330</v>
      </c>
      <c r="D507" s="72" t="s">
        <v>690</v>
      </c>
      <c r="E507" s="72" t="s">
        <v>300</v>
      </c>
      <c r="F507" s="73" t="s">
        <v>306</v>
      </c>
      <c r="G507" s="72" t="s">
        <v>326</v>
      </c>
      <c r="H507" s="72" t="s">
        <v>241</v>
      </c>
      <c r="I507" s="72" t="s">
        <v>41</v>
      </c>
      <c r="J507" s="72" t="s">
        <v>242</v>
      </c>
      <c r="K507" s="74">
        <v>8</v>
      </c>
      <c r="L507" s="74">
        <f t="shared" si="85"/>
        <v>3.1372549019607843E-2</v>
      </c>
      <c r="M507" s="75">
        <f>prodnorm117</f>
        <v>0</v>
      </c>
      <c r="N507" s="76">
        <f>dagwerk117</f>
        <v>0</v>
      </c>
      <c r="O507" s="72" t="s">
        <v>54</v>
      </c>
      <c r="P507" s="77">
        <f>uurtarief117</f>
        <v>0</v>
      </c>
      <c r="Q507" s="74" t="e">
        <f t="shared" si="86"/>
        <v>#DIV/0!</v>
      </c>
      <c r="R507" s="74" t="e">
        <f t="shared" si="87"/>
        <v>#DIV/0!</v>
      </c>
      <c r="S507" s="77" t="e">
        <f t="shared" si="88"/>
        <v>#DIV/0!</v>
      </c>
      <c r="T507" s="74" t="e">
        <f t="shared" si="89"/>
        <v>#DIV/0!</v>
      </c>
      <c r="U507" s="78" t="e">
        <f t="shared" si="90"/>
        <v>#DIV/0!</v>
      </c>
    </row>
    <row r="508" spans="1:21" x14ac:dyDescent="0.2">
      <c r="A508" s="71" t="s">
        <v>683</v>
      </c>
      <c r="B508" s="72" t="s">
        <v>300</v>
      </c>
      <c r="C508" s="72" t="s">
        <v>330</v>
      </c>
      <c r="D508" s="72" t="s">
        <v>356</v>
      </c>
      <c r="E508" s="72" t="s">
        <v>300</v>
      </c>
      <c r="F508" s="73" t="s">
        <v>563</v>
      </c>
      <c r="G508" s="72" t="s">
        <v>309</v>
      </c>
      <c r="H508" s="72" t="s">
        <v>222</v>
      </c>
      <c r="I508" s="72" t="s">
        <v>11</v>
      </c>
      <c r="J508" s="72" t="s">
        <v>187</v>
      </c>
      <c r="K508" s="74">
        <v>31</v>
      </c>
      <c r="L508" s="74">
        <f t="shared" si="85"/>
        <v>28.811764705882354</v>
      </c>
      <c r="M508" s="75">
        <f>prodnorm81</f>
        <v>0</v>
      </c>
      <c r="N508" s="76">
        <f>dagwerk81</f>
        <v>0</v>
      </c>
      <c r="O508" s="72" t="s">
        <v>54</v>
      </c>
      <c r="P508" s="77">
        <f>uurtarief81</f>
        <v>0</v>
      </c>
      <c r="Q508" s="74" t="e">
        <f t="shared" si="86"/>
        <v>#DIV/0!</v>
      </c>
      <c r="R508" s="74" t="e">
        <f t="shared" si="87"/>
        <v>#DIV/0!</v>
      </c>
      <c r="S508" s="77" t="e">
        <f t="shared" si="88"/>
        <v>#DIV/0!</v>
      </c>
      <c r="T508" s="74" t="e">
        <f t="shared" si="89"/>
        <v>#DIV/0!</v>
      </c>
      <c r="U508" s="78" t="e">
        <f t="shared" si="90"/>
        <v>#DIV/0!</v>
      </c>
    </row>
    <row r="509" spans="1:21" x14ac:dyDescent="0.2">
      <c r="A509" s="71" t="s">
        <v>683</v>
      </c>
      <c r="B509" s="72" t="s">
        <v>300</v>
      </c>
      <c r="C509" s="72" t="s">
        <v>330</v>
      </c>
      <c r="D509" s="72" t="s">
        <v>691</v>
      </c>
      <c r="E509" s="72" t="s">
        <v>300</v>
      </c>
      <c r="F509" s="73" t="s">
        <v>319</v>
      </c>
      <c r="G509" s="72" t="s">
        <v>309</v>
      </c>
      <c r="H509" s="72" t="s">
        <v>222</v>
      </c>
      <c r="I509" s="72" t="s">
        <v>11</v>
      </c>
      <c r="J509" s="72" t="s">
        <v>187</v>
      </c>
      <c r="K509" s="74">
        <v>2</v>
      </c>
      <c r="L509" s="74">
        <f t="shared" si="85"/>
        <v>1.8588235294117648</v>
      </c>
      <c r="M509" s="75">
        <f>prodnorm81</f>
        <v>0</v>
      </c>
      <c r="N509" s="76">
        <f>dagwerk81</f>
        <v>0</v>
      </c>
      <c r="O509" s="72" t="s">
        <v>54</v>
      </c>
      <c r="P509" s="77">
        <f>uurtarief81</f>
        <v>0</v>
      </c>
      <c r="Q509" s="74" t="e">
        <f t="shared" si="86"/>
        <v>#DIV/0!</v>
      </c>
      <c r="R509" s="74" t="e">
        <f t="shared" si="87"/>
        <v>#DIV/0!</v>
      </c>
      <c r="S509" s="77" t="e">
        <f t="shared" si="88"/>
        <v>#DIV/0!</v>
      </c>
      <c r="T509" s="74" t="e">
        <f t="shared" si="89"/>
        <v>#DIV/0!</v>
      </c>
      <c r="U509" s="78" t="e">
        <f t="shared" si="90"/>
        <v>#DIV/0!</v>
      </c>
    </row>
    <row r="510" spans="1:21" x14ac:dyDescent="0.2">
      <c r="A510" s="71" t="s">
        <v>683</v>
      </c>
      <c r="B510" s="72" t="s">
        <v>300</v>
      </c>
      <c r="C510" s="72" t="s">
        <v>330</v>
      </c>
      <c r="D510" s="72" t="s">
        <v>692</v>
      </c>
      <c r="E510" s="72" t="s">
        <v>300</v>
      </c>
      <c r="F510" s="73" t="s">
        <v>615</v>
      </c>
      <c r="G510" s="72" t="s">
        <v>309</v>
      </c>
      <c r="H510" s="72" t="s">
        <v>195</v>
      </c>
      <c r="I510" s="72" t="s">
        <v>11</v>
      </c>
      <c r="J510" s="72" t="s">
        <v>187</v>
      </c>
      <c r="K510" s="74">
        <v>12</v>
      </c>
      <c r="L510" s="74">
        <f t="shared" si="85"/>
        <v>11.152941176470588</v>
      </c>
      <c r="M510" s="75">
        <f>prodnorm44</f>
        <v>0</v>
      </c>
      <c r="N510" s="76">
        <f>dagwerk44</f>
        <v>0</v>
      </c>
      <c r="O510" s="72" t="s">
        <v>54</v>
      </c>
      <c r="P510" s="77">
        <f>uurtarief44</f>
        <v>0</v>
      </c>
      <c r="Q510" s="74" t="e">
        <f t="shared" si="86"/>
        <v>#DIV/0!</v>
      </c>
      <c r="R510" s="74" t="e">
        <f t="shared" si="87"/>
        <v>#DIV/0!</v>
      </c>
      <c r="S510" s="77" t="e">
        <f t="shared" si="88"/>
        <v>#DIV/0!</v>
      </c>
      <c r="T510" s="74" t="e">
        <f t="shared" si="89"/>
        <v>#DIV/0!</v>
      </c>
      <c r="U510" s="78" t="e">
        <f t="shared" si="90"/>
        <v>#DIV/0!</v>
      </c>
    </row>
    <row r="511" spans="1:21" ht="25.5" x14ac:dyDescent="0.2">
      <c r="A511" s="71" t="s">
        <v>683</v>
      </c>
      <c r="B511" s="72" t="s">
        <v>300</v>
      </c>
      <c r="C511" s="72" t="s">
        <v>330</v>
      </c>
      <c r="D511" s="72" t="s">
        <v>549</v>
      </c>
      <c r="E511" s="72" t="s">
        <v>300</v>
      </c>
      <c r="F511" s="73" t="s">
        <v>693</v>
      </c>
      <c r="G511" s="72" t="s">
        <v>631</v>
      </c>
      <c r="H511" s="72" t="s">
        <v>205</v>
      </c>
      <c r="I511" s="72" t="s">
        <v>11</v>
      </c>
      <c r="J511" s="72" t="s">
        <v>187</v>
      </c>
      <c r="K511" s="74">
        <v>370</v>
      </c>
      <c r="L511" s="74">
        <f t="shared" si="85"/>
        <v>343.88235294117646</v>
      </c>
      <c r="M511" s="75">
        <f>prodnorm55</f>
        <v>0</v>
      </c>
      <c r="N511" s="76">
        <f>dagwerk55</f>
        <v>0</v>
      </c>
      <c r="O511" s="72" t="s">
        <v>54</v>
      </c>
      <c r="P511" s="77">
        <f>uurtarief55</f>
        <v>0</v>
      </c>
      <c r="Q511" s="74" t="e">
        <f t="shared" si="86"/>
        <v>#DIV/0!</v>
      </c>
      <c r="R511" s="74" t="e">
        <f t="shared" si="87"/>
        <v>#DIV/0!</v>
      </c>
      <c r="S511" s="77" t="e">
        <f t="shared" si="88"/>
        <v>#DIV/0!</v>
      </c>
      <c r="T511" s="74" t="e">
        <f t="shared" si="89"/>
        <v>#DIV/0!</v>
      </c>
      <c r="U511" s="78" t="e">
        <f t="shared" si="90"/>
        <v>#DIV/0!</v>
      </c>
    </row>
    <row r="512" spans="1:21" ht="25.5" x14ac:dyDescent="0.2">
      <c r="A512" s="71" t="s">
        <v>683</v>
      </c>
      <c r="B512" s="72" t="s">
        <v>300</v>
      </c>
      <c r="C512" s="72" t="s">
        <v>330</v>
      </c>
      <c r="D512" s="72" t="s">
        <v>549</v>
      </c>
      <c r="E512" s="72" t="s">
        <v>300</v>
      </c>
      <c r="F512" s="73" t="s">
        <v>693</v>
      </c>
      <c r="G512" s="72" t="s">
        <v>631</v>
      </c>
      <c r="H512" s="72" t="s">
        <v>244</v>
      </c>
      <c r="I512" s="72" t="s">
        <v>40</v>
      </c>
      <c r="J512" s="72" t="s">
        <v>242</v>
      </c>
      <c r="K512" s="74">
        <v>370</v>
      </c>
      <c r="L512" s="74">
        <f t="shared" si="85"/>
        <v>2.9019607843137254</v>
      </c>
      <c r="M512" s="75">
        <f>prodnorm118</f>
        <v>0</v>
      </c>
      <c r="N512" s="76">
        <f>dagwerk118</f>
        <v>0</v>
      </c>
      <c r="O512" s="72" t="s">
        <v>54</v>
      </c>
      <c r="P512" s="77">
        <f>uurtarief118</f>
        <v>0</v>
      </c>
      <c r="Q512" s="74" t="e">
        <f t="shared" si="86"/>
        <v>#DIV/0!</v>
      </c>
      <c r="R512" s="74" t="e">
        <f t="shared" si="87"/>
        <v>#DIV/0!</v>
      </c>
      <c r="S512" s="77" t="e">
        <f t="shared" si="88"/>
        <v>#DIV/0!</v>
      </c>
      <c r="T512" s="74" t="e">
        <f t="shared" si="89"/>
        <v>#DIV/0!</v>
      </c>
      <c r="U512" s="78" t="e">
        <f t="shared" si="90"/>
        <v>#DIV/0!</v>
      </c>
    </row>
    <row r="513" spans="1:21" x14ac:dyDescent="0.2">
      <c r="A513" s="71" t="s">
        <v>683</v>
      </c>
      <c r="B513" s="72" t="s">
        <v>300</v>
      </c>
      <c r="C513" s="72" t="s">
        <v>330</v>
      </c>
      <c r="D513" s="72" t="s">
        <v>599</v>
      </c>
      <c r="E513" s="72" t="s">
        <v>300</v>
      </c>
      <c r="F513" s="73" t="s">
        <v>694</v>
      </c>
      <c r="G513" s="72" t="s">
        <v>309</v>
      </c>
      <c r="H513" s="72" t="s">
        <v>222</v>
      </c>
      <c r="I513" s="72" t="s">
        <v>11</v>
      </c>
      <c r="J513" s="72" t="s">
        <v>187</v>
      </c>
      <c r="K513" s="74">
        <v>31</v>
      </c>
      <c r="L513" s="74">
        <f t="shared" si="85"/>
        <v>28.811764705882354</v>
      </c>
      <c r="M513" s="75">
        <f>prodnorm81</f>
        <v>0</v>
      </c>
      <c r="N513" s="76">
        <f>dagwerk81</f>
        <v>0</v>
      </c>
      <c r="O513" s="72" t="s">
        <v>54</v>
      </c>
      <c r="P513" s="77">
        <f>uurtarief81</f>
        <v>0</v>
      </c>
      <c r="Q513" s="74" t="e">
        <f t="shared" si="86"/>
        <v>#DIV/0!</v>
      </c>
      <c r="R513" s="74" t="e">
        <f t="shared" si="87"/>
        <v>#DIV/0!</v>
      </c>
      <c r="S513" s="77" t="e">
        <f t="shared" si="88"/>
        <v>#DIV/0!</v>
      </c>
      <c r="T513" s="74" t="e">
        <f t="shared" si="89"/>
        <v>#DIV/0!</v>
      </c>
      <c r="U513" s="78" t="e">
        <f t="shared" si="90"/>
        <v>#DIV/0!</v>
      </c>
    </row>
    <row r="514" spans="1:21" x14ac:dyDescent="0.2">
      <c r="A514" s="71" t="s">
        <v>683</v>
      </c>
      <c r="B514" s="72" t="s">
        <v>300</v>
      </c>
      <c r="C514" s="72" t="s">
        <v>330</v>
      </c>
      <c r="D514" s="72" t="s">
        <v>601</v>
      </c>
      <c r="E514" s="72" t="s">
        <v>300</v>
      </c>
      <c r="F514" s="73" t="s">
        <v>319</v>
      </c>
      <c r="G514" s="72" t="s">
        <v>309</v>
      </c>
      <c r="H514" s="72" t="s">
        <v>222</v>
      </c>
      <c r="I514" s="72" t="s">
        <v>11</v>
      </c>
      <c r="J514" s="72" t="s">
        <v>187</v>
      </c>
      <c r="K514" s="74">
        <v>3</v>
      </c>
      <c r="L514" s="74">
        <f t="shared" si="85"/>
        <v>2.7882352941176469</v>
      </c>
      <c r="M514" s="75">
        <f>prodnorm81</f>
        <v>0</v>
      </c>
      <c r="N514" s="76">
        <f>dagwerk81</f>
        <v>0</v>
      </c>
      <c r="O514" s="72" t="s">
        <v>54</v>
      </c>
      <c r="P514" s="77">
        <f>uurtarief81</f>
        <v>0</v>
      </c>
      <c r="Q514" s="74" t="e">
        <f t="shared" si="86"/>
        <v>#DIV/0!</v>
      </c>
      <c r="R514" s="74" t="e">
        <f t="shared" si="87"/>
        <v>#DIV/0!</v>
      </c>
      <c r="S514" s="77" t="e">
        <f t="shared" si="88"/>
        <v>#DIV/0!</v>
      </c>
      <c r="T514" s="74" t="e">
        <f t="shared" si="89"/>
        <v>#DIV/0!</v>
      </c>
      <c r="U514" s="78" t="e">
        <f t="shared" si="90"/>
        <v>#DIV/0!</v>
      </c>
    </row>
    <row r="515" spans="1:21" x14ac:dyDescent="0.2">
      <c r="A515" s="71" t="s">
        <v>683</v>
      </c>
      <c r="B515" s="72" t="s">
        <v>300</v>
      </c>
      <c r="C515" s="72" t="s">
        <v>330</v>
      </c>
      <c r="D515" s="72" t="s">
        <v>604</v>
      </c>
      <c r="E515" s="72" t="s">
        <v>300</v>
      </c>
      <c r="F515" s="73" t="s">
        <v>639</v>
      </c>
      <c r="G515" s="72" t="s">
        <v>309</v>
      </c>
      <c r="H515" s="72" t="s">
        <v>222</v>
      </c>
      <c r="I515" s="72" t="s">
        <v>11</v>
      </c>
      <c r="J515" s="72" t="s">
        <v>187</v>
      </c>
      <c r="K515" s="74">
        <v>10</v>
      </c>
      <c r="L515" s="74">
        <f t="shared" si="85"/>
        <v>9.2941176470588243</v>
      </c>
      <c r="M515" s="75">
        <f>prodnorm81</f>
        <v>0</v>
      </c>
      <c r="N515" s="76">
        <f>dagwerk81</f>
        <v>0</v>
      </c>
      <c r="O515" s="72" t="s">
        <v>54</v>
      </c>
      <c r="P515" s="77">
        <f>uurtarief81</f>
        <v>0</v>
      </c>
      <c r="Q515" s="74" t="e">
        <f t="shared" si="86"/>
        <v>#DIV/0!</v>
      </c>
      <c r="R515" s="74" t="e">
        <f t="shared" si="87"/>
        <v>#DIV/0!</v>
      </c>
      <c r="S515" s="77" t="e">
        <f t="shared" si="88"/>
        <v>#DIV/0!</v>
      </c>
      <c r="T515" s="74" t="e">
        <f t="shared" si="89"/>
        <v>#DIV/0!</v>
      </c>
      <c r="U515" s="78" t="e">
        <f t="shared" si="90"/>
        <v>#DIV/0!</v>
      </c>
    </row>
    <row r="516" spans="1:21" x14ac:dyDescent="0.2">
      <c r="A516" s="71" t="s">
        <v>683</v>
      </c>
      <c r="B516" s="72" t="s">
        <v>300</v>
      </c>
      <c r="C516" s="72" t="s">
        <v>330</v>
      </c>
      <c r="D516" s="72" t="s">
        <v>606</v>
      </c>
      <c r="E516" s="72" t="s">
        <v>300</v>
      </c>
      <c r="F516" s="73" t="s">
        <v>640</v>
      </c>
      <c r="G516" s="72" t="s">
        <v>309</v>
      </c>
      <c r="H516" s="72" t="s">
        <v>222</v>
      </c>
      <c r="I516" s="72" t="s">
        <v>11</v>
      </c>
      <c r="J516" s="72" t="s">
        <v>187</v>
      </c>
      <c r="K516" s="74">
        <v>5</v>
      </c>
      <c r="L516" s="74">
        <f t="shared" si="85"/>
        <v>4.6470588235294121</v>
      </c>
      <c r="M516" s="75">
        <f>prodnorm81</f>
        <v>0</v>
      </c>
      <c r="N516" s="76">
        <f>dagwerk81</f>
        <v>0</v>
      </c>
      <c r="O516" s="72" t="s">
        <v>54</v>
      </c>
      <c r="P516" s="77">
        <f>uurtarief81</f>
        <v>0</v>
      </c>
      <c r="Q516" s="74" t="e">
        <f t="shared" si="86"/>
        <v>#DIV/0!</v>
      </c>
      <c r="R516" s="74" t="e">
        <f t="shared" si="87"/>
        <v>#DIV/0!</v>
      </c>
      <c r="S516" s="77" t="e">
        <f t="shared" si="88"/>
        <v>#DIV/0!</v>
      </c>
      <c r="T516" s="74" t="e">
        <f t="shared" si="89"/>
        <v>#DIV/0!</v>
      </c>
      <c r="U516" s="78" t="e">
        <f t="shared" si="90"/>
        <v>#DIV/0!</v>
      </c>
    </row>
    <row r="517" spans="1:21" ht="25.5" x14ac:dyDescent="0.2">
      <c r="A517" s="71" t="s">
        <v>683</v>
      </c>
      <c r="B517" s="72" t="s">
        <v>300</v>
      </c>
      <c r="C517" s="72" t="s">
        <v>330</v>
      </c>
      <c r="D517" s="72" t="s">
        <v>607</v>
      </c>
      <c r="E517" s="72" t="s">
        <v>300</v>
      </c>
      <c r="F517" s="73" t="s">
        <v>695</v>
      </c>
      <c r="G517" s="72" t="s">
        <v>631</v>
      </c>
      <c r="H517" s="72" t="s">
        <v>205</v>
      </c>
      <c r="I517" s="72" t="s">
        <v>11</v>
      </c>
      <c r="J517" s="72" t="s">
        <v>187</v>
      </c>
      <c r="K517" s="74">
        <v>367</v>
      </c>
      <c r="L517" s="74">
        <f t="shared" si="85"/>
        <v>341.09411764705885</v>
      </c>
      <c r="M517" s="75">
        <f>prodnorm55</f>
        <v>0</v>
      </c>
      <c r="N517" s="76">
        <f>dagwerk55</f>
        <v>0</v>
      </c>
      <c r="O517" s="72" t="s">
        <v>54</v>
      </c>
      <c r="P517" s="77">
        <f>uurtarief55</f>
        <v>0</v>
      </c>
      <c r="Q517" s="74" t="e">
        <f t="shared" si="86"/>
        <v>#DIV/0!</v>
      </c>
      <c r="R517" s="74" t="e">
        <f t="shared" si="87"/>
        <v>#DIV/0!</v>
      </c>
      <c r="S517" s="77" t="e">
        <f t="shared" si="88"/>
        <v>#DIV/0!</v>
      </c>
      <c r="T517" s="74" t="e">
        <f t="shared" si="89"/>
        <v>#DIV/0!</v>
      </c>
      <c r="U517" s="78" t="e">
        <f t="shared" si="90"/>
        <v>#DIV/0!</v>
      </c>
    </row>
    <row r="518" spans="1:21" ht="25.5" x14ac:dyDescent="0.2">
      <c r="A518" s="71" t="s">
        <v>683</v>
      </c>
      <c r="B518" s="72" t="s">
        <v>300</v>
      </c>
      <c r="C518" s="72" t="s">
        <v>330</v>
      </c>
      <c r="D518" s="72" t="s">
        <v>607</v>
      </c>
      <c r="E518" s="72" t="s">
        <v>300</v>
      </c>
      <c r="F518" s="73" t="s">
        <v>695</v>
      </c>
      <c r="G518" s="72" t="s">
        <v>631</v>
      </c>
      <c r="H518" s="72" t="s">
        <v>244</v>
      </c>
      <c r="I518" s="72" t="s">
        <v>40</v>
      </c>
      <c r="J518" s="72" t="s">
        <v>242</v>
      </c>
      <c r="K518" s="74">
        <v>367</v>
      </c>
      <c r="L518" s="74">
        <f t="shared" si="85"/>
        <v>2.8784313725490196</v>
      </c>
      <c r="M518" s="75">
        <f>prodnorm118</f>
        <v>0</v>
      </c>
      <c r="N518" s="76">
        <f>dagwerk118</f>
        <v>0</v>
      </c>
      <c r="O518" s="72" t="s">
        <v>54</v>
      </c>
      <c r="P518" s="77">
        <f>uurtarief118</f>
        <v>0</v>
      </c>
      <c r="Q518" s="74" t="e">
        <f t="shared" si="86"/>
        <v>#DIV/0!</v>
      </c>
      <c r="R518" s="74" t="e">
        <f t="shared" si="87"/>
        <v>#DIV/0!</v>
      </c>
      <c r="S518" s="77" t="e">
        <f t="shared" si="88"/>
        <v>#DIV/0!</v>
      </c>
      <c r="T518" s="74" t="e">
        <f t="shared" si="89"/>
        <v>#DIV/0!</v>
      </c>
      <c r="U518" s="78" t="e">
        <f t="shared" si="90"/>
        <v>#DIV/0!</v>
      </c>
    </row>
    <row r="519" spans="1:21" x14ac:dyDescent="0.2">
      <c r="A519" s="71" t="s">
        <v>683</v>
      </c>
      <c r="B519" s="72" t="s">
        <v>300</v>
      </c>
      <c r="C519" s="72" t="s">
        <v>330</v>
      </c>
      <c r="D519" s="72" t="s">
        <v>562</v>
      </c>
      <c r="E519" s="72" t="s">
        <v>300</v>
      </c>
      <c r="F519" s="73" t="s">
        <v>696</v>
      </c>
      <c r="G519" s="72" t="s">
        <v>631</v>
      </c>
      <c r="H519" s="72" t="s">
        <v>205</v>
      </c>
      <c r="I519" s="72" t="s">
        <v>25</v>
      </c>
      <c r="J519" s="72" t="s">
        <v>187</v>
      </c>
      <c r="K519" s="74">
        <v>57</v>
      </c>
      <c r="L519" s="74">
        <f t="shared" si="85"/>
        <v>10.058823529411764</v>
      </c>
      <c r="M519" s="75">
        <f>prodnorm56</f>
        <v>0</v>
      </c>
      <c r="N519" s="76">
        <f>dagwerk56</f>
        <v>0</v>
      </c>
      <c r="O519" s="72" t="s">
        <v>54</v>
      </c>
      <c r="P519" s="77">
        <f>uurtarief56</f>
        <v>0</v>
      </c>
      <c r="Q519" s="74" t="e">
        <f t="shared" si="86"/>
        <v>#DIV/0!</v>
      </c>
      <c r="R519" s="74" t="e">
        <f t="shared" si="87"/>
        <v>#DIV/0!</v>
      </c>
      <c r="S519" s="77" t="e">
        <f t="shared" si="88"/>
        <v>#DIV/0!</v>
      </c>
      <c r="T519" s="74" t="e">
        <f t="shared" si="89"/>
        <v>#DIV/0!</v>
      </c>
      <c r="U519" s="78" t="e">
        <f t="shared" si="90"/>
        <v>#DIV/0!</v>
      </c>
    </row>
    <row r="520" spans="1:21" x14ac:dyDescent="0.2">
      <c r="A520" s="71" t="s">
        <v>683</v>
      </c>
      <c r="B520" s="72" t="s">
        <v>300</v>
      </c>
      <c r="C520" s="72" t="s">
        <v>330</v>
      </c>
      <c r="D520" s="72" t="s">
        <v>562</v>
      </c>
      <c r="E520" s="72" t="s">
        <v>300</v>
      </c>
      <c r="F520" s="73" t="s">
        <v>696</v>
      </c>
      <c r="G520" s="72" t="s">
        <v>631</v>
      </c>
      <c r="H520" s="72" t="s">
        <v>244</v>
      </c>
      <c r="I520" s="72" t="s">
        <v>40</v>
      </c>
      <c r="J520" s="72" t="s">
        <v>242</v>
      </c>
      <c r="K520" s="74">
        <v>57</v>
      </c>
      <c r="L520" s="74">
        <f t="shared" si="85"/>
        <v>0.44705882352941173</v>
      </c>
      <c r="M520" s="75">
        <f>prodnorm118</f>
        <v>0</v>
      </c>
      <c r="N520" s="76">
        <f>dagwerk118</f>
        <v>0</v>
      </c>
      <c r="O520" s="72" t="s">
        <v>54</v>
      </c>
      <c r="P520" s="77">
        <f>uurtarief118</f>
        <v>0</v>
      </c>
      <c r="Q520" s="74" t="e">
        <f t="shared" si="86"/>
        <v>#DIV/0!</v>
      </c>
      <c r="R520" s="74" t="e">
        <f t="shared" si="87"/>
        <v>#DIV/0!</v>
      </c>
      <c r="S520" s="77" t="e">
        <f t="shared" si="88"/>
        <v>#DIV/0!</v>
      </c>
      <c r="T520" s="74" t="e">
        <f t="shared" si="89"/>
        <v>#DIV/0!</v>
      </c>
      <c r="U520" s="78" t="e">
        <f t="shared" si="90"/>
        <v>#DIV/0!</v>
      </c>
    </row>
    <row r="521" spans="1:21" x14ac:dyDescent="0.2">
      <c r="A521" s="71" t="s">
        <v>683</v>
      </c>
      <c r="B521" s="72" t="s">
        <v>300</v>
      </c>
      <c r="C521" s="72" t="s">
        <v>330</v>
      </c>
      <c r="D521" s="72" t="s">
        <v>643</v>
      </c>
      <c r="E521" s="72" t="s">
        <v>300</v>
      </c>
      <c r="F521" s="73" t="s">
        <v>624</v>
      </c>
      <c r="G521" s="72" t="s">
        <v>581</v>
      </c>
      <c r="H521" s="72" t="s">
        <v>231</v>
      </c>
      <c r="I521" s="72" t="s">
        <v>11</v>
      </c>
      <c r="J521" s="72" t="s">
        <v>187</v>
      </c>
      <c r="K521" s="74">
        <v>5</v>
      </c>
      <c r="L521" s="74">
        <f t="shared" si="85"/>
        <v>4.6470588235294121</v>
      </c>
      <c r="M521" s="75">
        <f>prodnorm101</f>
        <v>0</v>
      </c>
      <c r="N521" s="76">
        <f>dagwerk101</f>
        <v>0</v>
      </c>
      <c r="O521" s="72" t="s">
        <v>54</v>
      </c>
      <c r="P521" s="77">
        <f>uurtarief101</f>
        <v>0</v>
      </c>
      <c r="Q521" s="74" t="e">
        <f t="shared" si="86"/>
        <v>#DIV/0!</v>
      </c>
      <c r="R521" s="74" t="e">
        <f t="shared" si="87"/>
        <v>#DIV/0!</v>
      </c>
      <c r="S521" s="77" t="e">
        <f t="shared" si="88"/>
        <v>#DIV/0!</v>
      </c>
      <c r="T521" s="74" t="e">
        <f t="shared" si="89"/>
        <v>#DIV/0!</v>
      </c>
      <c r="U521" s="78" t="e">
        <f t="shared" si="90"/>
        <v>#DIV/0!</v>
      </c>
    </row>
    <row r="522" spans="1:21" x14ac:dyDescent="0.2">
      <c r="A522" s="71" t="s">
        <v>683</v>
      </c>
      <c r="B522" s="72" t="s">
        <v>300</v>
      </c>
      <c r="C522" s="72" t="s">
        <v>406</v>
      </c>
      <c r="D522" s="72" t="s">
        <v>407</v>
      </c>
      <c r="E522" s="72" t="s">
        <v>300</v>
      </c>
      <c r="F522" s="73" t="s">
        <v>306</v>
      </c>
      <c r="G522" s="72" t="s">
        <v>326</v>
      </c>
      <c r="H522" s="72" t="s">
        <v>231</v>
      </c>
      <c r="I522" s="72" t="s">
        <v>11</v>
      </c>
      <c r="J522" s="72" t="s">
        <v>187</v>
      </c>
      <c r="K522" s="74">
        <v>17</v>
      </c>
      <c r="L522" s="74">
        <f t="shared" si="85"/>
        <v>15.8</v>
      </c>
      <c r="M522" s="75">
        <f>prodnorm101</f>
        <v>0</v>
      </c>
      <c r="N522" s="76">
        <f>dagwerk101</f>
        <v>0</v>
      </c>
      <c r="O522" s="72" t="s">
        <v>54</v>
      </c>
      <c r="P522" s="77">
        <f>uurtarief101</f>
        <v>0</v>
      </c>
      <c r="Q522" s="74" t="e">
        <f t="shared" si="86"/>
        <v>#DIV/0!</v>
      </c>
      <c r="R522" s="74" t="e">
        <f t="shared" si="87"/>
        <v>#DIV/0!</v>
      </c>
      <c r="S522" s="77" t="e">
        <f t="shared" si="88"/>
        <v>#DIV/0!</v>
      </c>
      <c r="T522" s="74" t="e">
        <f t="shared" si="89"/>
        <v>#DIV/0!</v>
      </c>
      <c r="U522" s="78" t="e">
        <f t="shared" si="90"/>
        <v>#DIV/0!</v>
      </c>
    </row>
    <row r="523" spans="1:21" x14ac:dyDescent="0.2">
      <c r="A523" s="71" t="s">
        <v>683</v>
      </c>
      <c r="B523" s="72" t="s">
        <v>300</v>
      </c>
      <c r="C523" s="72" t="s">
        <v>406</v>
      </c>
      <c r="D523" s="72" t="s">
        <v>407</v>
      </c>
      <c r="E523" s="72" t="s">
        <v>300</v>
      </c>
      <c r="F523" s="73" t="s">
        <v>306</v>
      </c>
      <c r="G523" s="72" t="s">
        <v>326</v>
      </c>
      <c r="H523" s="72" t="s">
        <v>241</v>
      </c>
      <c r="I523" s="72" t="s">
        <v>41</v>
      </c>
      <c r="J523" s="72" t="s">
        <v>242</v>
      </c>
      <c r="K523" s="74">
        <v>17</v>
      </c>
      <c r="L523" s="74">
        <f t="shared" si="85"/>
        <v>6.6666666666666666E-2</v>
      </c>
      <c r="M523" s="75">
        <f>prodnorm117</f>
        <v>0</v>
      </c>
      <c r="N523" s="76">
        <f>dagwerk117</f>
        <v>0</v>
      </c>
      <c r="O523" s="72" t="s">
        <v>54</v>
      </c>
      <c r="P523" s="77">
        <f>uurtarief117</f>
        <v>0</v>
      </c>
      <c r="Q523" s="74" t="e">
        <f t="shared" si="86"/>
        <v>#DIV/0!</v>
      </c>
      <c r="R523" s="74" t="e">
        <f t="shared" si="87"/>
        <v>#DIV/0!</v>
      </c>
      <c r="S523" s="77" t="e">
        <f t="shared" si="88"/>
        <v>#DIV/0!</v>
      </c>
      <c r="T523" s="74" t="e">
        <f t="shared" si="89"/>
        <v>#DIV/0!</v>
      </c>
      <c r="U523" s="78" t="e">
        <f t="shared" si="90"/>
        <v>#DIV/0!</v>
      </c>
    </row>
    <row r="524" spans="1:21" x14ac:dyDescent="0.2">
      <c r="A524" s="71" t="s">
        <v>683</v>
      </c>
      <c r="B524" s="72" t="s">
        <v>300</v>
      </c>
      <c r="C524" s="72" t="s">
        <v>406</v>
      </c>
      <c r="D524" s="72" t="s">
        <v>408</v>
      </c>
      <c r="E524" s="72" t="s">
        <v>300</v>
      </c>
      <c r="F524" s="73" t="s">
        <v>563</v>
      </c>
      <c r="G524" s="72" t="s">
        <v>309</v>
      </c>
      <c r="H524" s="72" t="s">
        <v>222</v>
      </c>
      <c r="I524" s="72" t="s">
        <v>11</v>
      </c>
      <c r="J524" s="72" t="s">
        <v>187</v>
      </c>
      <c r="K524" s="74">
        <v>34</v>
      </c>
      <c r="L524" s="74">
        <f t="shared" si="85"/>
        <v>31.6</v>
      </c>
      <c r="M524" s="75">
        <f>prodnorm81</f>
        <v>0</v>
      </c>
      <c r="N524" s="76">
        <f>dagwerk81</f>
        <v>0</v>
      </c>
      <c r="O524" s="72" t="s">
        <v>54</v>
      </c>
      <c r="P524" s="77">
        <f>uurtarief81</f>
        <v>0</v>
      </c>
      <c r="Q524" s="74" t="e">
        <f t="shared" si="86"/>
        <v>#DIV/0!</v>
      </c>
      <c r="R524" s="74" t="e">
        <f t="shared" si="87"/>
        <v>#DIV/0!</v>
      </c>
      <c r="S524" s="77" t="e">
        <f t="shared" si="88"/>
        <v>#DIV/0!</v>
      </c>
      <c r="T524" s="74" t="e">
        <f t="shared" si="89"/>
        <v>#DIV/0!</v>
      </c>
      <c r="U524" s="78" t="e">
        <f t="shared" si="90"/>
        <v>#DIV/0!</v>
      </c>
    </row>
    <row r="525" spans="1:21" x14ac:dyDescent="0.2">
      <c r="A525" s="71" t="s">
        <v>683</v>
      </c>
      <c r="B525" s="72" t="s">
        <v>300</v>
      </c>
      <c r="C525" s="72" t="s">
        <v>406</v>
      </c>
      <c r="D525" s="72" t="s">
        <v>409</v>
      </c>
      <c r="E525" s="72" t="s">
        <v>300</v>
      </c>
      <c r="F525" s="73" t="s">
        <v>629</v>
      </c>
      <c r="G525" s="72" t="s">
        <v>309</v>
      </c>
      <c r="H525" s="72" t="s">
        <v>195</v>
      </c>
      <c r="I525" s="72" t="s">
        <v>11</v>
      </c>
      <c r="J525" s="72" t="s">
        <v>187</v>
      </c>
      <c r="K525" s="74">
        <v>12</v>
      </c>
      <c r="L525" s="74">
        <f t="shared" si="85"/>
        <v>11.152941176470588</v>
      </c>
      <c r="M525" s="75">
        <f>prodnorm44</f>
        <v>0</v>
      </c>
      <c r="N525" s="76">
        <f>dagwerk44</f>
        <v>0</v>
      </c>
      <c r="O525" s="72" t="s">
        <v>54</v>
      </c>
      <c r="P525" s="77">
        <f>uurtarief44</f>
        <v>0</v>
      </c>
      <c r="Q525" s="74" t="e">
        <f t="shared" si="86"/>
        <v>#DIV/0!</v>
      </c>
      <c r="R525" s="74" t="e">
        <f t="shared" si="87"/>
        <v>#DIV/0!</v>
      </c>
      <c r="S525" s="77" t="e">
        <f t="shared" si="88"/>
        <v>#DIV/0!</v>
      </c>
      <c r="T525" s="74" t="e">
        <f t="shared" si="89"/>
        <v>#DIV/0!</v>
      </c>
      <c r="U525" s="78" t="e">
        <f t="shared" si="90"/>
        <v>#DIV/0!</v>
      </c>
    </row>
    <row r="526" spans="1:21" x14ac:dyDescent="0.2">
      <c r="A526" s="71" t="s">
        <v>683</v>
      </c>
      <c r="B526" s="72" t="s">
        <v>300</v>
      </c>
      <c r="C526" s="72" t="s">
        <v>406</v>
      </c>
      <c r="D526" s="72" t="s">
        <v>410</v>
      </c>
      <c r="E526" s="72" t="s">
        <v>300</v>
      </c>
      <c r="F526" s="73" t="s">
        <v>319</v>
      </c>
      <c r="G526" s="72" t="s">
        <v>309</v>
      </c>
      <c r="H526" s="72" t="s">
        <v>222</v>
      </c>
      <c r="I526" s="72" t="s">
        <v>11</v>
      </c>
      <c r="J526" s="72" t="s">
        <v>187</v>
      </c>
      <c r="K526" s="74">
        <v>1</v>
      </c>
      <c r="L526" s="74">
        <f t="shared" si="85"/>
        <v>0.92941176470588238</v>
      </c>
      <c r="M526" s="75">
        <f>prodnorm81</f>
        <v>0</v>
      </c>
      <c r="N526" s="76">
        <f>dagwerk81</f>
        <v>0</v>
      </c>
      <c r="O526" s="72" t="s">
        <v>54</v>
      </c>
      <c r="P526" s="77">
        <f>uurtarief81</f>
        <v>0</v>
      </c>
      <c r="Q526" s="74" t="e">
        <f t="shared" si="86"/>
        <v>#DIV/0!</v>
      </c>
      <c r="R526" s="74" t="e">
        <f t="shared" si="87"/>
        <v>#DIV/0!</v>
      </c>
      <c r="S526" s="77" t="e">
        <f t="shared" si="88"/>
        <v>#DIV/0!</v>
      </c>
      <c r="T526" s="74" t="e">
        <f t="shared" si="89"/>
        <v>#DIV/0!</v>
      </c>
      <c r="U526" s="78" t="e">
        <f t="shared" si="90"/>
        <v>#DIV/0!</v>
      </c>
    </row>
    <row r="527" spans="1:21" x14ac:dyDescent="0.2">
      <c r="A527" s="71" t="s">
        <v>683</v>
      </c>
      <c r="B527" s="72" t="s">
        <v>300</v>
      </c>
      <c r="C527" s="72" t="s">
        <v>406</v>
      </c>
      <c r="D527" s="72" t="s">
        <v>411</v>
      </c>
      <c r="E527" s="72" t="s">
        <v>300</v>
      </c>
      <c r="F527" s="73" t="s">
        <v>694</v>
      </c>
      <c r="G527" s="72" t="s">
        <v>309</v>
      </c>
      <c r="H527" s="72" t="s">
        <v>222</v>
      </c>
      <c r="I527" s="72" t="s">
        <v>11</v>
      </c>
      <c r="J527" s="72" t="s">
        <v>187</v>
      </c>
      <c r="K527" s="74">
        <v>30</v>
      </c>
      <c r="L527" s="74">
        <f t="shared" si="85"/>
        <v>27.882352941176471</v>
      </c>
      <c r="M527" s="75">
        <f>prodnorm81</f>
        <v>0</v>
      </c>
      <c r="N527" s="76">
        <f>dagwerk81</f>
        <v>0</v>
      </c>
      <c r="O527" s="72" t="s">
        <v>54</v>
      </c>
      <c r="P527" s="77">
        <f>uurtarief81</f>
        <v>0</v>
      </c>
      <c r="Q527" s="74" t="e">
        <f t="shared" si="86"/>
        <v>#DIV/0!</v>
      </c>
      <c r="R527" s="74" t="e">
        <f t="shared" si="87"/>
        <v>#DIV/0!</v>
      </c>
      <c r="S527" s="77" t="e">
        <f t="shared" si="88"/>
        <v>#DIV/0!</v>
      </c>
      <c r="T527" s="74" t="e">
        <f t="shared" si="89"/>
        <v>#DIV/0!</v>
      </c>
      <c r="U527" s="78" t="e">
        <f t="shared" si="90"/>
        <v>#DIV/0!</v>
      </c>
    </row>
    <row r="528" spans="1:21" x14ac:dyDescent="0.2">
      <c r="A528" s="71" t="s">
        <v>683</v>
      </c>
      <c r="B528" s="72" t="s">
        <v>300</v>
      </c>
      <c r="C528" s="72" t="s">
        <v>406</v>
      </c>
      <c r="D528" s="72" t="s">
        <v>412</v>
      </c>
      <c r="E528" s="72" t="s">
        <v>300</v>
      </c>
      <c r="F528" s="73" t="s">
        <v>629</v>
      </c>
      <c r="G528" s="72" t="s">
        <v>309</v>
      </c>
      <c r="H528" s="72" t="s">
        <v>195</v>
      </c>
      <c r="I528" s="72" t="s">
        <v>11</v>
      </c>
      <c r="J528" s="72" t="s">
        <v>187</v>
      </c>
      <c r="K528" s="74">
        <v>12</v>
      </c>
      <c r="L528" s="74">
        <f t="shared" si="85"/>
        <v>11.152941176470588</v>
      </c>
      <c r="M528" s="75">
        <f>prodnorm44</f>
        <v>0</v>
      </c>
      <c r="N528" s="76">
        <f>dagwerk44</f>
        <v>0</v>
      </c>
      <c r="O528" s="72" t="s">
        <v>54</v>
      </c>
      <c r="P528" s="77">
        <f>uurtarief44</f>
        <v>0</v>
      </c>
      <c r="Q528" s="74" t="e">
        <f t="shared" si="86"/>
        <v>#DIV/0!</v>
      </c>
      <c r="R528" s="74" t="e">
        <f t="shared" si="87"/>
        <v>#DIV/0!</v>
      </c>
      <c r="S528" s="77" t="e">
        <f t="shared" si="88"/>
        <v>#DIV/0!</v>
      </c>
      <c r="T528" s="74" t="e">
        <f t="shared" si="89"/>
        <v>#DIV/0!</v>
      </c>
      <c r="U528" s="78" t="e">
        <f t="shared" si="90"/>
        <v>#DIV/0!</v>
      </c>
    </row>
    <row r="529" spans="1:21" x14ac:dyDescent="0.2">
      <c r="A529" s="71" t="s">
        <v>683</v>
      </c>
      <c r="B529" s="72" t="s">
        <v>300</v>
      </c>
      <c r="C529" s="72" t="s">
        <v>406</v>
      </c>
      <c r="D529" s="72" t="s">
        <v>415</v>
      </c>
      <c r="E529" s="72" t="s">
        <v>300</v>
      </c>
      <c r="F529" s="73" t="s">
        <v>319</v>
      </c>
      <c r="G529" s="72" t="s">
        <v>309</v>
      </c>
      <c r="H529" s="72" t="s">
        <v>222</v>
      </c>
      <c r="I529" s="72" t="s">
        <v>11</v>
      </c>
      <c r="J529" s="72" t="s">
        <v>187</v>
      </c>
      <c r="K529" s="74">
        <v>1</v>
      </c>
      <c r="L529" s="74">
        <f t="shared" si="85"/>
        <v>0.92941176470588238</v>
      </c>
      <c r="M529" s="75">
        <f>prodnorm81</f>
        <v>0</v>
      </c>
      <c r="N529" s="76">
        <f>dagwerk81</f>
        <v>0</v>
      </c>
      <c r="O529" s="72" t="s">
        <v>54</v>
      </c>
      <c r="P529" s="77">
        <f>uurtarief81</f>
        <v>0</v>
      </c>
      <c r="Q529" s="74" t="e">
        <f t="shared" si="86"/>
        <v>#DIV/0!</v>
      </c>
      <c r="R529" s="74" t="e">
        <f t="shared" si="87"/>
        <v>#DIV/0!</v>
      </c>
      <c r="S529" s="77" t="e">
        <f t="shared" si="88"/>
        <v>#DIV/0!</v>
      </c>
      <c r="T529" s="74" t="e">
        <f t="shared" si="89"/>
        <v>#DIV/0!</v>
      </c>
      <c r="U529" s="78" t="e">
        <f t="shared" si="90"/>
        <v>#DIV/0!</v>
      </c>
    </row>
    <row r="530" spans="1:21" x14ac:dyDescent="0.2">
      <c r="A530" s="79" t="s">
        <v>683</v>
      </c>
      <c r="B530" s="80" t="s">
        <v>300</v>
      </c>
      <c r="C530" s="80" t="s">
        <v>633</v>
      </c>
      <c r="D530" s="80" t="s">
        <v>300</v>
      </c>
      <c r="E530" s="80" t="s">
        <v>300</v>
      </c>
      <c r="F530" s="81" t="s">
        <v>589</v>
      </c>
      <c r="G530" s="80" t="s">
        <v>300</v>
      </c>
      <c r="H530" s="80" t="s">
        <v>260</v>
      </c>
      <c r="I530" s="80" t="s">
        <v>24</v>
      </c>
      <c r="J530" s="80" t="s">
        <v>253</v>
      </c>
      <c r="K530" s="82">
        <v>1</v>
      </c>
      <c r="L530" s="82">
        <f t="shared" si="85"/>
        <v>0.2</v>
      </c>
      <c r="M530" s="83">
        <f>prodnorm20</f>
        <v>0</v>
      </c>
      <c r="N530" s="84">
        <f>dagwerk20</f>
        <v>0</v>
      </c>
      <c r="O530" s="80" t="s">
        <v>255</v>
      </c>
      <c r="P530" s="85">
        <f>uurtarief20</f>
        <v>0</v>
      </c>
      <c r="Q530" s="82">
        <f>L530*ROUND(M530,4)/60</f>
        <v>0</v>
      </c>
      <c r="R530" s="82">
        <f t="shared" si="87"/>
        <v>0</v>
      </c>
      <c r="S530" s="85">
        <f t="shared" si="88"/>
        <v>0</v>
      </c>
      <c r="T530" s="82">
        <f t="shared" si="89"/>
        <v>0</v>
      </c>
      <c r="U530" s="86">
        <f t="shared" si="90"/>
        <v>0</v>
      </c>
    </row>
    <row r="531" spans="1:21" x14ac:dyDescent="0.2">
      <c r="A531" s="87" t="s">
        <v>536</v>
      </c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3" t="e">
        <f>IF(_xlfn.SINGLE(object10_urenjaar1)&gt;0,_xlfn.SINGLE(object10_prijsjaar1)/_xlfn.SINGLE(object10_urenjaar1),0)</f>
        <v>#DIV/0!</v>
      </c>
      <c r="Q531" s="52" t="e">
        <f>SUM(Q496:Q530)</f>
        <v>#DIV/0!</v>
      </c>
      <c r="R531" s="52" t="e">
        <f>SUM(R496:R530)</f>
        <v>#DIV/0!</v>
      </c>
      <c r="S531" s="53" t="e">
        <f>SUM(S496:S530)</f>
        <v>#DIV/0!</v>
      </c>
      <c r="T531" s="52" t="e">
        <f>SUM(T496:T530)</f>
        <v>#DIV/0!</v>
      </c>
      <c r="U531" s="54" t="e">
        <f>SUM(U496:U530)</f>
        <v>#DIV/0!</v>
      </c>
    </row>
    <row r="532" spans="1:21" x14ac:dyDescent="0.2">
      <c r="A532" s="61" t="s">
        <v>697</v>
      </c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49"/>
    </row>
    <row r="533" spans="1:21" x14ac:dyDescent="0.2">
      <c r="A533" s="15" t="s">
        <v>698</v>
      </c>
      <c r="B533" s="16" t="s">
        <v>300</v>
      </c>
      <c r="C533" s="16" t="s">
        <v>300</v>
      </c>
      <c r="D533" s="16" t="s">
        <v>300</v>
      </c>
      <c r="E533" s="16" t="s">
        <v>300</v>
      </c>
      <c r="F533" s="62" t="s">
        <v>699</v>
      </c>
      <c r="G533" s="16" t="s">
        <v>300</v>
      </c>
      <c r="H533" s="16" t="s">
        <v>252</v>
      </c>
      <c r="I533" s="16" t="s">
        <v>10</v>
      </c>
      <c r="J533" s="16" t="s">
        <v>253</v>
      </c>
      <c r="K533" s="32">
        <v>1</v>
      </c>
      <c r="L533" s="32">
        <f>K533*VLOOKUP(I533,dagsoorttabel1,2,FALSE)</f>
        <v>1</v>
      </c>
      <c r="M533" s="33">
        <f>prodnorm17</f>
        <v>0</v>
      </c>
      <c r="N533" s="34">
        <f>dagwerk17</f>
        <v>0</v>
      </c>
      <c r="O533" s="16" t="s">
        <v>255</v>
      </c>
      <c r="P533" s="35">
        <f>uurtarief17</f>
        <v>0</v>
      </c>
      <c r="Q533" s="32">
        <f>L533*ROUND(M533,4)/60</f>
        <v>0</v>
      </c>
      <c r="R533" s="32">
        <f>IF(ISBLANK(M533),0,Q533*ROUND(N533,2))</f>
        <v>0</v>
      </c>
      <c r="S533" s="35">
        <f>ROUND(P533,2)*Q533</f>
        <v>0</v>
      </c>
      <c r="T533" s="32">
        <f>Q533*dagenperjaar1</f>
        <v>0</v>
      </c>
      <c r="U533" s="36">
        <f>T533*ROUND(P533,2)</f>
        <v>0</v>
      </c>
    </row>
    <row r="534" spans="1:21" x14ac:dyDescent="0.2">
      <c r="A534" s="12" t="s">
        <v>700</v>
      </c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4"/>
    </row>
    <row r="535" spans="1:21" x14ac:dyDescent="0.2">
      <c r="A535" s="63" t="s">
        <v>701</v>
      </c>
      <c r="B535" s="64" t="s">
        <v>702</v>
      </c>
      <c r="C535" s="64" t="s">
        <v>330</v>
      </c>
      <c r="D535" s="64" t="s">
        <v>540</v>
      </c>
      <c r="E535" s="64" t="s">
        <v>300</v>
      </c>
      <c r="F535" s="65" t="s">
        <v>703</v>
      </c>
      <c r="G535" s="64" t="s">
        <v>309</v>
      </c>
      <c r="H535" s="64" t="s">
        <v>231</v>
      </c>
      <c r="I535" s="64" t="s">
        <v>32</v>
      </c>
      <c r="J535" s="64" t="s">
        <v>187</v>
      </c>
      <c r="K535" s="66">
        <v>5.0999999999999996</v>
      </c>
      <c r="L535" s="66">
        <f t="shared" ref="L535:L542" si="91">K535*VLOOKUP(I535,dagsoorttabel1,2,FALSE)</f>
        <v>0.33999999999999997</v>
      </c>
      <c r="M535" s="67">
        <f>prodnorm96</f>
        <v>0</v>
      </c>
      <c r="N535" s="68">
        <f>dagwerk96</f>
        <v>0</v>
      </c>
      <c r="O535" s="64" t="s">
        <v>54</v>
      </c>
      <c r="P535" s="69">
        <f>uurtarief96</f>
        <v>0</v>
      </c>
      <c r="Q535" s="66" t="e">
        <f t="shared" ref="Q535:Q542" si="92">IF(ISBLANK(M535),0,L535/ROUND(M535,4))</f>
        <v>#DIV/0!</v>
      </c>
      <c r="R535" s="66" t="e">
        <f t="shared" ref="R535:R542" si="93">IF(ISBLANK(M535),0,Q535*ROUND(N535,2))</f>
        <v>#DIV/0!</v>
      </c>
      <c r="S535" s="69" t="e">
        <f t="shared" ref="S535:S542" si="94">ROUND(P535,2)*Q535</f>
        <v>#DIV/0!</v>
      </c>
      <c r="T535" s="66" t="e">
        <f t="shared" ref="T535:T542" si="95">Q535*dagenperjaar1</f>
        <v>#DIV/0!</v>
      </c>
      <c r="U535" s="70" t="e">
        <f t="shared" ref="U535:U542" si="96">T535*ROUND(P535,2)</f>
        <v>#DIV/0!</v>
      </c>
    </row>
    <row r="536" spans="1:21" x14ac:dyDescent="0.2">
      <c r="A536" s="71" t="s">
        <v>701</v>
      </c>
      <c r="B536" s="72" t="s">
        <v>702</v>
      </c>
      <c r="C536" s="72" t="s">
        <v>330</v>
      </c>
      <c r="D536" s="72" t="s">
        <v>543</v>
      </c>
      <c r="E536" s="72" t="s">
        <v>300</v>
      </c>
      <c r="F536" s="73" t="s">
        <v>704</v>
      </c>
      <c r="G536" s="72" t="s">
        <v>309</v>
      </c>
      <c r="H536" s="72" t="s">
        <v>222</v>
      </c>
      <c r="I536" s="72" t="s">
        <v>32</v>
      </c>
      <c r="J536" s="72" t="s">
        <v>187</v>
      </c>
      <c r="K536" s="74">
        <v>1.5</v>
      </c>
      <c r="L536" s="74">
        <f t="shared" si="91"/>
        <v>0.1</v>
      </c>
      <c r="M536" s="75">
        <f>prodnorm76</f>
        <v>0</v>
      </c>
      <c r="N536" s="76">
        <f>dagwerk76</f>
        <v>0</v>
      </c>
      <c r="O536" s="72" t="s">
        <v>54</v>
      </c>
      <c r="P536" s="77">
        <f>uurtarief76</f>
        <v>0</v>
      </c>
      <c r="Q536" s="74" t="e">
        <f t="shared" si="92"/>
        <v>#DIV/0!</v>
      </c>
      <c r="R536" s="74" t="e">
        <f t="shared" si="93"/>
        <v>#DIV/0!</v>
      </c>
      <c r="S536" s="77" t="e">
        <f t="shared" si="94"/>
        <v>#DIV/0!</v>
      </c>
      <c r="T536" s="74" t="e">
        <f t="shared" si="95"/>
        <v>#DIV/0!</v>
      </c>
      <c r="U536" s="78" t="e">
        <f t="shared" si="96"/>
        <v>#DIV/0!</v>
      </c>
    </row>
    <row r="537" spans="1:21" x14ac:dyDescent="0.2">
      <c r="A537" s="71" t="s">
        <v>701</v>
      </c>
      <c r="B537" s="72" t="s">
        <v>702</v>
      </c>
      <c r="C537" s="72" t="s">
        <v>330</v>
      </c>
      <c r="D537" s="72" t="s">
        <v>352</v>
      </c>
      <c r="E537" s="72" t="s">
        <v>300</v>
      </c>
      <c r="F537" s="73" t="s">
        <v>704</v>
      </c>
      <c r="G537" s="72" t="s">
        <v>309</v>
      </c>
      <c r="H537" s="72" t="s">
        <v>222</v>
      </c>
      <c r="I537" s="72" t="s">
        <v>32</v>
      </c>
      <c r="J537" s="72" t="s">
        <v>187</v>
      </c>
      <c r="K537" s="74">
        <v>1.5</v>
      </c>
      <c r="L537" s="74">
        <f t="shared" si="91"/>
        <v>0.1</v>
      </c>
      <c r="M537" s="75">
        <f>prodnorm76</f>
        <v>0</v>
      </c>
      <c r="N537" s="76">
        <f>dagwerk76</f>
        <v>0</v>
      </c>
      <c r="O537" s="72" t="s">
        <v>54</v>
      </c>
      <c r="P537" s="77">
        <f>uurtarief76</f>
        <v>0</v>
      </c>
      <c r="Q537" s="74" t="e">
        <f t="shared" si="92"/>
        <v>#DIV/0!</v>
      </c>
      <c r="R537" s="74" t="e">
        <f t="shared" si="93"/>
        <v>#DIV/0!</v>
      </c>
      <c r="S537" s="77" t="e">
        <f t="shared" si="94"/>
        <v>#DIV/0!</v>
      </c>
      <c r="T537" s="74" t="e">
        <f t="shared" si="95"/>
        <v>#DIV/0!</v>
      </c>
      <c r="U537" s="78" t="e">
        <f t="shared" si="96"/>
        <v>#DIV/0!</v>
      </c>
    </row>
    <row r="538" spans="1:21" x14ac:dyDescent="0.2">
      <c r="A538" s="71" t="s">
        <v>701</v>
      </c>
      <c r="B538" s="72" t="s">
        <v>705</v>
      </c>
      <c r="C538" s="72" t="s">
        <v>330</v>
      </c>
      <c r="D538" s="72" t="s">
        <v>356</v>
      </c>
      <c r="E538" s="72" t="s">
        <v>300</v>
      </c>
      <c r="F538" s="73" t="s">
        <v>706</v>
      </c>
      <c r="G538" s="72" t="s">
        <v>707</v>
      </c>
      <c r="H538" s="72" t="s">
        <v>231</v>
      </c>
      <c r="I538" s="72" t="s">
        <v>21</v>
      </c>
      <c r="J538" s="72" t="s">
        <v>187</v>
      </c>
      <c r="K538" s="74">
        <v>22.5</v>
      </c>
      <c r="L538" s="74">
        <f t="shared" si="91"/>
        <v>7.5</v>
      </c>
      <c r="M538" s="75">
        <f>prodnorm104</f>
        <v>0</v>
      </c>
      <c r="N538" s="76">
        <f>dagwerk104</f>
        <v>0</v>
      </c>
      <c r="O538" s="72" t="s">
        <v>54</v>
      </c>
      <c r="P538" s="77">
        <f>uurtarief104</f>
        <v>0</v>
      </c>
      <c r="Q538" s="74" t="e">
        <f t="shared" si="92"/>
        <v>#DIV/0!</v>
      </c>
      <c r="R538" s="74" t="e">
        <f t="shared" si="93"/>
        <v>#DIV/0!</v>
      </c>
      <c r="S538" s="77" t="e">
        <f t="shared" si="94"/>
        <v>#DIV/0!</v>
      </c>
      <c r="T538" s="74" t="e">
        <f t="shared" si="95"/>
        <v>#DIV/0!</v>
      </c>
      <c r="U538" s="78" t="e">
        <f t="shared" si="96"/>
        <v>#DIV/0!</v>
      </c>
    </row>
    <row r="539" spans="1:21" x14ac:dyDescent="0.2">
      <c r="A539" s="71" t="s">
        <v>701</v>
      </c>
      <c r="B539" s="72" t="s">
        <v>705</v>
      </c>
      <c r="C539" s="72" t="s">
        <v>330</v>
      </c>
      <c r="D539" s="72" t="s">
        <v>363</v>
      </c>
      <c r="E539" s="72" t="s">
        <v>300</v>
      </c>
      <c r="F539" s="73" t="s">
        <v>708</v>
      </c>
      <c r="G539" s="72" t="s">
        <v>309</v>
      </c>
      <c r="H539" s="72" t="s">
        <v>222</v>
      </c>
      <c r="I539" s="72" t="s">
        <v>21</v>
      </c>
      <c r="J539" s="72" t="s">
        <v>187</v>
      </c>
      <c r="K539" s="74">
        <v>20.43</v>
      </c>
      <c r="L539" s="74">
        <f t="shared" si="91"/>
        <v>6.81</v>
      </c>
      <c r="M539" s="75">
        <f>prodnorm87</f>
        <v>0</v>
      </c>
      <c r="N539" s="76">
        <f>dagwerk87</f>
        <v>0</v>
      </c>
      <c r="O539" s="72" t="s">
        <v>54</v>
      </c>
      <c r="P539" s="77">
        <f>uurtarief87</f>
        <v>0</v>
      </c>
      <c r="Q539" s="74" t="e">
        <f t="shared" si="92"/>
        <v>#DIV/0!</v>
      </c>
      <c r="R539" s="74" t="e">
        <f t="shared" si="93"/>
        <v>#DIV/0!</v>
      </c>
      <c r="S539" s="77" t="e">
        <f t="shared" si="94"/>
        <v>#DIV/0!</v>
      </c>
      <c r="T539" s="74" t="e">
        <f t="shared" si="95"/>
        <v>#DIV/0!</v>
      </c>
      <c r="U539" s="78" t="e">
        <f t="shared" si="96"/>
        <v>#DIV/0!</v>
      </c>
    </row>
    <row r="540" spans="1:21" x14ac:dyDescent="0.2">
      <c r="A540" s="71" t="s">
        <v>701</v>
      </c>
      <c r="B540" s="72" t="s">
        <v>705</v>
      </c>
      <c r="C540" s="72" t="s">
        <v>330</v>
      </c>
      <c r="D540" s="72" t="s">
        <v>546</v>
      </c>
      <c r="E540" s="72" t="s">
        <v>300</v>
      </c>
      <c r="F540" s="73" t="s">
        <v>709</v>
      </c>
      <c r="G540" s="72" t="s">
        <v>309</v>
      </c>
      <c r="H540" s="72" t="s">
        <v>222</v>
      </c>
      <c r="I540" s="72" t="s">
        <v>21</v>
      </c>
      <c r="J540" s="72" t="s">
        <v>187</v>
      </c>
      <c r="K540" s="74">
        <v>20.43</v>
      </c>
      <c r="L540" s="74">
        <f t="shared" si="91"/>
        <v>6.81</v>
      </c>
      <c r="M540" s="75">
        <f>prodnorm87</f>
        <v>0</v>
      </c>
      <c r="N540" s="76">
        <f>dagwerk87</f>
        <v>0</v>
      </c>
      <c r="O540" s="72" t="s">
        <v>54</v>
      </c>
      <c r="P540" s="77">
        <f>uurtarief87</f>
        <v>0</v>
      </c>
      <c r="Q540" s="74" t="e">
        <f t="shared" si="92"/>
        <v>#DIV/0!</v>
      </c>
      <c r="R540" s="74" t="e">
        <f t="shared" si="93"/>
        <v>#DIV/0!</v>
      </c>
      <c r="S540" s="77" t="e">
        <f t="shared" si="94"/>
        <v>#DIV/0!</v>
      </c>
      <c r="T540" s="74" t="e">
        <f t="shared" si="95"/>
        <v>#DIV/0!</v>
      </c>
      <c r="U540" s="78" t="e">
        <f t="shared" si="96"/>
        <v>#DIV/0!</v>
      </c>
    </row>
    <row r="541" spans="1:21" x14ac:dyDescent="0.2">
      <c r="A541" s="71" t="s">
        <v>701</v>
      </c>
      <c r="B541" s="72" t="s">
        <v>705</v>
      </c>
      <c r="C541" s="72" t="s">
        <v>330</v>
      </c>
      <c r="D541" s="72" t="s">
        <v>365</v>
      </c>
      <c r="E541" s="72" t="s">
        <v>300</v>
      </c>
      <c r="F541" s="73" t="s">
        <v>710</v>
      </c>
      <c r="G541" s="72" t="s">
        <v>309</v>
      </c>
      <c r="H541" s="72" t="s">
        <v>222</v>
      </c>
      <c r="I541" s="72" t="s">
        <v>21</v>
      </c>
      <c r="J541" s="72" t="s">
        <v>187</v>
      </c>
      <c r="K541" s="74">
        <v>20.43</v>
      </c>
      <c r="L541" s="74">
        <f t="shared" si="91"/>
        <v>6.81</v>
      </c>
      <c r="M541" s="75">
        <f>prodnorm87</f>
        <v>0</v>
      </c>
      <c r="N541" s="76">
        <f>dagwerk87</f>
        <v>0</v>
      </c>
      <c r="O541" s="72" t="s">
        <v>54</v>
      </c>
      <c r="P541" s="77">
        <f>uurtarief87</f>
        <v>0</v>
      </c>
      <c r="Q541" s="74" t="e">
        <f t="shared" si="92"/>
        <v>#DIV/0!</v>
      </c>
      <c r="R541" s="74" t="e">
        <f t="shared" si="93"/>
        <v>#DIV/0!</v>
      </c>
      <c r="S541" s="77" t="e">
        <f t="shared" si="94"/>
        <v>#DIV/0!</v>
      </c>
      <c r="T541" s="74" t="e">
        <f t="shared" si="95"/>
        <v>#DIV/0!</v>
      </c>
      <c r="U541" s="78" t="e">
        <f t="shared" si="96"/>
        <v>#DIV/0!</v>
      </c>
    </row>
    <row r="542" spans="1:21" x14ac:dyDescent="0.2">
      <c r="A542" s="79" t="s">
        <v>701</v>
      </c>
      <c r="B542" s="80" t="s">
        <v>705</v>
      </c>
      <c r="C542" s="80" t="s">
        <v>330</v>
      </c>
      <c r="D542" s="80" t="s">
        <v>549</v>
      </c>
      <c r="E542" s="80" t="s">
        <v>300</v>
      </c>
      <c r="F542" s="81" t="s">
        <v>711</v>
      </c>
      <c r="G542" s="80" t="s">
        <v>309</v>
      </c>
      <c r="H542" s="80" t="s">
        <v>222</v>
      </c>
      <c r="I542" s="80" t="s">
        <v>21</v>
      </c>
      <c r="J542" s="80" t="s">
        <v>187</v>
      </c>
      <c r="K542" s="82">
        <v>20.43</v>
      </c>
      <c r="L542" s="82">
        <f t="shared" si="91"/>
        <v>6.81</v>
      </c>
      <c r="M542" s="83">
        <f>prodnorm87</f>
        <v>0</v>
      </c>
      <c r="N542" s="84">
        <f>dagwerk87</f>
        <v>0</v>
      </c>
      <c r="O542" s="80" t="s">
        <v>54</v>
      </c>
      <c r="P542" s="85">
        <f>uurtarief87</f>
        <v>0</v>
      </c>
      <c r="Q542" s="82" t="e">
        <f t="shared" si="92"/>
        <v>#DIV/0!</v>
      </c>
      <c r="R542" s="82" t="e">
        <f t="shared" si="93"/>
        <v>#DIV/0!</v>
      </c>
      <c r="S542" s="85" t="e">
        <f t="shared" si="94"/>
        <v>#DIV/0!</v>
      </c>
      <c r="T542" s="82" t="e">
        <f t="shared" si="95"/>
        <v>#DIV/0!</v>
      </c>
      <c r="U542" s="86" t="e">
        <f t="shared" si="96"/>
        <v>#DIV/0!</v>
      </c>
    </row>
    <row r="543" spans="1:21" x14ac:dyDescent="0.2">
      <c r="A543" s="87" t="s">
        <v>536</v>
      </c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3" t="e">
        <f>IF(_xlfn.SINGLE(object13_urenjaar1)&gt;0,_xlfn.SINGLE(object13_prijsjaar1)/_xlfn.SINGLE(object13_urenjaar1),0)</f>
        <v>#DIV/0!</v>
      </c>
      <c r="Q543" s="52" t="e">
        <f>SUM(Q535:Q542)</f>
        <v>#DIV/0!</v>
      </c>
      <c r="R543" s="52" t="e">
        <f>SUM(R535:R542)</f>
        <v>#DIV/0!</v>
      </c>
      <c r="S543" s="53" t="e">
        <f>SUM(S535:S542)</f>
        <v>#DIV/0!</v>
      </c>
      <c r="T543" s="52" t="e">
        <f>SUM(T535:T542)</f>
        <v>#DIV/0!</v>
      </c>
      <c r="U543" s="54" t="e">
        <f>SUM(U535:U542)</f>
        <v>#DIV/0!</v>
      </c>
    </row>
    <row r="544" spans="1:21" x14ac:dyDescent="0.2">
      <c r="A544" s="61" t="s">
        <v>712</v>
      </c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49"/>
    </row>
    <row r="545" spans="1:21" x14ac:dyDescent="0.2">
      <c r="A545" s="63" t="s">
        <v>713</v>
      </c>
      <c r="B545" s="64" t="s">
        <v>300</v>
      </c>
      <c r="C545" s="64" t="s">
        <v>330</v>
      </c>
      <c r="D545" s="64" t="s">
        <v>540</v>
      </c>
      <c r="E545" s="64" t="s">
        <v>300</v>
      </c>
      <c r="F545" s="65" t="s">
        <v>338</v>
      </c>
      <c r="G545" s="64" t="s">
        <v>339</v>
      </c>
      <c r="H545" s="64" t="s">
        <v>201</v>
      </c>
      <c r="I545" s="64" t="s">
        <v>12</v>
      </c>
      <c r="J545" s="64" t="s">
        <v>187</v>
      </c>
      <c r="K545" s="66">
        <v>7</v>
      </c>
      <c r="L545" s="66">
        <f t="shared" ref="L545:L555" si="97">K545*VLOOKUP(I545,dagsoorttabel1,2,FALSE)</f>
        <v>6.1764705882352935</v>
      </c>
      <c r="M545" s="67">
        <f>prodnorm51</f>
        <v>0</v>
      </c>
      <c r="N545" s="68">
        <f>dagwerk51</f>
        <v>0</v>
      </c>
      <c r="O545" s="64" t="s">
        <v>54</v>
      </c>
      <c r="P545" s="69">
        <f>uurtarief51</f>
        <v>0</v>
      </c>
      <c r="Q545" s="66" t="e">
        <f t="shared" ref="Q545:Q554" si="98">IF(ISBLANK(M545),0,L545/ROUND(M545,4))</f>
        <v>#DIV/0!</v>
      </c>
      <c r="R545" s="66" t="e">
        <f t="shared" ref="R545:R555" si="99">IF(ISBLANK(M545),0,Q545*ROUND(N545,2))</f>
        <v>#DIV/0!</v>
      </c>
      <c r="S545" s="69" t="e">
        <f t="shared" ref="S545:S555" si="100">ROUND(P545,2)*Q545</f>
        <v>#DIV/0!</v>
      </c>
      <c r="T545" s="66" t="e">
        <f t="shared" ref="T545:T555" si="101">Q545*dagenperjaar1</f>
        <v>#DIV/0!</v>
      </c>
      <c r="U545" s="70" t="e">
        <f t="shared" ref="U545:U555" si="102">T545*ROUND(P545,2)</f>
        <v>#DIV/0!</v>
      </c>
    </row>
    <row r="546" spans="1:21" x14ac:dyDescent="0.2">
      <c r="A546" s="71" t="s">
        <v>713</v>
      </c>
      <c r="B546" s="72" t="s">
        <v>300</v>
      </c>
      <c r="C546" s="72" t="s">
        <v>330</v>
      </c>
      <c r="D546" s="72" t="s">
        <v>335</v>
      </c>
      <c r="E546" s="72" t="s">
        <v>300</v>
      </c>
      <c r="F546" s="73" t="s">
        <v>573</v>
      </c>
      <c r="G546" s="72" t="s">
        <v>304</v>
      </c>
      <c r="H546" s="72" t="s">
        <v>231</v>
      </c>
      <c r="I546" s="72" t="s">
        <v>12</v>
      </c>
      <c r="J546" s="72" t="s">
        <v>187</v>
      </c>
      <c r="K546" s="74">
        <v>26</v>
      </c>
      <c r="L546" s="74">
        <f t="shared" si="97"/>
        <v>22.941176470588236</v>
      </c>
      <c r="M546" s="75">
        <f>prodnorm100</f>
        <v>0</v>
      </c>
      <c r="N546" s="76">
        <f>dagwerk100</f>
        <v>0</v>
      </c>
      <c r="O546" s="72" t="s">
        <v>54</v>
      </c>
      <c r="P546" s="77">
        <f>uurtarief100</f>
        <v>0</v>
      </c>
      <c r="Q546" s="74" t="e">
        <f t="shared" si="98"/>
        <v>#DIV/0!</v>
      </c>
      <c r="R546" s="74" t="e">
        <f t="shared" si="99"/>
        <v>#DIV/0!</v>
      </c>
      <c r="S546" s="77" t="e">
        <f t="shared" si="100"/>
        <v>#DIV/0!</v>
      </c>
      <c r="T546" s="74" t="e">
        <f t="shared" si="101"/>
        <v>#DIV/0!</v>
      </c>
      <c r="U546" s="78" t="e">
        <f t="shared" si="102"/>
        <v>#DIV/0!</v>
      </c>
    </row>
    <row r="547" spans="1:21" x14ac:dyDescent="0.2">
      <c r="A547" s="71" t="s">
        <v>713</v>
      </c>
      <c r="B547" s="72" t="s">
        <v>300</v>
      </c>
      <c r="C547" s="72" t="s">
        <v>330</v>
      </c>
      <c r="D547" s="72" t="s">
        <v>340</v>
      </c>
      <c r="E547" s="72" t="s">
        <v>300</v>
      </c>
      <c r="F547" s="73" t="s">
        <v>714</v>
      </c>
      <c r="G547" s="72" t="s">
        <v>304</v>
      </c>
      <c r="H547" s="72" t="s">
        <v>222</v>
      </c>
      <c r="I547" s="72" t="s">
        <v>12</v>
      </c>
      <c r="J547" s="72" t="s">
        <v>187</v>
      </c>
      <c r="K547" s="74">
        <v>31</v>
      </c>
      <c r="L547" s="74">
        <f t="shared" si="97"/>
        <v>27.352941176470587</v>
      </c>
      <c r="M547" s="75">
        <f>prodnorm80</f>
        <v>0</v>
      </c>
      <c r="N547" s="76">
        <f>dagwerk80</f>
        <v>0</v>
      </c>
      <c r="O547" s="72" t="s">
        <v>54</v>
      </c>
      <c r="P547" s="77">
        <f>uurtarief80</f>
        <v>0</v>
      </c>
      <c r="Q547" s="74" t="e">
        <f t="shared" si="98"/>
        <v>#DIV/0!</v>
      </c>
      <c r="R547" s="74" t="e">
        <f t="shared" si="99"/>
        <v>#DIV/0!</v>
      </c>
      <c r="S547" s="77" t="e">
        <f t="shared" si="100"/>
        <v>#DIV/0!</v>
      </c>
      <c r="T547" s="74" t="e">
        <f t="shared" si="101"/>
        <v>#DIV/0!</v>
      </c>
      <c r="U547" s="78" t="e">
        <f t="shared" si="102"/>
        <v>#DIV/0!</v>
      </c>
    </row>
    <row r="548" spans="1:21" x14ac:dyDescent="0.2">
      <c r="A548" s="71" t="s">
        <v>713</v>
      </c>
      <c r="B548" s="72" t="s">
        <v>300</v>
      </c>
      <c r="C548" s="72" t="s">
        <v>330</v>
      </c>
      <c r="D548" s="72" t="s">
        <v>553</v>
      </c>
      <c r="E548" s="72" t="s">
        <v>300</v>
      </c>
      <c r="F548" s="73" t="s">
        <v>715</v>
      </c>
      <c r="G548" s="72" t="s">
        <v>596</v>
      </c>
      <c r="H548" s="72" t="s">
        <v>195</v>
      </c>
      <c r="I548" s="72" t="s">
        <v>12</v>
      </c>
      <c r="J548" s="72" t="s">
        <v>187</v>
      </c>
      <c r="K548" s="74">
        <v>2</v>
      </c>
      <c r="L548" s="74">
        <f t="shared" si="97"/>
        <v>1.7647058823529411</v>
      </c>
      <c r="M548" s="75">
        <f>prodnorm43</f>
        <v>0</v>
      </c>
      <c r="N548" s="76">
        <f>dagwerk43</f>
        <v>0</v>
      </c>
      <c r="O548" s="72" t="s">
        <v>54</v>
      </c>
      <c r="P548" s="77">
        <f>uurtarief43</f>
        <v>0</v>
      </c>
      <c r="Q548" s="74" t="e">
        <f t="shared" si="98"/>
        <v>#DIV/0!</v>
      </c>
      <c r="R548" s="74" t="e">
        <f t="shared" si="99"/>
        <v>#DIV/0!</v>
      </c>
      <c r="S548" s="77" t="e">
        <f t="shared" si="100"/>
        <v>#DIV/0!</v>
      </c>
      <c r="T548" s="74" t="e">
        <f t="shared" si="101"/>
        <v>#DIV/0!</v>
      </c>
      <c r="U548" s="78" t="e">
        <f t="shared" si="102"/>
        <v>#DIV/0!</v>
      </c>
    </row>
    <row r="549" spans="1:21" x14ac:dyDescent="0.2">
      <c r="A549" s="71" t="s">
        <v>713</v>
      </c>
      <c r="B549" s="72" t="s">
        <v>300</v>
      </c>
      <c r="C549" s="72" t="s">
        <v>330</v>
      </c>
      <c r="D549" s="72" t="s">
        <v>543</v>
      </c>
      <c r="E549" s="72" t="s">
        <v>300</v>
      </c>
      <c r="F549" s="73" t="s">
        <v>313</v>
      </c>
      <c r="G549" s="72" t="s">
        <v>304</v>
      </c>
      <c r="H549" s="72" t="s">
        <v>222</v>
      </c>
      <c r="I549" s="72" t="s">
        <v>12</v>
      </c>
      <c r="J549" s="72" t="s">
        <v>187</v>
      </c>
      <c r="K549" s="74">
        <v>31.5</v>
      </c>
      <c r="L549" s="74">
        <f t="shared" si="97"/>
        <v>27.794117647058822</v>
      </c>
      <c r="M549" s="75">
        <f>prodnorm80</f>
        <v>0</v>
      </c>
      <c r="N549" s="76">
        <f>dagwerk80</f>
        <v>0</v>
      </c>
      <c r="O549" s="72" t="s">
        <v>54</v>
      </c>
      <c r="P549" s="77">
        <f>uurtarief80</f>
        <v>0</v>
      </c>
      <c r="Q549" s="74" t="e">
        <f t="shared" si="98"/>
        <v>#DIV/0!</v>
      </c>
      <c r="R549" s="74" t="e">
        <f t="shared" si="99"/>
        <v>#DIV/0!</v>
      </c>
      <c r="S549" s="77" t="e">
        <f t="shared" si="100"/>
        <v>#DIV/0!</v>
      </c>
      <c r="T549" s="74" t="e">
        <f t="shared" si="101"/>
        <v>#DIV/0!</v>
      </c>
      <c r="U549" s="78" t="e">
        <f t="shared" si="102"/>
        <v>#DIV/0!</v>
      </c>
    </row>
    <row r="550" spans="1:21" x14ac:dyDescent="0.2">
      <c r="A550" s="71" t="s">
        <v>713</v>
      </c>
      <c r="B550" s="72" t="s">
        <v>300</v>
      </c>
      <c r="C550" s="72" t="s">
        <v>330</v>
      </c>
      <c r="D550" s="72" t="s">
        <v>546</v>
      </c>
      <c r="E550" s="72" t="s">
        <v>300</v>
      </c>
      <c r="F550" s="73" t="s">
        <v>716</v>
      </c>
      <c r="G550" s="72" t="s">
        <v>596</v>
      </c>
      <c r="H550" s="72" t="s">
        <v>222</v>
      </c>
      <c r="I550" s="72" t="s">
        <v>12</v>
      </c>
      <c r="J550" s="72" t="s">
        <v>187</v>
      </c>
      <c r="K550" s="74">
        <v>6.5</v>
      </c>
      <c r="L550" s="74">
        <f t="shared" si="97"/>
        <v>5.7352941176470589</v>
      </c>
      <c r="M550" s="75">
        <f>prodnorm80</f>
        <v>0</v>
      </c>
      <c r="N550" s="76">
        <f>dagwerk80</f>
        <v>0</v>
      </c>
      <c r="O550" s="72" t="s">
        <v>54</v>
      </c>
      <c r="P550" s="77">
        <f>uurtarief80</f>
        <v>0</v>
      </c>
      <c r="Q550" s="74" t="e">
        <f t="shared" si="98"/>
        <v>#DIV/0!</v>
      </c>
      <c r="R550" s="74" t="e">
        <f t="shared" si="99"/>
        <v>#DIV/0!</v>
      </c>
      <c r="S550" s="77" t="e">
        <f t="shared" si="100"/>
        <v>#DIV/0!</v>
      </c>
      <c r="T550" s="74" t="e">
        <f t="shared" si="101"/>
        <v>#DIV/0!</v>
      </c>
      <c r="U550" s="78" t="e">
        <f t="shared" si="102"/>
        <v>#DIV/0!</v>
      </c>
    </row>
    <row r="551" spans="1:21" x14ac:dyDescent="0.2">
      <c r="A551" s="71" t="s">
        <v>713</v>
      </c>
      <c r="B551" s="72" t="s">
        <v>300</v>
      </c>
      <c r="C551" s="72" t="s">
        <v>330</v>
      </c>
      <c r="D551" s="72" t="s">
        <v>365</v>
      </c>
      <c r="E551" s="72" t="s">
        <v>300</v>
      </c>
      <c r="F551" s="73" t="s">
        <v>717</v>
      </c>
      <c r="G551" s="72" t="s">
        <v>631</v>
      </c>
      <c r="H551" s="72" t="s">
        <v>205</v>
      </c>
      <c r="I551" s="72" t="s">
        <v>12</v>
      </c>
      <c r="J551" s="72" t="s">
        <v>187</v>
      </c>
      <c r="K551" s="74">
        <v>270</v>
      </c>
      <c r="L551" s="74">
        <f t="shared" si="97"/>
        <v>238.23529411764704</v>
      </c>
      <c r="M551" s="75">
        <f>prodnorm54</f>
        <v>0</v>
      </c>
      <c r="N551" s="76">
        <f>dagwerk54</f>
        <v>0</v>
      </c>
      <c r="O551" s="72" t="s">
        <v>54</v>
      </c>
      <c r="P551" s="77">
        <f>uurtarief54</f>
        <v>0</v>
      </c>
      <c r="Q551" s="74" t="e">
        <f t="shared" si="98"/>
        <v>#DIV/0!</v>
      </c>
      <c r="R551" s="74" t="e">
        <f t="shared" si="99"/>
        <v>#DIV/0!</v>
      </c>
      <c r="S551" s="77" t="e">
        <f t="shared" si="100"/>
        <v>#DIV/0!</v>
      </c>
      <c r="T551" s="74" t="e">
        <f t="shared" si="101"/>
        <v>#DIV/0!</v>
      </c>
      <c r="U551" s="78" t="e">
        <f t="shared" si="102"/>
        <v>#DIV/0!</v>
      </c>
    </row>
    <row r="552" spans="1:21" x14ac:dyDescent="0.2">
      <c r="A552" s="71" t="s">
        <v>713</v>
      </c>
      <c r="B552" s="72" t="s">
        <v>300</v>
      </c>
      <c r="C552" s="72" t="s">
        <v>330</v>
      </c>
      <c r="D552" s="72" t="s">
        <v>365</v>
      </c>
      <c r="E552" s="72" t="s">
        <v>300</v>
      </c>
      <c r="F552" s="73" t="s">
        <v>717</v>
      </c>
      <c r="G552" s="72" t="s">
        <v>631</v>
      </c>
      <c r="H552" s="72" t="s">
        <v>244</v>
      </c>
      <c r="I552" s="72" t="s">
        <v>40</v>
      </c>
      <c r="J552" s="72" t="s">
        <v>242</v>
      </c>
      <c r="K552" s="74">
        <v>270</v>
      </c>
      <c r="L552" s="74">
        <f t="shared" si="97"/>
        <v>2.1176470588235294</v>
      </c>
      <c r="M552" s="75">
        <f>prodnorm118</f>
        <v>0</v>
      </c>
      <c r="N552" s="76">
        <f>dagwerk118</f>
        <v>0</v>
      </c>
      <c r="O552" s="72" t="s">
        <v>54</v>
      </c>
      <c r="P552" s="77">
        <f>uurtarief118</f>
        <v>0</v>
      </c>
      <c r="Q552" s="74" t="e">
        <f t="shared" si="98"/>
        <v>#DIV/0!</v>
      </c>
      <c r="R552" s="74" t="e">
        <f t="shared" si="99"/>
        <v>#DIV/0!</v>
      </c>
      <c r="S552" s="77" t="e">
        <f t="shared" si="100"/>
        <v>#DIV/0!</v>
      </c>
      <c r="T552" s="74" t="e">
        <f t="shared" si="101"/>
        <v>#DIV/0!</v>
      </c>
      <c r="U552" s="78" t="e">
        <f t="shared" si="102"/>
        <v>#DIV/0!</v>
      </c>
    </row>
    <row r="553" spans="1:21" x14ac:dyDescent="0.2">
      <c r="A553" s="71" t="s">
        <v>713</v>
      </c>
      <c r="B553" s="72" t="s">
        <v>300</v>
      </c>
      <c r="C553" s="72" t="s">
        <v>330</v>
      </c>
      <c r="D553" s="72" t="s">
        <v>718</v>
      </c>
      <c r="E553" s="72" t="s">
        <v>300</v>
      </c>
      <c r="F553" s="73" t="s">
        <v>658</v>
      </c>
      <c r="G553" s="72" t="s">
        <v>631</v>
      </c>
      <c r="H553" s="72" t="s">
        <v>205</v>
      </c>
      <c r="I553" s="72" t="s">
        <v>25</v>
      </c>
      <c r="J553" s="72" t="s">
        <v>187</v>
      </c>
      <c r="K553" s="74">
        <v>51.5</v>
      </c>
      <c r="L553" s="74">
        <f t="shared" si="97"/>
        <v>9.0882352941176485</v>
      </c>
      <c r="M553" s="75">
        <f>prodnorm56</f>
        <v>0</v>
      </c>
      <c r="N553" s="76">
        <f>dagwerk56</f>
        <v>0</v>
      </c>
      <c r="O553" s="72" t="s">
        <v>54</v>
      </c>
      <c r="P553" s="77">
        <f>uurtarief56</f>
        <v>0</v>
      </c>
      <c r="Q553" s="74" t="e">
        <f t="shared" si="98"/>
        <v>#DIV/0!</v>
      </c>
      <c r="R553" s="74" t="e">
        <f t="shared" si="99"/>
        <v>#DIV/0!</v>
      </c>
      <c r="S553" s="77" t="e">
        <f t="shared" si="100"/>
        <v>#DIV/0!</v>
      </c>
      <c r="T553" s="74" t="e">
        <f t="shared" si="101"/>
        <v>#DIV/0!</v>
      </c>
      <c r="U553" s="78" t="e">
        <f t="shared" si="102"/>
        <v>#DIV/0!</v>
      </c>
    </row>
    <row r="554" spans="1:21" x14ac:dyDescent="0.2">
      <c r="A554" s="71" t="s">
        <v>713</v>
      </c>
      <c r="B554" s="72" t="s">
        <v>300</v>
      </c>
      <c r="C554" s="72" t="s">
        <v>330</v>
      </c>
      <c r="D554" s="72" t="s">
        <v>718</v>
      </c>
      <c r="E554" s="72" t="s">
        <v>300</v>
      </c>
      <c r="F554" s="73" t="s">
        <v>658</v>
      </c>
      <c r="G554" s="72" t="s">
        <v>631</v>
      </c>
      <c r="H554" s="72" t="s">
        <v>244</v>
      </c>
      <c r="I554" s="72" t="s">
        <v>40</v>
      </c>
      <c r="J554" s="72" t="s">
        <v>242</v>
      </c>
      <c r="K554" s="74">
        <v>51.5</v>
      </c>
      <c r="L554" s="74">
        <f t="shared" si="97"/>
        <v>0.40392156862745099</v>
      </c>
      <c r="M554" s="75">
        <f>prodnorm118</f>
        <v>0</v>
      </c>
      <c r="N554" s="76">
        <f>dagwerk118</f>
        <v>0</v>
      </c>
      <c r="O554" s="72" t="s">
        <v>54</v>
      </c>
      <c r="P554" s="77">
        <f>uurtarief118</f>
        <v>0</v>
      </c>
      <c r="Q554" s="74" t="e">
        <f t="shared" si="98"/>
        <v>#DIV/0!</v>
      </c>
      <c r="R554" s="74" t="e">
        <f t="shared" si="99"/>
        <v>#DIV/0!</v>
      </c>
      <c r="S554" s="77" t="e">
        <f t="shared" si="100"/>
        <v>#DIV/0!</v>
      </c>
      <c r="T554" s="74" t="e">
        <f t="shared" si="101"/>
        <v>#DIV/0!</v>
      </c>
      <c r="U554" s="78" t="e">
        <f t="shared" si="102"/>
        <v>#DIV/0!</v>
      </c>
    </row>
    <row r="555" spans="1:21" x14ac:dyDescent="0.2">
      <c r="A555" s="79" t="s">
        <v>713</v>
      </c>
      <c r="B555" s="80" t="s">
        <v>300</v>
      </c>
      <c r="C555" s="80" t="s">
        <v>633</v>
      </c>
      <c r="D555" s="80" t="s">
        <v>300</v>
      </c>
      <c r="E555" s="80" t="s">
        <v>300</v>
      </c>
      <c r="F555" s="81" t="s">
        <v>589</v>
      </c>
      <c r="G555" s="80" t="s">
        <v>300</v>
      </c>
      <c r="H555" s="80" t="s">
        <v>260</v>
      </c>
      <c r="I555" s="80" t="s">
        <v>28</v>
      </c>
      <c r="J555" s="80" t="s">
        <v>253</v>
      </c>
      <c r="K555" s="82">
        <v>1</v>
      </c>
      <c r="L555" s="82">
        <f t="shared" si="97"/>
        <v>9.8039215686274508E-2</v>
      </c>
      <c r="M555" s="83">
        <f>prodnorm21</f>
        <v>0</v>
      </c>
      <c r="N555" s="84">
        <f>dagwerk21</f>
        <v>0</v>
      </c>
      <c r="O555" s="80" t="s">
        <v>255</v>
      </c>
      <c r="P555" s="85">
        <f>uurtarief21</f>
        <v>0</v>
      </c>
      <c r="Q555" s="82">
        <f>L555*ROUND(M555,4)/60</f>
        <v>0</v>
      </c>
      <c r="R555" s="82">
        <f t="shared" si="99"/>
        <v>0</v>
      </c>
      <c r="S555" s="85">
        <f t="shared" si="100"/>
        <v>0</v>
      </c>
      <c r="T555" s="82">
        <f t="shared" si="101"/>
        <v>0</v>
      </c>
      <c r="U555" s="86">
        <f t="shared" si="102"/>
        <v>0</v>
      </c>
    </row>
    <row r="556" spans="1:21" x14ac:dyDescent="0.2">
      <c r="A556" s="87" t="s">
        <v>536</v>
      </c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3" t="e">
        <f>IF(_xlfn.SINGLE(object14_urenjaar1)&gt;0,_xlfn.SINGLE(object14_prijsjaar1)/_xlfn.SINGLE(object14_urenjaar1),0)</f>
        <v>#DIV/0!</v>
      </c>
      <c r="Q556" s="52" t="e">
        <f>SUM(Q545:Q555)</f>
        <v>#DIV/0!</v>
      </c>
      <c r="R556" s="52" t="e">
        <f>SUM(R545:R555)</f>
        <v>#DIV/0!</v>
      </c>
      <c r="S556" s="53" t="e">
        <f>SUM(S545:S555)</f>
        <v>#DIV/0!</v>
      </c>
      <c r="T556" s="52" t="e">
        <f>SUM(T545:T555)</f>
        <v>#DIV/0!</v>
      </c>
      <c r="U556" s="54" t="e">
        <f>SUM(U545:U555)</f>
        <v>#DIV/0!</v>
      </c>
    </row>
    <row r="557" spans="1:21" x14ac:dyDescent="0.2">
      <c r="A557" s="61" t="s">
        <v>719</v>
      </c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49"/>
    </row>
    <row r="558" spans="1:21" x14ac:dyDescent="0.2">
      <c r="A558" s="63" t="s">
        <v>720</v>
      </c>
      <c r="B558" s="64" t="s">
        <v>300</v>
      </c>
      <c r="C558" s="64" t="s">
        <v>330</v>
      </c>
      <c r="D558" s="64" t="s">
        <v>540</v>
      </c>
      <c r="E558" s="64" t="s">
        <v>300</v>
      </c>
      <c r="F558" s="65" t="s">
        <v>306</v>
      </c>
      <c r="G558" s="64" t="s">
        <v>323</v>
      </c>
      <c r="H558" s="64" t="s">
        <v>233</v>
      </c>
      <c r="I558" s="64" t="s">
        <v>19</v>
      </c>
      <c r="J558" s="64" t="s">
        <v>187</v>
      </c>
      <c r="K558" s="66">
        <v>26</v>
      </c>
      <c r="L558" s="66">
        <f t="shared" ref="L558:L565" si="103">K558*VLOOKUP(I558,dagsoorttabel1,2,FALSE)</f>
        <v>10.4</v>
      </c>
      <c r="M558" s="67">
        <f>prodnorm109</f>
        <v>0</v>
      </c>
      <c r="N558" s="68">
        <f>dagwerk109</f>
        <v>0</v>
      </c>
      <c r="O558" s="64" t="s">
        <v>54</v>
      </c>
      <c r="P558" s="69">
        <f>uurtarief109</f>
        <v>0</v>
      </c>
      <c r="Q558" s="66" t="e">
        <f t="shared" ref="Q558:Q565" si="104">IF(ISBLANK(M558),0,L558/ROUND(M558,4))</f>
        <v>#DIV/0!</v>
      </c>
      <c r="R558" s="66" t="e">
        <f t="shared" ref="R558:R565" si="105">IF(ISBLANK(M558),0,Q558*ROUND(N558,2))</f>
        <v>#DIV/0!</v>
      </c>
      <c r="S558" s="69" t="e">
        <f t="shared" ref="S558:S565" si="106">ROUND(P558,2)*Q558</f>
        <v>#DIV/0!</v>
      </c>
      <c r="T558" s="66" t="e">
        <f t="shared" ref="T558:T565" si="107">Q558*dagenperjaar1</f>
        <v>#DIV/0!</v>
      </c>
      <c r="U558" s="70" t="e">
        <f t="shared" ref="U558:U565" si="108">T558*ROUND(P558,2)</f>
        <v>#DIV/0!</v>
      </c>
    </row>
    <row r="559" spans="1:21" x14ac:dyDescent="0.2">
      <c r="A559" s="71" t="s">
        <v>720</v>
      </c>
      <c r="B559" s="72" t="s">
        <v>300</v>
      </c>
      <c r="C559" s="72" t="s">
        <v>330</v>
      </c>
      <c r="D559" s="72" t="s">
        <v>335</v>
      </c>
      <c r="E559" s="72" t="s">
        <v>300</v>
      </c>
      <c r="F559" s="73" t="s">
        <v>622</v>
      </c>
      <c r="G559" s="72" t="s">
        <v>581</v>
      </c>
      <c r="H559" s="72" t="s">
        <v>227</v>
      </c>
      <c r="I559" s="72" t="s">
        <v>19</v>
      </c>
      <c r="J559" s="72" t="s">
        <v>187</v>
      </c>
      <c r="K559" s="74">
        <v>8</v>
      </c>
      <c r="L559" s="74">
        <f t="shared" si="103"/>
        <v>3.2</v>
      </c>
      <c r="M559" s="75">
        <f>prodnorm92</f>
        <v>0</v>
      </c>
      <c r="N559" s="76">
        <f>dagwerk92</f>
        <v>0</v>
      </c>
      <c r="O559" s="72" t="s">
        <v>54</v>
      </c>
      <c r="P559" s="77">
        <f>uurtarief92</f>
        <v>0</v>
      </c>
      <c r="Q559" s="74" t="e">
        <f t="shared" si="104"/>
        <v>#DIV/0!</v>
      </c>
      <c r="R559" s="74" t="e">
        <f t="shared" si="105"/>
        <v>#DIV/0!</v>
      </c>
      <c r="S559" s="77" t="e">
        <f t="shared" si="106"/>
        <v>#DIV/0!</v>
      </c>
      <c r="T559" s="74" t="e">
        <f t="shared" si="107"/>
        <v>#DIV/0!</v>
      </c>
      <c r="U559" s="78" t="e">
        <f t="shared" si="108"/>
        <v>#DIV/0!</v>
      </c>
    </row>
    <row r="560" spans="1:21" x14ac:dyDescent="0.2">
      <c r="A560" s="71" t="s">
        <v>720</v>
      </c>
      <c r="B560" s="72" t="s">
        <v>300</v>
      </c>
      <c r="C560" s="72" t="s">
        <v>406</v>
      </c>
      <c r="D560" s="72" t="s">
        <v>407</v>
      </c>
      <c r="E560" s="72" t="s">
        <v>300</v>
      </c>
      <c r="F560" s="73" t="s">
        <v>306</v>
      </c>
      <c r="G560" s="72" t="s">
        <v>323</v>
      </c>
      <c r="H560" s="72" t="s">
        <v>233</v>
      </c>
      <c r="I560" s="72" t="s">
        <v>19</v>
      </c>
      <c r="J560" s="72" t="s">
        <v>187</v>
      </c>
      <c r="K560" s="74">
        <v>33</v>
      </c>
      <c r="L560" s="74">
        <f t="shared" si="103"/>
        <v>13.200000000000001</v>
      </c>
      <c r="M560" s="75">
        <f>prodnorm109</f>
        <v>0</v>
      </c>
      <c r="N560" s="76">
        <f>dagwerk109</f>
        <v>0</v>
      </c>
      <c r="O560" s="72" t="s">
        <v>54</v>
      </c>
      <c r="P560" s="77">
        <f>uurtarief109</f>
        <v>0</v>
      </c>
      <c r="Q560" s="74" t="e">
        <f t="shared" si="104"/>
        <v>#DIV/0!</v>
      </c>
      <c r="R560" s="74" t="e">
        <f t="shared" si="105"/>
        <v>#DIV/0!</v>
      </c>
      <c r="S560" s="77" t="e">
        <f t="shared" si="106"/>
        <v>#DIV/0!</v>
      </c>
      <c r="T560" s="74" t="e">
        <f t="shared" si="107"/>
        <v>#DIV/0!</v>
      </c>
      <c r="U560" s="78" t="e">
        <f t="shared" si="108"/>
        <v>#DIV/0!</v>
      </c>
    </row>
    <row r="561" spans="1:21" x14ac:dyDescent="0.2">
      <c r="A561" s="71" t="s">
        <v>720</v>
      </c>
      <c r="B561" s="72" t="s">
        <v>300</v>
      </c>
      <c r="C561" s="72" t="s">
        <v>406</v>
      </c>
      <c r="D561" s="72" t="s">
        <v>408</v>
      </c>
      <c r="E561" s="72" t="s">
        <v>300</v>
      </c>
      <c r="F561" s="73" t="s">
        <v>721</v>
      </c>
      <c r="G561" s="72" t="s">
        <v>323</v>
      </c>
      <c r="H561" s="72" t="s">
        <v>216</v>
      </c>
      <c r="I561" s="72" t="s">
        <v>19</v>
      </c>
      <c r="J561" s="72" t="s">
        <v>187</v>
      </c>
      <c r="K561" s="74">
        <v>39</v>
      </c>
      <c r="L561" s="74">
        <f t="shared" si="103"/>
        <v>15.600000000000001</v>
      </c>
      <c r="M561" s="75">
        <f>prodnorm67</f>
        <v>0</v>
      </c>
      <c r="N561" s="76">
        <f>dagwerk67</f>
        <v>0</v>
      </c>
      <c r="O561" s="72" t="s">
        <v>54</v>
      </c>
      <c r="P561" s="77">
        <f>uurtarief67</f>
        <v>0</v>
      </c>
      <c r="Q561" s="74" t="e">
        <f t="shared" si="104"/>
        <v>#DIV/0!</v>
      </c>
      <c r="R561" s="74" t="e">
        <f t="shared" si="105"/>
        <v>#DIV/0!</v>
      </c>
      <c r="S561" s="77" t="e">
        <f t="shared" si="106"/>
        <v>#DIV/0!</v>
      </c>
      <c r="T561" s="74" t="e">
        <f t="shared" si="107"/>
        <v>#DIV/0!</v>
      </c>
      <c r="U561" s="78" t="e">
        <f t="shared" si="108"/>
        <v>#DIV/0!</v>
      </c>
    </row>
    <row r="562" spans="1:21" x14ac:dyDescent="0.2">
      <c r="A562" s="71" t="s">
        <v>720</v>
      </c>
      <c r="B562" s="72" t="s">
        <v>300</v>
      </c>
      <c r="C562" s="72" t="s">
        <v>406</v>
      </c>
      <c r="D562" s="72" t="s">
        <v>409</v>
      </c>
      <c r="E562" s="72" t="s">
        <v>300</v>
      </c>
      <c r="F562" s="73" t="s">
        <v>568</v>
      </c>
      <c r="G562" s="72" t="s">
        <v>596</v>
      </c>
      <c r="H562" s="72" t="s">
        <v>222</v>
      </c>
      <c r="I562" s="72" t="s">
        <v>19</v>
      </c>
      <c r="J562" s="72" t="s">
        <v>187</v>
      </c>
      <c r="K562" s="74">
        <v>3.5</v>
      </c>
      <c r="L562" s="74">
        <f t="shared" si="103"/>
        <v>1.4000000000000001</v>
      </c>
      <c r="M562" s="75">
        <f>prodnorm82</f>
        <v>0</v>
      </c>
      <c r="N562" s="76">
        <f>dagwerk82</f>
        <v>0</v>
      </c>
      <c r="O562" s="72" t="s">
        <v>54</v>
      </c>
      <c r="P562" s="77">
        <f>uurtarief82</f>
        <v>0</v>
      </c>
      <c r="Q562" s="74" t="e">
        <f t="shared" si="104"/>
        <v>#DIV/0!</v>
      </c>
      <c r="R562" s="74" t="e">
        <f t="shared" si="105"/>
        <v>#DIV/0!</v>
      </c>
      <c r="S562" s="77" t="e">
        <f t="shared" si="106"/>
        <v>#DIV/0!</v>
      </c>
      <c r="T562" s="74" t="e">
        <f t="shared" si="107"/>
        <v>#DIV/0!</v>
      </c>
      <c r="U562" s="78" t="e">
        <f t="shared" si="108"/>
        <v>#DIV/0!</v>
      </c>
    </row>
    <row r="563" spans="1:21" x14ac:dyDescent="0.2">
      <c r="A563" s="71" t="s">
        <v>720</v>
      </c>
      <c r="B563" s="72" t="s">
        <v>300</v>
      </c>
      <c r="C563" s="72" t="s">
        <v>406</v>
      </c>
      <c r="D563" s="72" t="s">
        <v>410</v>
      </c>
      <c r="E563" s="72" t="s">
        <v>300</v>
      </c>
      <c r="F563" s="73" t="s">
        <v>622</v>
      </c>
      <c r="G563" s="72" t="s">
        <v>581</v>
      </c>
      <c r="H563" s="72" t="s">
        <v>227</v>
      </c>
      <c r="I563" s="72" t="s">
        <v>19</v>
      </c>
      <c r="J563" s="72" t="s">
        <v>187</v>
      </c>
      <c r="K563" s="74">
        <v>8</v>
      </c>
      <c r="L563" s="74">
        <f t="shared" si="103"/>
        <v>3.2</v>
      </c>
      <c r="M563" s="75">
        <f>prodnorm92</f>
        <v>0</v>
      </c>
      <c r="N563" s="76">
        <f>dagwerk92</f>
        <v>0</v>
      </c>
      <c r="O563" s="72" t="s">
        <v>54</v>
      </c>
      <c r="P563" s="77">
        <f>uurtarief92</f>
        <v>0</v>
      </c>
      <c r="Q563" s="74" t="e">
        <f t="shared" si="104"/>
        <v>#DIV/0!</v>
      </c>
      <c r="R563" s="74" t="e">
        <f t="shared" si="105"/>
        <v>#DIV/0!</v>
      </c>
      <c r="S563" s="77" t="e">
        <f t="shared" si="106"/>
        <v>#DIV/0!</v>
      </c>
      <c r="T563" s="74" t="e">
        <f t="shared" si="107"/>
        <v>#DIV/0!</v>
      </c>
      <c r="U563" s="78" t="e">
        <f t="shared" si="108"/>
        <v>#DIV/0!</v>
      </c>
    </row>
    <row r="564" spans="1:21" x14ac:dyDescent="0.2">
      <c r="A564" s="71" t="s">
        <v>720</v>
      </c>
      <c r="B564" s="72" t="s">
        <v>300</v>
      </c>
      <c r="C564" s="72" t="s">
        <v>447</v>
      </c>
      <c r="D564" s="72" t="s">
        <v>448</v>
      </c>
      <c r="E564" s="72" t="s">
        <v>300</v>
      </c>
      <c r="F564" s="73" t="s">
        <v>306</v>
      </c>
      <c r="G564" s="72" t="s">
        <v>323</v>
      </c>
      <c r="H564" s="72" t="s">
        <v>233</v>
      </c>
      <c r="I564" s="72" t="s">
        <v>19</v>
      </c>
      <c r="J564" s="72" t="s">
        <v>187</v>
      </c>
      <c r="K564" s="74">
        <v>30</v>
      </c>
      <c r="L564" s="74">
        <f t="shared" si="103"/>
        <v>12</v>
      </c>
      <c r="M564" s="75">
        <f>prodnorm109</f>
        <v>0</v>
      </c>
      <c r="N564" s="76">
        <f>dagwerk109</f>
        <v>0</v>
      </c>
      <c r="O564" s="72" t="s">
        <v>54</v>
      </c>
      <c r="P564" s="77">
        <f>uurtarief109</f>
        <v>0</v>
      </c>
      <c r="Q564" s="74" t="e">
        <f t="shared" si="104"/>
        <v>#DIV/0!</v>
      </c>
      <c r="R564" s="74" t="e">
        <f t="shared" si="105"/>
        <v>#DIV/0!</v>
      </c>
      <c r="S564" s="77" t="e">
        <f t="shared" si="106"/>
        <v>#DIV/0!</v>
      </c>
      <c r="T564" s="74" t="e">
        <f t="shared" si="107"/>
        <v>#DIV/0!</v>
      </c>
      <c r="U564" s="78" t="e">
        <f t="shared" si="108"/>
        <v>#DIV/0!</v>
      </c>
    </row>
    <row r="565" spans="1:21" x14ac:dyDescent="0.2">
      <c r="A565" s="79" t="s">
        <v>720</v>
      </c>
      <c r="B565" s="80" t="s">
        <v>300</v>
      </c>
      <c r="C565" s="80" t="s">
        <v>447</v>
      </c>
      <c r="D565" s="80" t="s">
        <v>449</v>
      </c>
      <c r="E565" s="80" t="s">
        <v>300</v>
      </c>
      <c r="F565" s="81" t="s">
        <v>722</v>
      </c>
      <c r="G565" s="80" t="s">
        <v>323</v>
      </c>
      <c r="H565" s="80" t="s">
        <v>216</v>
      </c>
      <c r="I565" s="80" t="s">
        <v>19</v>
      </c>
      <c r="J565" s="80" t="s">
        <v>187</v>
      </c>
      <c r="K565" s="82">
        <v>85.5</v>
      </c>
      <c r="L565" s="82">
        <f t="shared" si="103"/>
        <v>34.200000000000003</v>
      </c>
      <c r="M565" s="83">
        <f>prodnorm67</f>
        <v>0</v>
      </c>
      <c r="N565" s="84">
        <f>dagwerk67</f>
        <v>0</v>
      </c>
      <c r="O565" s="80" t="s">
        <v>54</v>
      </c>
      <c r="P565" s="85">
        <f>uurtarief67</f>
        <v>0</v>
      </c>
      <c r="Q565" s="82" t="e">
        <f t="shared" si="104"/>
        <v>#DIV/0!</v>
      </c>
      <c r="R565" s="82" t="e">
        <f t="shared" si="105"/>
        <v>#DIV/0!</v>
      </c>
      <c r="S565" s="85" t="e">
        <f t="shared" si="106"/>
        <v>#DIV/0!</v>
      </c>
      <c r="T565" s="82" t="e">
        <f t="shared" si="107"/>
        <v>#DIV/0!</v>
      </c>
      <c r="U565" s="86" t="e">
        <f t="shared" si="108"/>
        <v>#DIV/0!</v>
      </c>
    </row>
    <row r="566" spans="1:21" x14ac:dyDescent="0.2">
      <c r="A566" s="87" t="s">
        <v>536</v>
      </c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3" t="e">
        <f>IF(_xlfn.SINGLE(object15_urenjaar1)&gt;0,_xlfn.SINGLE(object15_prijsjaar1)/_xlfn.SINGLE(object15_urenjaar1),0)</f>
        <v>#DIV/0!</v>
      </c>
      <c r="Q566" s="52" t="e">
        <f>SUM(Q558:Q565)</f>
        <v>#DIV/0!</v>
      </c>
      <c r="R566" s="52" t="e">
        <f>SUM(R558:R565)</f>
        <v>#DIV/0!</v>
      </c>
      <c r="S566" s="53" t="e">
        <f>SUM(S558:S565)</f>
        <v>#DIV/0!</v>
      </c>
      <c r="T566" s="52" t="e">
        <f>SUM(T558:T565)</f>
        <v>#DIV/0!</v>
      </c>
      <c r="U566" s="54" t="e">
        <f>SUM(U558:U565)</f>
        <v>#DIV/0!</v>
      </c>
    </row>
    <row r="567" spans="1:21" x14ac:dyDescent="0.2">
      <c r="A567" s="61" t="s">
        <v>723</v>
      </c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49"/>
    </row>
    <row r="568" spans="1:21" ht="25.5" x14ac:dyDescent="0.2">
      <c r="A568" s="63" t="s">
        <v>724</v>
      </c>
      <c r="B568" s="64" t="s">
        <v>300</v>
      </c>
      <c r="C568" s="64" t="s">
        <v>330</v>
      </c>
      <c r="D568" s="64" t="s">
        <v>540</v>
      </c>
      <c r="E568" s="64" t="s">
        <v>300</v>
      </c>
      <c r="F568" s="65" t="s">
        <v>725</v>
      </c>
      <c r="G568" s="64" t="s">
        <v>726</v>
      </c>
      <c r="H568" s="64" t="s">
        <v>231</v>
      </c>
      <c r="I568" s="64" t="s">
        <v>24</v>
      </c>
      <c r="J568" s="64" t="s">
        <v>187</v>
      </c>
      <c r="K568" s="66">
        <v>30</v>
      </c>
      <c r="L568" s="66">
        <f t="shared" ref="L568:L589" si="109">K568*VLOOKUP(I568,dagsoorttabel1,2,FALSE)</f>
        <v>6</v>
      </c>
      <c r="M568" s="67">
        <f>prodnorm97</f>
        <v>0</v>
      </c>
      <c r="N568" s="68">
        <f>dagwerk97</f>
        <v>0</v>
      </c>
      <c r="O568" s="64" t="s">
        <v>54</v>
      </c>
      <c r="P568" s="69">
        <f>uurtarief97</f>
        <v>0</v>
      </c>
      <c r="Q568" s="66" t="e">
        <f t="shared" ref="Q568:Q589" si="110">IF(ISBLANK(M568),0,L568/ROUND(M568,4))</f>
        <v>#DIV/0!</v>
      </c>
      <c r="R568" s="66" t="e">
        <f t="shared" ref="R568:R589" si="111">IF(ISBLANK(M568),0,Q568*ROUND(N568,2))</f>
        <v>#DIV/0!</v>
      </c>
      <c r="S568" s="69" t="e">
        <f t="shared" ref="S568:S589" si="112">ROUND(P568,2)*Q568</f>
        <v>#DIV/0!</v>
      </c>
      <c r="T568" s="66" t="e">
        <f t="shared" ref="T568:T589" si="113">Q568*dagenperjaar1</f>
        <v>#DIV/0!</v>
      </c>
      <c r="U568" s="70" t="e">
        <f t="shared" ref="U568:U589" si="114">T568*ROUND(P568,2)</f>
        <v>#DIV/0!</v>
      </c>
    </row>
    <row r="569" spans="1:21" x14ac:dyDescent="0.2">
      <c r="A569" s="71" t="s">
        <v>724</v>
      </c>
      <c r="B569" s="72" t="s">
        <v>300</v>
      </c>
      <c r="C569" s="72" t="s">
        <v>330</v>
      </c>
      <c r="D569" s="72" t="s">
        <v>335</v>
      </c>
      <c r="E569" s="72" t="s">
        <v>300</v>
      </c>
      <c r="F569" s="73" t="s">
        <v>727</v>
      </c>
      <c r="G569" s="72" t="s">
        <v>728</v>
      </c>
      <c r="H569" s="72" t="s">
        <v>227</v>
      </c>
      <c r="I569" s="72" t="s">
        <v>24</v>
      </c>
      <c r="J569" s="72" t="s">
        <v>187</v>
      </c>
      <c r="K569" s="74">
        <v>9.5</v>
      </c>
      <c r="L569" s="74">
        <f t="shared" si="109"/>
        <v>1.9000000000000001</v>
      </c>
      <c r="M569" s="75">
        <f>prodnorm90</f>
        <v>0</v>
      </c>
      <c r="N569" s="76">
        <f>dagwerk90</f>
        <v>0</v>
      </c>
      <c r="O569" s="72" t="s">
        <v>54</v>
      </c>
      <c r="P569" s="77">
        <f>uurtarief90</f>
        <v>0</v>
      </c>
      <c r="Q569" s="74" t="e">
        <f t="shared" si="110"/>
        <v>#DIV/0!</v>
      </c>
      <c r="R569" s="74" t="e">
        <f t="shared" si="111"/>
        <v>#DIV/0!</v>
      </c>
      <c r="S569" s="77" t="e">
        <f t="shared" si="112"/>
        <v>#DIV/0!</v>
      </c>
      <c r="T569" s="74" t="e">
        <f t="shared" si="113"/>
        <v>#DIV/0!</v>
      </c>
      <c r="U569" s="78" t="e">
        <f t="shared" si="114"/>
        <v>#DIV/0!</v>
      </c>
    </row>
    <row r="570" spans="1:21" x14ac:dyDescent="0.2">
      <c r="A570" s="71" t="s">
        <v>724</v>
      </c>
      <c r="B570" s="72" t="s">
        <v>300</v>
      </c>
      <c r="C570" s="72" t="s">
        <v>330</v>
      </c>
      <c r="D570" s="72" t="s">
        <v>340</v>
      </c>
      <c r="E570" s="72" t="s">
        <v>300</v>
      </c>
      <c r="F570" s="73" t="s">
        <v>729</v>
      </c>
      <c r="G570" s="72" t="s">
        <v>728</v>
      </c>
      <c r="H570" s="72" t="s">
        <v>222</v>
      </c>
      <c r="I570" s="72" t="s">
        <v>24</v>
      </c>
      <c r="J570" s="72" t="s">
        <v>187</v>
      </c>
      <c r="K570" s="74">
        <v>4.75</v>
      </c>
      <c r="L570" s="74">
        <f t="shared" si="109"/>
        <v>0.95000000000000007</v>
      </c>
      <c r="M570" s="75">
        <f>prodnorm78</f>
        <v>0</v>
      </c>
      <c r="N570" s="76">
        <f>dagwerk78</f>
        <v>0</v>
      </c>
      <c r="O570" s="72" t="s">
        <v>54</v>
      </c>
      <c r="P570" s="77">
        <f>uurtarief78</f>
        <v>0</v>
      </c>
      <c r="Q570" s="74" t="e">
        <f t="shared" si="110"/>
        <v>#DIV/0!</v>
      </c>
      <c r="R570" s="74" t="e">
        <f t="shared" si="111"/>
        <v>#DIV/0!</v>
      </c>
      <c r="S570" s="77" t="e">
        <f t="shared" si="112"/>
        <v>#DIV/0!</v>
      </c>
      <c r="T570" s="74" t="e">
        <f t="shared" si="113"/>
        <v>#DIV/0!</v>
      </c>
      <c r="U570" s="78" t="e">
        <f t="shared" si="114"/>
        <v>#DIV/0!</v>
      </c>
    </row>
    <row r="571" spans="1:21" x14ac:dyDescent="0.2">
      <c r="A571" s="71" t="s">
        <v>724</v>
      </c>
      <c r="B571" s="72" t="s">
        <v>300</v>
      </c>
      <c r="C571" s="72" t="s">
        <v>330</v>
      </c>
      <c r="D571" s="72" t="s">
        <v>553</v>
      </c>
      <c r="E571" s="72" t="s">
        <v>300</v>
      </c>
      <c r="F571" s="73" t="s">
        <v>727</v>
      </c>
      <c r="G571" s="72" t="s">
        <v>728</v>
      </c>
      <c r="H571" s="72" t="s">
        <v>227</v>
      </c>
      <c r="I571" s="72" t="s">
        <v>24</v>
      </c>
      <c r="J571" s="72" t="s">
        <v>187</v>
      </c>
      <c r="K571" s="74">
        <v>9.5</v>
      </c>
      <c r="L571" s="74">
        <f t="shared" si="109"/>
        <v>1.9000000000000001</v>
      </c>
      <c r="M571" s="75">
        <f t="shared" ref="M571:M589" si="115">prodnorm90</f>
        <v>0</v>
      </c>
      <c r="N571" s="76">
        <f t="shared" ref="N571:N589" si="116">dagwerk90</f>
        <v>0</v>
      </c>
      <c r="O571" s="72" t="s">
        <v>54</v>
      </c>
      <c r="P571" s="77">
        <f t="shared" ref="P571:P589" si="117">uurtarief90</f>
        <v>0</v>
      </c>
      <c r="Q571" s="74" t="e">
        <f t="shared" si="110"/>
        <v>#DIV/0!</v>
      </c>
      <c r="R571" s="74" t="e">
        <f t="shared" si="111"/>
        <v>#DIV/0!</v>
      </c>
      <c r="S571" s="77" t="e">
        <f t="shared" si="112"/>
        <v>#DIV/0!</v>
      </c>
      <c r="T571" s="74" t="e">
        <f t="shared" si="113"/>
        <v>#DIV/0!</v>
      </c>
      <c r="U571" s="78" t="e">
        <f t="shared" si="114"/>
        <v>#DIV/0!</v>
      </c>
    </row>
    <row r="572" spans="1:21" x14ac:dyDescent="0.2">
      <c r="A572" s="71" t="s">
        <v>724</v>
      </c>
      <c r="B572" s="72" t="s">
        <v>300</v>
      </c>
      <c r="C572" s="72" t="s">
        <v>406</v>
      </c>
      <c r="D572" s="72" t="s">
        <v>407</v>
      </c>
      <c r="E572" s="72" t="s">
        <v>300</v>
      </c>
      <c r="F572" s="73" t="s">
        <v>727</v>
      </c>
      <c r="G572" s="72" t="s">
        <v>728</v>
      </c>
      <c r="H572" s="72" t="s">
        <v>227</v>
      </c>
      <c r="I572" s="72" t="s">
        <v>24</v>
      </c>
      <c r="J572" s="72" t="s">
        <v>187</v>
      </c>
      <c r="K572" s="74">
        <v>9.5</v>
      </c>
      <c r="L572" s="74">
        <f t="shared" si="109"/>
        <v>1.9000000000000001</v>
      </c>
      <c r="M572" s="75">
        <f t="shared" si="115"/>
        <v>0</v>
      </c>
      <c r="N572" s="76">
        <f t="shared" si="116"/>
        <v>0</v>
      </c>
      <c r="O572" s="72" t="s">
        <v>54</v>
      </c>
      <c r="P572" s="77">
        <f t="shared" si="117"/>
        <v>0</v>
      </c>
      <c r="Q572" s="74" t="e">
        <f t="shared" si="110"/>
        <v>#DIV/0!</v>
      </c>
      <c r="R572" s="74" t="e">
        <f t="shared" si="111"/>
        <v>#DIV/0!</v>
      </c>
      <c r="S572" s="77" t="e">
        <f t="shared" si="112"/>
        <v>#DIV/0!</v>
      </c>
      <c r="T572" s="74" t="e">
        <f t="shared" si="113"/>
        <v>#DIV/0!</v>
      </c>
      <c r="U572" s="78" t="e">
        <f t="shared" si="114"/>
        <v>#DIV/0!</v>
      </c>
    </row>
    <row r="573" spans="1:21" x14ac:dyDescent="0.2">
      <c r="A573" s="71" t="s">
        <v>724</v>
      </c>
      <c r="B573" s="72" t="s">
        <v>300</v>
      </c>
      <c r="C573" s="72" t="s">
        <v>406</v>
      </c>
      <c r="D573" s="72" t="s">
        <v>408</v>
      </c>
      <c r="E573" s="72" t="s">
        <v>300</v>
      </c>
      <c r="F573" s="73" t="s">
        <v>727</v>
      </c>
      <c r="G573" s="72" t="s">
        <v>728</v>
      </c>
      <c r="H573" s="72" t="s">
        <v>227</v>
      </c>
      <c r="I573" s="72" t="s">
        <v>24</v>
      </c>
      <c r="J573" s="72" t="s">
        <v>187</v>
      </c>
      <c r="K573" s="74">
        <v>9.5</v>
      </c>
      <c r="L573" s="74">
        <f t="shared" si="109"/>
        <v>1.9000000000000001</v>
      </c>
      <c r="M573" s="75">
        <f t="shared" si="115"/>
        <v>0</v>
      </c>
      <c r="N573" s="76">
        <f t="shared" si="116"/>
        <v>0</v>
      </c>
      <c r="O573" s="72" t="s">
        <v>54</v>
      </c>
      <c r="P573" s="77">
        <f t="shared" si="117"/>
        <v>0</v>
      </c>
      <c r="Q573" s="74" t="e">
        <f t="shared" si="110"/>
        <v>#DIV/0!</v>
      </c>
      <c r="R573" s="74" t="e">
        <f t="shared" si="111"/>
        <v>#DIV/0!</v>
      </c>
      <c r="S573" s="77" t="e">
        <f t="shared" si="112"/>
        <v>#DIV/0!</v>
      </c>
      <c r="T573" s="74" t="e">
        <f t="shared" si="113"/>
        <v>#DIV/0!</v>
      </c>
      <c r="U573" s="78" t="e">
        <f t="shared" si="114"/>
        <v>#DIV/0!</v>
      </c>
    </row>
    <row r="574" spans="1:21" x14ac:dyDescent="0.2">
      <c r="A574" s="71" t="s">
        <v>724</v>
      </c>
      <c r="B574" s="72" t="s">
        <v>300</v>
      </c>
      <c r="C574" s="72" t="s">
        <v>447</v>
      </c>
      <c r="D574" s="72" t="s">
        <v>448</v>
      </c>
      <c r="E574" s="72" t="s">
        <v>300</v>
      </c>
      <c r="F574" s="73" t="s">
        <v>727</v>
      </c>
      <c r="G574" s="72" t="s">
        <v>728</v>
      </c>
      <c r="H574" s="72" t="s">
        <v>227</v>
      </c>
      <c r="I574" s="72" t="s">
        <v>24</v>
      </c>
      <c r="J574" s="72" t="s">
        <v>187</v>
      </c>
      <c r="K574" s="74">
        <v>9.5</v>
      </c>
      <c r="L574" s="74">
        <f t="shared" si="109"/>
        <v>1.9000000000000001</v>
      </c>
      <c r="M574" s="75">
        <f t="shared" si="115"/>
        <v>0</v>
      </c>
      <c r="N574" s="76">
        <f t="shared" si="116"/>
        <v>0</v>
      </c>
      <c r="O574" s="72" t="s">
        <v>54</v>
      </c>
      <c r="P574" s="77">
        <f t="shared" si="117"/>
        <v>0</v>
      </c>
      <c r="Q574" s="74" t="e">
        <f t="shared" si="110"/>
        <v>#DIV/0!</v>
      </c>
      <c r="R574" s="74" t="e">
        <f t="shared" si="111"/>
        <v>#DIV/0!</v>
      </c>
      <c r="S574" s="77" t="e">
        <f t="shared" si="112"/>
        <v>#DIV/0!</v>
      </c>
      <c r="T574" s="74" t="e">
        <f t="shared" si="113"/>
        <v>#DIV/0!</v>
      </c>
      <c r="U574" s="78" t="e">
        <f t="shared" si="114"/>
        <v>#DIV/0!</v>
      </c>
    </row>
    <row r="575" spans="1:21" x14ac:dyDescent="0.2">
      <c r="A575" s="71" t="s">
        <v>724</v>
      </c>
      <c r="B575" s="72" t="s">
        <v>300</v>
      </c>
      <c r="C575" s="72" t="s">
        <v>447</v>
      </c>
      <c r="D575" s="72" t="s">
        <v>449</v>
      </c>
      <c r="E575" s="72" t="s">
        <v>300</v>
      </c>
      <c r="F575" s="73" t="s">
        <v>727</v>
      </c>
      <c r="G575" s="72" t="s">
        <v>728</v>
      </c>
      <c r="H575" s="72" t="s">
        <v>227</v>
      </c>
      <c r="I575" s="72" t="s">
        <v>24</v>
      </c>
      <c r="J575" s="72" t="s">
        <v>187</v>
      </c>
      <c r="K575" s="74">
        <v>9.5</v>
      </c>
      <c r="L575" s="74">
        <f t="shared" si="109"/>
        <v>1.9000000000000001</v>
      </c>
      <c r="M575" s="75">
        <f t="shared" si="115"/>
        <v>0</v>
      </c>
      <c r="N575" s="76">
        <f t="shared" si="116"/>
        <v>0</v>
      </c>
      <c r="O575" s="72" t="s">
        <v>54</v>
      </c>
      <c r="P575" s="77">
        <f t="shared" si="117"/>
        <v>0</v>
      </c>
      <c r="Q575" s="74" t="e">
        <f t="shared" si="110"/>
        <v>#DIV/0!</v>
      </c>
      <c r="R575" s="74" t="e">
        <f t="shared" si="111"/>
        <v>#DIV/0!</v>
      </c>
      <c r="S575" s="77" t="e">
        <f t="shared" si="112"/>
        <v>#DIV/0!</v>
      </c>
      <c r="T575" s="74" t="e">
        <f t="shared" si="113"/>
        <v>#DIV/0!</v>
      </c>
      <c r="U575" s="78" t="e">
        <f t="shared" si="114"/>
        <v>#DIV/0!</v>
      </c>
    </row>
    <row r="576" spans="1:21" x14ac:dyDescent="0.2">
      <c r="A576" s="71" t="s">
        <v>724</v>
      </c>
      <c r="B576" s="72" t="s">
        <v>300</v>
      </c>
      <c r="C576" s="72" t="s">
        <v>493</v>
      </c>
      <c r="D576" s="72" t="s">
        <v>494</v>
      </c>
      <c r="E576" s="72" t="s">
        <v>300</v>
      </c>
      <c r="F576" s="73" t="s">
        <v>727</v>
      </c>
      <c r="G576" s="72" t="s">
        <v>728</v>
      </c>
      <c r="H576" s="72" t="s">
        <v>227</v>
      </c>
      <c r="I576" s="72" t="s">
        <v>24</v>
      </c>
      <c r="J576" s="72" t="s">
        <v>187</v>
      </c>
      <c r="K576" s="74">
        <v>9.5</v>
      </c>
      <c r="L576" s="74">
        <f t="shared" si="109"/>
        <v>1.9000000000000001</v>
      </c>
      <c r="M576" s="75">
        <f t="shared" si="115"/>
        <v>0</v>
      </c>
      <c r="N576" s="76">
        <f t="shared" si="116"/>
        <v>0</v>
      </c>
      <c r="O576" s="72" t="s">
        <v>54</v>
      </c>
      <c r="P576" s="77">
        <f t="shared" si="117"/>
        <v>0</v>
      </c>
      <c r="Q576" s="74" t="e">
        <f t="shared" si="110"/>
        <v>#DIV/0!</v>
      </c>
      <c r="R576" s="74" t="e">
        <f t="shared" si="111"/>
        <v>#DIV/0!</v>
      </c>
      <c r="S576" s="77" t="e">
        <f t="shared" si="112"/>
        <v>#DIV/0!</v>
      </c>
      <c r="T576" s="74" t="e">
        <f t="shared" si="113"/>
        <v>#DIV/0!</v>
      </c>
      <c r="U576" s="78" t="e">
        <f t="shared" si="114"/>
        <v>#DIV/0!</v>
      </c>
    </row>
    <row r="577" spans="1:21" x14ac:dyDescent="0.2">
      <c r="A577" s="71" t="s">
        <v>724</v>
      </c>
      <c r="B577" s="72" t="s">
        <v>300</v>
      </c>
      <c r="C577" s="72" t="s">
        <v>493</v>
      </c>
      <c r="D577" s="72" t="s">
        <v>730</v>
      </c>
      <c r="E577" s="72" t="s">
        <v>300</v>
      </c>
      <c r="F577" s="73" t="s">
        <v>727</v>
      </c>
      <c r="G577" s="72" t="s">
        <v>728</v>
      </c>
      <c r="H577" s="72" t="s">
        <v>227</v>
      </c>
      <c r="I577" s="72" t="s">
        <v>24</v>
      </c>
      <c r="J577" s="72" t="s">
        <v>187</v>
      </c>
      <c r="K577" s="74">
        <v>9.5</v>
      </c>
      <c r="L577" s="74">
        <f t="shared" si="109"/>
        <v>1.9000000000000001</v>
      </c>
      <c r="M577" s="75">
        <f t="shared" si="115"/>
        <v>0</v>
      </c>
      <c r="N577" s="76">
        <f t="shared" si="116"/>
        <v>0</v>
      </c>
      <c r="O577" s="72" t="s">
        <v>54</v>
      </c>
      <c r="P577" s="77">
        <f t="shared" si="117"/>
        <v>0</v>
      </c>
      <c r="Q577" s="74" t="e">
        <f t="shared" si="110"/>
        <v>#DIV/0!</v>
      </c>
      <c r="R577" s="74" t="e">
        <f t="shared" si="111"/>
        <v>#DIV/0!</v>
      </c>
      <c r="S577" s="77" t="e">
        <f t="shared" si="112"/>
        <v>#DIV/0!</v>
      </c>
      <c r="T577" s="74" t="e">
        <f t="shared" si="113"/>
        <v>#DIV/0!</v>
      </c>
      <c r="U577" s="78" t="e">
        <f t="shared" si="114"/>
        <v>#DIV/0!</v>
      </c>
    </row>
    <row r="578" spans="1:21" x14ac:dyDescent="0.2">
      <c r="A578" s="71" t="s">
        <v>724</v>
      </c>
      <c r="B578" s="72" t="s">
        <v>300</v>
      </c>
      <c r="C578" s="72" t="s">
        <v>731</v>
      </c>
      <c r="D578" s="72" t="s">
        <v>732</v>
      </c>
      <c r="E578" s="72" t="s">
        <v>300</v>
      </c>
      <c r="F578" s="73" t="s">
        <v>727</v>
      </c>
      <c r="G578" s="72" t="s">
        <v>728</v>
      </c>
      <c r="H578" s="72" t="s">
        <v>227</v>
      </c>
      <c r="I578" s="72" t="s">
        <v>24</v>
      </c>
      <c r="J578" s="72" t="s">
        <v>187</v>
      </c>
      <c r="K578" s="74">
        <v>9.5</v>
      </c>
      <c r="L578" s="74">
        <f t="shared" si="109"/>
        <v>1.9000000000000001</v>
      </c>
      <c r="M578" s="75">
        <f t="shared" si="115"/>
        <v>0</v>
      </c>
      <c r="N578" s="76">
        <f t="shared" si="116"/>
        <v>0</v>
      </c>
      <c r="O578" s="72" t="s">
        <v>54</v>
      </c>
      <c r="P578" s="77">
        <f t="shared" si="117"/>
        <v>0</v>
      </c>
      <c r="Q578" s="74" t="e">
        <f t="shared" si="110"/>
        <v>#DIV/0!</v>
      </c>
      <c r="R578" s="74" t="e">
        <f t="shared" si="111"/>
        <v>#DIV/0!</v>
      </c>
      <c r="S578" s="77" t="e">
        <f t="shared" si="112"/>
        <v>#DIV/0!</v>
      </c>
      <c r="T578" s="74" t="e">
        <f t="shared" si="113"/>
        <v>#DIV/0!</v>
      </c>
      <c r="U578" s="78" t="e">
        <f t="shared" si="114"/>
        <v>#DIV/0!</v>
      </c>
    </row>
    <row r="579" spans="1:21" x14ac:dyDescent="0.2">
      <c r="A579" s="71" t="s">
        <v>724</v>
      </c>
      <c r="B579" s="72" t="s">
        <v>300</v>
      </c>
      <c r="C579" s="72" t="s">
        <v>731</v>
      </c>
      <c r="D579" s="72" t="s">
        <v>733</v>
      </c>
      <c r="E579" s="72" t="s">
        <v>300</v>
      </c>
      <c r="F579" s="73" t="s">
        <v>727</v>
      </c>
      <c r="G579" s="72" t="s">
        <v>728</v>
      </c>
      <c r="H579" s="72" t="s">
        <v>227</v>
      </c>
      <c r="I579" s="72" t="s">
        <v>24</v>
      </c>
      <c r="J579" s="72" t="s">
        <v>187</v>
      </c>
      <c r="K579" s="74">
        <v>9.5</v>
      </c>
      <c r="L579" s="74">
        <f t="shared" si="109"/>
        <v>1.9000000000000001</v>
      </c>
      <c r="M579" s="75">
        <f t="shared" si="115"/>
        <v>0</v>
      </c>
      <c r="N579" s="76">
        <f t="shared" si="116"/>
        <v>0</v>
      </c>
      <c r="O579" s="72" t="s">
        <v>54</v>
      </c>
      <c r="P579" s="77">
        <f t="shared" si="117"/>
        <v>0</v>
      </c>
      <c r="Q579" s="74" t="e">
        <f t="shared" si="110"/>
        <v>#DIV/0!</v>
      </c>
      <c r="R579" s="74" t="e">
        <f t="shared" si="111"/>
        <v>#DIV/0!</v>
      </c>
      <c r="S579" s="77" t="e">
        <f t="shared" si="112"/>
        <v>#DIV/0!</v>
      </c>
      <c r="T579" s="74" t="e">
        <f t="shared" si="113"/>
        <v>#DIV/0!</v>
      </c>
      <c r="U579" s="78" t="e">
        <f t="shared" si="114"/>
        <v>#DIV/0!</v>
      </c>
    </row>
    <row r="580" spans="1:21" x14ac:dyDescent="0.2">
      <c r="A580" s="71" t="s">
        <v>724</v>
      </c>
      <c r="B580" s="72" t="s">
        <v>300</v>
      </c>
      <c r="C580" s="72" t="s">
        <v>734</v>
      </c>
      <c r="D580" s="72" t="s">
        <v>735</v>
      </c>
      <c r="E580" s="72" t="s">
        <v>300</v>
      </c>
      <c r="F580" s="73" t="s">
        <v>727</v>
      </c>
      <c r="G580" s="72" t="s">
        <v>728</v>
      </c>
      <c r="H580" s="72" t="s">
        <v>227</v>
      </c>
      <c r="I580" s="72" t="s">
        <v>24</v>
      </c>
      <c r="J580" s="72" t="s">
        <v>187</v>
      </c>
      <c r="K580" s="74">
        <v>9.5</v>
      </c>
      <c r="L580" s="74">
        <f t="shared" si="109"/>
        <v>1.9000000000000001</v>
      </c>
      <c r="M580" s="75">
        <f t="shared" si="115"/>
        <v>0</v>
      </c>
      <c r="N580" s="76">
        <f t="shared" si="116"/>
        <v>0</v>
      </c>
      <c r="O580" s="72" t="s">
        <v>54</v>
      </c>
      <c r="P580" s="77">
        <f t="shared" si="117"/>
        <v>0</v>
      </c>
      <c r="Q580" s="74" t="e">
        <f t="shared" si="110"/>
        <v>#DIV/0!</v>
      </c>
      <c r="R580" s="74" t="e">
        <f t="shared" si="111"/>
        <v>#DIV/0!</v>
      </c>
      <c r="S580" s="77" t="e">
        <f t="shared" si="112"/>
        <v>#DIV/0!</v>
      </c>
      <c r="T580" s="74" t="e">
        <f t="shared" si="113"/>
        <v>#DIV/0!</v>
      </c>
      <c r="U580" s="78" t="e">
        <f t="shared" si="114"/>
        <v>#DIV/0!</v>
      </c>
    </row>
    <row r="581" spans="1:21" x14ac:dyDescent="0.2">
      <c r="A581" s="71" t="s">
        <v>724</v>
      </c>
      <c r="B581" s="72" t="s">
        <v>300</v>
      </c>
      <c r="C581" s="72" t="s">
        <v>734</v>
      </c>
      <c r="D581" s="72" t="s">
        <v>736</v>
      </c>
      <c r="E581" s="72" t="s">
        <v>300</v>
      </c>
      <c r="F581" s="73" t="s">
        <v>727</v>
      </c>
      <c r="G581" s="72" t="s">
        <v>728</v>
      </c>
      <c r="H581" s="72" t="s">
        <v>227</v>
      </c>
      <c r="I581" s="72" t="s">
        <v>24</v>
      </c>
      <c r="J581" s="72" t="s">
        <v>187</v>
      </c>
      <c r="K581" s="74">
        <v>9.5</v>
      </c>
      <c r="L581" s="74">
        <f t="shared" si="109"/>
        <v>1.9000000000000001</v>
      </c>
      <c r="M581" s="75">
        <f t="shared" si="115"/>
        <v>0</v>
      </c>
      <c r="N581" s="76">
        <f t="shared" si="116"/>
        <v>0</v>
      </c>
      <c r="O581" s="72" t="s">
        <v>54</v>
      </c>
      <c r="P581" s="77">
        <f t="shared" si="117"/>
        <v>0</v>
      </c>
      <c r="Q581" s="74" t="e">
        <f t="shared" si="110"/>
        <v>#DIV/0!</v>
      </c>
      <c r="R581" s="74" t="e">
        <f t="shared" si="111"/>
        <v>#DIV/0!</v>
      </c>
      <c r="S581" s="77" t="e">
        <f t="shared" si="112"/>
        <v>#DIV/0!</v>
      </c>
      <c r="T581" s="74" t="e">
        <f t="shared" si="113"/>
        <v>#DIV/0!</v>
      </c>
      <c r="U581" s="78" t="e">
        <f t="shared" si="114"/>
        <v>#DIV/0!</v>
      </c>
    </row>
    <row r="582" spans="1:21" x14ac:dyDescent="0.2">
      <c r="A582" s="71" t="s">
        <v>724</v>
      </c>
      <c r="B582" s="72" t="s">
        <v>300</v>
      </c>
      <c r="C582" s="72" t="s">
        <v>737</v>
      </c>
      <c r="D582" s="72" t="s">
        <v>738</v>
      </c>
      <c r="E582" s="72" t="s">
        <v>300</v>
      </c>
      <c r="F582" s="73" t="s">
        <v>727</v>
      </c>
      <c r="G582" s="72" t="s">
        <v>728</v>
      </c>
      <c r="H582" s="72" t="s">
        <v>227</v>
      </c>
      <c r="I582" s="72" t="s">
        <v>24</v>
      </c>
      <c r="J582" s="72" t="s">
        <v>187</v>
      </c>
      <c r="K582" s="74">
        <v>9.5</v>
      </c>
      <c r="L582" s="74">
        <f t="shared" si="109"/>
        <v>1.9000000000000001</v>
      </c>
      <c r="M582" s="75">
        <f t="shared" si="115"/>
        <v>0</v>
      </c>
      <c r="N582" s="76">
        <f t="shared" si="116"/>
        <v>0</v>
      </c>
      <c r="O582" s="72" t="s">
        <v>54</v>
      </c>
      <c r="P582" s="77">
        <f t="shared" si="117"/>
        <v>0</v>
      </c>
      <c r="Q582" s="74" t="e">
        <f t="shared" si="110"/>
        <v>#DIV/0!</v>
      </c>
      <c r="R582" s="74" t="e">
        <f t="shared" si="111"/>
        <v>#DIV/0!</v>
      </c>
      <c r="S582" s="77" t="e">
        <f t="shared" si="112"/>
        <v>#DIV/0!</v>
      </c>
      <c r="T582" s="74" t="e">
        <f t="shared" si="113"/>
        <v>#DIV/0!</v>
      </c>
      <c r="U582" s="78" t="e">
        <f t="shared" si="114"/>
        <v>#DIV/0!</v>
      </c>
    </row>
    <row r="583" spans="1:21" x14ac:dyDescent="0.2">
      <c r="A583" s="71" t="s">
        <v>724</v>
      </c>
      <c r="B583" s="72" t="s">
        <v>300</v>
      </c>
      <c r="C583" s="72" t="s">
        <v>737</v>
      </c>
      <c r="D583" s="72" t="s">
        <v>739</v>
      </c>
      <c r="E583" s="72" t="s">
        <v>300</v>
      </c>
      <c r="F583" s="73" t="s">
        <v>727</v>
      </c>
      <c r="G583" s="72" t="s">
        <v>728</v>
      </c>
      <c r="H583" s="72" t="s">
        <v>227</v>
      </c>
      <c r="I583" s="72" t="s">
        <v>24</v>
      </c>
      <c r="J583" s="72" t="s">
        <v>187</v>
      </c>
      <c r="K583" s="74">
        <v>9.5</v>
      </c>
      <c r="L583" s="74">
        <f t="shared" si="109"/>
        <v>1.9000000000000001</v>
      </c>
      <c r="M583" s="75">
        <f t="shared" si="115"/>
        <v>0</v>
      </c>
      <c r="N583" s="76">
        <f t="shared" si="116"/>
        <v>0</v>
      </c>
      <c r="O583" s="72" t="s">
        <v>54</v>
      </c>
      <c r="P583" s="77">
        <f t="shared" si="117"/>
        <v>0</v>
      </c>
      <c r="Q583" s="74" t="e">
        <f t="shared" si="110"/>
        <v>#DIV/0!</v>
      </c>
      <c r="R583" s="74" t="e">
        <f t="shared" si="111"/>
        <v>#DIV/0!</v>
      </c>
      <c r="S583" s="77" t="e">
        <f t="shared" si="112"/>
        <v>#DIV/0!</v>
      </c>
      <c r="T583" s="74" t="e">
        <f t="shared" si="113"/>
        <v>#DIV/0!</v>
      </c>
      <c r="U583" s="78" t="e">
        <f t="shared" si="114"/>
        <v>#DIV/0!</v>
      </c>
    </row>
    <row r="584" spans="1:21" x14ac:dyDescent="0.2">
      <c r="A584" s="71" t="s">
        <v>724</v>
      </c>
      <c r="B584" s="72" t="s">
        <v>300</v>
      </c>
      <c r="C584" s="72" t="s">
        <v>740</v>
      </c>
      <c r="D584" s="72" t="s">
        <v>741</v>
      </c>
      <c r="E584" s="72" t="s">
        <v>300</v>
      </c>
      <c r="F584" s="73" t="s">
        <v>727</v>
      </c>
      <c r="G584" s="72" t="s">
        <v>728</v>
      </c>
      <c r="H584" s="72" t="s">
        <v>227</v>
      </c>
      <c r="I584" s="72" t="s">
        <v>24</v>
      </c>
      <c r="J584" s="72" t="s">
        <v>187</v>
      </c>
      <c r="K584" s="74">
        <v>9.5</v>
      </c>
      <c r="L584" s="74">
        <f t="shared" si="109"/>
        <v>1.9000000000000001</v>
      </c>
      <c r="M584" s="75">
        <f t="shared" si="115"/>
        <v>0</v>
      </c>
      <c r="N584" s="76">
        <f t="shared" si="116"/>
        <v>0</v>
      </c>
      <c r="O584" s="72" t="s">
        <v>54</v>
      </c>
      <c r="P584" s="77">
        <f t="shared" si="117"/>
        <v>0</v>
      </c>
      <c r="Q584" s="74" t="e">
        <f t="shared" si="110"/>
        <v>#DIV/0!</v>
      </c>
      <c r="R584" s="74" t="e">
        <f t="shared" si="111"/>
        <v>#DIV/0!</v>
      </c>
      <c r="S584" s="77" t="e">
        <f t="shared" si="112"/>
        <v>#DIV/0!</v>
      </c>
      <c r="T584" s="74" t="e">
        <f t="shared" si="113"/>
        <v>#DIV/0!</v>
      </c>
      <c r="U584" s="78" t="e">
        <f t="shared" si="114"/>
        <v>#DIV/0!</v>
      </c>
    </row>
    <row r="585" spans="1:21" x14ac:dyDescent="0.2">
      <c r="A585" s="71" t="s">
        <v>724</v>
      </c>
      <c r="B585" s="72" t="s">
        <v>300</v>
      </c>
      <c r="C585" s="72" t="s">
        <v>740</v>
      </c>
      <c r="D585" s="72" t="s">
        <v>742</v>
      </c>
      <c r="E585" s="72" t="s">
        <v>300</v>
      </c>
      <c r="F585" s="73" t="s">
        <v>727</v>
      </c>
      <c r="G585" s="72" t="s">
        <v>728</v>
      </c>
      <c r="H585" s="72" t="s">
        <v>227</v>
      </c>
      <c r="I585" s="72" t="s">
        <v>24</v>
      </c>
      <c r="J585" s="72" t="s">
        <v>187</v>
      </c>
      <c r="K585" s="74">
        <v>9.5</v>
      </c>
      <c r="L585" s="74">
        <f t="shared" si="109"/>
        <v>1.9000000000000001</v>
      </c>
      <c r="M585" s="75">
        <f t="shared" si="115"/>
        <v>0</v>
      </c>
      <c r="N585" s="76">
        <f t="shared" si="116"/>
        <v>0</v>
      </c>
      <c r="O585" s="72" t="s">
        <v>54</v>
      </c>
      <c r="P585" s="77">
        <f t="shared" si="117"/>
        <v>0</v>
      </c>
      <c r="Q585" s="74" t="e">
        <f t="shared" si="110"/>
        <v>#DIV/0!</v>
      </c>
      <c r="R585" s="74" t="e">
        <f t="shared" si="111"/>
        <v>#DIV/0!</v>
      </c>
      <c r="S585" s="77" t="e">
        <f t="shared" si="112"/>
        <v>#DIV/0!</v>
      </c>
      <c r="T585" s="74" t="e">
        <f t="shared" si="113"/>
        <v>#DIV/0!</v>
      </c>
      <c r="U585" s="78" t="e">
        <f t="shared" si="114"/>
        <v>#DIV/0!</v>
      </c>
    </row>
    <row r="586" spans="1:21" x14ac:dyDescent="0.2">
      <c r="A586" s="71" t="s">
        <v>724</v>
      </c>
      <c r="B586" s="72" t="s">
        <v>300</v>
      </c>
      <c r="C586" s="72" t="s">
        <v>743</v>
      </c>
      <c r="D586" s="72" t="s">
        <v>744</v>
      </c>
      <c r="E586" s="72" t="s">
        <v>300</v>
      </c>
      <c r="F586" s="73" t="s">
        <v>727</v>
      </c>
      <c r="G586" s="72" t="s">
        <v>728</v>
      </c>
      <c r="H586" s="72" t="s">
        <v>227</v>
      </c>
      <c r="I586" s="72" t="s">
        <v>24</v>
      </c>
      <c r="J586" s="72" t="s">
        <v>187</v>
      </c>
      <c r="K586" s="74">
        <v>9.5</v>
      </c>
      <c r="L586" s="74">
        <f t="shared" si="109"/>
        <v>1.9000000000000001</v>
      </c>
      <c r="M586" s="75">
        <f t="shared" si="115"/>
        <v>0</v>
      </c>
      <c r="N586" s="76">
        <f t="shared" si="116"/>
        <v>0</v>
      </c>
      <c r="O586" s="72" t="s">
        <v>54</v>
      </c>
      <c r="P586" s="77">
        <f t="shared" si="117"/>
        <v>0</v>
      </c>
      <c r="Q586" s="74" t="e">
        <f t="shared" si="110"/>
        <v>#DIV/0!</v>
      </c>
      <c r="R586" s="74" t="e">
        <f t="shared" si="111"/>
        <v>#DIV/0!</v>
      </c>
      <c r="S586" s="77" t="e">
        <f t="shared" si="112"/>
        <v>#DIV/0!</v>
      </c>
      <c r="T586" s="74" t="e">
        <f t="shared" si="113"/>
        <v>#DIV/0!</v>
      </c>
      <c r="U586" s="78" t="e">
        <f t="shared" si="114"/>
        <v>#DIV/0!</v>
      </c>
    </row>
    <row r="587" spans="1:21" x14ac:dyDescent="0.2">
      <c r="A587" s="71" t="s">
        <v>724</v>
      </c>
      <c r="B587" s="72" t="s">
        <v>300</v>
      </c>
      <c r="C587" s="72" t="s">
        <v>743</v>
      </c>
      <c r="D587" s="72" t="s">
        <v>745</v>
      </c>
      <c r="E587" s="72" t="s">
        <v>300</v>
      </c>
      <c r="F587" s="73" t="s">
        <v>727</v>
      </c>
      <c r="G587" s="72" t="s">
        <v>728</v>
      </c>
      <c r="H587" s="72" t="s">
        <v>227</v>
      </c>
      <c r="I587" s="72" t="s">
        <v>24</v>
      </c>
      <c r="J587" s="72" t="s">
        <v>187</v>
      </c>
      <c r="K587" s="74">
        <v>9.5</v>
      </c>
      <c r="L587" s="74">
        <f t="shared" si="109"/>
        <v>1.9000000000000001</v>
      </c>
      <c r="M587" s="75">
        <f t="shared" si="115"/>
        <v>0</v>
      </c>
      <c r="N587" s="76">
        <f t="shared" si="116"/>
        <v>0</v>
      </c>
      <c r="O587" s="72" t="s">
        <v>54</v>
      </c>
      <c r="P587" s="77">
        <f t="shared" si="117"/>
        <v>0</v>
      </c>
      <c r="Q587" s="74" t="e">
        <f t="shared" si="110"/>
        <v>#DIV/0!</v>
      </c>
      <c r="R587" s="74" t="e">
        <f t="shared" si="111"/>
        <v>#DIV/0!</v>
      </c>
      <c r="S587" s="77" t="e">
        <f t="shared" si="112"/>
        <v>#DIV/0!</v>
      </c>
      <c r="T587" s="74" t="e">
        <f t="shared" si="113"/>
        <v>#DIV/0!</v>
      </c>
      <c r="U587" s="78" t="e">
        <f t="shared" si="114"/>
        <v>#DIV/0!</v>
      </c>
    </row>
    <row r="588" spans="1:21" x14ac:dyDescent="0.2">
      <c r="A588" s="71" t="s">
        <v>724</v>
      </c>
      <c r="B588" s="72" t="s">
        <v>300</v>
      </c>
      <c r="C588" s="72" t="s">
        <v>746</v>
      </c>
      <c r="D588" s="72" t="s">
        <v>747</v>
      </c>
      <c r="E588" s="72" t="s">
        <v>300</v>
      </c>
      <c r="F588" s="73" t="s">
        <v>727</v>
      </c>
      <c r="G588" s="72" t="s">
        <v>728</v>
      </c>
      <c r="H588" s="72" t="s">
        <v>227</v>
      </c>
      <c r="I588" s="72" t="s">
        <v>24</v>
      </c>
      <c r="J588" s="72" t="s">
        <v>187</v>
      </c>
      <c r="K588" s="74">
        <v>9.5</v>
      </c>
      <c r="L588" s="74">
        <f t="shared" si="109"/>
        <v>1.9000000000000001</v>
      </c>
      <c r="M588" s="75">
        <f t="shared" si="115"/>
        <v>0</v>
      </c>
      <c r="N588" s="76">
        <f t="shared" si="116"/>
        <v>0</v>
      </c>
      <c r="O588" s="72" t="s">
        <v>54</v>
      </c>
      <c r="P588" s="77">
        <f t="shared" si="117"/>
        <v>0</v>
      </c>
      <c r="Q588" s="74" t="e">
        <f t="shared" si="110"/>
        <v>#DIV/0!</v>
      </c>
      <c r="R588" s="74" t="e">
        <f t="shared" si="111"/>
        <v>#DIV/0!</v>
      </c>
      <c r="S588" s="77" t="e">
        <f t="shared" si="112"/>
        <v>#DIV/0!</v>
      </c>
      <c r="T588" s="74" t="e">
        <f t="shared" si="113"/>
        <v>#DIV/0!</v>
      </c>
      <c r="U588" s="78" t="e">
        <f t="shared" si="114"/>
        <v>#DIV/0!</v>
      </c>
    </row>
    <row r="589" spans="1:21" x14ac:dyDescent="0.2">
      <c r="A589" s="79" t="s">
        <v>724</v>
      </c>
      <c r="B589" s="80" t="s">
        <v>300</v>
      </c>
      <c r="C589" s="80" t="s">
        <v>746</v>
      </c>
      <c r="D589" s="80" t="s">
        <v>748</v>
      </c>
      <c r="E589" s="80" t="s">
        <v>300</v>
      </c>
      <c r="F589" s="81" t="s">
        <v>727</v>
      </c>
      <c r="G589" s="80" t="s">
        <v>728</v>
      </c>
      <c r="H589" s="80" t="s">
        <v>227</v>
      </c>
      <c r="I589" s="80" t="s">
        <v>24</v>
      </c>
      <c r="J589" s="80" t="s">
        <v>187</v>
      </c>
      <c r="K589" s="82">
        <v>9.5</v>
      </c>
      <c r="L589" s="82">
        <f t="shared" si="109"/>
        <v>1.9000000000000001</v>
      </c>
      <c r="M589" s="83">
        <f t="shared" si="115"/>
        <v>0</v>
      </c>
      <c r="N589" s="84">
        <f t="shared" si="116"/>
        <v>0</v>
      </c>
      <c r="O589" s="80" t="s">
        <v>54</v>
      </c>
      <c r="P589" s="85">
        <f t="shared" si="117"/>
        <v>0</v>
      </c>
      <c r="Q589" s="82" t="e">
        <f t="shared" si="110"/>
        <v>#DIV/0!</v>
      </c>
      <c r="R589" s="82" t="e">
        <f t="shared" si="111"/>
        <v>#DIV/0!</v>
      </c>
      <c r="S589" s="85" t="e">
        <f t="shared" si="112"/>
        <v>#DIV/0!</v>
      </c>
      <c r="T589" s="82" t="e">
        <f t="shared" si="113"/>
        <v>#DIV/0!</v>
      </c>
      <c r="U589" s="86" t="e">
        <f t="shared" si="114"/>
        <v>#DIV/0!</v>
      </c>
    </row>
    <row r="590" spans="1:21" x14ac:dyDescent="0.2">
      <c r="A590" s="87" t="s">
        <v>536</v>
      </c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3" t="e">
        <f>IF(_xlfn.SINGLE(object16_urenjaar1)&gt;0,_xlfn.SINGLE(object16_prijsjaar1)/_xlfn.SINGLE(object16_urenjaar1),0)</f>
        <v>#DIV/0!</v>
      </c>
      <c r="Q590" s="52" t="e">
        <f>SUM(Q568:Q589)</f>
        <v>#DIV/0!</v>
      </c>
      <c r="R590" s="52" t="e">
        <f>SUM(R568:R589)</f>
        <v>#DIV/0!</v>
      </c>
      <c r="S590" s="53" t="e">
        <f>SUM(S568:S589)</f>
        <v>#DIV/0!</v>
      </c>
      <c r="T590" s="52" t="e">
        <f>SUM(T568:T589)</f>
        <v>#DIV/0!</v>
      </c>
      <c r="U590" s="54" t="e">
        <f>SUM(U568:U589)</f>
        <v>#DIV/0!</v>
      </c>
    </row>
    <row r="591" spans="1:21" x14ac:dyDescent="0.2">
      <c r="A591" s="61" t="s">
        <v>749</v>
      </c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49"/>
    </row>
    <row r="592" spans="1:21" x14ac:dyDescent="0.2">
      <c r="A592" s="63" t="s">
        <v>750</v>
      </c>
      <c r="B592" s="64" t="s">
        <v>300</v>
      </c>
      <c r="C592" s="64" t="s">
        <v>330</v>
      </c>
      <c r="D592" s="64" t="s">
        <v>603</v>
      </c>
      <c r="E592" s="64" t="s">
        <v>300</v>
      </c>
      <c r="F592" s="65" t="s">
        <v>751</v>
      </c>
      <c r="G592" s="64" t="s">
        <v>326</v>
      </c>
      <c r="H592" s="64" t="s">
        <v>212</v>
      </c>
      <c r="I592" s="64" t="s">
        <v>24</v>
      </c>
      <c r="J592" s="64" t="s">
        <v>187</v>
      </c>
      <c r="K592" s="66">
        <v>20.75</v>
      </c>
      <c r="L592" s="66">
        <f t="shared" ref="L592:L631" si="118">K592*VLOOKUP(I592,dagsoorttabel1,2,FALSE)</f>
        <v>4.1500000000000004</v>
      </c>
      <c r="M592" s="67">
        <f>prodnorm61</f>
        <v>0</v>
      </c>
      <c r="N592" s="68">
        <f>dagwerk61</f>
        <v>0</v>
      </c>
      <c r="O592" s="64" t="s">
        <v>54</v>
      </c>
      <c r="P592" s="69">
        <f>uurtarief61</f>
        <v>0</v>
      </c>
      <c r="Q592" s="66" t="e">
        <f t="shared" ref="Q592:Q631" si="119">IF(ISBLANK(M592),0,L592/ROUND(M592,4))</f>
        <v>#DIV/0!</v>
      </c>
      <c r="R592" s="66" t="e">
        <f t="shared" ref="R592:R631" si="120">IF(ISBLANK(M592),0,Q592*ROUND(N592,2))</f>
        <v>#DIV/0!</v>
      </c>
      <c r="S592" s="69" t="e">
        <f t="shared" ref="S592:S631" si="121">ROUND(P592,2)*Q592</f>
        <v>#DIV/0!</v>
      </c>
      <c r="T592" s="66" t="e">
        <f t="shared" ref="T592:T631" si="122">Q592*dagenperjaar1</f>
        <v>#DIV/0!</v>
      </c>
      <c r="U592" s="70" t="e">
        <f t="shared" ref="U592:U631" si="123">T592*ROUND(P592,2)</f>
        <v>#DIV/0!</v>
      </c>
    </row>
    <row r="593" spans="1:21" x14ac:dyDescent="0.2">
      <c r="A593" s="71" t="s">
        <v>750</v>
      </c>
      <c r="B593" s="72" t="s">
        <v>300</v>
      </c>
      <c r="C593" s="72" t="s">
        <v>330</v>
      </c>
      <c r="D593" s="72" t="s">
        <v>603</v>
      </c>
      <c r="E593" s="72" t="s">
        <v>300</v>
      </c>
      <c r="F593" s="73" t="s">
        <v>751</v>
      </c>
      <c r="G593" s="72" t="s">
        <v>326</v>
      </c>
      <c r="H593" s="72" t="s">
        <v>241</v>
      </c>
      <c r="I593" s="72" t="s">
        <v>41</v>
      </c>
      <c r="J593" s="72" t="s">
        <v>242</v>
      </c>
      <c r="K593" s="74">
        <v>20.75</v>
      </c>
      <c r="L593" s="74">
        <f t="shared" si="118"/>
        <v>8.1372549019607845E-2</v>
      </c>
      <c r="M593" s="75">
        <f>prodnorm117</f>
        <v>0</v>
      </c>
      <c r="N593" s="76">
        <f>dagwerk117</f>
        <v>0</v>
      </c>
      <c r="O593" s="72" t="s">
        <v>54</v>
      </c>
      <c r="P593" s="77">
        <f>uurtarief117</f>
        <v>0</v>
      </c>
      <c r="Q593" s="74" t="e">
        <f t="shared" si="119"/>
        <v>#DIV/0!</v>
      </c>
      <c r="R593" s="74" t="e">
        <f t="shared" si="120"/>
        <v>#DIV/0!</v>
      </c>
      <c r="S593" s="77" t="e">
        <f t="shared" si="121"/>
        <v>#DIV/0!</v>
      </c>
      <c r="T593" s="74" t="e">
        <f t="shared" si="122"/>
        <v>#DIV/0!</v>
      </c>
      <c r="U593" s="78" t="e">
        <f t="shared" si="123"/>
        <v>#DIV/0!</v>
      </c>
    </row>
    <row r="594" spans="1:21" x14ac:dyDescent="0.2">
      <c r="A594" s="71" t="s">
        <v>750</v>
      </c>
      <c r="B594" s="72" t="s">
        <v>300</v>
      </c>
      <c r="C594" s="72" t="s">
        <v>330</v>
      </c>
      <c r="D594" s="72" t="s">
        <v>604</v>
      </c>
      <c r="E594" s="72" t="s">
        <v>300</v>
      </c>
      <c r="F594" s="73" t="s">
        <v>752</v>
      </c>
      <c r="G594" s="72" t="s">
        <v>326</v>
      </c>
      <c r="H594" s="72" t="s">
        <v>214</v>
      </c>
      <c r="I594" s="72" t="s">
        <v>24</v>
      </c>
      <c r="J594" s="72" t="s">
        <v>187</v>
      </c>
      <c r="K594" s="74">
        <v>13.2</v>
      </c>
      <c r="L594" s="74">
        <f t="shared" si="118"/>
        <v>2.64</v>
      </c>
      <c r="M594" s="75">
        <f>prodnorm62</f>
        <v>0</v>
      </c>
      <c r="N594" s="76">
        <f>dagwerk62</f>
        <v>0</v>
      </c>
      <c r="O594" s="72" t="s">
        <v>54</v>
      </c>
      <c r="P594" s="77">
        <f>uurtarief62</f>
        <v>0</v>
      </c>
      <c r="Q594" s="74" t="e">
        <f t="shared" si="119"/>
        <v>#DIV/0!</v>
      </c>
      <c r="R594" s="74" t="e">
        <f t="shared" si="120"/>
        <v>#DIV/0!</v>
      </c>
      <c r="S594" s="77" t="e">
        <f t="shared" si="121"/>
        <v>#DIV/0!</v>
      </c>
      <c r="T594" s="74" t="e">
        <f t="shared" si="122"/>
        <v>#DIV/0!</v>
      </c>
      <c r="U594" s="78" t="e">
        <f t="shared" si="123"/>
        <v>#DIV/0!</v>
      </c>
    </row>
    <row r="595" spans="1:21" x14ac:dyDescent="0.2">
      <c r="A595" s="71" t="s">
        <v>750</v>
      </c>
      <c r="B595" s="72" t="s">
        <v>300</v>
      </c>
      <c r="C595" s="72" t="s">
        <v>330</v>
      </c>
      <c r="D595" s="72" t="s">
        <v>604</v>
      </c>
      <c r="E595" s="72" t="s">
        <v>300</v>
      </c>
      <c r="F595" s="73" t="s">
        <v>752</v>
      </c>
      <c r="G595" s="72" t="s">
        <v>326</v>
      </c>
      <c r="H595" s="72" t="s">
        <v>241</v>
      </c>
      <c r="I595" s="72" t="s">
        <v>41</v>
      </c>
      <c r="J595" s="72" t="s">
        <v>242</v>
      </c>
      <c r="K595" s="74">
        <v>13.2</v>
      </c>
      <c r="L595" s="74">
        <f t="shared" si="118"/>
        <v>5.1764705882352935E-2</v>
      </c>
      <c r="M595" s="75">
        <f>prodnorm117</f>
        <v>0</v>
      </c>
      <c r="N595" s="76">
        <f>dagwerk117</f>
        <v>0</v>
      </c>
      <c r="O595" s="72" t="s">
        <v>54</v>
      </c>
      <c r="P595" s="77">
        <f>uurtarief117</f>
        <v>0</v>
      </c>
      <c r="Q595" s="74" t="e">
        <f t="shared" si="119"/>
        <v>#DIV/0!</v>
      </c>
      <c r="R595" s="74" t="e">
        <f t="shared" si="120"/>
        <v>#DIV/0!</v>
      </c>
      <c r="S595" s="77" t="e">
        <f t="shared" si="121"/>
        <v>#DIV/0!</v>
      </c>
      <c r="T595" s="74" t="e">
        <f t="shared" si="122"/>
        <v>#DIV/0!</v>
      </c>
      <c r="U595" s="78" t="e">
        <f t="shared" si="123"/>
        <v>#DIV/0!</v>
      </c>
    </row>
    <row r="596" spans="1:21" x14ac:dyDescent="0.2">
      <c r="A596" s="71" t="s">
        <v>750</v>
      </c>
      <c r="B596" s="72" t="s">
        <v>300</v>
      </c>
      <c r="C596" s="72" t="s">
        <v>330</v>
      </c>
      <c r="D596" s="72" t="s">
        <v>606</v>
      </c>
      <c r="E596" s="72" t="s">
        <v>300</v>
      </c>
      <c r="F596" s="73" t="s">
        <v>573</v>
      </c>
      <c r="G596" s="72" t="s">
        <v>326</v>
      </c>
      <c r="H596" s="72" t="s">
        <v>231</v>
      </c>
      <c r="I596" s="72" t="s">
        <v>24</v>
      </c>
      <c r="J596" s="72" t="s">
        <v>187</v>
      </c>
      <c r="K596" s="74">
        <v>50.3</v>
      </c>
      <c r="L596" s="74">
        <f t="shared" si="118"/>
        <v>10.06</v>
      </c>
      <c r="M596" s="75">
        <f>prodnorm97</f>
        <v>0</v>
      </c>
      <c r="N596" s="76">
        <f>dagwerk97</f>
        <v>0</v>
      </c>
      <c r="O596" s="72" t="s">
        <v>54</v>
      </c>
      <c r="P596" s="77">
        <f>uurtarief97</f>
        <v>0</v>
      </c>
      <c r="Q596" s="74" t="e">
        <f t="shared" si="119"/>
        <v>#DIV/0!</v>
      </c>
      <c r="R596" s="74" t="e">
        <f t="shared" si="120"/>
        <v>#DIV/0!</v>
      </c>
      <c r="S596" s="77" t="e">
        <f t="shared" si="121"/>
        <v>#DIV/0!</v>
      </c>
      <c r="T596" s="74" t="e">
        <f t="shared" si="122"/>
        <v>#DIV/0!</v>
      </c>
      <c r="U596" s="78" t="e">
        <f t="shared" si="123"/>
        <v>#DIV/0!</v>
      </c>
    </row>
    <row r="597" spans="1:21" x14ac:dyDescent="0.2">
      <c r="A597" s="71" t="s">
        <v>750</v>
      </c>
      <c r="B597" s="72" t="s">
        <v>300</v>
      </c>
      <c r="C597" s="72" t="s">
        <v>330</v>
      </c>
      <c r="D597" s="72" t="s">
        <v>606</v>
      </c>
      <c r="E597" s="72" t="s">
        <v>300</v>
      </c>
      <c r="F597" s="73" t="s">
        <v>573</v>
      </c>
      <c r="G597" s="72" t="s">
        <v>326</v>
      </c>
      <c r="H597" s="72" t="s">
        <v>241</v>
      </c>
      <c r="I597" s="72" t="s">
        <v>41</v>
      </c>
      <c r="J597" s="72" t="s">
        <v>242</v>
      </c>
      <c r="K597" s="74">
        <v>50.3</v>
      </c>
      <c r="L597" s="74">
        <f t="shared" si="118"/>
        <v>0.1972549019607843</v>
      </c>
      <c r="M597" s="75">
        <f>prodnorm117</f>
        <v>0</v>
      </c>
      <c r="N597" s="76">
        <f>dagwerk117</f>
        <v>0</v>
      </c>
      <c r="O597" s="72" t="s">
        <v>54</v>
      </c>
      <c r="P597" s="77">
        <f>uurtarief117</f>
        <v>0</v>
      </c>
      <c r="Q597" s="74" t="e">
        <f t="shared" si="119"/>
        <v>#DIV/0!</v>
      </c>
      <c r="R597" s="74" t="e">
        <f t="shared" si="120"/>
        <v>#DIV/0!</v>
      </c>
      <c r="S597" s="77" t="e">
        <f t="shared" si="121"/>
        <v>#DIV/0!</v>
      </c>
      <c r="T597" s="74" t="e">
        <f t="shared" si="122"/>
        <v>#DIV/0!</v>
      </c>
      <c r="U597" s="78" t="e">
        <f t="shared" si="123"/>
        <v>#DIV/0!</v>
      </c>
    </row>
    <row r="598" spans="1:21" x14ac:dyDescent="0.2">
      <c r="A598" s="71" t="s">
        <v>750</v>
      </c>
      <c r="B598" s="72" t="s">
        <v>300</v>
      </c>
      <c r="C598" s="72" t="s">
        <v>330</v>
      </c>
      <c r="D598" s="72" t="s">
        <v>753</v>
      </c>
      <c r="E598" s="72" t="s">
        <v>300</v>
      </c>
      <c r="F598" s="73" t="s">
        <v>754</v>
      </c>
      <c r="G598" s="72" t="s">
        <v>339</v>
      </c>
      <c r="H598" s="72" t="s">
        <v>233</v>
      </c>
      <c r="I598" s="72" t="s">
        <v>24</v>
      </c>
      <c r="J598" s="72" t="s">
        <v>187</v>
      </c>
      <c r="K598" s="74">
        <v>3</v>
      </c>
      <c r="L598" s="74">
        <f t="shared" si="118"/>
        <v>0.60000000000000009</v>
      </c>
      <c r="M598" s="75">
        <f>prodnorm105</f>
        <v>0</v>
      </c>
      <c r="N598" s="76">
        <f>dagwerk105</f>
        <v>0</v>
      </c>
      <c r="O598" s="72" t="s">
        <v>54</v>
      </c>
      <c r="P598" s="77">
        <f>uurtarief105</f>
        <v>0</v>
      </c>
      <c r="Q598" s="74" t="e">
        <f t="shared" si="119"/>
        <v>#DIV/0!</v>
      </c>
      <c r="R598" s="74" t="e">
        <f t="shared" si="120"/>
        <v>#DIV/0!</v>
      </c>
      <c r="S598" s="77" t="e">
        <f t="shared" si="121"/>
        <v>#DIV/0!</v>
      </c>
      <c r="T598" s="74" t="e">
        <f t="shared" si="122"/>
        <v>#DIV/0!</v>
      </c>
      <c r="U598" s="78" t="e">
        <f t="shared" si="123"/>
        <v>#DIV/0!</v>
      </c>
    </row>
    <row r="599" spans="1:21" x14ac:dyDescent="0.2">
      <c r="A599" s="71" t="s">
        <v>750</v>
      </c>
      <c r="B599" s="72" t="s">
        <v>300</v>
      </c>
      <c r="C599" s="72" t="s">
        <v>330</v>
      </c>
      <c r="D599" s="72" t="s">
        <v>561</v>
      </c>
      <c r="E599" s="72" t="s">
        <v>300</v>
      </c>
      <c r="F599" s="73" t="s">
        <v>703</v>
      </c>
      <c r="G599" s="72" t="s">
        <v>339</v>
      </c>
      <c r="H599" s="72" t="s">
        <v>201</v>
      </c>
      <c r="I599" s="72" t="s">
        <v>10</v>
      </c>
      <c r="J599" s="72" t="s">
        <v>187</v>
      </c>
      <c r="K599" s="74">
        <v>5.7</v>
      </c>
      <c r="L599" s="74">
        <f t="shared" si="118"/>
        <v>5.7</v>
      </c>
      <c r="M599" s="75">
        <f>prodnorm52</f>
        <v>0</v>
      </c>
      <c r="N599" s="76">
        <f>dagwerk52</f>
        <v>0</v>
      </c>
      <c r="O599" s="72" t="s">
        <v>54</v>
      </c>
      <c r="P599" s="77">
        <f>uurtarief52</f>
        <v>0</v>
      </c>
      <c r="Q599" s="74" t="e">
        <f t="shared" si="119"/>
        <v>#DIV/0!</v>
      </c>
      <c r="R599" s="74" t="e">
        <f t="shared" si="120"/>
        <v>#DIV/0!</v>
      </c>
      <c r="S599" s="77" t="e">
        <f t="shared" si="121"/>
        <v>#DIV/0!</v>
      </c>
      <c r="T599" s="74" t="e">
        <f t="shared" si="122"/>
        <v>#DIV/0!</v>
      </c>
      <c r="U599" s="78" t="e">
        <f t="shared" si="123"/>
        <v>#DIV/0!</v>
      </c>
    </row>
    <row r="600" spans="1:21" x14ac:dyDescent="0.2">
      <c r="A600" s="71" t="s">
        <v>750</v>
      </c>
      <c r="B600" s="72" t="s">
        <v>300</v>
      </c>
      <c r="C600" s="72" t="s">
        <v>330</v>
      </c>
      <c r="D600" s="72" t="s">
        <v>607</v>
      </c>
      <c r="E600" s="72" t="s">
        <v>300</v>
      </c>
      <c r="F600" s="73" t="s">
        <v>755</v>
      </c>
      <c r="G600" s="72" t="s">
        <v>326</v>
      </c>
      <c r="H600" s="72" t="s">
        <v>191</v>
      </c>
      <c r="I600" s="72" t="s">
        <v>24</v>
      </c>
      <c r="J600" s="72" t="s">
        <v>187</v>
      </c>
      <c r="K600" s="74">
        <v>12.6</v>
      </c>
      <c r="L600" s="74">
        <f t="shared" si="118"/>
        <v>2.52</v>
      </c>
      <c r="M600" s="75">
        <f>prodnorm31</f>
        <v>0</v>
      </c>
      <c r="N600" s="76">
        <f>dagwerk31</f>
        <v>0</v>
      </c>
      <c r="O600" s="72" t="s">
        <v>54</v>
      </c>
      <c r="P600" s="77">
        <f>uurtarief31</f>
        <v>0</v>
      </c>
      <c r="Q600" s="74" t="e">
        <f t="shared" si="119"/>
        <v>#DIV/0!</v>
      </c>
      <c r="R600" s="74" t="e">
        <f t="shared" si="120"/>
        <v>#DIV/0!</v>
      </c>
      <c r="S600" s="77" t="e">
        <f t="shared" si="121"/>
        <v>#DIV/0!</v>
      </c>
      <c r="T600" s="74" t="e">
        <f t="shared" si="122"/>
        <v>#DIV/0!</v>
      </c>
      <c r="U600" s="78" t="e">
        <f t="shared" si="123"/>
        <v>#DIV/0!</v>
      </c>
    </row>
    <row r="601" spans="1:21" x14ac:dyDescent="0.2">
      <c r="A601" s="71" t="s">
        <v>750</v>
      </c>
      <c r="B601" s="72" t="s">
        <v>300</v>
      </c>
      <c r="C601" s="72" t="s">
        <v>330</v>
      </c>
      <c r="D601" s="72" t="s">
        <v>607</v>
      </c>
      <c r="E601" s="72" t="s">
        <v>300</v>
      </c>
      <c r="F601" s="73" t="s">
        <v>755</v>
      </c>
      <c r="G601" s="72" t="s">
        <v>326</v>
      </c>
      <c r="H601" s="72" t="s">
        <v>241</v>
      </c>
      <c r="I601" s="72" t="s">
        <v>41</v>
      </c>
      <c r="J601" s="72" t="s">
        <v>242</v>
      </c>
      <c r="K601" s="74">
        <v>12.6</v>
      </c>
      <c r="L601" s="74">
        <f t="shared" si="118"/>
        <v>4.9411764705882349E-2</v>
      </c>
      <c r="M601" s="75">
        <f>prodnorm117</f>
        <v>0</v>
      </c>
      <c r="N601" s="76">
        <f>dagwerk117</f>
        <v>0</v>
      </c>
      <c r="O601" s="72" t="s">
        <v>54</v>
      </c>
      <c r="P601" s="77">
        <f>uurtarief117</f>
        <v>0</v>
      </c>
      <c r="Q601" s="74" t="e">
        <f t="shared" si="119"/>
        <v>#DIV/0!</v>
      </c>
      <c r="R601" s="74" t="e">
        <f t="shared" si="120"/>
        <v>#DIV/0!</v>
      </c>
      <c r="S601" s="77" t="e">
        <f t="shared" si="121"/>
        <v>#DIV/0!</v>
      </c>
      <c r="T601" s="74" t="e">
        <f t="shared" si="122"/>
        <v>#DIV/0!</v>
      </c>
      <c r="U601" s="78" t="e">
        <f t="shared" si="123"/>
        <v>#DIV/0!</v>
      </c>
    </row>
    <row r="602" spans="1:21" x14ac:dyDescent="0.2">
      <c r="A602" s="71" t="s">
        <v>750</v>
      </c>
      <c r="B602" s="72" t="s">
        <v>300</v>
      </c>
      <c r="C602" s="72" t="s">
        <v>330</v>
      </c>
      <c r="D602" s="72" t="s">
        <v>608</v>
      </c>
      <c r="E602" s="72" t="s">
        <v>300</v>
      </c>
      <c r="F602" s="73" t="s">
        <v>357</v>
      </c>
      <c r="G602" s="72" t="s">
        <v>326</v>
      </c>
      <c r="H602" s="72" t="s">
        <v>214</v>
      </c>
      <c r="I602" s="72" t="s">
        <v>24</v>
      </c>
      <c r="J602" s="72" t="s">
        <v>187</v>
      </c>
      <c r="K602" s="74">
        <v>13.6</v>
      </c>
      <c r="L602" s="74">
        <f t="shared" si="118"/>
        <v>2.72</v>
      </c>
      <c r="M602" s="75">
        <f>prodnorm62</f>
        <v>0</v>
      </c>
      <c r="N602" s="76">
        <f>dagwerk62</f>
        <v>0</v>
      </c>
      <c r="O602" s="72" t="s">
        <v>54</v>
      </c>
      <c r="P602" s="77">
        <f>uurtarief62</f>
        <v>0</v>
      </c>
      <c r="Q602" s="74" t="e">
        <f t="shared" si="119"/>
        <v>#DIV/0!</v>
      </c>
      <c r="R602" s="74" t="e">
        <f t="shared" si="120"/>
        <v>#DIV/0!</v>
      </c>
      <c r="S602" s="77" t="e">
        <f t="shared" si="121"/>
        <v>#DIV/0!</v>
      </c>
      <c r="T602" s="74" t="e">
        <f t="shared" si="122"/>
        <v>#DIV/0!</v>
      </c>
      <c r="U602" s="78" t="e">
        <f t="shared" si="123"/>
        <v>#DIV/0!</v>
      </c>
    </row>
    <row r="603" spans="1:21" x14ac:dyDescent="0.2">
      <c r="A603" s="71" t="s">
        <v>750</v>
      </c>
      <c r="B603" s="72" t="s">
        <v>300</v>
      </c>
      <c r="C603" s="72" t="s">
        <v>330</v>
      </c>
      <c r="D603" s="72" t="s">
        <v>608</v>
      </c>
      <c r="E603" s="72" t="s">
        <v>300</v>
      </c>
      <c r="F603" s="73" t="s">
        <v>357</v>
      </c>
      <c r="G603" s="72" t="s">
        <v>326</v>
      </c>
      <c r="H603" s="72" t="s">
        <v>241</v>
      </c>
      <c r="I603" s="72" t="s">
        <v>41</v>
      </c>
      <c r="J603" s="72" t="s">
        <v>242</v>
      </c>
      <c r="K603" s="74">
        <v>13.6</v>
      </c>
      <c r="L603" s="74">
        <f t="shared" si="118"/>
        <v>5.333333333333333E-2</v>
      </c>
      <c r="M603" s="75">
        <f>prodnorm117</f>
        <v>0</v>
      </c>
      <c r="N603" s="76">
        <f>dagwerk117</f>
        <v>0</v>
      </c>
      <c r="O603" s="72" t="s">
        <v>54</v>
      </c>
      <c r="P603" s="77">
        <f>uurtarief117</f>
        <v>0</v>
      </c>
      <c r="Q603" s="74" t="e">
        <f t="shared" si="119"/>
        <v>#DIV/0!</v>
      </c>
      <c r="R603" s="74" t="e">
        <f t="shared" si="120"/>
        <v>#DIV/0!</v>
      </c>
      <c r="S603" s="77" t="e">
        <f t="shared" si="121"/>
        <v>#DIV/0!</v>
      </c>
      <c r="T603" s="74" t="e">
        <f t="shared" si="122"/>
        <v>#DIV/0!</v>
      </c>
      <c r="U603" s="78" t="e">
        <f t="shared" si="123"/>
        <v>#DIV/0!</v>
      </c>
    </row>
    <row r="604" spans="1:21" x14ac:dyDescent="0.2">
      <c r="A604" s="71" t="s">
        <v>750</v>
      </c>
      <c r="B604" s="72" t="s">
        <v>300</v>
      </c>
      <c r="C604" s="72" t="s">
        <v>330</v>
      </c>
      <c r="D604" s="72" t="s">
        <v>562</v>
      </c>
      <c r="E604" s="72" t="s">
        <v>300</v>
      </c>
      <c r="F604" s="73" t="s">
        <v>756</v>
      </c>
      <c r="G604" s="72" t="s">
        <v>596</v>
      </c>
      <c r="H604" s="72" t="s">
        <v>222</v>
      </c>
      <c r="I604" s="72" t="s">
        <v>10</v>
      </c>
      <c r="J604" s="72" t="s">
        <v>187</v>
      </c>
      <c r="K604" s="74">
        <v>5</v>
      </c>
      <c r="L604" s="74">
        <f t="shared" si="118"/>
        <v>5</v>
      </c>
      <c r="M604" s="75">
        <f>prodnorm85</f>
        <v>0</v>
      </c>
      <c r="N604" s="76">
        <f>dagwerk85</f>
        <v>0</v>
      </c>
      <c r="O604" s="72" t="s">
        <v>54</v>
      </c>
      <c r="P604" s="77">
        <f>uurtarief85</f>
        <v>0</v>
      </c>
      <c r="Q604" s="74" t="e">
        <f t="shared" si="119"/>
        <v>#DIV/0!</v>
      </c>
      <c r="R604" s="74" t="e">
        <f t="shared" si="120"/>
        <v>#DIV/0!</v>
      </c>
      <c r="S604" s="77" t="e">
        <f t="shared" si="121"/>
        <v>#DIV/0!</v>
      </c>
      <c r="T604" s="74" t="e">
        <f t="shared" si="122"/>
        <v>#DIV/0!</v>
      </c>
      <c r="U604" s="78" t="e">
        <f t="shared" si="123"/>
        <v>#DIV/0!</v>
      </c>
    </row>
    <row r="605" spans="1:21" x14ac:dyDescent="0.2">
      <c r="A605" s="71" t="s">
        <v>750</v>
      </c>
      <c r="B605" s="72" t="s">
        <v>300</v>
      </c>
      <c r="C605" s="72" t="s">
        <v>330</v>
      </c>
      <c r="D605" s="72" t="s">
        <v>643</v>
      </c>
      <c r="E605" s="72" t="s">
        <v>300</v>
      </c>
      <c r="F605" s="73" t="s">
        <v>756</v>
      </c>
      <c r="G605" s="72" t="s">
        <v>596</v>
      </c>
      <c r="H605" s="72" t="s">
        <v>222</v>
      </c>
      <c r="I605" s="72" t="s">
        <v>10</v>
      </c>
      <c r="J605" s="72" t="s">
        <v>187</v>
      </c>
      <c r="K605" s="74">
        <v>5</v>
      </c>
      <c r="L605" s="74">
        <f t="shared" si="118"/>
        <v>5</v>
      </c>
      <c r="M605" s="75">
        <f>prodnorm85</f>
        <v>0</v>
      </c>
      <c r="N605" s="76">
        <f>dagwerk85</f>
        <v>0</v>
      </c>
      <c r="O605" s="72" t="s">
        <v>54</v>
      </c>
      <c r="P605" s="77">
        <f>uurtarief85</f>
        <v>0</v>
      </c>
      <c r="Q605" s="74" t="e">
        <f t="shared" si="119"/>
        <v>#DIV/0!</v>
      </c>
      <c r="R605" s="74" t="e">
        <f t="shared" si="120"/>
        <v>#DIV/0!</v>
      </c>
      <c r="S605" s="77" t="e">
        <f t="shared" si="121"/>
        <v>#DIV/0!</v>
      </c>
      <c r="T605" s="74" t="e">
        <f t="shared" si="122"/>
        <v>#DIV/0!</v>
      </c>
      <c r="U605" s="78" t="e">
        <f t="shared" si="123"/>
        <v>#DIV/0!</v>
      </c>
    </row>
    <row r="606" spans="1:21" x14ac:dyDescent="0.2">
      <c r="A606" s="71" t="s">
        <v>750</v>
      </c>
      <c r="B606" s="72" t="s">
        <v>300</v>
      </c>
      <c r="C606" s="72" t="s">
        <v>330</v>
      </c>
      <c r="D606" s="72" t="s">
        <v>611</v>
      </c>
      <c r="E606" s="72" t="s">
        <v>300</v>
      </c>
      <c r="F606" s="73" t="s">
        <v>306</v>
      </c>
      <c r="G606" s="72" t="s">
        <v>326</v>
      </c>
      <c r="H606" s="72" t="s">
        <v>231</v>
      </c>
      <c r="I606" s="72" t="s">
        <v>24</v>
      </c>
      <c r="J606" s="72" t="s">
        <v>187</v>
      </c>
      <c r="K606" s="74">
        <v>27</v>
      </c>
      <c r="L606" s="74">
        <f t="shared" si="118"/>
        <v>5.4</v>
      </c>
      <c r="M606" s="75">
        <f>prodnorm97</f>
        <v>0</v>
      </c>
      <c r="N606" s="76">
        <f>dagwerk97</f>
        <v>0</v>
      </c>
      <c r="O606" s="72" t="s">
        <v>54</v>
      </c>
      <c r="P606" s="77">
        <f>uurtarief97</f>
        <v>0</v>
      </c>
      <c r="Q606" s="74" t="e">
        <f t="shared" si="119"/>
        <v>#DIV/0!</v>
      </c>
      <c r="R606" s="74" t="e">
        <f t="shared" si="120"/>
        <v>#DIV/0!</v>
      </c>
      <c r="S606" s="77" t="e">
        <f t="shared" si="121"/>
        <v>#DIV/0!</v>
      </c>
      <c r="T606" s="74" t="e">
        <f t="shared" si="122"/>
        <v>#DIV/0!</v>
      </c>
      <c r="U606" s="78" t="e">
        <f t="shared" si="123"/>
        <v>#DIV/0!</v>
      </c>
    </row>
    <row r="607" spans="1:21" x14ac:dyDescent="0.2">
      <c r="A607" s="71" t="s">
        <v>750</v>
      </c>
      <c r="B607" s="72" t="s">
        <v>300</v>
      </c>
      <c r="C607" s="72" t="s">
        <v>330</v>
      </c>
      <c r="D607" s="72" t="s">
        <v>611</v>
      </c>
      <c r="E607" s="72" t="s">
        <v>300</v>
      </c>
      <c r="F607" s="73" t="s">
        <v>306</v>
      </c>
      <c r="G607" s="72" t="s">
        <v>326</v>
      </c>
      <c r="H607" s="72" t="s">
        <v>241</v>
      </c>
      <c r="I607" s="72" t="s">
        <v>41</v>
      </c>
      <c r="J607" s="72" t="s">
        <v>242</v>
      </c>
      <c r="K607" s="74">
        <v>27</v>
      </c>
      <c r="L607" s="74">
        <f t="shared" si="118"/>
        <v>0.10588235294117647</v>
      </c>
      <c r="M607" s="75">
        <f>prodnorm117</f>
        <v>0</v>
      </c>
      <c r="N607" s="76">
        <f>dagwerk117</f>
        <v>0</v>
      </c>
      <c r="O607" s="72" t="s">
        <v>54</v>
      </c>
      <c r="P607" s="77">
        <f>uurtarief117</f>
        <v>0</v>
      </c>
      <c r="Q607" s="74" t="e">
        <f t="shared" si="119"/>
        <v>#DIV/0!</v>
      </c>
      <c r="R607" s="74" t="e">
        <f t="shared" si="120"/>
        <v>#DIV/0!</v>
      </c>
      <c r="S607" s="77" t="e">
        <f t="shared" si="121"/>
        <v>#DIV/0!</v>
      </c>
      <c r="T607" s="74" t="e">
        <f t="shared" si="122"/>
        <v>#DIV/0!</v>
      </c>
      <c r="U607" s="78" t="e">
        <f t="shared" si="123"/>
        <v>#DIV/0!</v>
      </c>
    </row>
    <row r="608" spans="1:21" x14ac:dyDescent="0.2">
      <c r="A608" s="71" t="s">
        <v>750</v>
      </c>
      <c r="B608" s="72" t="s">
        <v>300</v>
      </c>
      <c r="C608" s="72" t="s">
        <v>330</v>
      </c>
      <c r="D608" s="72" t="s">
        <v>377</v>
      </c>
      <c r="E608" s="72" t="s">
        <v>300</v>
      </c>
      <c r="F608" s="73" t="s">
        <v>757</v>
      </c>
      <c r="G608" s="72" t="s">
        <v>326</v>
      </c>
      <c r="H608" s="72" t="s">
        <v>212</v>
      </c>
      <c r="I608" s="72" t="s">
        <v>24</v>
      </c>
      <c r="J608" s="72" t="s">
        <v>187</v>
      </c>
      <c r="K608" s="74">
        <v>59.5</v>
      </c>
      <c r="L608" s="74">
        <f t="shared" si="118"/>
        <v>11.9</v>
      </c>
      <c r="M608" s="75">
        <f>prodnorm61</f>
        <v>0</v>
      </c>
      <c r="N608" s="76">
        <f>dagwerk61</f>
        <v>0</v>
      </c>
      <c r="O608" s="72" t="s">
        <v>54</v>
      </c>
      <c r="P608" s="77">
        <f>uurtarief61</f>
        <v>0</v>
      </c>
      <c r="Q608" s="74" t="e">
        <f t="shared" si="119"/>
        <v>#DIV/0!</v>
      </c>
      <c r="R608" s="74" t="e">
        <f t="shared" si="120"/>
        <v>#DIV/0!</v>
      </c>
      <c r="S608" s="77" t="e">
        <f t="shared" si="121"/>
        <v>#DIV/0!</v>
      </c>
      <c r="T608" s="74" t="e">
        <f t="shared" si="122"/>
        <v>#DIV/0!</v>
      </c>
      <c r="U608" s="78" t="e">
        <f t="shared" si="123"/>
        <v>#DIV/0!</v>
      </c>
    </row>
    <row r="609" spans="1:21" x14ac:dyDescent="0.2">
      <c r="A609" s="71" t="s">
        <v>750</v>
      </c>
      <c r="B609" s="72" t="s">
        <v>300</v>
      </c>
      <c r="C609" s="72" t="s">
        <v>330</v>
      </c>
      <c r="D609" s="72" t="s">
        <v>377</v>
      </c>
      <c r="E609" s="72" t="s">
        <v>300</v>
      </c>
      <c r="F609" s="73" t="s">
        <v>757</v>
      </c>
      <c r="G609" s="72" t="s">
        <v>326</v>
      </c>
      <c r="H609" s="72" t="s">
        <v>241</v>
      </c>
      <c r="I609" s="72" t="s">
        <v>41</v>
      </c>
      <c r="J609" s="72" t="s">
        <v>242</v>
      </c>
      <c r="K609" s="74">
        <v>59.5</v>
      </c>
      <c r="L609" s="74">
        <f t="shared" si="118"/>
        <v>0.23333333333333334</v>
      </c>
      <c r="M609" s="75">
        <f>prodnorm117</f>
        <v>0</v>
      </c>
      <c r="N609" s="76">
        <f>dagwerk117</f>
        <v>0</v>
      </c>
      <c r="O609" s="72" t="s">
        <v>54</v>
      </c>
      <c r="P609" s="77">
        <f>uurtarief117</f>
        <v>0</v>
      </c>
      <c r="Q609" s="74" t="e">
        <f t="shared" si="119"/>
        <v>#DIV/0!</v>
      </c>
      <c r="R609" s="74" t="e">
        <f t="shared" si="120"/>
        <v>#DIV/0!</v>
      </c>
      <c r="S609" s="77" t="e">
        <f t="shared" si="121"/>
        <v>#DIV/0!</v>
      </c>
      <c r="T609" s="74" t="e">
        <f t="shared" si="122"/>
        <v>#DIV/0!</v>
      </c>
      <c r="U609" s="78" t="e">
        <f t="shared" si="123"/>
        <v>#DIV/0!</v>
      </c>
    </row>
    <row r="610" spans="1:21" x14ac:dyDescent="0.2">
      <c r="A610" s="71" t="s">
        <v>750</v>
      </c>
      <c r="B610" s="72" t="s">
        <v>300</v>
      </c>
      <c r="C610" s="72" t="s">
        <v>330</v>
      </c>
      <c r="D610" s="72" t="s">
        <v>645</v>
      </c>
      <c r="E610" s="72" t="s">
        <v>300</v>
      </c>
      <c r="F610" s="73" t="s">
        <v>758</v>
      </c>
      <c r="G610" s="72" t="s">
        <v>326</v>
      </c>
      <c r="H610" s="72" t="s">
        <v>218</v>
      </c>
      <c r="I610" s="72" t="s">
        <v>24</v>
      </c>
      <c r="J610" s="72" t="s">
        <v>187</v>
      </c>
      <c r="K610" s="74">
        <v>65.679999999999993</v>
      </c>
      <c r="L610" s="74">
        <f t="shared" si="118"/>
        <v>13.135999999999999</v>
      </c>
      <c r="M610" s="75">
        <f>prodnorm69</f>
        <v>0</v>
      </c>
      <c r="N610" s="76">
        <f>dagwerk69</f>
        <v>0</v>
      </c>
      <c r="O610" s="72" t="s">
        <v>54</v>
      </c>
      <c r="P610" s="77">
        <f>uurtarief69</f>
        <v>0</v>
      </c>
      <c r="Q610" s="74" t="e">
        <f t="shared" si="119"/>
        <v>#DIV/0!</v>
      </c>
      <c r="R610" s="74" t="e">
        <f t="shared" si="120"/>
        <v>#DIV/0!</v>
      </c>
      <c r="S610" s="77" t="e">
        <f t="shared" si="121"/>
        <v>#DIV/0!</v>
      </c>
      <c r="T610" s="74" t="e">
        <f t="shared" si="122"/>
        <v>#DIV/0!</v>
      </c>
      <c r="U610" s="78" t="e">
        <f t="shared" si="123"/>
        <v>#DIV/0!</v>
      </c>
    </row>
    <row r="611" spans="1:21" x14ac:dyDescent="0.2">
      <c r="A611" s="71" t="s">
        <v>750</v>
      </c>
      <c r="B611" s="72" t="s">
        <v>300</v>
      </c>
      <c r="C611" s="72" t="s">
        <v>330</v>
      </c>
      <c r="D611" s="72" t="s">
        <v>645</v>
      </c>
      <c r="E611" s="72" t="s">
        <v>300</v>
      </c>
      <c r="F611" s="73" t="s">
        <v>758</v>
      </c>
      <c r="G611" s="72" t="s">
        <v>326</v>
      </c>
      <c r="H611" s="72" t="s">
        <v>241</v>
      </c>
      <c r="I611" s="72" t="s">
        <v>41</v>
      </c>
      <c r="J611" s="72" t="s">
        <v>242</v>
      </c>
      <c r="K611" s="74">
        <v>65.679999999999993</v>
      </c>
      <c r="L611" s="74">
        <f t="shared" si="118"/>
        <v>0.25756862745098036</v>
      </c>
      <c r="M611" s="75">
        <f>prodnorm117</f>
        <v>0</v>
      </c>
      <c r="N611" s="76">
        <f>dagwerk117</f>
        <v>0</v>
      </c>
      <c r="O611" s="72" t="s">
        <v>54</v>
      </c>
      <c r="P611" s="77">
        <f>uurtarief117</f>
        <v>0</v>
      </c>
      <c r="Q611" s="74" t="e">
        <f t="shared" si="119"/>
        <v>#DIV/0!</v>
      </c>
      <c r="R611" s="74" t="e">
        <f t="shared" si="120"/>
        <v>#DIV/0!</v>
      </c>
      <c r="S611" s="77" t="e">
        <f t="shared" si="121"/>
        <v>#DIV/0!</v>
      </c>
      <c r="T611" s="74" t="e">
        <f t="shared" si="122"/>
        <v>#DIV/0!</v>
      </c>
      <c r="U611" s="78" t="e">
        <f t="shared" si="123"/>
        <v>#DIV/0!</v>
      </c>
    </row>
    <row r="612" spans="1:21" x14ac:dyDescent="0.2">
      <c r="A612" s="71" t="s">
        <v>750</v>
      </c>
      <c r="B612" s="72" t="s">
        <v>300</v>
      </c>
      <c r="C612" s="72" t="s">
        <v>330</v>
      </c>
      <c r="D612" s="72" t="s">
        <v>759</v>
      </c>
      <c r="E612" s="72" t="s">
        <v>300</v>
      </c>
      <c r="F612" s="73" t="s">
        <v>760</v>
      </c>
      <c r="G612" s="72" t="s">
        <v>326</v>
      </c>
      <c r="H612" s="72" t="s">
        <v>218</v>
      </c>
      <c r="I612" s="72" t="s">
        <v>24</v>
      </c>
      <c r="J612" s="72" t="s">
        <v>187</v>
      </c>
      <c r="K612" s="74">
        <v>20</v>
      </c>
      <c r="L612" s="74">
        <f t="shared" si="118"/>
        <v>4</v>
      </c>
      <c r="M612" s="75">
        <f>prodnorm69</f>
        <v>0</v>
      </c>
      <c r="N612" s="76">
        <f>dagwerk69</f>
        <v>0</v>
      </c>
      <c r="O612" s="72" t="s">
        <v>54</v>
      </c>
      <c r="P612" s="77">
        <f>uurtarief69</f>
        <v>0</v>
      </c>
      <c r="Q612" s="74" t="e">
        <f t="shared" si="119"/>
        <v>#DIV/0!</v>
      </c>
      <c r="R612" s="74" t="e">
        <f t="shared" si="120"/>
        <v>#DIV/0!</v>
      </c>
      <c r="S612" s="77" t="e">
        <f t="shared" si="121"/>
        <v>#DIV/0!</v>
      </c>
      <c r="T612" s="74" t="e">
        <f t="shared" si="122"/>
        <v>#DIV/0!</v>
      </c>
      <c r="U612" s="78" t="e">
        <f t="shared" si="123"/>
        <v>#DIV/0!</v>
      </c>
    </row>
    <row r="613" spans="1:21" x14ac:dyDescent="0.2">
      <c r="A613" s="71" t="s">
        <v>750</v>
      </c>
      <c r="B613" s="72" t="s">
        <v>300</v>
      </c>
      <c r="C613" s="72" t="s">
        <v>330</v>
      </c>
      <c r="D613" s="72" t="s">
        <v>759</v>
      </c>
      <c r="E613" s="72" t="s">
        <v>300</v>
      </c>
      <c r="F613" s="73" t="s">
        <v>760</v>
      </c>
      <c r="G613" s="72" t="s">
        <v>326</v>
      </c>
      <c r="H613" s="72" t="s">
        <v>241</v>
      </c>
      <c r="I613" s="72" t="s">
        <v>41</v>
      </c>
      <c r="J613" s="72" t="s">
        <v>242</v>
      </c>
      <c r="K613" s="74">
        <v>20</v>
      </c>
      <c r="L613" s="74">
        <f t="shared" si="118"/>
        <v>7.8431372549019607E-2</v>
      </c>
      <c r="M613" s="75">
        <f>prodnorm117</f>
        <v>0</v>
      </c>
      <c r="N613" s="76">
        <f>dagwerk117</f>
        <v>0</v>
      </c>
      <c r="O613" s="72" t="s">
        <v>54</v>
      </c>
      <c r="P613" s="77">
        <f>uurtarief117</f>
        <v>0</v>
      </c>
      <c r="Q613" s="74" t="e">
        <f t="shared" si="119"/>
        <v>#DIV/0!</v>
      </c>
      <c r="R613" s="74" t="e">
        <f t="shared" si="120"/>
        <v>#DIV/0!</v>
      </c>
      <c r="S613" s="77" t="e">
        <f t="shared" si="121"/>
        <v>#DIV/0!</v>
      </c>
      <c r="T613" s="74" t="e">
        <f t="shared" si="122"/>
        <v>#DIV/0!</v>
      </c>
      <c r="U613" s="78" t="e">
        <f t="shared" si="123"/>
        <v>#DIV/0!</v>
      </c>
    </row>
    <row r="614" spans="1:21" x14ac:dyDescent="0.2">
      <c r="A614" s="71" t="s">
        <v>750</v>
      </c>
      <c r="B614" s="72" t="s">
        <v>300</v>
      </c>
      <c r="C614" s="72" t="s">
        <v>330</v>
      </c>
      <c r="D614" s="72" t="s">
        <v>646</v>
      </c>
      <c r="E614" s="72" t="s">
        <v>300</v>
      </c>
      <c r="F614" s="73" t="s">
        <v>761</v>
      </c>
      <c r="G614" s="72" t="s">
        <v>326</v>
      </c>
      <c r="H614" s="72" t="s">
        <v>191</v>
      </c>
      <c r="I614" s="72" t="s">
        <v>24</v>
      </c>
      <c r="J614" s="72" t="s">
        <v>187</v>
      </c>
      <c r="K614" s="74">
        <v>109.7</v>
      </c>
      <c r="L614" s="74">
        <f t="shared" si="118"/>
        <v>21.94</v>
      </c>
      <c r="M614" s="75">
        <f>prodnorm31</f>
        <v>0</v>
      </c>
      <c r="N614" s="76">
        <f>dagwerk31</f>
        <v>0</v>
      </c>
      <c r="O614" s="72" t="s">
        <v>54</v>
      </c>
      <c r="P614" s="77">
        <f>uurtarief31</f>
        <v>0</v>
      </c>
      <c r="Q614" s="74" t="e">
        <f t="shared" si="119"/>
        <v>#DIV/0!</v>
      </c>
      <c r="R614" s="74" t="e">
        <f t="shared" si="120"/>
        <v>#DIV/0!</v>
      </c>
      <c r="S614" s="77" t="e">
        <f t="shared" si="121"/>
        <v>#DIV/0!</v>
      </c>
      <c r="T614" s="74" t="e">
        <f t="shared" si="122"/>
        <v>#DIV/0!</v>
      </c>
      <c r="U614" s="78" t="e">
        <f t="shared" si="123"/>
        <v>#DIV/0!</v>
      </c>
    </row>
    <row r="615" spans="1:21" x14ac:dyDescent="0.2">
      <c r="A615" s="71" t="s">
        <v>750</v>
      </c>
      <c r="B615" s="72" t="s">
        <v>300</v>
      </c>
      <c r="C615" s="72" t="s">
        <v>330</v>
      </c>
      <c r="D615" s="72" t="s">
        <v>646</v>
      </c>
      <c r="E615" s="72" t="s">
        <v>300</v>
      </c>
      <c r="F615" s="73" t="s">
        <v>761</v>
      </c>
      <c r="G615" s="72" t="s">
        <v>326</v>
      </c>
      <c r="H615" s="72" t="s">
        <v>241</v>
      </c>
      <c r="I615" s="72" t="s">
        <v>41</v>
      </c>
      <c r="J615" s="72" t="s">
        <v>242</v>
      </c>
      <c r="K615" s="74">
        <v>109.7</v>
      </c>
      <c r="L615" s="74">
        <f t="shared" si="118"/>
        <v>0.43019607843137253</v>
      </c>
      <c r="M615" s="75">
        <f>prodnorm117</f>
        <v>0</v>
      </c>
      <c r="N615" s="76">
        <f>dagwerk117</f>
        <v>0</v>
      </c>
      <c r="O615" s="72" t="s">
        <v>54</v>
      </c>
      <c r="P615" s="77">
        <f>uurtarief117</f>
        <v>0</v>
      </c>
      <c r="Q615" s="74" t="e">
        <f t="shared" si="119"/>
        <v>#DIV/0!</v>
      </c>
      <c r="R615" s="74" t="e">
        <f t="shared" si="120"/>
        <v>#DIV/0!</v>
      </c>
      <c r="S615" s="77" t="e">
        <f t="shared" si="121"/>
        <v>#DIV/0!</v>
      </c>
      <c r="T615" s="74" t="e">
        <f t="shared" si="122"/>
        <v>#DIV/0!</v>
      </c>
      <c r="U615" s="78" t="e">
        <f t="shared" si="123"/>
        <v>#DIV/0!</v>
      </c>
    </row>
    <row r="616" spans="1:21" x14ac:dyDescent="0.2">
      <c r="A616" s="71" t="s">
        <v>750</v>
      </c>
      <c r="B616" s="72" t="s">
        <v>300</v>
      </c>
      <c r="C616" s="72" t="s">
        <v>330</v>
      </c>
      <c r="D616" s="72" t="s">
        <v>648</v>
      </c>
      <c r="E616" s="72" t="s">
        <v>300</v>
      </c>
      <c r="F616" s="73" t="s">
        <v>762</v>
      </c>
      <c r="G616" s="72" t="s">
        <v>326</v>
      </c>
      <c r="H616" s="72" t="s">
        <v>212</v>
      </c>
      <c r="I616" s="72" t="s">
        <v>24</v>
      </c>
      <c r="J616" s="72" t="s">
        <v>187</v>
      </c>
      <c r="K616" s="74">
        <v>41.6</v>
      </c>
      <c r="L616" s="74">
        <f t="shared" si="118"/>
        <v>8.32</v>
      </c>
      <c r="M616" s="75">
        <f>prodnorm61</f>
        <v>0</v>
      </c>
      <c r="N616" s="76">
        <f>dagwerk61</f>
        <v>0</v>
      </c>
      <c r="O616" s="72" t="s">
        <v>54</v>
      </c>
      <c r="P616" s="77">
        <f>uurtarief61</f>
        <v>0</v>
      </c>
      <c r="Q616" s="74" t="e">
        <f t="shared" si="119"/>
        <v>#DIV/0!</v>
      </c>
      <c r="R616" s="74" t="e">
        <f t="shared" si="120"/>
        <v>#DIV/0!</v>
      </c>
      <c r="S616" s="77" t="e">
        <f t="shared" si="121"/>
        <v>#DIV/0!</v>
      </c>
      <c r="T616" s="74" t="e">
        <f t="shared" si="122"/>
        <v>#DIV/0!</v>
      </c>
      <c r="U616" s="78" t="e">
        <f t="shared" si="123"/>
        <v>#DIV/0!</v>
      </c>
    </row>
    <row r="617" spans="1:21" x14ac:dyDescent="0.2">
      <c r="A617" s="71" t="s">
        <v>750</v>
      </c>
      <c r="B617" s="72" t="s">
        <v>300</v>
      </c>
      <c r="C617" s="72" t="s">
        <v>330</v>
      </c>
      <c r="D617" s="72" t="s">
        <v>648</v>
      </c>
      <c r="E617" s="72" t="s">
        <v>300</v>
      </c>
      <c r="F617" s="73" t="s">
        <v>762</v>
      </c>
      <c r="G617" s="72" t="s">
        <v>326</v>
      </c>
      <c r="H617" s="72" t="s">
        <v>241</v>
      </c>
      <c r="I617" s="72" t="s">
        <v>41</v>
      </c>
      <c r="J617" s="72" t="s">
        <v>242</v>
      </c>
      <c r="K617" s="74">
        <v>41.6</v>
      </c>
      <c r="L617" s="74">
        <f t="shared" si="118"/>
        <v>0.16313725490196079</v>
      </c>
      <c r="M617" s="75">
        <f>prodnorm117</f>
        <v>0</v>
      </c>
      <c r="N617" s="76">
        <f>dagwerk117</f>
        <v>0</v>
      </c>
      <c r="O617" s="72" t="s">
        <v>54</v>
      </c>
      <c r="P617" s="77">
        <f>uurtarief117</f>
        <v>0</v>
      </c>
      <c r="Q617" s="74" t="e">
        <f t="shared" si="119"/>
        <v>#DIV/0!</v>
      </c>
      <c r="R617" s="74" t="e">
        <f t="shared" si="120"/>
        <v>#DIV/0!</v>
      </c>
      <c r="S617" s="77" t="e">
        <f t="shared" si="121"/>
        <v>#DIV/0!</v>
      </c>
      <c r="T617" s="74" t="e">
        <f t="shared" si="122"/>
        <v>#DIV/0!</v>
      </c>
      <c r="U617" s="78" t="e">
        <f t="shared" si="123"/>
        <v>#DIV/0!</v>
      </c>
    </row>
    <row r="618" spans="1:21" x14ac:dyDescent="0.2">
      <c r="A618" s="71" t="s">
        <v>750</v>
      </c>
      <c r="B618" s="72" t="s">
        <v>300</v>
      </c>
      <c r="C618" s="72" t="s">
        <v>330</v>
      </c>
      <c r="D618" s="72" t="s">
        <v>379</v>
      </c>
      <c r="E618" s="72" t="s">
        <v>300</v>
      </c>
      <c r="F618" s="73" t="s">
        <v>573</v>
      </c>
      <c r="G618" s="72" t="s">
        <v>326</v>
      </c>
      <c r="H618" s="72" t="s">
        <v>231</v>
      </c>
      <c r="I618" s="72" t="s">
        <v>24</v>
      </c>
      <c r="J618" s="72" t="s">
        <v>187</v>
      </c>
      <c r="K618" s="74">
        <v>75</v>
      </c>
      <c r="L618" s="74">
        <f t="shared" si="118"/>
        <v>15</v>
      </c>
      <c r="M618" s="75">
        <f>prodnorm97</f>
        <v>0</v>
      </c>
      <c r="N618" s="76">
        <f>dagwerk97</f>
        <v>0</v>
      </c>
      <c r="O618" s="72" t="s">
        <v>54</v>
      </c>
      <c r="P618" s="77">
        <f>uurtarief97</f>
        <v>0</v>
      </c>
      <c r="Q618" s="74" t="e">
        <f t="shared" si="119"/>
        <v>#DIV/0!</v>
      </c>
      <c r="R618" s="74" t="e">
        <f t="shared" si="120"/>
        <v>#DIV/0!</v>
      </c>
      <c r="S618" s="77" t="e">
        <f t="shared" si="121"/>
        <v>#DIV/0!</v>
      </c>
      <c r="T618" s="74" t="e">
        <f t="shared" si="122"/>
        <v>#DIV/0!</v>
      </c>
      <c r="U618" s="78" t="e">
        <f t="shared" si="123"/>
        <v>#DIV/0!</v>
      </c>
    </row>
    <row r="619" spans="1:21" x14ac:dyDescent="0.2">
      <c r="A619" s="71" t="s">
        <v>750</v>
      </c>
      <c r="B619" s="72" t="s">
        <v>300</v>
      </c>
      <c r="C619" s="72" t="s">
        <v>330</v>
      </c>
      <c r="D619" s="72" t="s">
        <v>379</v>
      </c>
      <c r="E619" s="72" t="s">
        <v>300</v>
      </c>
      <c r="F619" s="73" t="s">
        <v>573</v>
      </c>
      <c r="G619" s="72" t="s">
        <v>326</v>
      </c>
      <c r="H619" s="72" t="s">
        <v>241</v>
      </c>
      <c r="I619" s="72" t="s">
        <v>41</v>
      </c>
      <c r="J619" s="72" t="s">
        <v>242</v>
      </c>
      <c r="K619" s="74">
        <v>75</v>
      </c>
      <c r="L619" s="74">
        <f t="shared" si="118"/>
        <v>0.29411764705882354</v>
      </c>
      <c r="M619" s="75">
        <f>prodnorm117</f>
        <v>0</v>
      </c>
      <c r="N619" s="76">
        <f>dagwerk117</f>
        <v>0</v>
      </c>
      <c r="O619" s="72" t="s">
        <v>54</v>
      </c>
      <c r="P619" s="77">
        <f>uurtarief117</f>
        <v>0</v>
      </c>
      <c r="Q619" s="74" t="e">
        <f t="shared" si="119"/>
        <v>#DIV/0!</v>
      </c>
      <c r="R619" s="74" t="e">
        <f t="shared" si="120"/>
        <v>#DIV/0!</v>
      </c>
      <c r="S619" s="77" t="e">
        <f t="shared" si="121"/>
        <v>#DIV/0!</v>
      </c>
      <c r="T619" s="74" t="e">
        <f t="shared" si="122"/>
        <v>#DIV/0!</v>
      </c>
      <c r="U619" s="78" t="e">
        <f t="shared" si="123"/>
        <v>#DIV/0!</v>
      </c>
    </row>
    <row r="620" spans="1:21" x14ac:dyDescent="0.2">
      <c r="A620" s="71" t="s">
        <v>750</v>
      </c>
      <c r="B620" s="72" t="s">
        <v>300</v>
      </c>
      <c r="C620" s="72" t="s">
        <v>330</v>
      </c>
      <c r="D620" s="72" t="s">
        <v>381</v>
      </c>
      <c r="E620" s="72" t="s">
        <v>300</v>
      </c>
      <c r="F620" s="73" t="s">
        <v>763</v>
      </c>
      <c r="G620" s="72" t="s">
        <v>326</v>
      </c>
      <c r="H620" s="72" t="s">
        <v>212</v>
      </c>
      <c r="I620" s="72" t="s">
        <v>24</v>
      </c>
      <c r="J620" s="72" t="s">
        <v>187</v>
      </c>
      <c r="K620" s="74">
        <v>60.4</v>
      </c>
      <c r="L620" s="74">
        <f t="shared" si="118"/>
        <v>12.08</v>
      </c>
      <c r="M620" s="75">
        <f>prodnorm61</f>
        <v>0</v>
      </c>
      <c r="N620" s="76">
        <f>dagwerk61</f>
        <v>0</v>
      </c>
      <c r="O620" s="72" t="s">
        <v>54</v>
      </c>
      <c r="P620" s="77">
        <f>uurtarief61</f>
        <v>0</v>
      </c>
      <c r="Q620" s="74" t="e">
        <f t="shared" si="119"/>
        <v>#DIV/0!</v>
      </c>
      <c r="R620" s="74" t="e">
        <f t="shared" si="120"/>
        <v>#DIV/0!</v>
      </c>
      <c r="S620" s="77" t="e">
        <f t="shared" si="121"/>
        <v>#DIV/0!</v>
      </c>
      <c r="T620" s="74" t="e">
        <f t="shared" si="122"/>
        <v>#DIV/0!</v>
      </c>
      <c r="U620" s="78" t="e">
        <f t="shared" si="123"/>
        <v>#DIV/0!</v>
      </c>
    </row>
    <row r="621" spans="1:21" x14ac:dyDescent="0.2">
      <c r="A621" s="71" t="s">
        <v>750</v>
      </c>
      <c r="B621" s="72" t="s">
        <v>300</v>
      </c>
      <c r="C621" s="72" t="s">
        <v>330</v>
      </c>
      <c r="D621" s="72" t="s">
        <v>381</v>
      </c>
      <c r="E621" s="72" t="s">
        <v>300</v>
      </c>
      <c r="F621" s="73" t="s">
        <v>763</v>
      </c>
      <c r="G621" s="72" t="s">
        <v>326</v>
      </c>
      <c r="H621" s="72" t="s">
        <v>241</v>
      </c>
      <c r="I621" s="72" t="s">
        <v>41</v>
      </c>
      <c r="J621" s="72" t="s">
        <v>242</v>
      </c>
      <c r="K621" s="74">
        <v>60.4</v>
      </c>
      <c r="L621" s="74">
        <f t="shared" si="118"/>
        <v>0.2368627450980392</v>
      </c>
      <c r="M621" s="75">
        <f>prodnorm117</f>
        <v>0</v>
      </c>
      <c r="N621" s="76">
        <f>dagwerk117</f>
        <v>0</v>
      </c>
      <c r="O621" s="72" t="s">
        <v>54</v>
      </c>
      <c r="P621" s="77">
        <f>uurtarief117</f>
        <v>0</v>
      </c>
      <c r="Q621" s="74" t="e">
        <f t="shared" si="119"/>
        <v>#DIV/0!</v>
      </c>
      <c r="R621" s="74" t="e">
        <f t="shared" si="120"/>
        <v>#DIV/0!</v>
      </c>
      <c r="S621" s="77" t="e">
        <f t="shared" si="121"/>
        <v>#DIV/0!</v>
      </c>
      <c r="T621" s="74" t="e">
        <f t="shared" si="122"/>
        <v>#DIV/0!</v>
      </c>
      <c r="U621" s="78" t="e">
        <f t="shared" si="123"/>
        <v>#DIV/0!</v>
      </c>
    </row>
    <row r="622" spans="1:21" x14ac:dyDescent="0.2">
      <c r="A622" s="71" t="s">
        <v>750</v>
      </c>
      <c r="B622" s="72" t="s">
        <v>300</v>
      </c>
      <c r="C622" s="72" t="s">
        <v>330</v>
      </c>
      <c r="D622" s="72" t="s">
        <v>382</v>
      </c>
      <c r="E622" s="72" t="s">
        <v>300</v>
      </c>
      <c r="F622" s="73" t="s">
        <v>764</v>
      </c>
      <c r="G622" s="72" t="s">
        <v>326</v>
      </c>
      <c r="H622" s="72" t="s">
        <v>191</v>
      </c>
      <c r="I622" s="72" t="s">
        <v>24</v>
      </c>
      <c r="J622" s="72" t="s">
        <v>187</v>
      </c>
      <c r="K622" s="74">
        <v>11.2</v>
      </c>
      <c r="L622" s="74">
        <f t="shared" si="118"/>
        <v>2.2399999999999998</v>
      </c>
      <c r="M622" s="75">
        <f>prodnorm31</f>
        <v>0</v>
      </c>
      <c r="N622" s="76">
        <f>dagwerk31</f>
        <v>0</v>
      </c>
      <c r="O622" s="72" t="s">
        <v>54</v>
      </c>
      <c r="P622" s="77">
        <f>uurtarief31</f>
        <v>0</v>
      </c>
      <c r="Q622" s="74" t="e">
        <f t="shared" si="119"/>
        <v>#DIV/0!</v>
      </c>
      <c r="R622" s="74" t="e">
        <f t="shared" si="120"/>
        <v>#DIV/0!</v>
      </c>
      <c r="S622" s="77" t="e">
        <f t="shared" si="121"/>
        <v>#DIV/0!</v>
      </c>
      <c r="T622" s="74" t="e">
        <f t="shared" si="122"/>
        <v>#DIV/0!</v>
      </c>
      <c r="U622" s="78" t="e">
        <f t="shared" si="123"/>
        <v>#DIV/0!</v>
      </c>
    </row>
    <row r="623" spans="1:21" x14ac:dyDescent="0.2">
      <c r="A623" s="71" t="s">
        <v>750</v>
      </c>
      <c r="B623" s="72" t="s">
        <v>300</v>
      </c>
      <c r="C623" s="72" t="s">
        <v>330</v>
      </c>
      <c r="D623" s="72" t="s">
        <v>382</v>
      </c>
      <c r="E623" s="72" t="s">
        <v>300</v>
      </c>
      <c r="F623" s="73" t="s">
        <v>764</v>
      </c>
      <c r="G623" s="72" t="s">
        <v>326</v>
      </c>
      <c r="H623" s="72" t="s">
        <v>241</v>
      </c>
      <c r="I623" s="72" t="s">
        <v>41</v>
      </c>
      <c r="J623" s="72" t="s">
        <v>242</v>
      </c>
      <c r="K623" s="74">
        <v>11.2</v>
      </c>
      <c r="L623" s="74">
        <f t="shared" si="118"/>
        <v>4.3921568627450974E-2</v>
      </c>
      <c r="M623" s="75">
        <f>prodnorm117</f>
        <v>0</v>
      </c>
      <c r="N623" s="76">
        <f>dagwerk117</f>
        <v>0</v>
      </c>
      <c r="O623" s="72" t="s">
        <v>54</v>
      </c>
      <c r="P623" s="77">
        <f>uurtarief117</f>
        <v>0</v>
      </c>
      <c r="Q623" s="74" t="e">
        <f t="shared" si="119"/>
        <v>#DIV/0!</v>
      </c>
      <c r="R623" s="74" t="e">
        <f t="shared" si="120"/>
        <v>#DIV/0!</v>
      </c>
      <c r="S623" s="77" t="e">
        <f t="shared" si="121"/>
        <v>#DIV/0!</v>
      </c>
      <c r="T623" s="74" t="e">
        <f t="shared" si="122"/>
        <v>#DIV/0!</v>
      </c>
      <c r="U623" s="78" t="e">
        <f t="shared" si="123"/>
        <v>#DIV/0!</v>
      </c>
    </row>
    <row r="624" spans="1:21" x14ac:dyDescent="0.2">
      <c r="A624" s="71" t="s">
        <v>750</v>
      </c>
      <c r="B624" s="72" t="s">
        <v>300</v>
      </c>
      <c r="C624" s="72" t="s">
        <v>330</v>
      </c>
      <c r="D624" s="72" t="s">
        <v>388</v>
      </c>
      <c r="E624" s="72" t="s">
        <v>300</v>
      </c>
      <c r="F624" s="73" t="s">
        <v>765</v>
      </c>
      <c r="G624" s="72" t="s">
        <v>596</v>
      </c>
      <c r="H624" s="72" t="s">
        <v>222</v>
      </c>
      <c r="I624" s="72" t="s">
        <v>14</v>
      </c>
      <c r="J624" s="72" t="s">
        <v>187</v>
      </c>
      <c r="K624" s="74">
        <v>6</v>
      </c>
      <c r="L624" s="74">
        <f t="shared" si="118"/>
        <v>4.7058823529411766</v>
      </c>
      <c r="M624" s="75">
        <f>prodnorm79</f>
        <v>0</v>
      </c>
      <c r="N624" s="76">
        <f>dagwerk79</f>
        <v>0</v>
      </c>
      <c r="O624" s="72" t="s">
        <v>54</v>
      </c>
      <c r="P624" s="77">
        <f>uurtarief79</f>
        <v>0</v>
      </c>
      <c r="Q624" s="74" t="e">
        <f t="shared" si="119"/>
        <v>#DIV/0!</v>
      </c>
      <c r="R624" s="74" t="e">
        <f t="shared" si="120"/>
        <v>#DIV/0!</v>
      </c>
      <c r="S624" s="77" t="e">
        <f t="shared" si="121"/>
        <v>#DIV/0!</v>
      </c>
      <c r="T624" s="74" t="e">
        <f t="shared" si="122"/>
        <v>#DIV/0!</v>
      </c>
      <c r="U624" s="78" t="e">
        <f t="shared" si="123"/>
        <v>#DIV/0!</v>
      </c>
    </row>
    <row r="625" spans="1:21" x14ac:dyDescent="0.2">
      <c r="A625" s="71" t="s">
        <v>750</v>
      </c>
      <c r="B625" s="72" t="s">
        <v>300</v>
      </c>
      <c r="C625" s="72" t="s">
        <v>330</v>
      </c>
      <c r="D625" s="72" t="s">
        <v>389</v>
      </c>
      <c r="E625" s="72" t="s">
        <v>300</v>
      </c>
      <c r="F625" s="73" t="s">
        <v>766</v>
      </c>
      <c r="G625" s="72" t="s">
        <v>326</v>
      </c>
      <c r="H625" s="72" t="s">
        <v>212</v>
      </c>
      <c r="I625" s="72" t="s">
        <v>24</v>
      </c>
      <c r="J625" s="72" t="s">
        <v>187</v>
      </c>
      <c r="K625" s="74">
        <v>48.809999999999995</v>
      </c>
      <c r="L625" s="74">
        <f t="shared" si="118"/>
        <v>9.7620000000000005</v>
      </c>
      <c r="M625" s="75">
        <f>prodnorm61</f>
        <v>0</v>
      </c>
      <c r="N625" s="76">
        <f>dagwerk61</f>
        <v>0</v>
      </c>
      <c r="O625" s="72" t="s">
        <v>54</v>
      </c>
      <c r="P625" s="77">
        <f>uurtarief61</f>
        <v>0</v>
      </c>
      <c r="Q625" s="74" t="e">
        <f t="shared" si="119"/>
        <v>#DIV/0!</v>
      </c>
      <c r="R625" s="74" t="e">
        <f t="shared" si="120"/>
        <v>#DIV/0!</v>
      </c>
      <c r="S625" s="77" t="e">
        <f t="shared" si="121"/>
        <v>#DIV/0!</v>
      </c>
      <c r="T625" s="74" t="e">
        <f t="shared" si="122"/>
        <v>#DIV/0!</v>
      </c>
      <c r="U625" s="78" t="e">
        <f t="shared" si="123"/>
        <v>#DIV/0!</v>
      </c>
    </row>
    <row r="626" spans="1:21" x14ac:dyDescent="0.2">
      <c r="A626" s="71" t="s">
        <v>750</v>
      </c>
      <c r="B626" s="72" t="s">
        <v>300</v>
      </c>
      <c r="C626" s="72" t="s">
        <v>330</v>
      </c>
      <c r="D626" s="72" t="s">
        <v>389</v>
      </c>
      <c r="E626" s="72" t="s">
        <v>300</v>
      </c>
      <c r="F626" s="73" t="s">
        <v>766</v>
      </c>
      <c r="G626" s="72" t="s">
        <v>326</v>
      </c>
      <c r="H626" s="72" t="s">
        <v>241</v>
      </c>
      <c r="I626" s="72" t="s">
        <v>41</v>
      </c>
      <c r="J626" s="72" t="s">
        <v>242</v>
      </c>
      <c r="K626" s="74">
        <v>48.809999999999995</v>
      </c>
      <c r="L626" s="74">
        <f t="shared" si="118"/>
        <v>0.19141176470588234</v>
      </c>
      <c r="M626" s="75">
        <f>prodnorm117</f>
        <v>0</v>
      </c>
      <c r="N626" s="76">
        <f>dagwerk117</f>
        <v>0</v>
      </c>
      <c r="O626" s="72" t="s">
        <v>54</v>
      </c>
      <c r="P626" s="77">
        <f>uurtarief117</f>
        <v>0</v>
      </c>
      <c r="Q626" s="74" t="e">
        <f t="shared" si="119"/>
        <v>#DIV/0!</v>
      </c>
      <c r="R626" s="74" t="e">
        <f t="shared" si="120"/>
        <v>#DIV/0!</v>
      </c>
      <c r="S626" s="77" t="e">
        <f t="shared" si="121"/>
        <v>#DIV/0!</v>
      </c>
      <c r="T626" s="74" t="e">
        <f t="shared" si="122"/>
        <v>#DIV/0!</v>
      </c>
      <c r="U626" s="78" t="e">
        <f t="shared" si="123"/>
        <v>#DIV/0!</v>
      </c>
    </row>
    <row r="627" spans="1:21" x14ac:dyDescent="0.2">
      <c r="A627" s="71" t="s">
        <v>750</v>
      </c>
      <c r="B627" s="72" t="s">
        <v>300</v>
      </c>
      <c r="C627" s="72" t="s">
        <v>330</v>
      </c>
      <c r="D627" s="72" t="s">
        <v>564</v>
      </c>
      <c r="E627" s="72" t="s">
        <v>300</v>
      </c>
      <c r="F627" s="73" t="s">
        <v>767</v>
      </c>
      <c r="G627" s="72" t="s">
        <v>326</v>
      </c>
      <c r="H627" s="72" t="s">
        <v>212</v>
      </c>
      <c r="I627" s="72" t="s">
        <v>24</v>
      </c>
      <c r="J627" s="72" t="s">
        <v>187</v>
      </c>
      <c r="K627" s="74">
        <v>22.310000000000002</v>
      </c>
      <c r="L627" s="74">
        <f t="shared" si="118"/>
        <v>4.4620000000000006</v>
      </c>
      <c r="M627" s="75">
        <f>prodnorm61</f>
        <v>0</v>
      </c>
      <c r="N627" s="76">
        <f>dagwerk61</f>
        <v>0</v>
      </c>
      <c r="O627" s="72" t="s">
        <v>54</v>
      </c>
      <c r="P627" s="77">
        <f>uurtarief61</f>
        <v>0</v>
      </c>
      <c r="Q627" s="74" t="e">
        <f t="shared" si="119"/>
        <v>#DIV/0!</v>
      </c>
      <c r="R627" s="74" t="e">
        <f t="shared" si="120"/>
        <v>#DIV/0!</v>
      </c>
      <c r="S627" s="77" t="e">
        <f t="shared" si="121"/>
        <v>#DIV/0!</v>
      </c>
      <c r="T627" s="74" t="e">
        <f t="shared" si="122"/>
        <v>#DIV/0!</v>
      </c>
      <c r="U627" s="78" t="e">
        <f t="shared" si="123"/>
        <v>#DIV/0!</v>
      </c>
    </row>
    <row r="628" spans="1:21" x14ac:dyDescent="0.2">
      <c r="A628" s="71" t="s">
        <v>750</v>
      </c>
      <c r="B628" s="72" t="s">
        <v>300</v>
      </c>
      <c r="C628" s="72" t="s">
        <v>330</v>
      </c>
      <c r="D628" s="72" t="s">
        <v>564</v>
      </c>
      <c r="E628" s="72" t="s">
        <v>300</v>
      </c>
      <c r="F628" s="73" t="s">
        <v>767</v>
      </c>
      <c r="G628" s="72" t="s">
        <v>326</v>
      </c>
      <c r="H628" s="72" t="s">
        <v>241</v>
      </c>
      <c r="I628" s="72" t="s">
        <v>41</v>
      </c>
      <c r="J628" s="72" t="s">
        <v>242</v>
      </c>
      <c r="K628" s="74">
        <v>22.310000000000002</v>
      </c>
      <c r="L628" s="74">
        <f t="shared" si="118"/>
        <v>8.7490196078431379E-2</v>
      </c>
      <c r="M628" s="75">
        <f>prodnorm117</f>
        <v>0</v>
      </c>
      <c r="N628" s="76">
        <f>dagwerk117</f>
        <v>0</v>
      </c>
      <c r="O628" s="72" t="s">
        <v>54</v>
      </c>
      <c r="P628" s="77">
        <f>uurtarief117</f>
        <v>0</v>
      </c>
      <c r="Q628" s="74" t="e">
        <f t="shared" si="119"/>
        <v>#DIV/0!</v>
      </c>
      <c r="R628" s="74" t="e">
        <f t="shared" si="120"/>
        <v>#DIV/0!</v>
      </c>
      <c r="S628" s="77" t="e">
        <f t="shared" si="121"/>
        <v>#DIV/0!</v>
      </c>
      <c r="T628" s="74" t="e">
        <f t="shared" si="122"/>
        <v>#DIV/0!</v>
      </c>
      <c r="U628" s="78" t="e">
        <f t="shared" si="123"/>
        <v>#DIV/0!</v>
      </c>
    </row>
    <row r="629" spans="1:21" x14ac:dyDescent="0.2">
      <c r="A629" s="71" t="s">
        <v>750</v>
      </c>
      <c r="B629" s="72" t="s">
        <v>300</v>
      </c>
      <c r="C629" s="72" t="s">
        <v>330</v>
      </c>
      <c r="D629" s="72" t="s">
        <v>390</v>
      </c>
      <c r="E629" s="72" t="s">
        <v>300</v>
      </c>
      <c r="F629" s="73" t="s">
        <v>765</v>
      </c>
      <c r="G629" s="72" t="s">
        <v>596</v>
      </c>
      <c r="H629" s="72" t="s">
        <v>222</v>
      </c>
      <c r="I629" s="72" t="s">
        <v>14</v>
      </c>
      <c r="J629" s="72" t="s">
        <v>187</v>
      </c>
      <c r="K629" s="74">
        <v>6</v>
      </c>
      <c r="L629" s="74">
        <f t="shared" si="118"/>
        <v>4.7058823529411766</v>
      </c>
      <c r="M629" s="75">
        <f>prodnorm79</f>
        <v>0</v>
      </c>
      <c r="N629" s="76">
        <f>dagwerk79</f>
        <v>0</v>
      </c>
      <c r="O629" s="72" t="s">
        <v>54</v>
      </c>
      <c r="P629" s="77">
        <f>uurtarief79</f>
        <v>0</v>
      </c>
      <c r="Q629" s="74" t="e">
        <f t="shared" si="119"/>
        <v>#DIV/0!</v>
      </c>
      <c r="R629" s="74" t="e">
        <f t="shared" si="120"/>
        <v>#DIV/0!</v>
      </c>
      <c r="S629" s="77" t="e">
        <f t="shared" si="121"/>
        <v>#DIV/0!</v>
      </c>
      <c r="T629" s="74" t="e">
        <f t="shared" si="122"/>
        <v>#DIV/0!</v>
      </c>
      <c r="U629" s="78" t="e">
        <f t="shared" si="123"/>
        <v>#DIV/0!</v>
      </c>
    </row>
    <row r="630" spans="1:21" x14ac:dyDescent="0.2">
      <c r="A630" s="71" t="s">
        <v>750</v>
      </c>
      <c r="B630" s="72" t="s">
        <v>300</v>
      </c>
      <c r="C630" s="72" t="s">
        <v>330</v>
      </c>
      <c r="D630" s="72" t="s">
        <v>391</v>
      </c>
      <c r="E630" s="72" t="s">
        <v>300</v>
      </c>
      <c r="F630" s="73" t="s">
        <v>704</v>
      </c>
      <c r="G630" s="72" t="s">
        <v>596</v>
      </c>
      <c r="H630" s="72" t="s">
        <v>222</v>
      </c>
      <c r="I630" s="72" t="s">
        <v>14</v>
      </c>
      <c r="J630" s="72" t="s">
        <v>187</v>
      </c>
      <c r="K630" s="74">
        <v>3.2</v>
      </c>
      <c r="L630" s="74">
        <f t="shared" si="118"/>
        <v>2.5098039215686274</v>
      </c>
      <c r="M630" s="75">
        <f>prodnorm79</f>
        <v>0</v>
      </c>
      <c r="N630" s="76">
        <f>dagwerk79</f>
        <v>0</v>
      </c>
      <c r="O630" s="72" t="s">
        <v>54</v>
      </c>
      <c r="P630" s="77">
        <f>uurtarief79</f>
        <v>0</v>
      </c>
      <c r="Q630" s="74" t="e">
        <f t="shared" si="119"/>
        <v>#DIV/0!</v>
      </c>
      <c r="R630" s="74" t="e">
        <f t="shared" si="120"/>
        <v>#DIV/0!</v>
      </c>
      <c r="S630" s="77" t="e">
        <f t="shared" si="121"/>
        <v>#DIV/0!</v>
      </c>
      <c r="T630" s="74" t="e">
        <f t="shared" si="122"/>
        <v>#DIV/0!</v>
      </c>
      <c r="U630" s="78" t="e">
        <f t="shared" si="123"/>
        <v>#DIV/0!</v>
      </c>
    </row>
    <row r="631" spans="1:21" x14ac:dyDescent="0.2">
      <c r="A631" s="79" t="s">
        <v>750</v>
      </c>
      <c r="B631" s="80" t="s">
        <v>300</v>
      </c>
      <c r="C631" s="80" t="s">
        <v>330</v>
      </c>
      <c r="D631" s="80" t="s">
        <v>393</v>
      </c>
      <c r="E631" s="80" t="s">
        <v>300</v>
      </c>
      <c r="F631" s="81" t="s">
        <v>768</v>
      </c>
      <c r="G631" s="80" t="s">
        <v>596</v>
      </c>
      <c r="H631" s="80" t="s">
        <v>222</v>
      </c>
      <c r="I631" s="80" t="s">
        <v>14</v>
      </c>
      <c r="J631" s="80" t="s">
        <v>187</v>
      </c>
      <c r="K631" s="82">
        <v>6.3</v>
      </c>
      <c r="L631" s="82">
        <f t="shared" si="118"/>
        <v>4.9411764705882355</v>
      </c>
      <c r="M631" s="83">
        <f>prodnorm79</f>
        <v>0</v>
      </c>
      <c r="N631" s="84">
        <f>dagwerk79</f>
        <v>0</v>
      </c>
      <c r="O631" s="80" t="s">
        <v>54</v>
      </c>
      <c r="P631" s="85">
        <f>uurtarief79</f>
        <v>0</v>
      </c>
      <c r="Q631" s="82" t="e">
        <f t="shared" si="119"/>
        <v>#DIV/0!</v>
      </c>
      <c r="R631" s="82" t="e">
        <f t="shared" si="120"/>
        <v>#DIV/0!</v>
      </c>
      <c r="S631" s="85" t="e">
        <f t="shared" si="121"/>
        <v>#DIV/0!</v>
      </c>
      <c r="T631" s="82" t="e">
        <f t="shared" si="122"/>
        <v>#DIV/0!</v>
      </c>
      <c r="U631" s="86" t="e">
        <f t="shared" si="123"/>
        <v>#DIV/0!</v>
      </c>
    </row>
    <row r="632" spans="1:21" x14ac:dyDescent="0.2">
      <c r="A632" s="50" t="s">
        <v>536</v>
      </c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3" t="e">
        <f>IF(_xlfn.SINGLE(object17_urenjaar1)&gt;0,_xlfn.SINGLE(object17_prijsjaar1)/_xlfn.SINGLE(object17_urenjaar1),0)</f>
        <v>#DIV/0!</v>
      </c>
      <c r="Q632" s="52" t="e">
        <f>SUM(Q592:Q631)</f>
        <v>#DIV/0!</v>
      </c>
      <c r="R632" s="52" t="e">
        <f>SUM(R592:R631)</f>
        <v>#DIV/0!</v>
      </c>
      <c r="S632" s="53" t="e">
        <f>SUM(S592:S631)</f>
        <v>#DIV/0!</v>
      </c>
      <c r="T632" s="52" t="e">
        <f>SUM(T592:T631)</f>
        <v>#DIV/0!</v>
      </c>
      <c r="U632" s="53" t="e">
        <f>SUM(U592:U631)</f>
        <v>#DIV/0!</v>
      </c>
    </row>
  </sheetData>
  <autoFilter ref="A3:U632" xr:uid="{B37789C9-267A-4676-A726-9EAFBD69EFD3}"/>
  <pageMargins left="0.7" right="0.7" top="0.75" bottom="0.75" header="0.3" footer="0.3"/>
  <pageSetup paperSize="9" scale="61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BD03-8A66-4F5E-B62A-ED3D052E0223}">
  <dimension ref="A1:U4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I.1.4: ",tabeltype," ruimten werkdag vakantie")</f>
        <v>Bijlage I.1.4: Invultabel ruimten werkdag vakantie</v>
      </c>
    </row>
    <row r="3" spans="1:21" ht="38.25" x14ac:dyDescent="0.2">
      <c r="A3" s="59" t="s">
        <v>289</v>
      </c>
      <c r="B3" s="8" t="s">
        <v>290</v>
      </c>
      <c r="C3" s="8" t="s">
        <v>291</v>
      </c>
      <c r="D3" s="8" t="s">
        <v>292</v>
      </c>
      <c r="E3" s="8" t="s">
        <v>293</v>
      </c>
      <c r="F3" s="8" t="s">
        <v>294</v>
      </c>
      <c r="G3" s="8" t="s">
        <v>295</v>
      </c>
      <c r="H3" s="8" t="s">
        <v>178</v>
      </c>
      <c r="I3" s="8" t="s">
        <v>8</v>
      </c>
      <c r="J3" s="8" t="s">
        <v>296</v>
      </c>
      <c r="K3" s="8" t="s">
        <v>180</v>
      </c>
      <c r="L3" s="8" t="s">
        <v>181</v>
      </c>
      <c r="M3" s="8" t="s">
        <v>46</v>
      </c>
      <c r="N3" s="8" t="s">
        <v>47</v>
      </c>
      <c r="O3" s="8" t="s">
        <v>48</v>
      </c>
      <c r="P3" s="8" t="s">
        <v>49</v>
      </c>
      <c r="Q3" s="8" t="s">
        <v>182</v>
      </c>
      <c r="R3" s="8" t="s">
        <v>297</v>
      </c>
      <c r="S3" s="8" t="s">
        <v>183</v>
      </c>
      <c r="T3" s="8" t="s">
        <v>184</v>
      </c>
      <c r="U3" s="60" t="s">
        <v>185</v>
      </c>
    </row>
    <row r="4" spans="1:21" x14ac:dyDescent="0.2">
      <c r="A4" s="61" t="s">
        <v>587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9"/>
    </row>
    <row r="5" spans="1:21" x14ac:dyDescent="0.2">
      <c r="A5" s="63" t="s">
        <v>588</v>
      </c>
      <c r="B5" s="64" t="s">
        <v>300</v>
      </c>
      <c r="C5" s="64" t="s">
        <v>330</v>
      </c>
      <c r="D5" s="64" t="s">
        <v>540</v>
      </c>
      <c r="E5" s="64" t="s">
        <v>300</v>
      </c>
      <c r="F5" s="65" t="s">
        <v>338</v>
      </c>
      <c r="G5" s="64" t="s">
        <v>304</v>
      </c>
      <c r="H5" s="64" t="s">
        <v>268</v>
      </c>
      <c r="I5" s="64" t="s">
        <v>35</v>
      </c>
      <c r="J5" s="64" t="s">
        <v>187</v>
      </c>
      <c r="K5" s="66">
        <v>42.3</v>
      </c>
      <c r="L5" s="66">
        <f t="shared" ref="L5:L39" si="0">K5*VLOOKUP(I5,dagsoorttabel1,2,FALSE)</f>
        <v>1.9905882352941175</v>
      </c>
      <c r="M5" s="67">
        <f>prodnorm127</f>
        <v>0</v>
      </c>
      <c r="N5" s="68">
        <f>dagwerk127</f>
        <v>0</v>
      </c>
      <c r="O5" s="64" t="s">
        <v>54</v>
      </c>
      <c r="P5" s="69">
        <f>uurtarief127</f>
        <v>0</v>
      </c>
      <c r="Q5" s="66" t="e">
        <f t="shared" ref="Q5:Q39" si="1">IF(ISBLANK(M5),0,L5/ROUND(M5,4))</f>
        <v>#DIV/0!</v>
      </c>
      <c r="R5" s="66" t="e">
        <f t="shared" ref="R5:R39" si="2">IF(ISBLANK(M5),0,Q5*ROUND(N5,2))</f>
        <v>#DIV/0!</v>
      </c>
      <c r="S5" s="69" t="e">
        <f t="shared" ref="S5:S39" si="3">ROUND(P5,2)*Q5</f>
        <v>#DIV/0!</v>
      </c>
      <c r="T5" s="66" t="e">
        <f t="shared" ref="T5:T39" si="4">Q5*dagenperjaar1</f>
        <v>#DIV/0!</v>
      </c>
      <c r="U5" s="70" t="e">
        <f t="shared" ref="U5:U39" si="5">T5*ROUND(P5,2)</f>
        <v>#DIV/0!</v>
      </c>
    </row>
    <row r="6" spans="1:21" x14ac:dyDescent="0.2">
      <c r="A6" s="71" t="s">
        <v>588</v>
      </c>
      <c r="B6" s="72" t="s">
        <v>300</v>
      </c>
      <c r="C6" s="72" t="s">
        <v>330</v>
      </c>
      <c r="D6" s="72" t="s">
        <v>335</v>
      </c>
      <c r="E6" s="72" t="s">
        <v>300</v>
      </c>
      <c r="F6" s="73" t="s">
        <v>590</v>
      </c>
      <c r="G6" s="72" t="s">
        <v>304</v>
      </c>
      <c r="H6" s="72" t="s">
        <v>273</v>
      </c>
      <c r="I6" s="72" t="s">
        <v>35</v>
      </c>
      <c r="J6" s="72" t="s">
        <v>187</v>
      </c>
      <c r="K6" s="74">
        <v>275.8</v>
      </c>
      <c r="L6" s="74">
        <f t="shared" si="0"/>
        <v>12.978823529411764</v>
      </c>
      <c r="M6" s="75">
        <f>prodnorm131</f>
        <v>0</v>
      </c>
      <c r="N6" s="76">
        <f>dagwerk131</f>
        <v>0</v>
      </c>
      <c r="O6" s="72" t="s">
        <v>54</v>
      </c>
      <c r="P6" s="77">
        <f>uurtarief131</f>
        <v>0</v>
      </c>
      <c r="Q6" s="74" t="e">
        <f t="shared" si="1"/>
        <v>#DIV/0!</v>
      </c>
      <c r="R6" s="74" t="e">
        <f t="shared" si="2"/>
        <v>#DIV/0!</v>
      </c>
      <c r="S6" s="77" t="e">
        <f t="shared" si="3"/>
        <v>#DIV/0!</v>
      </c>
      <c r="T6" s="74" t="e">
        <f t="shared" si="4"/>
        <v>#DIV/0!</v>
      </c>
      <c r="U6" s="78" t="e">
        <f t="shared" si="5"/>
        <v>#DIV/0!</v>
      </c>
    </row>
    <row r="7" spans="1:21" x14ac:dyDescent="0.2">
      <c r="A7" s="71" t="s">
        <v>588</v>
      </c>
      <c r="B7" s="72" t="s">
        <v>300</v>
      </c>
      <c r="C7" s="72" t="s">
        <v>330</v>
      </c>
      <c r="D7" s="72" t="s">
        <v>337</v>
      </c>
      <c r="E7" s="72" t="s">
        <v>300</v>
      </c>
      <c r="F7" s="73" t="s">
        <v>591</v>
      </c>
      <c r="G7" s="72" t="s">
        <v>304</v>
      </c>
      <c r="H7" s="72" t="s">
        <v>271</v>
      </c>
      <c r="I7" s="72" t="s">
        <v>35</v>
      </c>
      <c r="J7" s="72" t="s">
        <v>187</v>
      </c>
      <c r="K7" s="74">
        <v>10</v>
      </c>
      <c r="L7" s="74">
        <f t="shared" si="0"/>
        <v>0.47058823529411764</v>
      </c>
      <c r="M7" s="75">
        <f>prodnorm130</f>
        <v>0</v>
      </c>
      <c r="N7" s="76">
        <f>dagwerk130</f>
        <v>0</v>
      </c>
      <c r="O7" s="72" t="s">
        <v>54</v>
      </c>
      <c r="P7" s="77">
        <f>uurtarief130</f>
        <v>0</v>
      </c>
      <c r="Q7" s="74" t="e">
        <f t="shared" si="1"/>
        <v>#DIV/0!</v>
      </c>
      <c r="R7" s="74" t="e">
        <f t="shared" si="2"/>
        <v>#DIV/0!</v>
      </c>
      <c r="S7" s="77" t="e">
        <f t="shared" si="3"/>
        <v>#DIV/0!</v>
      </c>
      <c r="T7" s="74" t="e">
        <f t="shared" si="4"/>
        <v>#DIV/0!</v>
      </c>
      <c r="U7" s="78" t="e">
        <f t="shared" si="5"/>
        <v>#DIV/0!</v>
      </c>
    </row>
    <row r="8" spans="1:21" x14ac:dyDescent="0.2">
      <c r="A8" s="71" t="s">
        <v>588</v>
      </c>
      <c r="B8" s="72" t="s">
        <v>300</v>
      </c>
      <c r="C8" s="72" t="s">
        <v>330</v>
      </c>
      <c r="D8" s="72" t="s">
        <v>592</v>
      </c>
      <c r="E8" s="72" t="s">
        <v>300</v>
      </c>
      <c r="F8" s="73" t="s">
        <v>591</v>
      </c>
      <c r="G8" s="72" t="s">
        <v>304</v>
      </c>
      <c r="H8" s="72" t="s">
        <v>271</v>
      </c>
      <c r="I8" s="72" t="s">
        <v>35</v>
      </c>
      <c r="J8" s="72" t="s">
        <v>187</v>
      </c>
      <c r="K8" s="74">
        <v>15</v>
      </c>
      <c r="L8" s="74">
        <f t="shared" si="0"/>
        <v>0.70588235294117641</v>
      </c>
      <c r="M8" s="75">
        <f>prodnorm130</f>
        <v>0</v>
      </c>
      <c r="N8" s="76">
        <f>dagwerk130</f>
        <v>0</v>
      </c>
      <c r="O8" s="72" t="s">
        <v>54</v>
      </c>
      <c r="P8" s="77">
        <f>uurtarief130</f>
        <v>0</v>
      </c>
      <c r="Q8" s="74" t="e">
        <f t="shared" si="1"/>
        <v>#DIV/0!</v>
      </c>
      <c r="R8" s="74" t="e">
        <f t="shared" si="2"/>
        <v>#DIV/0!</v>
      </c>
      <c r="S8" s="77" t="e">
        <f t="shared" si="3"/>
        <v>#DIV/0!</v>
      </c>
      <c r="T8" s="74" t="e">
        <f t="shared" si="4"/>
        <v>#DIV/0!</v>
      </c>
      <c r="U8" s="78" t="e">
        <f t="shared" si="5"/>
        <v>#DIV/0!</v>
      </c>
    </row>
    <row r="9" spans="1:21" x14ac:dyDescent="0.2">
      <c r="A9" s="71" t="s">
        <v>588</v>
      </c>
      <c r="B9" s="72" t="s">
        <v>300</v>
      </c>
      <c r="C9" s="72" t="s">
        <v>330</v>
      </c>
      <c r="D9" s="72" t="s">
        <v>340</v>
      </c>
      <c r="E9" s="72" t="s">
        <v>300</v>
      </c>
      <c r="F9" s="73" t="s">
        <v>593</v>
      </c>
      <c r="G9" s="72" t="s">
        <v>323</v>
      </c>
      <c r="H9" s="72" t="s">
        <v>269</v>
      </c>
      <c r="I9" s="72" t="s">
        <v>35</v>
      </c>
      <c r="J9" s="72" t="s">
        <v>187</v>
      </c>
      <c r="K9" s="74">
        <v>226</v>
      </c>
      <c r="L9" s="74">
        <f t="shared" si="0"/>
        <v>10.635294117647058</v>
      </c>
      <c r="M9" s="75">
        <f>prodnorm128</f>
        <v>0</v>
      </c>
      <c r="N9" s="76">
        <f>dagwerk128</f>
        <v>0</v>
      </c>
      <c r="O9" s="72" t="s">
        <v>54</v>
      </c>
      <c r="P9" s="77">
        <f>uurtarief128</f>
        <v>0</v>
      </c>
      <c r="Q9" s="74" t="e">
        <f t="shared" si="1"/>
        <v>#DIV/0!</v>
      </c>
      <c r="R9" s="74" t="e">
        <f t="shared" si="2"/>
        <v>#DIV/0!</v>
      </c>
      <c r="S9" s="77" t="e">
        <f t="shared" si="3"/>
        <v>#DIV/0!</v>
      </c>
      <c r="T9" s="74" t="e">
        <f t="shared" si="4"/>
        <v>#DIV/0!</v>
      </c>
      <c r="U9" s="78" t="e">
        <f t="shared" si="5"/>
        <v>#DIV/0!</v>
      </c>
    </row>
    <row r="10" spans="1:21" x14ac:dyDescent="0.2">
      <c r="A10" s="71" t="s">
        <v>588</v>
      </c>
      <c r="B10" s="72" t="s">
        <v>300</v>
      </c>
      <c r="C10" s="72" t="s">
        <v>330</v>
      </c>
      <c r="D10" s="72" t="s">
        <v>543</v>
      </c>
      <c r="E10" s="72" t="s">
        <v>300</v>
      </c>
      <c r="F10" s="73" t="s">
        <v>594</v>
      </c>
      <c r="G10" s="72" t="s">
        <v>353</v>
      </c>
      <c r="H10" s="72" t="s">
        <v>273</v>
      </c>
      <c r="I10" s="72" t="s">
        <v>35</v>
      </c>
      <c r="J10" s="72" t="s">
        <v>187</v>
      </c>
      <c r="K10" s="74">
        <v>217.3</v>
      </c>
      <c r="L10" s="74">
        <f t="shared" si="0"/>
        <v>10.225882352941177</v>
      </c>
      <c r="M10" s="75">
        <f>prodnorm131</f>
        <v>0</v>
      </c>
      <c r="N10" s="76">
        <f>dagwerk131</f>
        <v>0</v>
      </c>
      <c r="O10" s="72" t="s">
        <v>54</v>
      </c>
      <c r="P10" s="77">
        <f>uurtarief131</f>
        <v>0</v>
      </c>
      <c r="Q10" s="74" t="e">
        <f t="shared" si="1"/>
        <v>#DIV/0!</v>
      </c>
      <c r="R10" s="74" t="e">
        <f t="shared" si="2"/>
        <v>#DIV/0!</v>
      </c>
      <c r="S10" s="77" t="e">
        <f t="shared" si="3"/>
        <v>#DIV/0!</v>
      </c>
      <c r="T10" s="74" t="e">
        <f t="shared" si="4"/>
        <v>#DIV/0!</v>
      </c>
      <c r="U10" s="78" t="e">
        <f t="shared" si="5"/>
        <v>#DIV/0!</v>
      </c>
    </row>
    <row r="11" spans="1:21" x14ac:dyDescent="0.2">
      <c r="A11" s="71" t="s">
        <v>588</v>
      </c>
      <c r="B11" s="72" t="s">
        <v>300</v>
      </c>
      <c r="C11" s="72" t="s">
        <v>330</v>
      </c>
      <c r="D11" s="72" t="s">
        <v>352</v>
      </c>
      <c r="E11" s="72" t="s">
        <v>300</v>
      </c>
      <c r="F11" s="73" t="s">
        <v>359</v>
      </c>
      <c r="G11" s="72" t="s">
        <v>323</v>
      </c>
      <c r="H11" s="72" t="s">
        <v>266</v>
      </c>
      <c r="I11" s="72" t="s">
        <v>35</v>
      </c>
      <c r="J11" s="72" t="s">
        <v>187</v>
      </c>
      <c r="K11" s="74">
        <v>48.3</v>
      </c>
      <c r="L11" s="74">
        <f t="shared" si="0"/>
        <v>2.2729411764705882</v>
      </c>
      <c r="M11" s="75">
        <f>prodnorm125</f>
        <v>0</v>
      </c>
      <c r="N11" s="76">
        <f>dagwerk125</f>
        <v>0</v>
      </c>
      <c r="O11" s="72" t="s">
        <v>54</v>
      </c>
      <c r="P11" s="77">
        <f>uurtarief125</f>
        <v>0</v>
      </c>
      <c r="Q11" s="74" t="e">
        <f t="shared" si="1"/>
        <v>#DIV/0!</v>
      </c>
      <c r="R11" s="74" t="e">
        <f t="shared" si="2"/>
        <v>#DIV/0!</v>
      </c>
      <c r="S11" s="77" t="e">
        <f t="shared" si="3"/>
        <v>#DIV/0!</v>
      </c>
      <c r="T11" s="74" t="e">
        <f t="shared" si="4"/>
        <v>#DIV/0!</v>
      </c>
      <c r="U11" s="78" t="e">
        <f t="shared" si="5"/>
        <v>#DIV/0!</v>
      </c>
    </row>
    <row r="12" spans="1:21" x14ac:dyDescent="0.2">
      <c r="A12" s="71" t="s">
        <v>588</v>
      </c>
      <c r="B12" s="72" t="s">
        <v>300</v>
      </c>
      <c r="C12" s="72" t="s">
        <v>330</v>
      </c>
      <c r="D12" s="72" t="s">
        <v>354</v>
      </c>
      <c r="E12" s="72" t="s">
        <v>300</v>
      </c>
      <c r="F12" s="73" t="s">
        <v>345</v>
      </c>
      <c r="G12" s="72" t="s">
        <v>323</v>
      </c>
      <c r="H12" s="72" t="s">
        <v>274</v>
      </c>
      <c r="I12" s="72" t="s">
        <v>35</v>
      </c>
      <c r="J12" s="72" t="s">
        <v>187</v>
      </c>
      <c r="K12" s="74">
        <v>28.1</v>
      </c>
      <c r="L12" s="74">
        <f t="shared" si="0"/>
        <v>1.3223529411764707</v>
      </c>
      <c r="M12" s="75">
        <f>prodnorm132</f>
        <v>0</v>
      </c>
      <c r="N12" s="76">
        <f>dagwerk132</f>
        <v>0</v>
      </c>
      <c r="O12" s="72" t="s">
        <v>54</v>
      </c>
      <c r="P12" s="77">
        <f>uurtarief132</f>
        <v>0</v>
      </c>
      <c r="Q12" s="74" t="e">
        <f t="shared" si="1"/>
        <v>#DIV/0!</v>
      </c>
      <c r="R12" s="74" t="e">
        <f t="shared" si="2"/>
        <v>#DIV/0!</v>
      </c>
      <c r="S12" s="77" t="e">
        <f t="shared" si="3"/>
        <v>#DIV/0!</v>
      </c>
      <c r="T12" s="74" t="e">
        <f t="shared" si="4"/>
        <v>#DIV/0!</v>
      </c>
      <c r="U12" s="78" t="e">
        <f t="shared" si="5"/>
        <v>#DIV/0!</v>
      </c>
    </row>
    <row r="13" spans="1:21" x14ac:dyDescent="0.2">
      <c r="A13" s="71" t="s">
        <v>588</v>
      </c>
      <c r="B13" s="72" t="s">
        <v>300</v>
      </c>
      <c r="C13" s="72" t="s">
        <v>330</v>
      </c>
      <c r="D13" s="72" t="s">
        <v>363</v>
      </c>
      <c r="E13" s="72" t="s">
        <v>300</v>
      </c>
      <c r="F13" s="73" t="s">
        <v>345</v>
      </c>
      <c r="G13" s="72" t="s">
        <v>304</v>
      </c>
      <c r="H13" s="72" t="s">
        <v>273</v>
      </c>
      <c r="I13" s="72" t="s">
        <v>35</v>
      </c>
      <c r="J13" s="72" t="s">
        <v>187</v>
      </c>
      <c r="K13" s="74">
        <v>12.6</v>
      </c>
      <c r="L13" s="74">
        <f t="shared" si="0"/>
        <v>0.59294117647058819</v>
      </c>
      <c r="M13" s="75">
        <f>prodnorm131</f>
        <v>0</v>
      </c>
      <c r="N13" s="76">
        <f>dagwerk131</f>
        <v>0</v>
      </c>
      <c r="O13" s="72" t="s">
        <v>54</v>
      </c>
      <c r="P13" s="77">
        <f>uurtarief131</f>
        <v>0</v>
      </c>
      <c r="Q13" s="74" t="e">
        <f t="shared" si="1"/>
        <v>#DIV/0!</v>
      </c>
      <c r="R13" s="74" t="e">
        <f t="shared" si="2"/>
        <v>#DIV/0!</v>
      </c>
      <c r="S13" s="77" t="e">
        <f t="shared" si="3"/>
        <v>#DIV/0!</v>
      </c>
      <c r="T13" s="74" t="e">
        <f t="shared" si="4"/>
        <v>#DIV/0!</v>
      </c>
      <c r="U13" s="78" t="e">
        <f t="shared" si="5"/>
        <v>#DIV/0!</v>
      </c>
    </row>
    <row r="14" spans="1:21" x14ac:dyDescent="0.2">
      <c r="A14" s="71" t="s">
        <v>588</v>
      </c>
      <c r="B14" s="72" t="s">
        <v>300</v>
      </c>
      <c r="C14" s="72" t="s">
        <v>330</v>
      </c>
      <c r="D14" s="72" t="s">
        <v>365</v>
      </c>
      <c r="E14" s="72" t="s">
        <v>300</v>
      </c>
      <c r="F14" s="73" t="s">
        <v>597</v>
      </c>
      <c r="G14" s="72" t="s">
        <v>309</v>
      </c>
      <c r="H14" s="72" t="s">
        <v>270</v>
      </c>
      <c r="I14" s="72" t="s">
        <v>35</v>
      </c>
      <c r="J14" s="72" t="s">
        <v>187</v>
      </c>
      <c r="K14" s="74">
        <v>5.3</v>
      </c>
      <c r="L14" s="74">
        <f t="shared" si="0"/>
        <v>0.24941176470588233</v>
      </c>
      <c r="M14" s="75">
        <f>prodnorm129</f>
        <v>0</v>
      </c>
      <c r="N14" s="76">
        <f>dagwerk129</f>
        <v>0</v>
      </c>
      <c r="O14" s="72" t="s">
        <v>54</v>
      </c>
      <c r="P14" s="77">
        <f>uurtarief129</f>
        <v>0</v>
      </c>
      <c r="Q14" s="74" t="e">
        <f t="shared" si="1"/>
        <v>#DIV/0!</v>
      </c>
      <c r="R14" s="74" t="e">
        <f t="shared" si="2"/>
        <v>#DIV/0!</v>
      </c>
      <c r="S14" s="77" t="e">
        <f t="shared" si="3"/>
        <v>#DIV/0!</v>
      </c>
      <c r="T14" s="74" t="e">
        <f t="shared" si="4"/>
        <v>#DIV/0!</v>
      </c>
      <c r="U14" s="78" t="e">
        <f t="shared" si="5"/>
        <v>#DIV/0!</v>
      </c>
    </row>
    <row r="15" spans="1:21" x14ac:dyDescent="0.2">
      <c r="A15" s="71" t="s">
        <v>588</v>
      </c>
      <c r="B15" s="72" t="s">
        <v>300</v>
      </c>
      <c r="C15" s="72" t="s">
        <v>330</v>
      </c>
      <c r="D15" s="72" t="s">
        <v>549</v>
      </c>
      <c r="E15" s="72" t="s">
        <v>300</v>
      </c>
      <c r="F15" s="73" t="s">
        <v>598</v>
      </c>
      <c r="G15" s="72" t="s">
        <v>309</v>
      </c>
      <c r="H15" s="72" t="s">
        <v>270</v>
      </c>
      <c r="I15" s="72" t="s">
        <v>35</v>
      </c>
      <c r="J15" s="72" t="s">
        <v>187</v>
      </c>
      <c r="K15" s="74">
        <v>11.1</v>
      </c>
      <c r="L15" s="74">
        <f t="shared" si="0"/>
        <v>0.52235294117647058</v>
      </c>
      <c r="M15" s="75">
        <f>prodnorm129</f>
        <v>0</v>
      </c>
      <c r="N15" s="76">
        <f>dagwerk129</f>
        <v>0</v>
      </c>
      <c r="O15" s="72" t="s">
        <v>54</v>
      </c>
      <c r="P15" s="77">
        <f>uurtarief129</f>
        <v>0</v>
      </c>
      <c r="Q15" s="74" t="e">
        <f t="shared" si="1"/>
        <v>#DIV/0!</v>
      </c>
      <c r="R15" s="74" t="e">
        <f t="shared" si="2"/>
        <v>#DIV/0!</v>
      </c>
      <c r="S15" s="77" t="e">
        <f t="shared" si="3"/>
        <v>#DIV/0!</v>
      </c>
      <c r="T15" s="74" t="e">
        <f t="shared" si="4"/>
        <v>#DIV/0!</v>
      </c>
      <c r="U15" s="78" t="e">
        <f t="shared" si="5"/>
        <v>#DIV/0!</v>
      </c>
    </row>
    <row r="16" spans="1:21" x14ac:dyDescent="0.2">
      <c r="A16" s="71" t="s">
        <v>588</v>
      </c>
      <c r="B16" s="72" t="s">
        <v>300</v>
      </c>
      <c r="C16" s="72" t="s">
        <v>330</v>
      </c>
      <c r="D16" s="72" t="s">
        <v>599</v>
      </c>
      <c r="E16" s="72" t="s">
        <v>300</v>
      </c>
      <c r="F16" s="73" t="s">
        <v>600</v>
      </c>
      <c r="G16" s="72" t="s">
        <v>309</v>
      </c>
      <c r="H16" s="72" t="s">
        <v>270</v>
      </c>
      <c r="I16" s="72" t="s">
        <v>35</v>
      </c>
      <c r="J16" s="72" t="s">
        <v>187</v>
      </c>
      <c r="K16" s="74">
        <v>14</v>
      </c>
      <c r="L16" s="74">
        <f t="shared" si="0"/>
        <v>0.6588235294117647</v>
      </c>
      <c r="M16" s="75">
        <f>prodnorm129</f>
        <v>0</v>
      </c>
      <c r="N16" s="76">
        <f>dagwerk129</f>
        <v>0</v>
      </c>
      <c r="O16" s="72" t="s">
        <v>54</v>
      </c>
      <c r="P16" s="77">
        <f>uurtarief129</f>
        <v>0</v>
      </c>
      <c r="Q16" s="74" t="e">
        <f t="shared" si="1"/>
        <v>#DIV/0!</v>
      </c>
      <c r="R16" s="74" t="e">
        <f t="shared" si="2"/>
        <v>#DIV/0!</v>
      </c>
      <c r="S16" s="77" t="e">
        <f t="shared" si="3"/>
        <v>#DIV/0!</v>
      </c>
      <c r="T16" s="74" t="e">
        <f t="shared" si="4"/>
        <v>#DIV/0!</v>
      </c>
      <c r="U16" s="78" t="e">
        <f t="shared" si="5"/>
        <v>#DIV/0!</v>
      </c>
    </row>
    <row r="17" spans="1:21" x14ac:dyDescent="0.2">
      <c r="A17" s="71" t="s">
        <v>588</v>
      </c>
      <c r="B17" s="72" t="s">
        <v>300</v>
      </c>
      <c r="C17" s="72" t="s">
        <v>330</v>
      </c>
      <c r="D17" s="72" t="s">
        <v>601</v>
      </c>
      <c r="E17" s="72" t="s">
        <v>300</v>
      </c>
      <c r="F17" s="73" t="s">
        <v>602</v>
      </c>
      <c r="G17" s="72" t="s">
        <v>323</v>
      </c>
      <c r="H17" s="72" t="s">
        <v>266</v>
      </c>
      <c r="I17" s="72" t="s">
        <v>35</v>
      </c>
      <c r="J17" s="72" t="s">
        <v>187</v>
      </c>
      <c r="K17" s="74">
        <v>11.3</v>
      </c>
      <c r="L17" s="74">
        <f t="shared" si="0"/>
        <v>0.53176470588235292</v>
      </c>
      <c r="M17" s="75">
        <f>prodnorm125</f>
        <v>0</v>
      </c>
      <c r="N17" s="76">
        <f>dagwerk125</f>
        <v>0</v>
      </c>
      <c r="O17" s="72" t="s">
        <v>54</v>
      </c>
      <c r="P17" s="77">
        <f>uurtarief125</f>
        <v>0</v>
      </c>
      <c r="Q17" s="74" t="e">
        <f t="shared" si="1"/>
        <v>#DIV/0!</v>
      </c>
      <c r="R17" s="74" t="e">
        <f t="shared" si="2"/>
        <v>#DIV/0!</v>
      </c>
      <c r="S17" s="77" t="e">
        <f t="shared" si="3"/>
        <v>#DIV/0!</v>
      </c>
      <c r="T17" s="74" t="e">
        <f t="shared" si="4"/>
        <v>#DIV/0!</v>
      </c>
      <c r="U17" s="78" t="e">
        <f t="shared" si="5"/>
        <v>#DIV/0!</v>
      </c>
    </row>
    <row r="18" spans="1:21" x14ac:dyDescent="0.2">
      <c r="A18" s="71" t="s">
        <v>588</v>
      </c>
      <c r="B18" s="72" t="s">
        <v>300</v>
      </c>
      <c r="C18" s="72" t="s">
        <v>330</v>
      </c>
      <c r="D18" s="72" t="s">
        <v>603</v>
      </c>
      <c r="E18" s="72" t="s">
        <v>300</v>
      </c>
      <c r="F18" s="73" t="s">
        <v>602</v>
      </c>
      <c r="G18" s="72" t="s">
        <v>323</v>
      </c>
      <c r="H18" s="72" t="s">
        <v>266</v>
      </c>
      <c r="I18" s="72" t="s">
        <v>35</v>
      </c>
      <c r="J18" s="72" t="s">
        <v>187</v>
      </c>
      <c r="K18" s="74">
        <v>14.9</v>
      </c>
      <c r="L18" s="74">
        <f t="shared" si="0"/>
        <v>0.70117647058823529</v>
      </c>
      <c r="M18" s="75">
        <f>prodnorm125</f>
        <v>0</v>
      </c>
      <c r="N18" s="76">
        <f>dagwerk125</f>
        <v>0</v>
      </c>
      <c r="O18" s="72" t="s">
        <v>54</v>
      </c>
      <c r="P18" s="77">
        <f>uurtarief125</f>
        <v>0</v>
      </c>
      <c r="Q18" s="74" t="e">
        <f t="shared" si="1"/>
        <v>#DIV/0!</v>
      </c>
      <c r="R18" s="74" t="e">
        <f t="shared" si="2"/>
        <v>#DIV/0!</v>
      </c>
      <c r="S18" s="77" t="e">
        <f t="shared" si="3"/>
        <v>#DIV/0!</v>
      </c>
      <c r="T18" s="74" t="e">
        <f t="shared" si="4"/>
        <v>#DIV/0!</v>
      </c>
      <c r="U18" s="78" t="e">
        <f t="shared" si="5"/>
        <v>#DIV/0!</v>
      </c>
    </row>
    <row r="19" spans="1:21" x14ac:dyDescent="0.2">
      <c r="A19" s="71" t="s">
        <v>588</v>
      </c>
      <c r="B19" s="72" t="s">
        <v>300</v>
      </c>
      <c r="C19" s="72" t="s">
        <v>330</v>
      </c>
      <c r="D19" s="72" t="s">
        <v>604</v>
      </c>
      <c r="E19" s="72" t="s">
        <v>300</v>
      </c>
      <c r="F19" s="73" t="s">
        <v>605</v>
      </c>
      <c r="G19" s="72" t="s">
        <v>326</v>
      </c>
      <c r="H19" s="72" t="s">
        <v>273</v>
      </c>
      <c r="I19" s="72" t="s">
        <v>35</v>
      </c>
      <c r="J19" s="72" t="s">
        <v>187</v>
      </c>
      <c r="K19" s="74">
        <v>18</v>
      </c>
      <c r="L19" s="74">
        <f t="shared" si="0"/>
        <v>0.84705882352941175</v>
      </c>
      <c r="M19" s="75">
        <f>prodnorm131</f>
        <v>0</v>
      </c>
      <c r="N19" s="76">
        <f>dagwerk131</f>
        <v>0</v>
      </c>
      <c r="O19" s="72" t="s">
        <v>54</v>
      </c>
      <c r="P19" s="77">
        <f>uurtarief131</f>
        <v>0</v>
      </c>
      <c r="Q19" s="74" t="e">
        <f t="shared" si="1"/>
        <v>#DIV/0!</v>
      </c>
      <c r="R19" s="74" t="e">
        <f t="shared" si="2"/>
        <v>#DIV/0!</v>
      </c>
      <c r="S19" s="77" t="e">
        <f t="shared" si="3"/>
        <v>#DIV/0!</v>
      </c>
      <c r="T19" s="74" t="e">
        <f t="shared" si="4"/>
        <v>#DIV/0!</v>
      </c>
      <c r="U19" s="78" t="e">
        <f t="shared" si="5"/>
        <v>#DIV/0!</v>
      </c>
    </row>
    <row r="20" spans="1:21" x14ac:dyDescent="0.2">
      <c r="A20" s="71" t="s">
        <v>588</v>
      </c>
      <c r="B20" s="72" t="s">
        <v>300</v>
      </c>
      <c r="C20" s="72" t="s">
        <v>406</v>
      </c>
      <c r="D20" s="72" t="s">
        <v>407</v>
      </c>
      <c r="E20" s="72" t="s">
        <v>300</v>
      </c>
      <c r="F20" s="73" t="s">
        <v>590</v>
      </c>
      <c r="G20" s="72" t="s">
        <v>323</v>
      </c>
      <c r="H20" s="72" t="s">
        <v>274</v>
      </c>
      <c r="I20" s="72" t="s">
        <v>35</v>
      </c>
      <c r="J20" s="72" t="s">
        <v>187</v>
      </c>
      <c r="K20" s="74">
        <v>29.1</v>
      </c>
      <c r="L20" s="74">
        <f t="shared" si="0"/>
        <v>1.3694117647058823</v>
      </c>
      <c r="M20" s="75">
        <f>prodnorm132</f>
        <v>0</v>
      </c>
      <c r="N20" s="76">
        <f>dagwerk132</f>
        <v>0</v>
      </c>
      <c r="O20" s="72" t="s">
        <v>54</v>
      </c>
      <c r="P20" s="77">
        <f>uurtarief132</f>
        <v>0</v>
      </c>
      <c r="Q20" s="74" t="e">
        <f t="shared" si="1"/>
        <v>#DIV/0!</v>
      </c>
      <c r="R20" s="74" t="e">
        <f t="shared" si="2"/>
        <v>#DIV/0!</v>
      </c>
      <c r="S20" s="77" t="e">
        <f t="shared" si="3"/>
        <v>#DIV/0!</v>
      </c>
      <c r="T20" s="74" t="e">
        <f t="shared" si="4"/>
        <v>#DIV/0!</v>
      </c>
      <c r="U20" s="78" t="e">
        <f t="shared" si="5"/>
        <v>#DIV/0!</v>
      </c>
    </row>
    <row r="21" spans="1:21" x14ac:dyDescent="0.2">
      <c r="A21" s="71" t="s">
        <v>588</v>
      </c>
      <c r="B21" s="72" t="s">
        <v>300</v>
      </c>
      <c r="C21" s="72" t="s">
        <v>406</v>
      </c>
      <c r="D21" s="72" t="s">
        <v>417</v>
      </c>
      <c r="E21" s="72" t="s">
        <v>300</v>
      </c>
      <c r="F21" s="73" t="s">
        <v>313</v>
      </c>
      <c r="G21" s="72" t="s">
        <v>326</v>
      </c>
      <c r="H21" s="72" t="s">
        <v>270</v>
      </c>
      <c r="I21" s="72" t="s">
        <v>35</v>
      </c>
      <c r="J21" s="72" t="s">
        <v>187</v>
      </c>
      <c r="K21" s="74">
        <v>17.600000000000001</v>
      </c>
      <c r="L21" s="74">
        <f t="shared" si="0"/>
        <v>0.82823529411764707</v>
      </c>
      <c r="M21" s="75">
        <f>prodnorm129</f>
        <v>0</v>
      </c>
      <c r="N21" s="76">
        <f>dagwerk129</f>
        <v>0</v>
      </c>
      <c r="O21" s="72" t="s">
        <v>54</v>
      </c>
      <c r="P21" s="77">
        <f>uurtarief129</f>
        <v>0</v>
      </c>
      <c r="Q21" s="74" t="e">
        <f t="shared" si="1"/>
        <v>#DIV/0!</v>
      </c>
      <c r="R21" s="74" t="e">
        <f t="shared" si="2"/>
        <v>#DIV/0!</v>
      </c>
      <c r="S21" s="77" t="e">
        <f t="shared" si="3"/>
        <v>#DIV/0!</v>
      </c>
      <c r="T21" s="74" t="e">
        <f t="shared" si="4"/>
        <v>#DIV/0!</v>
      </c>
      <c r="U21" s="78" t="e">
        <f t="shared" si="5"/>
        <v>#DIV/0!</v>
      </c>
    </row>
    <row r="22" spans="1:21" x14ac:dyDescent="0.2">
      <c r="A22" s="71" t="s">
        <v>588</v>
      </c>
      <c r="B22" s="72" t="s">
        <v>300</v>
      </c>
      <c r="C22" s="72" t="s">
        <v>406</v>
      </c>
      <c r="D22" s="72" t="s">
        <v>418</v>
      </c>
      <c r="E22" s="72" t="s">
        <v>300</v>
      </c>
      <c r="F22" s="73" t="s">
        <v>313</v>
      </c>
      <c r="G22" s="72" t="s">
        <v>326</v>
      </c>
      <c r="H22" s="72" t="s">
        <v>270</v>
      </c>
      <c r="I22" s="72" t="s">
        <v>35</v>
      </c>
      <c r="J22" s="72" t="s">
        <v>187</v>
      </c>
      <c r="K22" s="74">
        <v>25.8</v>
      </c>
      <c r="L22" s="74">
        <f t="shared" si="0"/>
        <v>1.2141176470588235</v>
      </c>
      <c r="M22" s="75">
        <f>prodnorm129</f>
        <v>0</v>
      </c>
      <c r="N22" s="76">
        <f>dagwerk129</f>
        <v>0</v>
      </c>
      <c r="O22" s="72" t="s">
        <v>54</v>
      </c>
      <c r="P22" s="77">
        <f>uurtarief129</f>
        <v>0</v>
      </c>
      <c r="Q22" s="74" t="e">
        <f t="shared" si="1"/>
        <v>#DIV/0!</v>
      </c>
      <c r="R22" s="74" t="e">
        <f t="shared" si="2"/>
        <v>#DIV/0!</v>
      </c>
      <c r="S22" s="77" t="e">
        <f t="shared" si="3"/>
        <v>#DIV/0!</v>
      </c>
      <c r="T22" s="74" t="e">
        <f t="shared" si="4"/>
        <v>#DIV/0!</v>
      </c>
      <c r="U22" s="78" t="e">
        <f t="shared" si="5"/>
        <v>#DIV/0!</v>
      </c>
    </row>
    <row r="23" spans="1:21" x14ac:dyDescent="0.2">
      <c r="A23" s="71" t="s">
        <v>588</v>
      </c>
      <c r="B23" s="72" t="s">
        <v>300</v>
      </c>
      <c r="C23" s="72" t="s">
        <v>406</v>
      </c>
      <c r="D23" s="72" t="s">
        <v>614</v>
      </c>
      <c r="E23" s="72" t="s">
        <v>300</v>
      </c>
      <c r="F23" s="73" t="s">
        <v>313</v>
      </c>
      <c r="G23" s="72" t="s">
        <v>326</v>
      </c>
      <c r="H23" s="72" t="s">
        <v>270</v>
      </c>
      <c r="I23" s="72" t="s">
        <v>35</v>
      </c>
      <c r="J23" s="72" t="s">
        <v>187</v>
      </c>
      <c r="K23" s="74">
        <v>13.5</v>
      </c>
      <c r="L23" s="74">
        <f t="shared" si="0"/>
        <v>0.63529411764705879</v>
      </c>
      <c r="M23" s="75">
        <f>prodnorm129</f>
        <v>0</v>
      </c>
      <c r="N23" s="76">
        <f>dagwerk129</f>
        <v>0</v>
      </c>
      <c r="O23" s="72" t="s">
        <v>54</v>
      </c>
      <c r="P23" s="77">
        <f>uurtarief129</f>
        <v>0</v>
      </c>
      <c r="Q23" s="74" t="e">
        <f t="shared" si="1"/>
        <v>#DIV/0!</v>
      </c>
      <c r="R23" s="74" t="e">
        <f t="shared" si="2"/>
        <v>#DIV/0!</v>
      </c>
      <c r="S23" s="77" t="e">
        <f t="shared" si="3"/>
        <v>#DIV/0!</v>
      </c>
      <c r="T23" s="74" t="e">
        <f t="shared" si="4"/>
        <v>#DIV/0!</v>
      </c>
      <c r="U23" s="78" t="e">
        <f t="shared" si="5"/>
        <v>#DIV/0!</v>
      </c>
    </row>
    <row r="24" spans="1:21" x14ac:dyDescent="0.2">
      <c r="A24" s="71" t="s">
        <v>588</v>
      </c>
      <c r="B24" s="72" t="s">
        <v>300</v>
      </c>
      <c r="C24" s="72" t="s">
        <v>406</v>
      </c>
      <c r="D24" s="72" t="s">
        <v>419</v>
      </c>
      <c r="E24" s="72" t="s">
        <v>300</v>
      </c>
      <c r="F24" s="73" t="s">
        <v>615</v>
      </c>
      <c r="G24" s="72" t="s">
        <v>309</v>
      </c>
      <c r="H24" s="72" t="s">
        <v>267</v>
      </c>
      <c r="I24" s="72" t="s">
        <v>35</v>
      </c>
      <c r="J24" s="72" t="s">
        <v>187</v>
      </c>
      <c r="K24" s="74">
        <v>2.2000000000000002</v>
      </c>
      <c r="L24" s="74">
        <f t="shared" si="0"/>
        <v>0.10352941176470588</v>
      </c>
      <c r="M24" s="75">
        <f>prodnorm126</f>
        <v>0</v>
      </c>
      <c r="N24" s="76">
        <f>dagwerk126</f>
        <v>0</v>
      </c>
      <c r="O24" s="72" t="s">
        <v>54</v>
      </c>
      <c r="P24" s="77">
        <f>uurtarief126</f>
        <v>0</v>
      </c>
      <c r="Q24" s="74" t="e">
        <f t="shared" si="1"/>
        <v>#DIV/0!</v>
      </c>
      <c r="R24" s="74" t="e">
        <f t="shared" si="2"/>
        <v>#DIV/0!</v>
      </c>
      <c r="S24" s="77" t="e">
        <f t="shared" si="3"/>
        <v>#DIV/0!</v>
      </c>
      <c r="T24" s="74" t="e">
        <f t="shared" si="4"/>
        <v>#DIV/0!</v>
      </c>
      <c r="U24" s="78" t="e">
        <f t="shared" si="5"/>
        <v>#DIV/0!</v>
      </c>
    </row>
    <row r="25" spans="1:21" x14ac:dyDescent="0.2">
      <c r="A25" s="71" t="s">
        <v>588</v>
      </c>
      <c r="B25" s="72" t="s">
        <v>300</v>
      </c>
      <c r="C25" s="72" t="s">
        <v>406</v>
      </c>
      <c r="D25" s="72" t="s">
        <v>616</v>
      </c>
      <c r="E25" s="72" t="s">
        <v>300</v>
      </c>
      <c r="F25" s="73" t="s">
        <v>319</v>
      </c>
      <c r="G25" s="72" t="s">
        <v>309</v>
      </c>
      <c r="H25" s="72" t="s">
        <v>270</v>
      </c>
      <c r="I25" s="72" t="s">
        <v>35</v>
      </c>
      <c r="J25" s="72" t="s">
        <v>187</v>
      </c>
      <c r="K25" s="74">
        <v>3</v>
      </c>
      <c r="L25" s="74">
        <f t="shared" si="0"/>
        <v>0.14117647058823529</v>
      </c>
      <c r="M25" s="75">
        <f>prodnorm129</f>
        <v>0</v>
      </c>
      <c r="N25" s="76">
        <f>dagwerk129</f>
        <v>0</v>
      </c>
      <c r="O25" s="72" t="s">
        <v>54</v>
      </c>
      <c r="P25" s="77">
        <f>uurtarief129</f>
        <v>0</v>
      </c>
      <c r="Q25" s="74" t="e">
        <f t="shared" si="1"/>
        <v>#DIV/0!</v>
      </c>
      <c r="R25" s="74" t="e">
        <f t="shared" si="2"/>
        <v>#DIV/0!</v>
      </c>
      <c r="S25" s="77" t="e">
        <f t="shared" si="3"/>
        <v>#DIV/0!</v>
      </c>
      <c r="T25" s="74" t="e">
        <f t="shared" si="4"/>
        <v>#DIV/0!</v>
      </c>
      <c r="U25" s="78" t="e">
        <f t="shared" si="5"/>
        <v>#DIV/0!</v>
      </c>
    </row>
    <row r="26" spans="1:21" x14ac:dyDescent="0.2">
      <c r="A26" s="71" t="s">
        <v>588</v>
      </c>
      <c r="B26" s="72" t="s">
        <v>300</v>
      </c>
      <c r="C26" s="72" t="s">
        <v>406</v>
      </c>
      <c r="D26" s="72" t="s">
        <v>617</v>
      </c>
      <c r="E26" s="72" t="s">
        <v>300</v>
      </c>
      <c r="F26" s="73" t="s">
        <v>319</v>
      </c>
      <c r="G26" s="72" t="s">
        <v>309</v>
      </c>
      <c r="H26" s="72" t="s">
        <v>270</v>
      </c>
      <c r="I26" s="72" t="s">
        <v>35</v>
      </c>
      <c r="J26" s="72" t="s">
        <v>187</v>
      </c>
      <c r="K26" s="74">
        <v>3</v>
      </c>
      <c r="L26" s="74">
        <f t="shared" si="0"/>
        <v>0.14117647058823529</v>
      </c>
      <c r="M26" s="75">
        <f>prodnorm129</f>
        <v>0</v>
      </c>
      <c r="N26" s="76">
        <f>dagwerk129</f>
        <v>0</v>
      </c>
      <c r="O26" s="72" t="s">
        <v>54</v>
      </c>
      <c r="P26" s="77">
        <f>uurtarief129</f>
        <v>0</v>
      </c>
      <c r="Q26" s="74" t="e">
        <f t="shared" si="1"/>
        <v>#DIV/0!</v>
      </c>
      <c r="R26" s="74" t="e">
        <f t="shared" si="2"/>
        <v>#DIV/0!</v>
      </c>
      <c r="S26" s="77" t="e">
        <f t="shared" si="3"/>
        <v>#DIV/0!</v>
      </c>
      <c r="T26" s="74" t="e">
        <f t="shared" si="4"/>
        <v>#DIV/0!</v>
      </c>
      <c r="U26" s="78" t="e">
        <f t="shared" si="5"/>
        <v>#DIV/0!</v>
      </c>
    </row>
    <row r="27" spans="1:21" x14ac:dyDescent="0.2">
      <c r="A27" s="71" t="s">
        <v>588</v>
      </c>
      <c r="B27" s="72" t="s">
        <v>300</v>
      </c>
      <c r="C27" s="72" t="s">
        <v>406</v>
      </c>
      <c r="D27" s="72" t="s">
        <v>420</v>
      </c>
      <c r="E27" s="72" t="s">
        <v>300</v>
      </c>
      <c r="F27" s="73" t="s">
        <v>615</v>
      </c>
      <c r="G27" s="72" t="s">
        <v>309</v>
      </c>
      <c r="H27" s="72" t="s">
        <v>267</v>
      </c>
      <c r="I27" s="72" t="s">
        <v>35</v>
      </c>
      <c r="J27" s="72" t="s">
        <v>187</v>
      </c>
      <c r="K27" s="74">
        <v>2.2000000000000002</v>
      </c>
      <c r="L27" s="74">
        <f t="shared" si="0"/>
        <v>0.10352941176470588</v>
      </c>
      <c r="M27" s="75">
        <f>prodnorm126</f>
        <v>0</v>
      </c>
      <c r="N27" s="76">
        <f>dagwerk126</f>
        <v>0</v>
      </c>
      <c r="O27" s="72" t="s">
        <v>54</v>
      </c>
      <c r="P27" s="77">
        <f>uurtarief126</f>
        <v>0</v>
      </c>
      <c r="Q27" s="74" t="e">
        <f t="shared" si="1"/>
        <v>#DIV/0!</v>
      </c>
      <c r="R27" s="74" t="e">
        <f t="shared" si="2"/>
        <v>#DIV/0!</v>
      </c>
      <c r="S27" s="77" t="e">
        <f t="shared" si="3"/>
        <v>#DIV/0!</v>
      </c>
      <c r="T27" s="74" t="e">
        <f t="shared" si="4"/>
        <v>#DIV/0!</v>
      </c>
      <c r="U27" s="78" t="e">
        <f t="shared" si="5"/>
        <v>#DIV/0!</v>
      </c>
    </row>
    <row r="28" spans="1:21" x14ac:dyDescent="0.2">
      <c r="A28" s="71" t="s">
        <v>588</v>
      </c>
      <c r="B28" s="72" t="s">
        <v>300</v>
      </c>
      <c r="C28" s="72" t="s">
        <v>406</v>
      </c>
      <c r="D28" s="72" t="s">
        <v>619</v>
      </c>
      <c r="E28" s="72" t="s">
        <v>300</v>
      </c>
      <c r="F28" s="73" t="s">
        <v>598</v>
      </c>
      <c r="G28" s="72" t="s">
        <v>309</v>
      </c>
      <c r="H28" s="72" t="s">
        <v>270</v>
      </c>
      <c r="I28" s="72" t="s">
        <v>35</v>
      </c>
      <c r="J28" s="72" t="s">
        <v>187</v>
      </c>
      <c r="K28" s="74">
        <v>4</v>
      </c>
      <c r="L28" s="74">
        <f t="shared" si="0"/>
        <v>0.18823529411764706</v>
      </c>
      <c r="M28" s="75">
        <f>prodnorm129</f>
        <v>0</v>
      </c>
      <c r="N28" s="76">
        <f>dagwerk129</f>
        <v>0</v>
      </c>
      <c r="O28" s="72" t="s">
        <v>54</v>
      </c>
      <c r="P28" s="77">
        <f>uurtarief129</f>
        <v>0</v>
      </c>
      <c r="Q28" s="74" t="e">
        <f t="shared" si="1"/>
        <v>#DIV/0!</v>
      </c>
      <c r="R28" s="74" t="e">
        <f t="shared" si="2"/>
        <v>#DIV/0!</v>
      </c>
      <c r="S28" s="77" t="e">
        <f t="shared" si="3"/>
        <v>#DIV/0!</v>
      </c>
      <c r="T28" s="74" t="e">
        <f t="shared" si="4"/>
        <v>#DIV/0!</v>
      </c>
      <c r="U28" s="78" t="e">
        <f t="shared" si="5"/>
        <v>#DIV/0!</v>
      </c>
    </row>
    <row r="29" spans="1:21" x14ac:dyDescent="0.2">
      <c r="A29" s="71" t="s">
        <v>588</v>
      </c>
      <c r="B29" s="72" t="s">
        <v>300</v>
      </c>
      <c r="C29" s="72" t="s">
        <v>406</v>
      </c>
      <c r="D29" s="72" t="s">
        <v>620</v>
      </c>
      <c r="E29" s="72" t="s">
        <v>300</v>
      </c>
      <c r="F29" s="73" t="s">
        <v>600</v>
      </c>
      <c r="G29" s="72" t="s">
        <v>309</v>
      </c>
      <c r="H29" s="72" t="s">
        <v>270</v>
      </c>
      <c r="I29" s="72" t="s">
        <v>35</v>
      </c>
      <c r="J29" s="72" t="s">
        <v>187</v>
      </c>
      <c r="K29" s="74">
        <v>4.9000000000000004</v>
      </c>
      <c r="L29" s="74">
        <f t="shared" si="0"/>
        <v>0.23058823529411765</v>
      </c>
      <c r="M29" s="75">
        <f>prodnorm129</f>
        <v>0</v>
      </c>
      <c r="N29" s="76">
        <f>dagwerk129</f>
        <v>0</v>
      </c>
      <c r="O29" s="72" t="s">
        <v>54</v>
      </c>
      <c r="P29" s="77">
        <f>uurtarief129</f>
        <v>0</v>
      </c>
      <c r="Q29" s="74" t="e">
        <f t="shared" si="1"/>
        <v>#DIV/0!</v>
      </c>
      <c r="R29" s="74" t="e">
        <f t="shared" si="2"/>
        <v>#DIV/0!</v>
      </c>
      <c r="S29" s="77" t="e">
        <f t="shared" si="3"/>
        <v>#DIV/0!</v>
      </c>
      <c r="T29" s="74" t="e">
        <f t="shared" si="4"/>
        <v>#DIV/0!</v>
      </c>
      <c r="U29" s="78" t="e">
        <f t="shared" si="5"/>
        <v>#DIV/0!</v>
      </c>
    </row>
    <row r="30" spans="1:21" x14ac:dyDescent="0.2">
      <c r="A30" s="71" t="s">
        <v>588</v>
      </c>
      <c r="B30" s="72" t="s">
        <v>300</v>
      </c>
      <c r="C30" s="72" t="s">
        <v>406</v>
      </c>
      <c r="D30" s="72" t="s">
        <v>621</v>
      </c>
      <c r="E30" s="72" t="s">
        <v>300</v>
      </c>
      <c r="F30" s="73" t="s">
        <v>385</v>
      </c>
      <c r="G30" s="72" t="s">
        <v>323</v>
      </c>
      <c r="H30" s="72" t="s">
        <v>269</v>
      </c>
      <c r="I30" s="72" t="s">
        <v>35</v>
      </c>
      <c r="J30" s="72" t="s">
        <v>187</v>
      </c>
      <c r="K30" s="74">
        <v>51.5</v>
      </c>
      <c r="L30" s="74">
        <f t="shared" si="0"/>
        <v>2.4235294117647057</v>
      </c>
      <c r="M30" s="75">
        <f>prodnorm128</f>
        <v>0</v>
      </c>
      <c r="N30" s="76">
        <f>dagwerk128</f>
        <v>0</v>
      </c>
      <c r="O30" s="72" t="s">
        <v>54</v>
      </c>
      <c r="P30" s="77">
        <f>uurtarief128</f>
        <v>0</v>
      </c>
      <c r="Q30" s="74" t="e">
        <f t="shared" si="1"/>
        <v>#DIV/0!</v>
      </c>
      <c r="R30" s="74" t="e">
        <f t="shared" si="2"/>
        <v>#DIV/0!</v>
      </c>
      <c r="S30" s="77" t="e">
        <f t="shared" si="3"/>
        <v>#DIV/0!</v>
      </c>
      <c r="T30" s="74" t="e">
        <f t="shared" si="4"/>
        <v>#DIV/0!</v>
      </c>
      <c r="U30" s="78" t="e">
        <f t="shared" si="5"/>
        <v>#DIV/0!</v>
      </c>
    </row>
    <row r="31" spans="1:21" x14ac:dyDescent="0.2">
      <c r="A31" s="71" t="s">
        <v>588</v>
      </c>
      <c r="B31" s="72" t="s">
        <v>300</v>
      </c>
      <c r="C31" s="72" t="s">
        <v>406</v>
      </c>
      <c r="D31" s="72" t="s">
        <v>426</v>
      </c>
      <c r="E31" s="72" t="s">
        <v>300</v>
      </c>
      <c r="F31" s="73" t="s">
        <v>622</v>
      </c>
      <c r="G31" s="72" t="s">
        <v>309</v>
      </c>
      <c r="H31" s="72" t="s">
        <v>271</v>
      </c>
      <c r="I31" s="72" t="s">
        <v>35</v>
      </c>
      <c r="J31" s="72" t="s">
        <v>187</v>
      </c>
      <c r="K31" s="74">
        <v>9.9</v>
      </c>
      <c r="L31" s="74">
        <f t="shared" si="0"/>
        <v>0.46588235294117647</v>
      </c>
      <c r="M31" s="75">
        <f>prodnorm130</f>
        <v>0</v>
      </c>
      <c r="N31" s="76">
        <f>dagwerk130</f>
        <v>0</v>
      </c>
      <c r="O31" s="72" t="s">
        <v>54</v>
      </c>
      <c r="P31" s="77">
        <f>uurtarief130</f>
        <v>0</v>
      </c>
      <c r="Q31" s="74" t="e">
        <f t="shared" si="1"/>
        <v>#DIV/0!</v>
      </c>
      <c r="R31" s="74" t="e">
        <f t="shared" si="2"/>
        <v>#DIV/0!</v>
      </c>
      <c r="S31" s="77" t="e">
        <f t="shared" si="3"/>
        <v>#DIV/0!</v>
      </c>
      <c r="T31" s="74" t="e">
        <f t="shared" si="4"/>
        <v>#DIV/0!</v>
      </c>
      <c r="U31" s="78" t="e">
        <f t="shared" si="5"/>
        <v>#DIV/0!</v>
      </c>
    </row>
    <row r="32" spans="1:21" x14ac:dyDescent="0.2">
      <c r="A32" s="71" t="s">
        <v>588</v>
      </c>
      <c r="B32" s="72" t="s">
        <v>300</v>
      </c>
      <c r="C32" s="72" t="s">
        <v>406</v>
      </c>
      <c r="D32" s="72" t="s">
        <v>431</v>
      </c>
      <c r="E32" s="72" t="s">
        <v>300</v>
      </c>
      <c r="F32" s="73" t="s">
        <v>590</v>
      </c>
      <c r="G32" s="72" t="s">
        <v>326</v>
      </c>
      <c r="H32" s="72" t="s">
        <v>273</v>
      </c>
      <c r="I32" s="72" t="s">
        <v>35</v>
      </c>
      <c r="J32" s="72" t="s">
        <v>187</v>
      </c>
      <c r="K32" s="74">
        <v>16.2</v>
      </c>
      <c r="L32" s="74">
        <f t="shared" si="0"/>
        <v>0.76235294117647057</v>
      </c>
      <c r="M32" s="75">
        <f>prodnorm131</f>
        <v>0</v>
      </c>
      <c r="N32" s="76">
        <f>dagwerk131</f>
        <v>0</v>
      </c>
      <c r="O32" s="72" t="s">
        <v>54</v>
      </c>
      <c r="P32" s="77">
        <f>uurtarief131</f>
        <v>0</v>
      </c>
      <c r="Q32" s="74" t="e">
        <f t="shared" si="1"/>
        <v>#DIV/0!</v>
      </c>
      <c r="R32" s="74" t="e">
        <f t="shared" si="2"/>
        <v>#DIV/0!</v>
      </c>
      <c r="S32" s="77" t="e">
        <f t="shared" si="3"/>
        <v>#DIV/0!</v>
      </c>
      <c r="T32" s="74" t="e">
        <f t="shared" si="4"/>
        <v>#DIV/0!</v>
      </c>
      <c r="U32" s="78" t="e">
        <f t="shared" si="5"/>
        <v>#DIV/0!</v>
      </c>
    </row>
    <row r="33" spans="1:21" x14ac:dyDescent="0.2">
      <c r="A33" s="71" t="s">
        <v>588</v>
      </c>
      <c r="B33" s="72" t="s">
        <v>300</v>
      </c>
      <c r="C33" s="72" t="s">
        <v>406</v>
      </c>
      <c r="D33" s="72" t="s">
        <v>432</v>
      </c>
      <c r="E33" s="72" t="s">
        <v>300</v>
      </c>
      <c r="F33" s="73" t="s">
        <v>573</v>
      </c>
      <c r="G33" s="72" t="s">
        <v>364</v>
      </c>
      <c r="H33" s="72" t="s">
        <v>273</v>
      </c>
      <c r="I33" s="72" t="s">
        <v>35</v>
      </c>
      <c r="J33" s="72" t="s">
        <v>187</v>
      </c>
      <c r="K33" s="74">
        <v>11</v>
      </c>
      <c r="L33" s="74">
        <f t="shared" si="0"/>
        <v>0.51764705882352935</v>
      </c>
      <c r="M33" s="75">
        <f>prodnorm131</f>
        <v>0</v>
      </c>
      <c r="N33" s="76">
        <f>dagwerk131</f>
        <v>0</v>
      </c>
      <c r="O33" s="72" t="s">
        <v>54</v>
      </c>
      <c r="P33" s="77">
        <f>uurtarief131</f>
        <v>0</v>
      </c>
      <c r="Q33" s="74" t="e">
        <f t="shared" si="1"/>
        <v>#DIV/0!</v>
      </c>
      <c r="R33" s="74" t="e">
        <f t="shared" si="2"/>
        <v>#DIV/0!</v>
      </c>
      <c r="S33" s="77" t="e">
        <f t="shared" si="3"/>
        <v>#DIV/0!</v>
      </c>
      <c r="T33" s="74" t="e">
        <f t="shared" si="4"/>
        <v>#DIV/0!</v>
      </c>
      <c r="U33" s="78" t="e">
        <f t="shared" si="5"/>
        <v>#DIV/0!</v>
      </c>
    </row>
    <row r="34" spans="1:21" x14ac:dyDescent="0.2">
      <c r="A34" s="71" t="s">
        <v>588</v>
      </c>
      <c r="B34" s="72" t="s">
        <v>300</v>
      </c>
      <c r="C34" s="72" t="s">
        <v>406</v>
      </c>
      <c r="D34" s="72" t="s">
        <v>433</v>
      </c>
      <c r="E34" s="72" t="s">
        <v>300</v>
      </c>
      <c r="F34" s="73" t="s">
        <v>319</v>
      </c>
      <c r="G34" s="72" t="s">
        <v>309</v>
      </c>
      <c r="H34" s="72" t="s">
        <v>270</v>
      </c>
      <c r="I34" s="72" t="s">
        <v>35</v>
      </c>
      <c r="J34" s="72" t="s">
        <v>187</v>
      </c>
      <c r="K34" s="74">
        <v>3.3</v>
      </c>
      <c r="L34" s="74">
        <f t="shared" si="0"/>
        <v>0.1552941176470588</v>
      </c>
      <c r="M34" s="75">
        <f>prodnorm129</f>
        <v>0</v>
      </c>
      <c r="N34" s="76">
        <f>dagwerk129</f>
        <v>0</v>
      </c>
      <c r="O34" s="72" t="s">
        <v>54</v>
      </c>
      <c r="P34" s="77">
        <f>uurtarief129</f>
        <v>0</v>
      </c>
      <c r="Q34" s="74" t="e">
        <f t="shared" si="1"/>
        <v>#DIV/0!</v>
      </c>
      <c r="R34" s="74" t="e">
        <f t="shared" si="2"/>
        <v>#DIV/0!</v>
      </c>
      <c r="S34" s="77" t="e">
        <f t="shared" si="3"/>
        <v>#DIV/0!</v>
      </c>
      <c r="T34" s="74" t="e">
        <f t="shared" si="4"/>
        <v>#DIV/0!</v>
      </c>
      <c r="U34" s="78" t="e">
        <f t="shared" si="5"/>
        <v>#DIV/0!</v>
      </c>
    </row>
    <row r="35" spans="1:21" x14ac:dyDescent="0.2">
      <c r="A35" s="71" t="s">
        <v>588</v>
      </c>
      <c r="B35" s="72" t="s">
        <v>300</v>
      </c>
      <c r="C35" s="72" t="s">
        <v>406</v>
      </c>
      <c r="D35" s="72" t="s">
        <v>434</v>
      </c>
      <c r="E35" s="72" t="s">
        <v>300</v>
      </c>
      <c r="F35" s="73" t="s">
        <v>319</v>
      </c>
      <c r="G35" s="72" t="s">
        <v>309</v>
      </c>
      <c r="H35" s="72" t="s">
        <v>270</v>
      </c>
      <c r="I35" s="72" t="s">
        <v>35</v>
      </c>
      <c r="J35" s="72" t="s">
        <v>187</v>
      </c>
      <c r="K35" s="74">
        <v>3.3</v>
      </c>
      <c r="L35" s="74">
        <f t="shared" si="0"/>
        <v>0.1552941176470588</v>
      </c>
      <c r="M35" s="75">
        <f>prodnorm129</f>
        <v>0</v>
      </c>
      <c r="N35" s="76">
        <f>dagwerk129</f>
        <v>0</v>
      </c>
      <c r="O35" s="72" t="s">
        <v>54</v>
      </c>
      <c r="P35" s="77">
        <f>uurtarief129</f>
        <v>0</v>
      </c>
      <c r="Q35" s="74" t="e">
        <f t="shared" si="1"/>
        <v>#DIV/0!</v>
      </c>
      <c r="R35" s="74" t="e">
        <f t="shared" si="2"/>
        <v>#DIV/0!</v>
      </c>
      <c r="S35" s="77" t="e">
        <f t="shared" si="3"/>
        <v>#DIV/0!</v>
      </c>
      <c r="T35" s="74" t="e">
        <f t="shared" si="4"/>
        <v>#DIV/0!</v>
      </c>
      <c r="U35" s="78" t="e">
        <f t="shared" si="5"/>
        <v>#DIV/0!</v>
      </c>
    </row>
    <row r="36" spans="1:21" x14ac:dyDescent="0.2">
      <c r="A36" s="71" t="s">
        <v>588</v>
      </c>
      <c r="B36" s="72" t="s">
        <v>300</v>
      </c>
      <c r="C36" s="72" t="s">
        <v>406</v>
      </c>
      <c r="D36" s="72" t="s">
        <v>435</v>
      </c>
      <c r="E36" s="72" t="s">
        <v>300</v>
      </c>
      <c r="F36" s="73" t="s">
        <v>624</v>
      </c>
      <c r="G36" s="72" t="s">
        <v>625</v>
      </c>
      <c r="H36" s="72" t="s">
        <v>271</v>
      </c>
      <c r="I36" s="72" t="s">
        <v>35</v>
      </c>
      <c r="J36" s="72" t="s">
        <v>187</v>
      </c>
      <c r="K36" s="74">
        <v>6</v>
      </c>
      <c r="L36" s="74">
        <f t="shared" si="0"/>
        <v>0.28235294117647058</v>
      </c>
      <c r="M36" s="75">
        <f>prodnorm130</f>
        <v>0</v>
      </c>
      <c r="N36" s="76">
        <f>dagwerk130</f>
        <v>0</v>
      </c>
      <c r="O36" s="72" t="s">
        <v>54</v>
      </c>
      <c r="P36" s="77">
        <f>uurtarief130</f>
        <v>0</v>
      </c>
      <c r="Q36" s="74" t="e">
        <f t="shared" si="1"/>
        <v>#DIV/0!</v>
      </c>
      <c r="R36" s="74" t="e">
        <f t="shared" si="2"/>
        <v>#DIV/0!</v>
      </c>
      <c r="S36" s="77" t="e">
        <f t="shared" si="3"/>
        <v>#DIV/0!</v>
      </c>
      <c r="T36" s="74" t="e">
        <f t="shared" si="4"/>
        <v>#DIV/0!</v>
      </c>
      <c r="U36" s="78" t="e">
        <f t="shared" si="5"/>
        <v>#DIV/0!</v>
      </c>
    </row>
    <row r="37" spans="1:21" x14ac:dyDescent="0.2">
      <c r="A37" s="71" t="s">
        <v>588</v>
      </c>
      <c r="B37" s="72" t="s">
        <v>300</v>
      </c>
      <c r="C37" s="72" t="s">
        <v>447</v>
      </c>
      <c r="D37" s="72" t="s">
        <v>448</v>
      </c>
      <c r="E37" s="72" t="s">
        <v>300</v>
      </c>
      <c r="F37" s="73" t="s">
        <v>590</v>
      </c>
      <c r="G37" s="72" t="s">
        <v>323</v>
      </c>
      <c r="H37" s="72" t="s">
        <v>274</v>
      </c>
      <c r="I37" s="72" t="s">
        <v>35</v>
      </c>
      <c r="J37" s="72" t="s">
        <v>187</v>
      </c>
      <c r="K37" s="74">
        <v>23.8</v>
      </c>
      <c r="L37" s="74">
        <f t="shared" si="0"/>
        <v>1.1200000000000001</v>
      </c>
      <c r="M37" s="75">
        <f>prodnorm132</f>
        <v>0</v>
      </c>
      <c r="N37" s="76">
        <f>dagwerk132</f>
        <v>0</v>
      </c>
      <c r="O37" s="72" t="s">
        <v>54</v>
      </c>
      <c r="P37" s="77">
        <f>uurtarief132</f>
        <v>0</v>
      </c>
      <c r="Q37" s="74" t="e">
        <f t="shared" si="1"/>
        <v>#DIV/0!</v>
      </c>
      <c r="R37" s="74" t="e">
        <f t="shared" si="2"/>
        <v>#DIV/0!</v>
      </c>
      <c r="S37" s="77" t="e">
        <f t="shared" si="3"/>
        <v>#DIV/0!</v>
      </c>
      <c r="T37" s="74" t="e">
        <f t="shared" si="4"/>
        <v>#DIV/0!</v>
      </c>
      <c r="U37" s="78" t="e">
        <f t="shared" si="5"/>
        <v>#DIV/0!</v>
      </c>
    </row>
    <row r="38" spans="1:21" x14ac:dyDescent="0.2">
      <c r="A38" s="71" t="s">
        <v>588</v>
      </c>
      <c r="B38" s="72" t="s">
        <v>300</v>
      </c>
      <c r="C38" s="72" t="s">
        <v>447</v>
      </c>
      <c r="D38" s="72" t="s">
        <v>449</v>
      </c>
      <c r="E38" s="72" t="s">
        <v>300</v>
      </c>
      <c r="F38" s="73" t="s">
        <v>622</v>
      </c>
      <c r="G38" s="72" t="s">
        <v>309</v>
      </c>
      <c r="H38" s="72" t="s">
        <v>271</v>
      </c>
      <c r="I38" s="72" t="s">
        <v>35</v>
      </c>
      <c r="J38" s="72" t="s">
        <v>187</v>
      </c>
      <c r="K38" s="74">
        <v>9</v>
      </c>
      <c r="L38" s="74">
        <f t="shared" si="0"/>
        <v>0.42352941176470588</v>
      </c>
      <c r="M38" s="75">
        <f>prodnorm130</f>
        <v>0</v>
      </c>
      <c r="N38" s="76">
        <f>dagwerk130</f>
        <v>0</v>
      </c>
      <c r="O38" s="72" t="s">
        <v>54</v>
      </c>
      <c r="P38" s="77">
        <f>uurtarief130</f>
        <v>0</v>
      </c>
      <c r="Q38" s="74" t="e">
        <f t="shared" si="1"/>
        <v>#DIV/0!</v>
      </c>
      <c r="R38" s="74" t="e">
        <f t="shared" si="2"/>
        <v>#DIV/0!</v>
      </c>
      <c r="S38" s="77" t="e">
        <f t="shared" si="3"/>
        <v>#DIV/0!</v>
      </c>
      <c r="T38" s="74" t="e">
        <f t="shared" si="4"/>
        <v>#DIV/0!</v>
      </c>
      <c r="U38" s="78" t="e">
        <f t="shared" si="5"/>
        <v>#DIV/0!</v>
      </c>
    </row>
    <row r="39" spans="1:21" x14ac:dyDescent="0.2">
      <c r="A39" s="79" t="s">
        <v>588</v>
      </c>
      <c r="B39" s="80" t="s">
        <v>300</v>
      </c>
      <c r="C39" s="80" t="s">
        <v>447</v>
      </c>
      <c r="D39" s="80" t="s">
        <v>450</v>
      </c>
      <c r="E39" s="80" t="s">
        <v>300</v>
      </c>
      <c r="F39" s="81" t="s">
        <v>385</v>
      </c>
      <c r="G39" s="80" t="s">
        <v>323</v>
      </c>
      <c r="H39" s="80" t="s">
        <v>269</v>
      </c>
      <c r="I39" s="80" t="s">
        <v>35</v>
      </c>
      <c r="J39" s="80" t="s">
        <v>187</v>
      </c>
      <c r="K39" s="82">
        <v>83.1</v>
      </c>
      <c r="L39" s="82">
        <f t="shared" si="0"/>
        <v>3.9105882352941173</v>
      </c>
      <c r="M39" s="83">
        <f>prodnorm128</f>
        <v>0</v>
      </c>
      <c r="N39" s="84">
        <f>dagwerk128</f>
        <v>0</v>
      </c>
      <c r="O39" s="80" t="s">
        <v>54</v>
      </c>
      <c r="P39" s="85">
        <f>uurtarief128</f>
        <v>0</v>
      </c>
      <c r="Q39" s="82" t="e">
        <f t="shared" si="1"/>
        <v>#DIV/0!</v>
      </c>
      <c r="R39" s="82" t="e">
        <f t="shared" si="2"/>
        <v>#DIV/0!</v>
      </c>
      <c r="S39" s="85" t="e">
        <f t="shared" si="3"/>
        <v>#DIV/0!</v>
      </c>
      <c r="T39" s="82" t="e">
        <f t="shared" si="4"/>
        <v>#DIV/0!</v>
      </c>
      <c r="U39" s="86" t="e">
        <f t="shared" si="5"/>
        <v>#DIV/0!</v>
      </c>
    </row>
    <row r="40" spans="1:21" x14ac:dyDescent="0.2">
      <c r="A40" s="50" t="s">
        <v>769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3" t="e">
        <f>IF(_xlfn.SINGLE(object6_urenjaar3)&gt;0,_xlfn.SINGLE(object6_prijsjaar3)/_xlfn.SINGLE(object6_urenjaar3),0)</f>
        <v>#DIV/0!</v>
      </c>
      <c r="Q40" s="52" t="e">
        <f>SUM(Q5:Q39)</f>
        <v>#DIV/0!</v>
      </c>
      <c r="R40" s="52" t="e">
        <f>SUM(R5:R39)</f>
        <v>#DIV/0!</v>
      </c>
      <c r="S40" s="53" t="e">
        <f>SUM(S5:S39)</f>
        <v>#DIV/0!</v>
      </c>
      <c r="T40" s="52" t="e">
        <f>SUM(T5:T39)</f>
        <v>#DIV/0!</v>
      </c>
      <c r="U40" s="53" t="e">
        <f>SUM(U5:U39)</f>
        <v>#DIV/0!</v>
      </c>
    </row>
  </sheetData>
  <autoFilter ref="A3:U40" xr:uid="{14D6BD03-8A66-4F5E-B62A-ED3D052E0223}"/>
  <pageMargins left="0.7" right="0.7" top="0.75" bottom="0.75" header="0.3" footer="0.3"/>
  <pageSetup paperSize="9" scale="61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1844-5F5F-4C9C-8ACD-C8C8220AF4D9}">
  <dimension ref="A1:U4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I.1.5: ",tabeltype," ruimten weekenddag")</f>
        <v>Bijlage I.1.5: Invultabel ruimten weekenddag</v>
      </c>
    </row>
    <row r="3" spans="1:21" ht="38.25" x14ac:dyDescent="0.2">
      <c r="A3" s="59" t="s">
        <v>289</v>
      </c>
      <c r="B3" s="8" t="s">
        <v>290</v>
      </c>
      <c r="C3" s="8" t="s">
        <v>291</v>
      </c>
      <c r="D3" s="8" t="s">
        <v>292</v>
      </c>
      <c r="E3" s="8" t="s">
        <v>293</v>
      </c>
      <c r="F3" s="8" t="s">
        <v>294</v>
      </c>
      <c r="G3" s="8" t="s">
        <v>295</v>
      </c>
      <c r="H3" s="8" t="s">
        <v>178</v>
      </c>
      <c r="I3" s="8" t="s">
        <v>8</v>
      </c>
      <c r="J3" s="8" t="s">
        <v>296</v>
      </c>
      <c r="K3" s="8" t="s">
        <v>180</v>
      </c>
      <c r="L3" s="8" t="s">
        <v>181</v>
      </c>
      <c r="M3" s="8" t="s">
        <v>46</v>
      </c>
      <c r="N3" s="8" t="s">
        <v>47</v>
      </c>
      <c r="O3" s="8" t="s">
        <v>48</v>
      </c>
      <c r="P3" s="8" t="s">
        <v>49</v>
      </c>
      <c r="Q3" s="8" t="s">
        <v>182</v>
      </c>
      <c r="R3" s="8" t="s">
        <v>297</v>
      </c>
      <c r="S3" s="8" t="s">
        <v>183</v>
      </c>
      <c r="T3" s="8" t="s">
        <v>184</v>
      </c>
      <c r="U3" s="60" t="s">
        <v>185</v>
      </c>
    </row>
    <row r="4" spans="1:21" x14ac:dyDescent="0.2">
      <c r="A4" s="61" t="s">
        <v>537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9"/>
    </row>
    <row r="5" spans="1:21" x14ac:dyDescent="0.2">
      <c r="A5" s="63" t="s">
        <v>538</v>
      </c>
      <c r="B5" s="64" t="s">
        <v>551</v>
      </c>
      <c r="C5" s="64" t="s">
        <v>330</v>
      </c>
      <c r="D5" s="64" t="s">
        <v>540</v>
      </c>
      <c r="E5" s="64" t="s">
        <v>300</v>
      </c>
      <c r="F5" s="65" t="s">
        <v>552</v>
      </c>
      <c r="G5" s="64" t="s">
        <v>309</v>
      </c>
      <c r="H5" s="64" t="s">
        <v>277</v>
      </c>
      <c r="I5" s="64" t="s">
        <v>22</v>
      </c>
      <c r="J5" s="64" t="s">
        <v>187</v>
      </c>
      <c r="K5" s="66">
        <v>6</v>
      </c>
      <c r="L5" s="66">
        <f t="shared" ref="L5:L20" si="0">K5*VLOOKUP(I5,dagsoorttabel1,2,FALSE)</f>
        <v>1.6470588235294119</v>
      </c>
      <c r="M5" s="67">
        <f>prodnorm136</f>
        <v>0</v>
      </c>
      <c r="N5" s="68">
        <f>dagwerk136</f>
        <v>0</v>
      </c>
      <c r="O5" s="64" t="s">
        <v>54</v>
      </c>
      <c r="P5" s="69">
        <f>uurtarief136</f>
        <v>0</v>
      </c>
      <c r="Q5" s="66" t="e">
        <f t="shared" ref="Q5:Q20" si="1">IF(ISBLANK(M5),0,L5/ROUND(M5,4))</f>
        <v>#DIV/0!</v>
      </c>
      <c r="R5" s="66" t="e">
        <f t="shared" ref="R5:R20" si="2">IF(ISBLANK(M5),0,Q5*ROUND(N5,2))</f>
        <v>#DIV/0!</v>
      </c>
      <c r="S5" s="69" t="e">
        <f t="shared" ref="S5:S20" si="3">ROUND(P5,2)*Q5</f>
        <v>#DIV/0!</v>
      </c>
      <c r="T5" s="66" t="e">
        <f t="shared" ref="T5:T20" si="4">Q5*dagenperjaar1</f>
        <v>#DIV/0!</v>
      </c>
      <c r="U5" s="70" t="e">
        <f t="shared" ref="U5:U20" si="5">T5*ROUND(P5,2)</f>
        <v>#DIV/0!</v>
      </c>
    </row>
    <row r="6" spans="1:21" x14ac:dyDescent="0.2">
      <c r="A6" s="71" t="s">
        <v>538</v>
      </c>
      <c r="B6" s="72" t="s">
        <v>551</v>
      </c>
      <c r="C6" s="72" t="s">
        <v>330</v>
      </c>
      <c r="D6" s="72" t="s">
        <v>540</v>
      </c>
      <c r="E6" s="72" t="s">
        <v>300</v>
      </c>
      <c r="F6" s="73" t="s">
        <v>552</v>
      </c>
      <c r="G6" s="72" t="s">
        <v>309</v>
      </c>
      <c r="H6" s="72" t="s">
        <v>278</v>
      </c>
      <c r="I6" s="72" t="s">
        <v>27</v>
      </c>
      <c r="J6" s="72" t="s">
        <v>187</v>
      </c>
      <c r="K6" s="74">
        <v>6</v>
      </c>
      <c r="L6" s="74">
        <f t="shared" si="0"/>
        <v>0.61176470588235299</v>
      </c>
      <c r="M6" s="75">
        <f>prodnorm137</f>
        <v>0</v>
      </c>
      <c r="N6" s="76">
        <f>dagwerk137</f>
        <v>0</v>
      </c>
      <c r="O6" s="72" t="s">
        <v>54</v>
      </c>
      <c r="P6" s="77">
        <f>uurtarief137</f>
        <v>0</v>
      </c>
      <c r="Q6" s="74" t="e">
        <f t="shared" si="1"/>
        <v>#DIV/0!</v>
      </c>
      <c r="R6" s="74" t="e">
        <f t="shared" si="2"/>
        <v>#DIV/0!</v>
      </c>
      <c r="S6" s="77" t="e">
        <f t="shared" si="3"/>
        <v>#DIV/0!</v>
      </c>
      <c r="T6" s="74" t="e">
        <f t="shared" si="4"/>
        <v>#DIV/0!</v>
      </c>
      <c r="U6" s="78" t="e">
        <f t="shared" si="5"/>
        <v>#DIV/0!</v>
      </c>
    </row>
    <row r="7" spans="1:21" x14ac:dyDescent="0.2">
      <c r="A7" s="71" t="s">
        <v>538</v>
      </c>
      <c r="B7" s="72" t="s">
        <v>551</v>
      </c>
      <c r="C7" s="72" t="s">
        <v>330</v>
      </c>
      <c r="D7" s="72" t="s">
        <v>335</v>
      </c>
      <c r="E7" s="72" t="s">
        <v>300</v>
      </c>
      <c r="F7" s="73" t="s">
        <v>319</v>
      </c>
      <c r="G7" s="72" t="s">
        <v>309</v>
      </c>
      <c r="H7" s="72" t="s">
        <v>282</v>
      </c>
      <c r="I7" s="72" t="s">
        <v>22</v>
      </c>
      <c r="J7" s="72" t="s">
        <v>187</v>
      </c>
      <c r="K7" s="74">
        <v>1.5</v>
      </c>
      <c r="L7" s="74">
        <f t="shared" si="0"/>
        <v>0.41176470588235298</v>
      </c>
      <c r="M7" s="75">
        <f>prodnorm141</f>
        <v>0</v>
      </c>
      <c r="N7" s="76">
        <f>dagwerk141</f>
        <v>0</v>
      </c>
      <c r="O7" s="72" t="s">
        <v>54</v>
      </c>
      <c r="P7" s="77">
        <f>uurtarief141</f>
        <v>0</v>
      </c>
      <c r="Q7" s="74" t="e">
        <f t="shared" si="1"/>
        <v>#DIV/0!</v>
      </c>
      <c r="R7" s="74" t="e">
        <f t="shared" si="2"/>
        <v>#DIV/0!</v>
      </c>
      <c r="S7" s="77" t="e">
        <f t="shared" si="3"/>
        <v>#DIV/0!</v>
      </c>
      <c r="T7" s="74" t="e">
        <f t="shared" si="4"/>
        <v>#DIV/0!</v>
      </c>
      <c r="U7" s="78" t="e">
        <f t="shared" si="5"/>
        <v>#DIV/0!</v>
      </c>
    </row>
    <row r="8" spans="1:21" x14ac:dyDescent="0.2">
      <c r="A8" s="71" t="s">
        <v>538</v>
      </c>
      <c r="B8" s="72" t="s">
        <v>551</v>
      </c>
      <c r="C8" s="72" t="s">
        <v>330</v>
      </c>
      <c r="D8" s="72" t="s">
        <v>335</v>
      </c>
      <c r="E8" s="72" t="s">
        <v>300</v>
      </c>
      <c r="F8" s="73" t="s">
        <v>319</v>
      </c>
      <c r="G8" s="72" t="s">
        <v>309</v>
      </c>
      <c r="H8" s="72" t="s">
        <v>283</v>
      </c>
      <c r="I8" s="72" t="s">
        <v>27</v>
      </c>
      <c r="J8" s="72" t="s">
        <v>187</v>
      </c>
      <c r="K8" s="74">
        <v>1.5</v>
      </c>
      <c r="L8" s="74">
        <f t="shared" si="0"/>
        <v>0.15294117647058825</v>
      </c>
      <c r="M8" s="75">
        <f>prodnorm142</f>
        <v>0</v>
      </c>
      <c r="N8" s="76">
        <f>dagwerk142</f>
        <v>0</v>
      </c>
      <c r="O8" s="72" t="s">
        <v>54</v>
      </c>
      <c r="P8" s="77">
        <f>uurtarief142</f>
        <v>0</v>
      </c>
      <c r="Q8" s="74" t="e">
        <f t="shared" si="1"/>
        <v>#DIV/0!</v>
      </c>
      <c r="R8" s="74" t="e">
        <f t="shared" si="2"/>
        <v>#DIV/0!</v>
      </c>
      <c r="S8" s="77" t="e">
        <f t="shared" si="3"/>
        <v>#DIV/0!</v>
      </c>
      <c r="T8" s="74" t="e">
        <f t="shared" si="4"/>
        <v>#DIV/0!</v>
      </c>
      <c r="U8" s="78" t="e">
        <f t="shared" si="5"/>
        <v>#DIV/0!</v>
      </c>
    </row>
    <row r="9" spans="1:21" x14ac:dyDescent="0.2">
      <c r="A9" s="71" t="s">
        <v>538</v>
      </c>
      <c r="B9" s="72" t="s">
        <v>551</v>
      </c>
      <c r="C9" s="72" t="s">
        <v>330</v>
      </c>
      <c r="D9" s="72" t="s">
        <v>340</v>
      </c>
      <c r="E9" s="72" t="s">
        <v>300</v>
      </c>
      <c r="F9" s="73" t="s">
        <v>319</v>
      </c>
      <c r="G9" s="72" t="s">
        <v>309</v>
      </c>
      <c r="H9" s="72" t="s">
        <v>282</v>
      </c>
      <c r="I9" s="72" t="s">
        <v>22</v>
      </c>
      <c r="J9" s="72" t="s">
        <v>187</v>
      </c>
      <c r="K9" s="74">
        <v>1</v>
      </c>
      <c r="L9" s="74">
        <f t="shared" si="0"/>
        <v>0.27450980392156865</v>
      </c>
      <c r="M9" s="75">
        <f>prodnorm141</f>
        <v>0</v>
      </c>
      <c r="N9" s="76">
        <f>dagwerk141</f>
        <v>0</v>
      </c>
      <c r="O9" s="72" t="s">
        <v>54</v>
      </c>
      <c r="P9" s="77">
        <f>uurtarief141</f>
        <v>0</v>
      </c>
      <c r="Q9" s="74" t="e">
        <f t="shared" si="1"/>
        <v>#DIV/0!</v>
      </c>
      <c r="R9" s="74" t="e">
        <f t="shared" si="2"/>
        <v>#DIV/0!</v>
      </c>
      <c r="S9" s="77" t="e">
        <f t="shared" si="3"/>
        <v>#DIV/0!</v>
      </c>
      <c r="T9" s="74" t="e">
        <f t="shared" si="4"/>
        <v>#DIV/0!</v>
      </c>
      <c r="U9" s="78" t="e">
        <f t="shared" si="5"/>
        <v>#DIV/0!</v>
      </c>
    </row>
    <row r="10" spans="1:21" x14ac:dyDescent="0.2">
      <c r="A10" s="71" t="s">
        <v>538</v>
      </c>
      <c r="B10" s="72" t="s">
        <v>551</v>
      </c>
      <c r="C10" s="72" t="s">
        <v>330</v>
      </c>
      <c r="D10" s="72" t="s">
        <v>340</v>
      </c>
      <c r="E10" s="72" t="s">
        <v>300</v>
      </c>
      <c r="F10" s="73" t="s">
        <v>319</v>
      </c>
      <c r="G10" s="72" t="s">
        <v>309</v>
      </c>
      <c r="H10" s="72" t="s">
        <v>283</v>
      </c>
      <c r="I10" s="72" t="s">
        <v>27</v>
      </c>
      <c r="J10" s="72" t="s">
        <v>187</v>
      </c>
      <c r="K10" s="74">
        <v>1</v>
      </c>
      <c r="L10" s="74">
        <f t="shared" si="0"/>
        <v>0.10196078431372549</v>
      </c>
      <c r="M10" s="75">
        <f>prodnorm142</f>
        <v>0</v>
      </c>
      <c r="N10" s="76">
        <f>dagwerk142</f>
        <v>0</v>
      </c>
      <c r="O10" s="72" t="s">
        <v>54</v>
      </c>
      <c r="P10" s="77">
        <f>uurtarief142</f>
        <v>0</v>
      </c>
      <c r="Q10" s="74" t="e">
        <f t="shared" si="1"/>
        <v>#DIV/0!</v>
      </c>
      <c r="R10" s="74" t="e">
        <f t="shared" si="2"/>
        <v>#DIV/0!</v>
      </c>
      <c r="S10" s="77" t="e">
        <f t="shared" si="3"/>
        <v>#DIV/0!</v>
      </c>
      <c r="T10" s="74" t="e">
        <f t="shared" si="4"/>
        <v>#DIV/0!</v>
      </c>
      <c r="U10" s="78" t="e">
        <f t="shared" si="5"/>
        <v>#DIV/0!</v>
      </c>
    </row>
    <row r="11" spans="1:21" x14ac:dyDescent="0.2">
      <c r="A11" s="71" t="s">
        <v>538</v>
      </c>
      <c r="B11" s="72" t="s">
        <v>551</v>
      </c>
      <c r="C11" s="72" t="s">
        <v>330</v>
      </c>
      <c r="D11" s="72" t="s">
        <v>553</v>
      </c>
      <c r="E11" s="72" t="s">
        <v>300</v>
      </c>
      <c r="F11" s="73" t="s">
        <v>319</v>
      </c>
      <c r="G11" s="72" t="s">
        <v>309</v>
      </c>
      <c r="H11" s="72" t="s">
        <v>282</v>
      </c>
      <c r="I11" s="72" t="s">
        <v>22</v>
      </c>
      <c r="J11" s="72" t="s">
        <v>187</v>
      </c>
      <c r="K11" s="74">
        <v>1</v>
      </c>
      <c r="L11" s="74">
        <f t="shared" si="0"/>
        <v>0.27450980392156865</v>
      </c>
      <c r="M11" s="75">
        <f>prodnorm141</f>
        <v>0</v>
      </c>
      <c r="N11" s="76">
        <f>dagwerk141</f>
        <v>0</v>
      </c>
      <c r="O11" s="72" t="s">
        <v>54</v>
      </c>
      <c r="P11" s="77">
        <f>uurtarief141</f>
        <v>0</v>
      </c>
      <c r="Q11" s="74" t="e">
        <f t="shared" si="1"/>
        <v>#DIV/0!</v>
      </c>
      <c r="R11" s="74" t="e">
        <f t="shared" si="2"/>
        <v>#DIV/0!</v>
      </c>
      <c r="S11" s="77" t="e">
        <f t="shared" si="3"/>
        <v>#DIV/0!</v>
      </c>
      <c r="T11" s="74" t="e">
        <f t="shared" si="4"/>
        <v>#DIV/0!</v>
      </c>
      <c r="U11" s="78" t="e">
        <f t="shared" si="5"/>
        <v>#DIV/0!</v>
      </c>
    </row>
    <row r="12" spans="1:21" x14ac:dyDescent="0.2">
      <c r="A12" s="71" t="s">
        <v>538</v>
      </c>
      <c r="B12" s="72" t="s">
        <v>551</v>
      </c>
      <c r="C12" s="72" t="s">
        <v>330</v>
      </c>
      <c r="D12" s="72" t="s">
        <v>553</v>
      </c>
      <c r="E12" s="72" t="s">
        <v>300</v>
      </c>
      <c r="F12" s="73" t="s">
        <v>319</v>
      </c>
      <c r="G12" s="72" t="s">
        <v>309</v>
      </c>
      <c r="H12" s="72" t="s">
        <v>283</v>
      </c>
      <c r="I12" s="72" t="s">
        <v>27</v>
      </c>
      <c r="J12" s="72" t="s">
        <v>187</v>
      </c>
      <c r="K12" s="74">
        <v>1</v>
      </c>
      <c r="L12" s="74">
        <f t="shared" si="0"/>
        <v>0.10196078431372549</v>
      </c>
      <c r="M12" s="75">
        <f>prodnorm142</f>
        <v>0</v>
      </c>
      <c r="N12" s="76">
        <f>dagwerk142</f>
        <v>0</v>
      </c>
      <c r="O12" s="72" t="s">
        <v>54</v>
      </c>
      <c r="P12" s="77">
        <f>uurtarief142</f>
        <v>0</v>
      </c>
      <c r="Q12" s="74" t="e">
        <f t="shared" si="1"/>
        <v>#DIV/0!</v>
      </c>
      <c r="R12" s="74" t="e">
        <f t="shared" si="2"/>
        <v>#DIV/0!</v>
      </c>
      <c r="S12" s="77" t="e">
        <f t="shared" si="3"/>
        <v>#DIV/0!</v>
      </c>
      <c r="T12" s="74" t="e">
        <f t="shared" si="4"/>
        <v>#DIV/0!</v>
      </c>
      <c r="U12" s="78" t="e">
        <f t="shared" si="5"/>
        <v>#DIV/0!</v>
      </c>
    </row>
    <row r="13" spans="1:21" x14ac:dyDescent="0.2">
      <c r="A13" s="71" t="s">
        <v>538</v>
      </c>
      <c r="B13" s="72" t="s">
        <v>551</v>
      </c>
      <c r="C13" s="72" t="s">
        <v>330</v>
      </c>
      <c r="D13" s="72" t="s">
        <v>543</v>
      </c>
      <c r="E13" s="72" t="s">
        <v>300</v>
      </c>
      <c r="F13" s="73" t="s">
        <v>554</v>
      </c>
      <c r="G13" s="72" t="s">
        <v>309</v>
      </c>
      <c r="H13" s="72" t="s">
        <v>277</v>
      </c>
      <c r="I13" s="72" t="s">
        <v>22</v>
      </c>
      <c r="J13" s="72" t="s">
        <v>187</v>
      </c>
      <c r="K13" s="74">
        <v>7</v>
      </c>
      <c r="L13" s="74">
        <f t="shared" si="0"/>
        <v>1.9215686274509807</v>
      </c>
      <c r="M13" s="75">
        <f>prodnorm136</f>
        <v>0</v>
      </c>
      <c r="N13" s="76">
        <f>dagwerk136</f>
        <v>0</v>
      </c>
      <c r="O13" s="72" t="s">
        <v>54</v>
      </c>
      <c r="P13" s="77">
        <f>uurtarief136</f>
        <v>0</v>
      </c>
      <c r="Q13" s="74" t="e">
        <f t="shared" si="1"/>
        <v>#DIV/0!</v>
      </c>
      <c r="R13" s="74" t="e">
        <f t="shared" si="2"/>
        <v>#DIV/0!</v>
      </c>
      <c r="S13" s="77" t="e">
        <f t="shared" si="3"/>
        <v>#DIV/0!</v>
      </c>
      <c r="T13" s="74" t="e">
        <f t="shared" si="4"/>
        <v>#DIV/0!</v>
      </c>
      <c r="U13" s="78" t="e">
        <f t="shared" si="5"/>
        <v>#DIV/0!</v>
      </c>
    </row>
    <row r="14" spans="1:21" x14ac:dyDescent="0.2">
      <c r="A14" s="71" t="s">
        <v>538</v>
      </c>
      <c r="B14" s="72" t="s">
        <v>551</v>
      </c>
      <c r="C14" s="72" t="s">
        <v>330</v>
      </c>
      <c r="D14" s="72" t="s">
        <v>543</v>
      </c>
      <c r="E14" s="72" t="s">
        <v>300</v>
      </c>
      <c r="F14" s="73" t="s">
        <v>554</v>
      </c>
      <c r="G14" s="72" t="s">
        <v>309</v>
      </c>
      <c r="H14" s="72" t="s">
        <v>278</v>
      </c>
      <c r="I14" s="72" t="s">
        <v>27</v>
      </c>
      <c r="J14" s="72" t="s">
        <v>187</v>
      </c>
      <c r="K14" s="74">
        <v>7</v>
      </c>
      <c r="L14" s="74">
        <f t="shared" si="0"/>
        <v>0.71372549019607845</v>
      </c>
      <c r="M14" s="75">
        <f>prodnorm137</f>
        <v>0</v>
      </c>
      <c r="N14" s="76">
        <f>dagwerk137</f>
        <v>0</v>
      </c>
      <c r="O14" s="72" t="s">
        <v>54</v>
      </c>
      <c r="P14" s="77">
        <f>uurtarief137</f>
        <v>0</v>
      </c>
      <c r="Q14" s="74" t="e">
        <f t="shared" si="1"/>
        <v>#DIV/0!</v>
      </c>
      <c r="R14" s="74" t="e">
        <f t="shared" si="2"/>
        <v>#DIV/0!</v>
      </c>
      <c r="S14" s="77" t="e">
        <f t="shared" si="3"/>
        <v>#DIV/0!</v>
      </c>
      <c r="T14" s="74" t="e">
        <f t="shared" si="4"/>
        <v>#DIV/0!</v>
      </c>
      <c r="U14" s="78" t="e">
        <f t="shared" si="5"/>
        <v>#DIV/0!</v>
      </c>
    </row>
    <row r="15" spans="1:21" x14ac:dyDescent="0.2">
      <c r="A15" s="71" t="s">
        <v>538</v>
      </c>
      <c r="B15" s="72" t="s">
        <v>551</v>
      </c>
      <c r="C15" s="72" t="s">
        <v>330</v>
      </c>
      <c r="D15" s="72" t="s">
        <v>352</v>
      </c>
      <c r="E15" s="72" t="s">
        <v>300</v>
      </c>
      <c r="F15" s="73" t="s">
        <v>555</v>
      </c>
      <c r="G15" s="72" t="s">
        <v>309</v>
      </c>
      <c r="H15" s="72" t="s">
        <v>282</v>
      </c>
      <c r="I15" s="72" t="s">
        <v>22</v>
      </c>
      <c r="J15" s="72" t="s">
        <v>187</v>
      </c>
      <c r="K15" s="74">
        <v>2</v>
      </c>
      <c r="L15" s="74">
        <f t="shared" si="0"/>
        <v>0.5490196078431373</v>
      </c>
      <c r="M15" s="75">
        <f>prodnorm141</f>
        <v>0</v>
      </c>
      <c r="N15" s="76">
        <f>dagwerk141</f>
        <v>0</v>
      </c>
      <c r="O15" s="72" t="s">
        <v>54</v>
      </c>
      <c r="P15" s="77">
        <f>uurtarief141</f>
        <v>0</v>
      </c>
      <c r="Q15" s="74" t="e">
        <f t="shared" si="1"/>
        <v>#DIV/0!</v>
      </c>
      <c r="R15" s="74" t="e">
        <f t="shared" si="2"/>
        <v>#DIV/0!</v>
      </c>
      <c r="S15" s="77" t="e">
        <f t="shared" si="3"/>
        <v>#DIV/0!</v>
      </c>
      <c r="T15" s="74" t="e">
        <f t="shared" si="4"/>
        <v>#DIV/0!</v>
      </c>
      <c r="U15" s="78" t="e">
        <f t="shared" si="5"/>
        <v>#DIV/0!</v>
      </c>
    </row>
    <row r="16" spans="1:21" x14ac:dyDescent="0.2">
      <c r="A16" s="71" t="s">
        <v>538</v>
      </c>
      <c r="B16" s="72" t="s">
        <v>551</v>
      </c>
      <c r="C16" s="72" t="s">
        <v>330</v>
      </c>
      <c r="D16" s="72" t="s">
        <v>352</v>
      </c>
      <c r="E16" s="72" t="s">
        <v>300</v>
      </c>
      <c r="F16" s="73" t="s">
        <v>555</v>
      </c>
      <c r="G16" s="72" t="s">
        <v>309</v>
      </c>
      <c r="H16" s="72" t="s">
        <v>283</v>
      </c>
      <c r="I16" s="72" t="s">
        <v>27</v>
      </c>
      <c r="J16" s="72" t="s">
        <v>187</v>
      </c>
      <c r="K16" s="74">
        <v>2</v>
      </c>
      <c r="L16" s="74">
        <f t="shared" si="0"/>
        <v>0.20392156862745098</v>
      </c>
      <c r="M16" s="75">
        <f>prodnorm142</f>
        <v>0</v>
      </c>
      <c r="N16" s="76">
        <f>dagwerk142</f>
        <v>0</v>
      </c>
      <c r="O16" s="72" t="s">
        <v>54</v>
      </c>
      <c r="P16" s="77">
        <f>uurtarief142</f>
        <v>0</v>
      </c>
      <c r="Q16" s="74" t="e">
        <f t="shared" si="1"/>
        <v>#DIV/0!</v>
      </c>
      <c r="R16" s="74" t="e">
        <f t="shared" si="2"/>
        <v>#DIV/0!</v>
      </c>
      <c r="S16" s="77" t="e">
        <f t="shared" si="3"/>
        <v>#DIV/0!</v>
      </c>
      <c r="T16" s="74" t="e">
        <f t="shared" si="4"/>
        <v>#DIV/0!</v>
      </c>
      <c r="U16" s="78" t="e">
        <f t="shared" si="5"/>
        <v>#DIV/0!</v>
      </c>
    </row>
    <row r="17" spans="1:21" x14ac:dyDescent="0.2">
      <c r="A17" s="71" t="s">
        <v>538</v>
      </c>
      <c r="B17" s="72" t="s">
        <v>551</v>
      </c>
      <c r="C17" s="72" t="s">
        <v>330</v>
      </c>
      <c r="D17" s="72" t="s">
        <v>354</v>
      </c>
      <c r="E17" s="72" t="s">
        <v>300</v>
      </c>
      <c r="F17" s="73" t="s">
        <v>319</v>
      </c>
      <c r="G17" s="72" t="s">
        <v>309</v>
      </c>
      <c r="H17" s="72" t="s">
        <v>282</v>
      </c>
      <c r="I17" s="72" t="s">
        <v>22</v>
      </c>
      <c r="J17" s="72" t="s">
        <v>187</v>
      </c>
      <c r="K17" s="74">
        <v>1.5</v>
      </c>
      <c r="L17" s="74">
        <f t="shared" si="0"/>
        <v>0.41176470588235298</v>
      </c>
      <c r="M17" s="75">
        <f>prodnorm141</f>
        <v>0</v>
      </c>
      <c r="N17" s="76">
        <f>dagwerk141</f>
        <v>0</v>
      </c>
      <c r="O17" s="72" t="s">
        <v>54</v>
      </c>
      <c r="P17" s="77">
        <f>uurtarief141</f>
        <v>0</v>
      </c>
      <c r="Q17" s="74" t="e">
        <f t="shared" si="1"/>
        <v>#DIV/0!</v>
      </c>
      <c r="R17" s="74" t="e">
        <f t="shared" si="2"/>
        <v>#DIV/0!</v>
      </c>
      <c r="S17" s="77" t="e">
        <f t="shared" si="3"/>
        <v>#DIV/0!</v>
      </c>
      <c r="T17" s="74" t="e">
        <f t="shared" si="4"/>
        <v>#DIV/0!</v>
      </c>
      <c r="U17" s="78" t="e">
        <f t="shared" si="5"/>
        <v>#DIV/0!</v>
      </c>
    </row>
    <row r="18" spans="1:21" x14ac:dyDescent="0.2">
      <c r="A18" s="71" t="s">
        <v>538</v>
      </c>
      <c r="B18" s="72" t="s">
        <v>551</v>
      </c>
      <c r="C18" s="72" t="s">
        <v>330</v>
      </c>
      <c r="D18" s="72" t="s">
        <v>354</v>
      </c>
      <c r="E18" s="72" t="s">
        <v>300</v>
      </c>
      <c r="F18" s="73" t="s">
        <v>319</v>
      </c>
      <c r="G18" s="72" t="s">
        <v>309</v>
      </c>
      <c r="H18" s="72" t="s">
        <v>283</v>
      </c>
      <c r="I18" s="72" t="s">
        <v>27</v>
      </c>
      <c r="J18" s="72" t="s">
        <v>187</v>
      </c>
      <c r="K18" s="74">
        <v>1.5</v>
      </c>
      <c r="L18" s="74">
        <f t="shared" si="0"/>
        <v>0.15294117647058825</v>
      </c>
      <c r="M18" s="75">
        <f>prodnorm142</f>
        <v>0</v>
      </c>
      <c r="N18" s="76">
        <f>dagwerk142</f>
        <v>0</v>
      </c>
      <c r="O18" s="72" t="s">
        <v>54</v>
      </c>
      <c r="P18" s="77">
        <f>uurtarief142</f>
        <v>0</v>
      </c>
      <c r="Q18" s="74" t="e">
        <f t="shared" si="1"/>
        <v>#DIV/0!</v>
      </c>
      <c r="R18" s="74" t="e">
        <f t="shared" si="2"/>
        <v>#DIV/0!</v>
      </c>
      <c r="S18" s="77" t="e">
        <f t="shared" si="3"/>
        <v>#DIV/0!</v>
      </c>
      <c r="T18" s="74" t="e">
        <f t="shared" si="4"/>
        <v>#DIV/0!</v>
      </c>
      <c r="U18" s="78" t="e">
        <f t="shared" si="5"/>
        <v>#DIV/0!</v>
      </c>
    </row>
    <row r="19" spans="1:21" x14ac:dyDescent="0.2">
      <c r="A19" s="71" t="s">
        <v>538</v>
      </c>
      <c r="B19" s="72" t="s">
        <v>551</v>
      </c>
      <c r="C19" s="72" t="s">
        <v>330</v>
      </c>
      <c r="D19" s="72" t="s">
        <v>356</v>
      </c>
      <c r="E19" s="72" t="s">
        <v>300</v>
      </c>
      <c r="F19" s="73" t="s">
        <v>319</v>
      </c>
      <c r="G19" s="72" t="s">
        <v>309</v>
      </c>
      <c r="H19" s="72" t="s">
        <v>282</v>
      </c>
      <c r="I19" s="72" t="s">
        <v>22</v>
      </c>
      <c r="J19" s="72" t="s">
        <v>187</v>
      </c>
      <c r="K19" s="74">
        <v>2</v>
      </c>
      <c r="L19" s="74">
        <f t="shared" si="0"/>
        <v>0.5490196078431373</v>
      </c>
      <c r="M19" s="75">
        <f>prodnorm141</f>
        <v>0</v>
      </c>
      <c r="N19" s="76">
        <f>dagwerk141</f>
        <v>0</v>
      </c>
      <c r="O19" s="72" t="s">
        <v>54</v>
      </c>
      <c r="P19" s="77">
        <f>uurtarief141</f>
        <v>0</v>
      </c>
      <c r="Q19" s="74" t="e">
        <f t="shared" si="1"/>
        <v>#DIV/0!</v>
      </c>
      <c r="R19" s="74" t="e">
        <f t="shared" si="2"/>
        <v>#DIV/0!</v>
      </c>
      <c r="S19" s="77" t="e">
        <f t="shared" si="3"/>
        <v>#DIV/0!</v>
      </c>
      <c r="T19" s="74" t="e">
        <f t="shared" si="4"/>
        <v>#DIV/0!</v>
      </c>
      <c r="U19" s="78" t="e">
        <f t="shared" si="5"/>
        <v>#DIV/0!</v>
      </c>
    </row>
    <row r="20" spans="1:21" x14ac:dyDescent="0.2">
      <c r="A20" s="79" t="s">
        <v>538</v>
      </c>
      <c r="B20" s="80" t="s">
        <v>551</v>
      </c>
      <c r="C20" s="80" t="s">
        <v>330</v>
      </c>
      <c r="D20" s="80" t="s">
        <v>356</v>
      </c>
      <c r="E20" s="80" t="s">
        <v>300</v>
      </c>
      <c r="F20" s="81" t="s">
        <v>319</v>
      </c>
      <c r="G20" s="80" t="s">
        <v>309</v>
      </c>
      <c r="H20" s="80" t="s">
        <v>283</v>
      </c>
      <c r="I20" s="80" t="s">
        <v>27</v>
      </c>
      <c r="J20" s="80" t="s">
        <v>187</v>
      </c>
      <c r="K20" s="82">
        <v>2</v>
      </c>
      <c r="L20" s="82">
        <f t="shared" si="0"/>
        <v>0.20392156862745098</v>
      </c>
      <c r="M20" s="83">
        <f>prodnorm142</f>
        <v>0</v>
      </c>
      <c r="N20" s="84">
        <f>dagwerk142</f>
        <v>0</v>
      </c>
      <c r="O20" s="80" t="s">
        <v>54</v>
      </c>
      <c r="P20" s="85">
        <f>uurtarief142</f>
        <v>0</v>
      </c>
      <c r="Q20" s="82" t="e">
        <f t="shared" si="1"/>
        <v>#DIV/0!</v>
      </c>
      <c r="R20" s="82" t="e">
        <f t="shared" si="2"/>
        <v>#DIV/0!</v>
      </c>
      <c r="S20" s="85" t="e">
        <f t="shared" si="3"/>
        <v>#DIV/0!</v>
      </c>
      <c r="T20" s="82" t="e">
        <f t="shared" si="4"/>
        <v>#DIV/0!</v>
      </c>
      <c r="U20" s="86" t="e">
        <f t="shared" si="5"/>
        <v>#DIV/0!</v>
      </c>
    </row>
    <row r="21" spans="1:21" x14ac:dyDescent="0.2">
      <c r="A21" s="87" t="s">
        <v>770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3" t="e">
        <f>IF(_xlfn.SINGLE(object2_urenjaar4)&gt;0,_xlfn.SINGLE(object2_prijsjaar4)/_xlfn.SINGLE(object2_urenjaar4),0)</f>
        <v>#DIV/0!</v>
      </c>
      <c r="Q21" s="52" t="e">
        <f>SUM(Q5:Q20)</f>
        <v>#DIV/0!</v>
      </c>
      <c r="R21" s="52" t="e">
        <f>SUM(R5:R20)</f>
        <v>#DIV/0!</v>
      </c>
      <c r="S21" s="53" t="e">
        <f>SUM(S5:S20)</f>
        <v>#DIV/0!</v>
      </c>
      <c r="T21" s="52" t="e">
        <f>SUM(T5:T20)</f>
        <v>#DIV/0!</v>
      </c>
      <c r="U21" s="54" t="e">
        <f>SUM(U5:U20)</f>
        <v>#DIV/0!</v>
      </c>
    </row>
    <row r="22" spans="1:21" x14ac:dyDescent="0.2">
      <c r="A22" s="61" t="s">
        <v>587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49"/>
    </row>
    <row r="23" spans="1:21" x14ac:dyDescent="0.2">
      <c r="A23" s="63" t="s">
        <v>588</v>
      </c>
      <c r="B23" s="64" t="s">
        <v>300</v>
      </c>
      <c r="C23" s="64" t="s">
        <v>330</v>
      </c>
      <c r="D23" s="64" t="s">
        <v>540</v>
      </c>
      <c r="E23" s="64" t="s">
        <v>300</v>
      </c>
      <c r="F23" s="65" t="s">
        <v>338</v>
      </c>
      <c r="G23" s="64" t="s">
        <v>304</v>
      </c>
      <c r="H23" s="64" t="s">
        <v>279</v>
      </c>
      <c r="I23" s="64" t="s">
        <v>29</v>
      </c>
      <c r="J23" s="64" t="s">
        <v>187</v>
      </c>
      <c r="K23" s="66">
        <v>42.3</v>
      </c>
      <c r="L23" s="66">
        <f t="shared" ref="L23:L41" si="6">K23*VLOOKUP(I23,dagsoorttabel1,2,FALSE)</f>
        <v>3.9811764705882351</v>
      </c>
      <c r="M23" s="67">
        <f>prodnorm138</f>
        <v>0</v>
      </c>
      <c r="N23" s="68">
        <f>dagwerk138</f>
        <v>0</v>
      </c>
      <c r="O23" s="64" t="s">
        <v>54</v>
      </c>
      <c r="P23" s="69">
        <f>uurtarief138</f>
        <v>0</v>
      </c>
      <c r="Q23" s="66" t="e">
        <f t="shared" ref="Q23:Q41" si="7">IF(ISBLANK(M23),0,L23/ROUND(M23,4))</f>
        <v>#DIV/0!</v>
      </c>
      <c r="R23" s="66" t="e">
        <f t="shared" ref="R23:R41" si="8">IF(ISBLANK(M23),0,Q23*ROUND(N23,2))</f>
        <v>#DIV/0!</v>
      </c>
      <c r="S23" s="69" t="e">
        <f t="shared" ref="S23:S41" si="9">ROUND(P23,2)*Q23</f>
        <v>#DIV/0!</v>
      </c>
      <c r="T23" s="66" t="e">
        <f t="shared" ref="T23:T41" si="10">Q23*dagenperjaar1</f>
        <v>#DIV/0!</v>
      </c>
      <c r="U23" s="70" t="e">
        <f t="shared" ref="U23:U41" si="11">T23*ROUND(P23,2)</f>
        <v>#DIV/0!</v>
      </c>
    </row>
    <row r="24" spans="1:21" x14ac:dyDescent="0.2">
      <c r="A24" s="71" t="s">
        <v>588</v>
      </c>
      <c r="B24" s="72" t="s">
        <v>300</v>
      </c>
      <c r="C24" s="72" t="s">
        <v>330</v>
      </c>
      <c r="D24" s="72" t="s">
        <v>335</v>
      </c>
      <c r="E24" s="72" t="s">
        <v>300</v>
      </c>
      <c r="F24" s="73" t="s">
        <v>590</v>
      </c>
      <c r="G24" s="72" t="s">
        <v>304</v>
      </c>
      <c r="H24" s="72" t="s">
        <v>284</v>
      </c>
      <c r="I24" s="72" t="s">
        <v>29</v>
      </c>
      <c r="J24" s="72" t="s">
        <v>187</v>
      </c>
      <c r="K24" s="74">
        <v>275.8</v>
      </c>
      <c r="L24" s="74">
        <f t="shared" si="6"/>
        <v>25.957647058823529</v>
      </c>
      <c r="M24" s="75">
        <f>prodnorm143</f>
        <v>0</v>
      </c>
      <c r="N24" s="76">
        <f>dagwerk143</f>
        <v>0</v>
      </c>
      <c r="O24" s="72" t="s">
        <v>54</v>
      </c>
      <c r="P24" s="77">
        <f>uurtarief143</f>
        <v>0</v>
      </c>
      <c r="Q24" s="74" t="e">
        <f t="shared" si="7"/>
        <v>#DIV/0!</v>
      </c>
      <c r="R24" s="74" t="e">
        <f t="shared" si="8"/>
        <v>#DIV/0!</v>
      </c>
      <c r="S24" s="77" t="e">
        <f t="shared" si="9"/>
        <v>#DIV/0!</v>
      </c>
      <c r="T24" s="74" t="e">
        <f t="shared" si="10"/>
        <v>#DIV/0!</v>
      </c>
      <c r="U24" s="78" t="e">
        <f t="shared" si="11"/>
        <v>#DIV/0!</v>
      </c>
    </row>
    <row r="25" spans="1:21" x14ac:dyDescent="0.2">
      <c r="A25" s="71" t="s">
        <v>588</v>
      </c>
      <c r="B25" s="72" t="s">
        <v>300</v>
      </c>
      <c r="C25" s="72" t="s">
        <v>330</v>
      </c>
      <c r="D25" s="72" t="s">
        <v>340</v>
      </c>
      <c r="E25" s="72" t="s">
        <v>300</v>
      </c>
      <c r="F25" s="73" t="s">
        <v>593</v>
      </c>
      <c r="G25" s="72" t="s">
        <v>323</v>
      </c>
      <c r="H25" s="72" t="s">
        <v>280</v>
      </c>
      <c r="I25" s="72" t="s">
        <v>29</v>
      </c>
      <c r="J25" s="72" t="s">
        <v>187</v>
      </c>
      <c r="K25" s="74">
        <v>226</v>
      </c>
      <c r="L25" s="74">
        <f t="shared" si="6"/>
        <v>21.270588235294117</v>
      </c>
      <c r="M25" s="75">
        <f>prodnorm139</f>
        <v>0</v>
      </c>
      <c r="N25" s="76">
        <f>dagwerk139</f>
        <v>0</v>
      </c>
      <c r="O25" s="72" t="s">
        <v>54</v>
      </c>
      <c r="P25" s="77">
        <f>uurtarief139</f>
        <v>0</v>
      </c>
      <c r="Q25" s="74" t="e">
        <f t="shared" si="7"/>
        <v>#DIV/0!</v>
      </c>
      <c r="R25" s="74" t="e">
        <f t="shared" si="8"/>
        <v>#DIV/0!</v>
      </c>
      <c r="S25" s="77" t="e">
        <f t="shared" si="9"/>
        <v>#DIV/0!</v>
      </c>
      <c r="T25" s="74" t="e">
        <f t="shared" si="10"/>
        <v>#DIV/0!</v>
      </c>
      <c r="U25" s="78" t="e">
        <f t="shared" si="11"/>
        <v>#DIV/0!</v>
      </c>
    </row>
    <row r="26" spans="1:21" x14ac:dyDescent="0.2">
      <c r="A26" s="71" t="s">
        <v>588</v>
      </c>
      <c r="B26" s="72" t="s">
        <v>300</v>
      </c>
      <c r="C26" s="72" t="s">
        <v>330</v>
      </c>
      <c r="D26" s="72" t="s">
        <v>543</v>
      </c>
      <c r="E26" s="72" t="s">
        <v>300</v>
      </c>
      <c r="F26" s="73" t="s">
        <v>594</v>
      </c>
      <c r="G26" s="72" t="s">
        <v>353</v>
      </c>
      <c r="H26" s="72" t="s">
        <v>284</v>
      </c>
      <c r="I26" s="72" t="s">
        <v>29</v>
      </c>
      <c r="J26" s="72" t="s">
        <v>187</v>
      </c>
      <c r="K26" s="74">
        <v>217.3</v>
      </c>
      <c r="L26" s="74">
        <f t="shared" si="6"/>
        <v>20.451764705882354</v>
      </c>
      <c r="M26" s="75">
        <f>prodnorm143</f>
        <v>0</v>
      </c>
      <c r="N26" s="76">
        <f>dagwerk143</f>
        <v>0</v>
      </c>
      <c r="O26" s="72" t="s">
        <v>54</v>
      </c>
      <c r="P26" s="77">
        <f>uurtarief143</f>
        <v>0</v>
      </c>
      <c r="Q26" s="74" t="e">
        <f t="shared" si="7"/>
        <v>#DIV/0!</v>
      </c>
      <c r="R26" s="74" t="e">
        <f t="shared" si="8"/>
        <v>#DIV/0!</v>
      </c>
      <c r="S26" s="77" t="e">
        <f t="shared" si="9"/>
        <v>#DIV/0!</v>
      </c>
      <c r="T26" s="74" t="e">
        <f t="shared" si="10"/>
        <v>#DIV/0!</v>
      </c>
      <c r="U26" s="78" t="e">
        <f t="shared" si="11"/>
        <v>#DIV/0!</v>
      </c>
    </row>
    <row r="27" spans="1:21" x14ac:dyDescent="0.2">
      <c r="A27" s="71" t="s">
        <v>588</v>
      </c>
      <c r="B27" s="72" t="s">
        <v>300</v>
      </c>
      <c r="C27" s="72" t="s">
        <v>330</v>
      </c>
      <c r="D27" s="72" t="s">
        <v>354</v>
      </c>
      <c r="E27" s="72" t="s">
        <v>300</v>
      </c>
      <c r="F27" s="73" t="s">
        <v>345</v>
      </c>
      <c r="G27" s="72" t="s">
        <v>323</v>
      </c>
      <c r="H27" s="72" t="s">
        <v>285</v>
      </c>
      <c r="I27" s="72" t="s">
        <v>29</v>
      </c>
      <c r="J27" s="72" t="s">
        <v>187</v>
      </c>
      <c r="K27" s="74">
        <v>28.1</v>
      </c>
      <c r="L27" s="74">
        <f t="shared" si="6"/>
        <v>2.6447058823529415</v>
      </c>
      <c r="M27" s="75">
        <f>prodnorm144</f>
        <v>0</v>
      </c>
      <c r="N27" s="76">
        <f>dagwerk144</f>
        <v>0</v>
      </c>
      <c r="O27" s="72" t="s">
        <v>54</v>
      </c>
      <c r="P27" s="77">
        <f>uurtarief144</f>
        <v>0</v>
      </c>
      <c r="Q27" s="74" t="e">
        <f t="shared" si="7"/>
        <v>#DIV/0!</v>
      </c>
      <c r="R27" s="74" t="e">
        <f t="shared" si="8"/>
        <v>#DIV/0!</v>
      </c>
      <c r="S27" s="77" t="e">
        <f t="shared" si="9"/>
        <v>#DIV/0!</v>
      </c>
      <c r="T27" s="74" t="e">
        <f t="shared" si="10"/>
        <v>#DIV/0!</v>
      </c>
      <c r="U27" s="78" t="e">
        <f t="shared" si="11"/>
        <v>#DIV/0!</v>
      </c>
    </row>
    <row r="28" spans="1:21" x14ac:dyDescent="0.2">
      <c r="A28" s="71" t="s">
        <v>588</v>
      </c>
      <c r="B28" s="72" t="s">
        <v>300</v>
      </c>
      <c r="C28" s="72" t="s">
        <v>330</v>
      </c>
      <c r="D28" s="72" t="s">
        <v>363</v>
      </c>
      <c r="E28" s="72" t="s">
        <v>300</v>
      </c>
      <c r="F28" s="73" t="s">
        <v>345</v>
      </c>
      <c r="G28" s="72" t="s">
        <v>304</v>
      </c>
      <c r="H28" s="72" t="s">
        <v>284</v>
      </c>
      <c r="I28" s="72" t="s">
        <v>29</v>
      </c>
      <c r="J28" s="72" t="s">
        <v>187</v>
      </c>
      <c r="K28" s="74">
        <v>12.6</v>
      </c>
      <c r="L28" s="74">
        <f t="shared" si="6"/>
        <v>1.1858823529411764</v>
      </c>
      <c r="M28" s="75">
        <f>prodnorm143</f>
        <v>0</v>
      </c>
      <c r="N28" s="76">
        <f>dagwerk143</f>
        <v>0</v>
      </c>
      <c r="O28" s="72" t="s">
        <v>54</v>
      </c>
      <c r="P28" s="77">
        <f>uurtarief143</f>
        <v>0</v>
      </c>
      <c r="Q28" s="74" t="e">
        <f t="shared" si="7"/>
        <v>#DIV/0!</v>
      </c>
      <c r="R28" s="74" t="e">
        <f t="shared" si="8"/>
        <v>#DIV/0!</v>
      </c>
      <c r="S28" s="77" t="e">
        <f t="shared" si="9"/>
        <v>#DIV/0!</v>
      </c>
      <c r="T28" s="74" t="e">
        <f t="shared" si="10"/>
        <v>#DIV/0!</v>
      </c>
      <c r="U28" s="78" t="e">
        <f t="shared" si="11"/>
        <v>#DIV/0!</v>
      </c>
    </row>
    <row r="29" spans="1:21" x14ac:dyDescent="0.2">
      <c r="A29" s="71" t="s">
        <v>588</v>
      </c>
      <c r="B29" s="72" t="s">
        <v>300</v>
      </c>
      <c r="C29" s="72" t="s">
        <v>330</v>
      </c>
      <c r="D29" s="72" t="s">
        <v>365</v>
      </c>
      <c r="E29" s="72" t="s">
        <v>300</v>
      </c>
      <c r="F29" s="73" t="s">
        <v>597</v>
      </c>
      <c r="G29" s="72" t="s">
        <v>309</v>
      </c>
      <c r="H29" s="72" t="s">
        <v>282</v>
      </c>
      <c r="I29" s="72" t="s">
        <v>29</v>
      </c>
      <c r="J29" s="72" t="s">
        <v>187</v>
      </c>
      <c r="K29" s="74">
        <v>5.3</v>
      </c>
      <c r="L29" s="74">
        <f t="shared" si="6"/>
        <v>0.49882352941176467</v>
      </c>
      <c r="M29" s="75">
        <f>prodnorm140</f>
        <v>0</v>
      </c>
      <c r="N29" s="76">
        <f>dagwerk140</f>
        <v>0</v>
      </c>
      <c r="O29" s="72" t="s">
        <v>54</v>
      </c>
      <c r="P29" s="77">
        <f>uurtarief140</f>
        <v>0</v>
      </c>
      <c r="Q29" s="74" t="e">
        <f t="shared" si="7"/>
        <v>#DIV/0!</v>
      </c>
      <c r="R29" s="74" t="e">
        <f t="shared" si="8"/>
        <v>#DIV/0!</v>
      </c>
      <c r="S29" s="77" t="e">
        <f t="shared" si="9"/>
        <v>#DIV/0!</v>
      </c>
      <c r="T29" s="74" t="e">
        <f t="shared" si="10"/>
        <v>#DIV/0!</v>
      </c>
      <c r="U29" s="78" t="e">
        <f t="shared" si="11"/>
        <v>#DIV/0!</v>
      </c>
    </row>
    <row r="30" spans="1:21" x14ac:dyDescent="0.2">
      <c r="A30" s="71" t="s">
        <v>588</v>
      </c>
      <c r="B30" s="72" t="s">
        <v>300</v>
      </c>
      <c r="C30" s="72" t="s">
        <v>330</v>
      </c>
      <c r="D30" s="72" t="s">
        <v>549</v>
      </c>
      <c r="E30" s="72" t="s">
        <v>300</v>
      </c>
      <c r="F30" s="73" t="s">
        <v>598</v>
      </c>
      <c r="G30" s="72" t="s">
        <v>309</v>
      </c>
      <c r="H30" s="72" t="s">
        <v>282</v>
      </c>
      <c r="I30" s="72" t="s">
        <v>29</v>
      </c>
      <c r="J30" s="72" t="s">
        <v>187</v>
      </c>
      <c r="K30" s="74">
        <v>11.1</v>
      </c>
      <c r="L30" s="74">
        <f t="shared" si="6"/>
        <v>1.0447058823529412</v>
      </c>
      <c r="M30" s="75">
        <f>prodnorm140</f>
        <v>0</v>
      </c>
      <c r="N30" s="76">
        <f>dagwerk140</f>
        <v>0</v>
      </c>
      <c r="O30" s="72" t="s">
        <v>54</v>
      </c>
      <c r="P30" s="77">
        <f>uurtarief140</f>
        <v>0</v>
      </c>
      <c r="Q30" s="74" t="e">
        <f t="shared" si="7"/>
        <v>#DIV/0!</v>
      </c>
      <c r="R30" s="74" t="e">
        <f t="shared" si="8"/>
        <v>#DIV/0!</v>
      </c>
      <c r="S30" s="77" t="e">
        <f t="shared" si="9"/>
        <v>#DIV/0!</v>
      </c>
      <c r="T30" s="74" t="e">
        <f t="shared" si="10"/>
        <v>#DIV/0!</v>
      </c>
      <c r="U30" s="78" t="e">
        <f t="shared" si="11"/>
        <v>#DIV/0!</v>
      </c>
    </row>
    <row r="31" spans="1:21" x14ac:dyDescent="0.2">
      <c r="A31" s="71" t="s">
        <v>588</v>
      </c>
      <c r="B31" s="72" t="s">
        <v>300</v>
      </c>
      <c r="C31" s="72" t="s">
        <v>330</v>
      </c>
      <c r="D31" s="72" t="s">
        <v>599</v>
      </c>
      <c r="E31" s="72" t="s">
        <v>300</v>
      </c>
      <c r="F31" s="73" t="s">
        <v>600</v>
      </c>
      <c r="G31" s="72" t="s">
        <v>309</v>
      </c>
      <c r="H31" s="72" t="s">
        <v>282</v>
      </c>
      <c r="I31" s="72" t="s">
        <v>29</v>
      </c>
      <c r="J31" s="72" t="s">
        <v>187</v>
      </c>
      <c r="K31" s="74">
        <v>14</v>
      </c>
      <c r="L31" s="74">
        <f t="shared" si="6"/>
        <v>1.3176470588235294</v>
      </c>
      <c r="M31" s="75">
        <f>prodnorm140</f>
        <v>0</v>
      </c>
      <c r="N31" s="76">
        <f>dagwerk140</f>
        <v>0</v>
      </c>
      <c r="O31" s="72" t="s">
        <v>54</v>
      </c>
      <c r="P31" s="77">
        <f>uurtarief140</f>
        <v>0</v>
      </c>
      <c r="Q31" s="74" t="e">
        <f t="shared" si="7"/>
        <v>#DIV/0!</v>
      </c>
      <c r="R31" s="74" t="e">
        <f t="shared" si="8"/>
        <v>#DIV/0!</v>
      </c>
      <c r="S31" s="77" t="e">
        <f t="shared" si="9"/>
        <v>#DIV/0!</v>
      </c>
      <c r="T31" s="74" t="e">
        <f t="shared" si="10"/>
        <v>#DIV/0!</v>
      </c>
      <c r="U31" s="78" t="e">
        <f t="shared" si="11"/>
        <v>#DIV/0!</v>
      </c>
    </row>
    <row r="32" spans="1:21" x14ac:dyDescent="0.2">
      <c r="A32" s="71" t="s">
        <v>588</v>
      </c>
      <c r="B32" s="72" t="s">
        <v>300</v>
      </c>
      <c r="C32" s="72" t="s">
        <v>406</v>
      </c>
      <c r="D32" s="72" t="s">
        <v>407</v>
      </c>
      <c r="E32" s="72" t="s">
        <v>300</v>
      </c>
      <c r="F32" s="73" t="s">
        <v>590</v>
      </c>
      <c r="G32" s="72" t="s">
        <v>323</v>
      </c>
      <c r="H32" s="72" t="s">
        <v>285</v>
      </c>
      <c r="I32" s="72" t="s">
        <v>29</v>
      </c>
      <c r="J32" s="72" t="s">
        <v>187</v>
      </c>
      <c r="K32" s="74">
        <v>29.1</v>
      </c>
      <c r="L32" s="74">
        <f t="shared" si="6"/>
        <v>2.7388235294117647</v>
      </c>
      <c r="M32" s="75">
        <f>prodnorm144</f>
        <v>0</v>
      </c>
      <c r="N32" s="76">
        <f>dagwerk144</f>
        <v>0</v>
      </c>
      <c r="O32" s="72" t="s">
        <v>54</v>
      </c>
      <c r="P32" s="77">
        <f>uurtarief144</f>
        <v>0</v>
      </c>
      <c r="Q32" s="74" t="e">
        <f t="shared" si="7"/>
        <v>#DIV/0!</v>
      </c>
      <c r="R32" s="74" t="e">
        <f t="shared" si="8"/>
        <v>#DIV/0!</v>
      </c>
      <c r="S32" s="77" t="e">
        <f t="shared" si="9"/>
        <v>#DIV/0!</v>
      </c>
      <c r="T32" s="74" t="e">
        <f t="shared" si="10"/>
        <v>#DIV/0!</v>
      </c>
      <c r="U32" s="78" t="e">
        <f t="shared" si="11"/>
        <v>#DIV/0!</v>
      </c>
    </row>
    <row r="33" spans="1:21" x14ac:dyDescent="0.2">
      <c r="A33" s="71" t="s">
        <v>588</v>
      </c>
      <c r="B33" s="72" t="s">
        <v>300</v>
      </c>
      <c r="C33" s="72" t="s">
        <v>406</v>
      </c>
      <c r="D33" s="72" t="s">
        <v>417</v>
      </c>
      <c r="E33" s="72" t="s">
        <v>300</v>
      </c>
      <c r="F33" s="73" t="s">
        <v>313</v>
      </c>
      <c r="G33" s="72" t="s">
        <v>326</v>
      </c>
      <c r="H33" s="72" t="s">
        <v>282</v>
      </c>
      <c r="I33" s="72" t="s">
        <v>29</v>
      </c>
      <c r="J33" s="72" t="s">
        <v>187</v>
      </c>
      <c r="K33" s="74">
        <v>17.600000000000001</v>
      </c>
      <c r="L33" s="74">
        <f t="shared" si="6"/>
        <v>1.6564705882352941</v>
      </c>
      <c r="M33" s="75">
        <f>prodnorm140</f>
        <v>0</v>
      </c>
      <c r="N33" s="76">
        <f>dagwerk140</f>
        <v>0</v>
      </c>
      <c r="O33" s="72" t="s">
        <v>54</v>
      </c>
      <c r="P33" s="77">
        <f>uurtarief140</f>
        <v>0</v>
      </c>
      <c r="Q33" s="74" t="e">
        <f t="shared" si="7"/>
        <v>#DIV/0!</v>
      </c>
      <c r="R33" s="74" t="e">
        <f t="shared" si="8"/>
        <v>#DIV/0!</v>
      </c>
      <c r="S33" s="77" t="e">
        <f t="shared" si="9"/>
        <v>#DIV/0!</v>
      </c>
      <c r="T33" s="74" t="e">
        <f t="shared" si="10"/>
        <v>#DIV/0!</v>
      </c>
      <c r="U33" s="78" t="e">
        <f t="shared" si="11"/>
        <v>#DIV/0!</v>
      </c>
    </row>
    <row r="34" spans="1:21" x14ac:dyDescent="0.2">
      <c r="A34" s="71" t="s">
        <v>588</v>
      </c>
      <c r="B34" s="72" t="s">
        <v>300</v>
      </c>
      <c r="C34" s="72" t="s">
        <v>406</v>
      </c>
      <c r="D34" s="72" t="s">
        <v>418</v>
      </c>
      <c r="E34" s="72" t="s">
        <v>300</v>
      </c>
      <c r="F34" s="73" t="s">
        <v>313</v>
      </c>
      <c r="G34" s="72" t="s">
        <v>326</v>
      </c>
      <c r="H34" s="72" t="s">
        <v>282</v>
      </c>
      <c r="I34" s="72" t="s">
        <v>29</v>
      </c>
      <c r="J34" s="72" t="s">
        <v>187</v>
      </c>
      <c r="K34" s="74">
        <v>25.8</v>
      </c>
      <c r="L34" s="74">
        <f t="shared" si="6"/>
        <v>2.428235294117647</v>
      </c>
      <c r="M34" s="75">
        <f>prodnorm140</f>
        <v>0</v>
      </c>
      <c r="N34" s="76">
        <f>dagwerk140</f>
        <v>0</v>
      </c>
      <c r="O34" s="72" t="s">
        <v>54</v>
      </c>
      <c r="P34" s="77">
        <f>uurtarief140</f>
        <v>0</v>
      </c>
      <c r="Q34" s="74" t="e">
        <f t="shared" si="7"/>
        <v>#DIV/0!</v>
      </c>
      <c r="R34" s="74" t="e">
        <f t="shared" si="8"/>
        <v>#DIV/0!</v>
      </c>
      <c r="S34" s="77" t="e">
        <f t="shared" si="9"/>
        <v>#DIV/0!</v>
      </c>
      <c r="T34" s="74" t="e">
        <f t="shared" si="10"/>
        <v>#DIV/0!</v>
      </c>
      <c r="U34" s="78" t="e">
        <f t="shared" si="11"/>
        <v>#DIV/0!</v>
      </c>
    </row>
    <row r="35" spans="1:21" x14ac:dyDescent="0.2">
      <c r="A35" s="71" t="s">
        <v>588</v>
      </c>
      <c r="B35" s="72" t="s">
        <v>300</v>
      </c>
      <c r="C35" s="72" t="s">
        <v>406</v>
      </c>
      <c r="D35" s="72" t="s">
        <v>614</v>
      </c>
      <c r="E35" s="72" t="s">
        <v>300</v>
      </c>
      <c r="F35" s="73" t="s">
        <v>313</v>
      </c>
      <c r="G35" s="72" t="s">
        <v>326</v>
      </c>
      <c r="H35" s="72" t="s">
        <v>282</v>
      </c>
      <c r="I35" s="72" t="s">
        <v>29</v>
      </c>
      <c r="J35" s="72" t="s">
        <v>187</v>
      </c>
      <c r="K35" s="74">
        <v>13.5</v>
      </c>
      <c r="L35" s="74">
        <f t="shared" si="6"/>
        <v>1.2705882352941176</v>
      </c>
      <c r="M35" s="75">
        <f>prodnorm140</f>
        <v>0</v>
      </c>
      <c r="N35" s="76">
        <f>dagwerk140</f>
        <v>0</v>
      </c>
      <c r="O35" s="72" t="s">
        <v>54</v>
      </c>
      <c r="P35" s="77">
        <f>uurtarief140</f>
        <v>0</v>
      </c>
      <c r="Q35" s="74" t="e">
        <f t="shared" si="7"/>
        <v>#DIV/0!</v>
      </c>
      <c r="R35" s="74" t="e">
        <f t="shared" si="8"/>
        <v>#DIV/0!</v>
      </c>
      <c r="S35" s="77" t="e">
        <f t="shared" si="9"/>
        <v>#DIV/0!</v>
      </c>
      <c r="T35" s="74" t="e">
        <f t="shared" si="10"/>
        <v>#DIV/0!</v>
      </c>
      <c r="U35" s="78" t="e">
        <f t="shared" si="11"/>
        <v>#DIV/0!</v>
      </c>
    </row>
    <row r="36" spans="1:21" x14ac:dyDescent="0.2">
      <c r="A36" s="71" t="s">
        <v>588</v>
      </c>
      <c r="B36" s="72" t="s">
        <v>300</v>
      </c>
      <c r="C36" s="72" t="s">
        <v>406</v>
      </c>
      <c r="D36" s="72" t="s">
        <v>419</v>
      </c>
      <c r="E36" s="72" t="s">
        <v>300</v>
      </c>
      <c r="F36" s="73" t="s">
        <v>615</v>
      </c>
      <c r="G36" s="72" t="s">
        <v>309</v>
      </c>
      <c r="H36" s="72" t="s">
        <v>277</v>
      </c>
      <c r="I36" s="72" t="s">
        <v>29</v>
      </c>
      <c r="J36" s="72" t="s">
        <v>187</v>
      </c>
      <c r="K36" s="74">
        <v>2.2000000000000002</v>
      </c>
      <c r="L36" s="74">
        <f t="shared" si="6"/>
        <v>0.20705882352941177</v>
      </c>
      <c r="M36" s="75">
        <f>prodnorm135</f>
        <v>0</v>
      </c>
      <c r="N36" s="76">
        <f>dagwerk135</f>
        <v>0</v>
      </c>
      <c r="O36" s="72" t="s">
        <v>54</v>
      </c>
      <c r="P36" s="77">
        <f>uurtarief135</f>
        <v>0</v>
      </c>
      <c r="Q36" s="74" t="e">
        <f t="shared" si="7"/>
        <v>#DIV/0!</v>
      </c>
      <c r="R36" s="74" t="e">
        <f t="shared" si="8"/>
        <v>#DIV/0!</v>
      </c>
      <c r="S36" s="77" t="e">
        <f t="shared" si="9"/>
        <v>#DIV/0!</v>
      </c>
      <c r="T36" s="74" t="e">
        <f t="shared" si="10"/>
        <v>#DIV/0!</v>
      </c>
      <c r="U36" s="78" t="e">
        <f t="shared" si="11"/>
        <v>#DIV/0!</v>
      </c>
    </row>
    <row r="37" spans="1:21" x14ac:dyDescent="0.2">
      <c r="A37" s="71" t="s">
        <v>588</v>
      </c>
      <c r="B37" s="72" t="s">
        <v>300</v>
      </c>
      <c r="C37" s="72" t="s">
        <v>406</v>
      </c>
      <c r="D37" s="72" t="s">
        <v>616</v>
      </c>
      <c r="E37" s="72" t="s">
        <v>300</v>
      </c>
      <c r="F37" s="73" t="s">
        <v>319</v>
      </c>
      <c r="G37" s="72" t="s">
        <v>309</v>
      </c>
      <c r="H37" s="72" t="s">
        <v>282</v>
      </c>
      <c r="I37" s="72" t="s">
        <v>29</v>
      </c>
      <c r="J37" s="72" t="s">
        <v>187</v>
      </c>
      <c r="K37" s="74">
        <v>3</v>
      </c>
      <c r="L37" s="74">
        <f t="shared" si="6"/>
        <v>0.28235294117647058</v>
      </c>
      <c r="M37" s="75">
        <f>prodnorm140</f>
        <v>0</v>
      </c>
      <c r="N37" s="76">
        <f>dagwerk140</f>
        <v>0</v>
      </c>
      <c r="O37" s="72" t="s">
        <v>54</v>
      </c>
      <c r="P37" s="77">
        <f>uurtarief140</f>
        <v>0</v>
      </c>
      <c r="Q37" s="74" t="e">
        <f t="shared" si="7"/>
        <v>#DIV/0!</v>
      </c>
      <c r="R37" s="74" t="e">
        <f t="shared" si="8"/>
        <v>#DIV/0!</v>
      </c>
      <c r="S37" s="77" t="e">
        <f t="shared" si="9"/>
        <v>#DIV/0!</v>
      </c>
      <c r="T37" s="74" t="e">
        <f t="shared" si="10"/>
        <v>#DIV/0!</v>
      </c>
      <c r="U37" s="78" t="e">
        <f t="shared" si="11"/>
        <v>#DIV/0!</v>
      </c>
    </row>
    <row r="38" spans="1:21" x14ac:dyDescent="0.2">
      <c r="A38" s="71" t="s">
        <v>588</v>
      </c>
      <c r="B38" s="72" t="s">
        <v>300</v>
      </c>
      <c r="C38" s="72" t="s">
        <v>406</v>
      </c>
      <c r="D38" s="72" t="s">
        <v>617</v>
      </c>
      <c r="E38" s="72" t="s">
        <v>300</v>
      </c>
      <c r="F38" s="73" t="s">
        <v>319</v>
      </c>
      <c r="G38" s="72" t="s">
        <v>309</v>
      </c>
      <c r="H38" s="72" t="s">
        <v>282</v>
      </c>
      <c r="I38" s="72" t="s">
        <v>29</v>
      </c>
      <c r="J38" s="72" t="s">
        <v>187</v>
      </c>
      <c r="K38" s="74">
        <v>3</v>
      </c>
      <c r="L38" s="74">
        <f t="shared" si="6"/>
        <v>0.28235294117647058</v>
      </c>
      <c r="M38" s="75">
        <f>prodnorm140</f>
        <v>0</v>
      </c>
      <c r="N38" s="76">
        <f>dagwerk140</f>
        <v>0</v>
      </c>
      <c r="O38" s="72" t="s">
        <v>54</v>
      </c>
      <c r="P38" s="77">
        <f>uurtarief140</f>
        <v>0</v>
      </c>
      <c r="Q38" s="74" t="e">
        <f t="shared" si="7"/>
        <v>#DIV/0!</v>
      </c>
      <c r="R38" s="74" t="e">
        <f t="shared" si="8"/>
        <v>#DIV/0!</v>
      </c>
      <c r="S38" s="77" t="e">
        <f t="shared" si="9"/>
        <v>#DIV/0!</v>
      </c>
      <c r="T38" s="74" t="e">
        <f t="shared" si="10"/>
        <v>#DIV/0!</v>
      </c>
      <c r="U38" s="78" t="e">
        <f t="shared" si="11"/>
        <v>#DIV/0!</v>
      </c>
    </row>
    <row r="39" spans="1:21" x14ac:dyDescent="0.2">
      <c r="A39" s="71" t="s">
        <v>588</v>
      </c>
      <c r="B39" s="72" t="s">
        <v>300</v>
      </c>
      <c r="C39" s="72" t="s">
        <v>406</v>
      </c>
      <c r="D39" s="72" t="s">
        <v>420</v>
      </c>
      <c r="E39" s="72" t="s">
        <v>300</v>
      </c>
      <c r="F39" s="73" t="s">
        <v>615</v>
      </c>
      <c r="G39" s="72" t="s">
        <v>309</v>
      </c>
      <c r="H39" s="72" t="s">
        <v>277</v>
      </c>
      <c r="I39" s="72" t="s">
        <v>29</v>
      </c>
      <c r="J39" s="72" t="s">
        <v>187</v>
      </c>
      <c r="K39" s="74">
        <v>2.2000000000000002</v>
      </c>
      <c r="L39" s="74">
        <f t="shared" si="6"/>
        <v>0.20705882352941177</v>
      </c>
      <c r="M39" s="75">
        <f>prodnorm135</f>
        <v>0</v>
      </c>
      <c r="N39" s="76">
        <f>dagwerk135</f>
        <v>0</v>
      </c>
      <c r="O39" s="72" t="s">
        <v>54</v>
      </c>
      <c r="P39" s="77">
        <f>uurtarief135</f>
        <v>0</v>
      </c>
      <c r="Q39" s="74" t="e">
        <f t="shared" si="7"/>
        <v>#DIV/0!</v>
      </c>
      <c r="R39" s="74" t="e">
        <f t="shared" si="8"/>
        <v>#DIV/0!</v>
      </c>
      <c r="S39" s="77" t="e">
        <f t="shared" si="9"/>
        <v>#DIV/0!</v>
      </c>
      <c r="T39" s="74" t="e">
        <f t="shared" si="10"/>
        <v>#DIV/0!</v>
      </c>
      <c r="U39" s="78" t="e">
        <f t="shared" si="11"/>
        <v>#DIV/0!</v>
      </c>
    </row>
    <row r="40" spans="1:21" x14ac:dyDescent="0.2">
      <c r="A40" s="71" t="s">
        <v>588</v>
      </c>
      <c r="B40" s="72" t="s">
        <v>300</v>
      </c>
      <c r="C40" s="72" t="s">
        <v>406</v>
      </c>
      <c r="D40" s="72" t="s">
        <v>619</v>
      </c>
      <c r="E40" s="72" t="s">
        <v>300</v>
      </c>
      <c r="F40" s="73" t="s">
        <v>598</v>
      </c>
      <c r="G40" s="72" t="s">
        <v>309</v>
      </c>
      <c r="H40" s="72" t="s">
        <v>282</v>
      </c>
      <c r="I40" s="72" t="s">
        <v>29</v>
      </c>
      <c r="J40" s="72" t="s">
        <v>187</v>
      </c>
      <c r="K40" s="74">
        <v>4</v>
      </c>
      <c r="L40" s="74">
        <f t="shared" si="6"/>
        <v>0.37647058823529411</v>
      </c>
      <c r="M40" s="75">
        <f>prodnorm140</f>
        <v>0</v>
      </c>
      <c r="N40" s="76">
        <f>dagwerk140</f>
        <v>0</v>
      </c>
      <c r="O40" s="72" t="s">
        <v>54</v>
      </c>
      <c r="P40" s="77">
        <f>uurtarief140</f>
        <v>0</v>
      </c>
      <c r="Q40" s="74" t="e">
        <f t="shared" si="7"/>
        <v>#DIV/0!</v>
      </c>
      <c r="R40" s="74" t="e">
        <f t="shared" si="8"/>
        <v>#DIV/0!</v>
      </c>
      <c r="S40" s="77" t="e">
        <f t="shared" si="9"/>
        <v>#DIV/0!</v>
      </c>
      <c r="T40" s="74" t="e">
        <f t="shared" si="10"/>
        <v>#DIV/0!</v>
      </c>
      <c r="U40" s="78" t="e">
        <f t="shared" si="11"/>
        <v>#DIV/0!</v>
      </c>
    </row>
    <row r="41" spans="1:21" x14ac:dyDescent="0.2">
      <c r="A41" s="79" t="s">
        <v>588</v>
      </c>
      <c r="B41" s="80" t="s">
        <v>300</v>
      </c>
      <c r="C41" s="80" t="s">
        <v>406</v>
      </c>
      <c r="D41" s="80" t="s">
        <v>620</v>
      </c>
      <c r="E41" s="80" t="s">
        <v>300</v>
      </c>
      <c r="F41" s="81" t="s">
        <v>600</v>
      </c>
      <c r="G41" s="80" t="s">
        <v>309</v>
      </c>
      <c r="H41" s="80" t="s">
        <v>282</v>
      </c>
      <c r="I41" s="80" t="s">
        <v>29</v>
      </c>
      <c r="J41" s="80" t="s">
        <v>187</v>
      </c>
      <c r="K41" s="82">
        <v>4.9000000000000004</v>
      </c>
      <c r="L41" s="82">
        <f t="shared" si="6"/>
        <v>0.4611764705882353</v>
      </c>
      <c r="M41" s="83">
        <f>prodnorm140</f>
        <v>0</v>
      </c>
      <c r="N41" s="84">
        <f>dagwerk140</f>
        <v>0</v>
      </c>
      <c r="O41" s="80" t="s">
        <v>54</v>
      </c>
      <c r="P41" s="85">
        <f>uurtarief140</f>
        <v>0</v>
      </c>
      <c r="Q41" s="82" t="e">
        <f t="shared" si="7"/>
        <v>#DIV/0!</v>
      </c>
      <c r="R41" s="82" t="e">
        <f t="shared" si="8"/>
        <v>#DIV/0!</v>
      </c>
      <c r="S41" s="85" t="e">
        <f t="shared" si="9"/>
        <v>#DIV/0!</v>
      </c>
      <c r="T41" s="82" t="e">
        <f t="shared" si="10"/>
        <v>#DIV/0!</v>
      </c>
      <c r="U41" s="86" t="e">
        <f t="shared" si="11"/>
        <v>#DIV/0!</v>
      </c>
    </row>
    <row r="42" spans="1:21" x14ac:dyDescent="0.2">
      <c r="A42" s="50" t="s">
        <v>770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3" t="e">
        <f>IF(_xlfn.SINGLE(object6_urenjaar4)&gt;0,_xlfn.SINGLE(object6_prijsjaar4)/_xlfn.SINGLE(object6_urenjaar4),0)</f>
        <v>#DIV/0!</v>
      </c>
      <c r="Q42" s="52" t="e">
        <f>SUM(Q23:Q41)</f>
        <v>#DIV/0!</v>
      </c>
      <c r="R42" s="52" t="e">
        <f>SUM(R23:R41)</f>
        <v>#DIV/0!</v>
      </c>
      <c r="S42" s="53" t="e">
        <f>SUM(S23:S41)</f>
        <v>#DIV/0!</v>
      </c>
      <c r="T42" s="52" t="e">
        <f>SUM(T23:T41)</f>
        <v>#DIV/0!</v>
      </c>
      <c r="U42" s="53" t="e">
        <f>SUM(U23:U41)</f>
        <v>#DIV/0!</v>
      </c>
    </row>
  </sheetData>
  <autoFilter ref="A3:U42" xr:uid="{864E1844-5F5F-4C9C-8ACD-C8C8220AF4D9}"/>
  <pageMargins left="0.7" right="0.7" top="0.75" bottom="0.75" header="0.3" footer="0.3"/>
  <pageSetup paperSize="9" scale="61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1F68-A63C-4BF5-89FD-FA9011E9E361}">
  <dimension ref="A1:Z134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6" width="12.625" customWidth="1"/>
  </cols>
  <sheetData>
    <row r="1" spans="1:26" x14ac:dyDescent="0.2">
      <c r="A1" s="1" t="s">
        <v>771</v>
      </c>
    </row>
    <row r="3" spans="1:26" ht="25.5" x14ac:dyDescent="0.2">
      <c r="A3" s="88" t="s">
        <v>178</v>
      </c>
      <c r="B3" s="88" t="s">
        <v>8</v>
      </c>
      <c r="C3" s="89" t="s">
        <v>772</v>
      </c>
      <c r="D3" s="89" t="s">
        <v>773</v>
      </c>
      <c r="E3" s="89" t="s">
        <v>774</v>
      </c>
      <c r="F3" s="89" t="s">
        <v>775</v>
      </c>
      <c r="G3" s="89" t="s">
        <v>776</v>
      </c>
      <c r="H3" s="89" t="s">
        <v>777</v>
      </c>
      <c r="I3" s="88" t="s">
        <v>778</v>
      </c>
      <c r="J3" s="88" t="s">
        <v>779</v>
      </c>
      <c r="K3" s="88" t="s">
        <v>780</v>
      </c>
      <c r="L3" s="88" t="s">
        <v>781</v>
      </c>
      <c r="M3" s="88" t="s">
        <v>782</v>
      </c>
      <c r="N3" s="88" t="s">
        <v>783</v>
      </c>
      <c r="O3" s="88" t="s">
        <v>784</v>
      </c>
      <c r="P3" s="88" t="s">
        <v>785</v>
      </c>
      <c r="Q3" s="88" t="s">
        <v>786</v>
      </c>
      <c r="R3" s="88" t="s">
        <v>787</v>
      </c>
      <c r="S3" s="88" t="s">
        <v>788</v>
      </c>
      <c r="T3" s="88" t="s">
        <v>789</v>
      </c>
      <c r="U3" s="88" t="s">
        <v>790</v>
      </c>
      <c r="V3" s="88" t="s">
        <v>791</v>
      </c>
      <c r="W3" s="88" t="s">
        <v>792</v>
      </c>
      <c r="X3" s="88" t="s">
        <v>793</v>
      </c>
      <c r="Y3" s="88" t="s">
        <v>794</v>
      </c>
      <c r="Z3" s="88" t="s">
        <v>795</v>
      </c>
    </row>
    <row r="4" spans="1:26" x14ac:dyDescent="0.2">
      <c r="A4" s="90"/>
      <c r="B4" s="90"/>
      <c r="C4" s="90"/>
      <c r="D4" s="90"/>
      <c r="E4" s="90"/>
      <c r="F4" s="90"/>
      <c r="G4" s="90"/>
      <c r="H4" s="90"/>
      <c r="I4" s="90"/>
      <c r="J4" s="91" t="s">
        <v>180</v>
      </c>
      <c r="K4" s="91" t="s">
        <v>180</v>
      </c>
      <c r="L4" s="91" t="s">
        <v>180</v>
      </c>
      <c r="M4" s="91" t="s">
        <v>180</v>
      </c>
      <c r="N4" s="91" t="s">
        <v>180</v>
      </c>
      <c r="O4" s="91" t="s">
        <v>180</v>
      </c>
      <c r="P4" s="91" t="s">
        <v>180</v>
      </c>
      <c r="Q4" s="91" t="s">
        <v>180</v>
      </c>
      <c r="R4" s="91" t="s">
        <v>180</v>
      </c>
      <c r="S4" s="91" t="s">
        <v>180</v>
      </c>
      <c r="T4" s="91" t="s">
        <v>180</v>
      </c>
      <c r="U4" s="91" t="s">
        <v>180</v>
      </c>
      <c r="V4" s="91" t="s">
        <v>180</v>
      </c>
      <c r="W4" s="91" t="s">
        <v>180</v>
      </c>
      <c r="X4" s="91" t="s">
        <v>180</v>
      </c>
      <c r="Y4" s="91" t="s">
        <v>180</v>
      </c>
      <c r="Z4" s="91" t="s">
        <v>180</v>
      </c>
    </row>
    <row r="5" spans="1:26" x14ac:dyDescent="0.2">
      <c r="A5" s="17" t="s">
        <v>186</v>
      </c>
      <c r="B5" s="17" t="s">
        <v>35</v>
      </c>
      <c r="C5" s="17" t="s">
        <v>796</v>
      </c>
      <c r="D5" s="17" t="s">
        <v>187</v>
      </c>
      <c r="E5" s="37">
        <f t="shared" ref="E5:E36" si="0">IF(B5="","",VLOOKUP(B5,dagsoorttabel1,2,FALSE))</f>
        <v>4.7058823529411764E-2</v>
      </c>
      <c r="F5" s="37">
        <v>1</v>
      </c>
      <c r="G5" s="37">
        <f>IF(prodnorm23&gt;0,1/ROUND(prodnorm23,4),0)</f>
        <v>0</v>
      </c>
      <c r="H5" s="39">
        <f>ROUND(dagwerk23,4+2)</f>
        <v>0</v>
      </c>
      <c r="I5" s="40">
        <f>ROUND(uurtarief23,2)</f>
        <v>0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80.900000000000006</v>
      </c>
      <c r="P5" s="37">
        <v>0</v>
      </c>
      <c r="Q5" s="37">
        <v>0</v>
      </c>
      <c r="R5" s="37">
        <v>0</v>
      </c>
      <c r="S5" s="37">
        <v>0</v>
      </c>
      <c r="T5" s="37">
        <v>0</v>
      </c>
      <c r="U5" s="37">
        <v>0</v>
      </c>
      <c r="V5" s="37">
        <v>0</v>
      </c>
      <c r="W5" s="37">
        <v>0</v>
      </c>
      <c r="X5" s="37">
        <v>0</v>
      </c>
      <c r="Y5" s="37">
        <v>0</v>
      </c>
      <c r="Z5" s="37">
        <v>0</v>
      </c>
    </row>
    <row r="6" spans="1:26" x14ac:dyDescent="0.2">
      <c r="A6" s="22" t="s">
        <v>186</v>
      </c>
      <c r="B6" s="22" t="s">
        <v>34</v>
      </c>
      <c r="C6" s="22" t="s">
        <v>796</v>
      </c>
      <c r="D6" s="22" t="s">
        <v>187</v>
      </c>
      <c r="E6" s="41">
        <f t="shared" si="0"/>
        <v>5.4901960784313725E-2</v>
      </c>
      <c r="F6" s="41">
        <v>1</v>
      </c>
      <c r="G6" s="41">
        <f>IF(prodnorm24&gt;0,1/ROUND(prodnorm24,4),0)</f>
        <v>0</v>
      </c>
      <c r="H6" s="43">
        <f>ROUND(dagwerk24,4+2)</f>
        <v>0</v>
      </c>
      <c r="I6" s="44">
        <f>ROUND(uurtarief24,2)</f>
        <v>0</v>
      </c>
      <c r="J6" s="41">
        <v>0</v>
      </c>
      <c r="K6" s="41">
        <v>2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0</v>
      </c>
    </row>
    <row r="7" spans="1:26" x14ac:dyDescent="0.2">
      <c r="A7" s="22" t="s">
        <v>186</v>
      </c>
      <c r="B7" s="22" t="s">
        <v>31</v>
      </c>
      <c r="C7" s="22" t="s">
        <v>796</v>
      </c>
      <c r="D7" s="22" t="s">
        <v>187</v>
      </c>
      <c r="E7" s="41">
        <f t="shared" si="0"/>
        <v>7.4509803921568626E-2</v>
      </c>
      <c r="F7" s="41">
        <v>1</v>
      </c>
      <c r="G7" s="41">
        <f>IF(prodnorm25&gt;0,1/ROUND(prodnorm25,4),0)</f>
        <v>0</v>
      </c>
      <c r="H7" s="43">
        <f>ROUND(dagwerk25,4+2)</f>
        <v>0</v>
      </c>
      <c r="I7" s="44">
        <f>ROUND(uurtarief25,2)</f>
        <v>0</v>
      </c>
      <c r="J7" s="41">
        <v>0</v>
      </c>
      <c r="K7" s="41">
        <v>2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</row>
    <row r="8" spans="1:26" x14ac:dyDescent="0.2">
      <c r="A8" s="22" t="s">
        <v>186</v>
      </c>
      <c r="B8" s="22" t="s">
        <v>24</v>
      </c>
      <c r="C8" s="22" t="s">
        <v>796</v>
      </c>
      <c r="D8" s="22" t="s">
        <v>187</v>
      </c>
      <c r="E8" s="41">
        <f t="shared" si="0"/>
        <v>0.2</v>
      </c>
      <c r="F8" s="41">
        <v>1</v>
      </c>
      <c r="G8" s="41">
        <f>IF(prodnorm26&gt;0,1/ROUND(prodnorm26,4),0)</f>
        <v>0</v>
      </c>
      <c r="H8" s="43">
        <f>ROUND(dagwerk26,4+2)</f>
        <v>0</v>
      </c>
      <c r="I8" s="44">
        <f>ROUND(uurtarief26,2)</f>
        <v>0</v>
      </c>
      <c r="J8" s="41">
        <v>77.78</v>
      </c>
      <c r="K8" s="41">
        <v>0</v>
      </c>
      <c r="L8" s="41">
        <v>0</v>
      </c>
      <c r="M8" s="41">
        <v>18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0</v>
      </c>
      <c r="Z8" s="41">
        <v>0</v>
      </c>
    </row>
    <row r="9" spans="1:26" x14ac:dyDescent="0.2">
      <c r="A9" s="22" t="s">
        <v>189</v>
      </c>
      <c r="B9" s="22" t="s">
        <v>35</v>
      </c>
      <c r="C9" s="22" t="s">
        <v>796</v>
      </c>
      <c r="D9" s="22" t="s">
        <v>187</v>
      </c>
      <c r="E9" s="41">
        <f t="shared" si="0"/>
        <v>4.7058823529411764E-2</v>
      </c>
      <c r="F9" s="41">
        <v>1</v>
      </c>
      <c r="G9" s="41">
        <f>IF(prodnorm27&gt;0,1/ROUND(prodnorm27,4),0)</f>
        <v>0</v>
      </c>
      <c r="H9" s="43">
        <f>ROUND(dagwerk27,4+2)</f>
        <v>0</v>
      </c>
      <c r="I9" s="44">
        <f>ROUND(uurtarief27,2)</f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43.199999999999996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</row>
    <row r="10" spans="1:26" x14ac:dyDescent="0.2">
      <c r="A10" s="22" t="s">
        <v>191</v>
      </c>
      <c r="B10" s="22" t="s">
        <v>35</v>
      </c>
      <c r="C10" s="22" t="s">
        <v>796</v>
      </c>
      <c r="D10" s="22" t="s">
        <v>187</v>
      </c>
      <c r="E10" s="41">
        <f t="shared" si="0"/>
        <v>4.7058823529411764E-2</v>
      </c>
      <c r="F10" s="41">
        <v>1</v>
      </c>
      <c r="G10" s="41">
        <f>IF(prodnorm28&gt;0,1/ROUND(prodnorm28,4),0)</f>
        <v>0</v>
      </c>
      <c r="H10" s="43">
        <f>ROUND(dagwerk28,4+2)</f>
        <v>0</v>
      </c>
      <c r="I10" s="44">
        <f>ROUND(uurtarief28,2)</f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161.19999999999999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</row>
    <row r="11" spans="1:26" x14ac:dyDescent="0.2">
      <c r="A11" s="22" t="s">
        <v>191</v>
      </c>
      <c r="B11" s="22" t="s">
        <v>34</v>
      </c>
      <c r="C11" s="22" t="s">
        <v>796</v>
      </c>
      <c r="D11" s="22" t="s">
        <v>187</v>
      </c>
      <c r="E11" s="41">
        <f t="shared" si="0"/>
        <v>5.4901960784313725E-2</v>
      </c>
      <c r="F11" s="41">
        <v>1</v>
      </c>
      <c r="G11" s="41">
        <f>IF(prodnorm29&gt;0,1/ROUND(prodnorm29,4),0)</f>
        <v>0</v>
      </c>
      <c r="H11" s="43">
        <f>ROUND(dagwerk29,4+2)</f>
        <v>0</v>
      </c>
      <c r="I11" s="44">
        <f>ROUND(uurtarief29,2)</f>
        <v>0</v>
      </c>
      <c r="J11" s="41">
        <v>0</v>
      </c>
      <c r="K11" s="41">
        <v>16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</row>
    <row r="12" spans="1:26" x14ac:dyDescent="0.2">
      <c r="A12" s="22" t="s">
        <v>191</v>
      </c>
      <c r="B12" s="22" t="s">
        <v>31</v>
      </c>
      <c r="C12" s="22" t="s">
        <v>796</v>
      </c>
      <c r="D12" s="22" t="s">
        <v>187</v>
      </c>
      <c r="E12" s="41">
        <f t="shared" si="0"/>
        <v>7.4509803921568626E-2</v>
      </c>
      <c r="F12" s="41">
        <v>1</v>
      </c>
      <c r="G12" s="41">
        <f>IF(prodnorm30&gt;0,1/ROUND(prodnorm30,4),0)</f>
        <v>0</v>
      </c>
      <c r="H12" s="43">
        <f>ROUND(dagwerk30,4+2)</f>
        <v>0</v>
      </c>
      <c r="I12" s="44">
        <f>ROUND(uurtarief30,2)</f>
        <v>0</v>
      </c>
      <c r="J12" s="41">
        <v>0</v>
      </c>
      <c r="K12" s="41">
        <v>16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</row>
    <row r="13" spans="1:26" x14ac:dyDescent="0.2">
      <c r="A13" s="22" t="s">
        <v>191</v>
      </c>
      <c r="B13" s="22" t="s">
        <v>24</v>
      </c>
      <c r="C13" s="22" t="s">
        <v>796</v>
      </c>
      <c r="D13" s="22" t="s">
        <v>187</v>
      </c>
      <c r="E13" s="41">
        <f t="shared" si="0"/>
        <v>0.2</v>
      </c>
      <c r="F13" s="41">
        <v>1</v>
      </c>
      <c r="G13" s="41">
        <f>IF(prodnorm31&gt;0,1/ROUND(prodnorm31,4),0)</f>
        <v>0</v>
      </c>
      <c r="H13" s="43">
        <f>ROUND(dagwerk31,4+2)</f>
        <v>0</v>
      </c>
      <c r="I13" s="44">
        <f>ROUND(uurtarief31,2)</f>
        <v>0</v>
      </c>
      <c r="J13" s="41">
        <v>0</v>
      </c>
      <c r="K13" s="41">
        <v>0</v>
      </c>
      <c r="L13" s="41">
        <v>0</v>
      </c>
      <c r="M13" s="41">
        <v>46</v>
      </c>
      <c r="N13" s="41">
        <v>22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133.5</v>
      </c>
    </row>
    <row r="14" spans="1:26" x14ac:dyDescent="0.2">
      <c r="A14" s="22" t="s">
        <v>191</v>
      </c>
      <c r="B14" s="22" t="s">
        <v>17</v>
      </c>
      <c r="C14" s="22" t="s">
        <v>796</v>
      </c>
      <c r="D14" s="22" t="s">
        <v>187</v>
      </c>
      <c r="E14" s="41">
        <f t="shared" si="0"/>
        <v>0.5</v>
      </c>
      <c r="F14" s="41">
        <v>1</v>
      </c>
      <c r="G14" s="41">
        <f>IF(prodnorm32&gt;0,1/ROUND(prodnorm32,4),0)</f>
        <v>0</v>
      </c>
      <c r="H14" s="43">
        <f>ROUND(dagwerk32,4+2)</f>
        <v>0</v>
      </c>
      <c r="I14" s="44">
        <f>ROUND(uurtarief32,2)</f>
        <v>0</v>
      </c>
      <c r="J14" s="41">
        <v>16.630000000000003</v>
      </c>
      <c r="K14" s="41">
        <v>0</v>
      </c>
      <c r="L14" s="41">
        <v>24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</row>
    <row r="15" spans="1:26" x14ac:dyDescent="0.2">
      <c r="A15" s="22" t="s">
        <v>191</v>
      </c>
      <c r="B15" s="22" t="s">
        <v>14</v>
      </c>
      <c r="C15" s="22" t="s">
        <v>796</v>
      </c>
      <c r="D15" s="22" t="s">
        <v>187</v>
      </c>
      <c r="E15" s="41">
        <f t="shared" si="0"/>
        <v>0.78431372549019607</v>
      </c>
      <c r="F15" s="41">
        <v>1</v>
      </c>
      <c r="G15" s="41">
        <f>IF(prodnorm33&gt;0,1/ROUND(prodnorm33,4),0)</f>
        <v>0</v>
      </c>
      <c r="H15" s="43">
        <f>ROUND(dagwerk33,4+2)</f>
        <v>0</v>
      </c>
      <c r="I15" s="44">
        <f>ROUND(uurtarief33,2)</f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161.19999999999999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</row>
    <row r="16" spans="1:26" x14ac:dyDescent="0.2">
      <c r="A16" s="22" t="s">
        <v>191</v>
      </c>
      <c r="B16" s="22" t="s">
        <v>12</v>
      </c>
      <c r="C16" s="22" t="s">
        <v>796</v>
      </c>
      <c r="D16" s="22" t="s">
        <v>187</v>
      </c>
      <c r="E16" s="41">
        <f t="shared" si="0"/>
        <v>0.88235294117647056</v>
      </c>
      <c r="F16" s="41">
        <v>1</v>
      </c>
      <c r="G16" s="41">
        <f>IF(prodnorm34&gt;0,1/ROUND(prodnorm34,4),0)</f>
        <v>0</v>
      </c>
      <c r="H16" s="43">
        <f>ROUND(dagwerk34,4+2)</f>
        <v>0</v>
      </c>
      <c r="I16" s="44">
        <f>ROUND(uurtarief34,2)</f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6</v>
      </c>
      <c r="Q16" s="41">
        <v>16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</row>
    <row r="17" spans="1:26" x14ac:dyDescent="0.2">
      <c r="A17" s="22" t="s">
        <v>191</v>
      </c>
      <c r="B17" s="22" t="s">
        <v>19</v>
      </c>
      <c r="C17" s="22" t="s">
        <v>796</v>
      </c>
      <c r="D17" s="22" t="s">
        <v>187</v>
      </c>
      <c r="E17" s="41">
        <f t="shared" si="0"/>
        <v>0.4</v>
      </c>
      <c r="F17" s="41">
        <v>1</v>
      </c>
      <c r="G17" s="41">
        <f>IF(prodnorm35&gt;0,1/ROUND(prodnorm35,4),0)</f>
        <v>0</v>
      </c>
      <c r="H17" s="43">
        <f>ROUND(dagwerk35,4+2)</f>
        <v>0</v>
      </c>
      <c r="I17" s="44">
        <f>ROUND(uurtarief35,2)</f>
        <v>0</v>
      </c>
      <c r="J17" s="41">
        <v>9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</row>
    <row r="18" spans="1:26" x14ac:dyDescent="0.2">
      <c r="A18" s="22" t="s">
        <v>193</v>
      </c>
      <c r="B18" s="22" t="s">
        <v>17</v>
      </c>
      <c r="C18" s="22" t="s">
        <v>796</v>
      </c>
      <c r="D18" s="22" t="s">
        <v>187</v>
      </c>
      <c r="E18" s="41">
        <f t="shared" si="0"/>
        <v>0.5</v>
      </c>
      <c r="F18" s="41">
        <v>1</v>
      </c>
      <c r="G18" s="41">
        <f>IF(prodnorm36&gt;0,1/ROUND(prodnorm36,4),0)</f>
        <v>0</v>
      </c>
      <c r="H18" s="43">
        <f>ROUND(dagwerk36,4+2)</f>
        <v>0</v>
      </c>
      <c r="I18" s="44">
        <f>ROUND(uurtarief36,2)</f>
        <v>0</v>
      </c>
      <c r="J18" s="41">
        <v>3249.46</v>
      </c>
      <c r="K18" s="41">
        <v>0</v>
      </c>
      <c r="L18" s="41">
        <v>136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</row>
    <row r="19" spans="1:26" x14ac:dyDescent="0.2">
      <c r="A19" s="22" t="s">
        <v>193</v>
      </c>
      <c r="B19" s="22" t="s">
        <v>14</v>
      </c>
      <c r="C19" s="22" t="s">
        <v>796</v>
      </c>
      <c r="D19" s="22" t="s">
        <v>187</v>
      </c>
      <c r="E19" s="41">
        <f t="shared" si="0"/>
        <v>0.78431372549019607</v>
      </c>
      <c r="F19" s="41">
        <v>1</v>
      </c>
      <c r="G19" s="41">
        <f>IF(prodnorm37&gt;0,1/ROUND(prodnorm37,4),0)</f>
        <v>0</v>
      </c>
      <c r="H19" s="43">
        <f>ROUND(dagwerk37,4+2)</f>
        <v>0</v>
      </c>
      <c r="I19" s="44">
        <f>ROUND(uurtarief37,2)</f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74.5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</row>
    <row r="20" spans="1:26" x14ac:dyDescent="0.2">
      <c r="A20" s="22" t="s">
        <v>195</v>
      </c>
      <c r="B20" s="22" t="s">
        <v>34</v>
      </c>
      <c r="C20" s="22" t="s">
        <v>796</v>
      </c>
      <c r="D20" s="22" t="s">
        <v>187</v>
      </c>
      <c r="E20" s="41">
        <f t="shared" si="0"/>
        <v>5.4901960784313725E-2</v>
      </c>
      <c r="F20" s="41">
        <v>1</v>
      </c>
      <c r="G20" s="41">
        <f>IF(prodnorm38&gt;0,1/ROUND(prodnorm38,4),0)</f>
        <v>0</v>
      </c>
      <c r="H20" s="43">
        <f>ROUND(dagwerk38,4+2)</f>
        <v>0</v>
      </c>
      <c r="I20" s="44">
        <f>ROUND(uurtarief38,2)</f>
        <v>0</v>
      </c>
      <c r="J20" s="41">
        <v>0</v>
      </c>
      <c r="K20" s="41">
        <v>40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</row>
    <row r="21" spans="1:26" x14ac:dyDescent="0.2">
      <c r="A21" s="22" t="s">
        <v>195</v>
      </c>
      <c r="B21" s="22" t="s">
        <v>15</v>
      </c>
      <c r="C21" s="22" t="s">
        <v>796</v>
      </c>
      <c r="D21" s="22" t="s">
        <v>187</v>
      </c>
      <c r="E21" s="41">
        <f t="shared" si="0"/>
        <v>0.68627450980392157</v>
      </c>
      <c r="F21" s="41">
        <v>1</v>
      </c>
      <c r="G21" s="41">
        <f>IF(prodnorm39&gt;0,1/ROUND(prodnorm39,4),0)</f>
        <v>0</v>
      </c>
      <c r="H21" s="43">
        <f>ROUND(dagwerk39,4+2)</f>
        <v>0</v>
      </c>
      <c r="I21" s="44">
        <f>ROUND(uurtarief39,2)</f>
        <v>0</v>
      </c>
      <c r="J21" s="41">
        <v>0</v>
      </c>
      <c r="K21" s="41">
        <v>13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</row>
    <row r="22" spans="1:26" x14ac:dyDescent="0.2">
      <c r="A22" s="22" t="s">
        <v>195</v>
      </c>
      <c r="B22" s="22" t="s">
        <v>31</v>
      </c>
      <c r="C22" s="22" t="s">
        <v>796</v>
      </c>
      <c r="D22" s="22" t="s">
        <v>187</v>
      </c>
      <c r="E22" s="41">
        <f t="shared" si="0"/>
        <v>7.4509803921568626E-2</v>
      </c>
      <c r="F22" s="41">
        <v>1</v>
      </c>
      <c r="G22" s="41">
        <f>IF(prodnorm40&gt;0,1/ROUND(prodnorm40,4),0)</f>
        <v>0</v>
      </c>
      <c r="H22" s="43">
        <f>ROUND(dagwerk40,4+2)</f>
        <v>0</v>
      </c>
      <c r="I22" s="44">
        <f>ROUND(uurtarief40,2)</f>
        <v>0</v>
      </c>
      <c r="J22" s="41">
        <v>0</v>
      </c>
      <c r="K22" s="41">
        <v>40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</row>
    <row r="23" spans="1:26" x14ac:dyDescent="0.2">
      <c r="A23" s="22" t="s">
        <v>195</v>
      </c>
      <c r="B23" s="22" t="s">
        <v>24</v>
      </c>
      <c r="C23" s="22" t="s">
        <v>796</v>
      </c>
      <c r="D23" s="22" t="s">
        <v>187</v>
      </c>
      <c r="E23" s="41">
        <f t="shared" si="0"/>
        <v>0.2</v>
      </c>
      <c r="F23" s="41">
        <v>1</v>
      </c>
      <c r="G23" s="41">
        <f>IF(prodnorm41&gt;0,1/ROUND(prodnorm41,4),0)</f>
        <v>0</v>
      </c>
      <c r="H23" s="43">
        <f>ROUND(dagwerk41,4+2)</f>
        <v>0</v>
      </c>
      <c r="I23" s="44">
        <f>ROUND(uurtarief41,2)</f>
        <v>0</v>
      </c>
      <c r="J23" s="41">
        <v>0</v>
      </c>
      <c r="K23" s="41">
        <v>0</v>
      </c>
      <c r="L23" s="41">
        <v>12.5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</row>
    <row r="24" spans="1:26" x14ac:dyDescent="0.2">
      <c r="A24" s="22" t="s">
        <v>195</v>
      </c>
      <c r="B24" s="22" t="s">
        <v>14</v>
      </c>
      <c r="C24" s="22" t="s">
        <v>796</v>
      </c>
      <c r="D24" s="22" t="s">
        <v>187</v>
      </c>
      <c r="E24" s="41">
        <f t="shared" si="0"/>
        <v>0.78431372549019607</v>
      </c>
      <c r="F24" s="41">
        <v>1</v>
      </c>
      <c r="G24" s="41">
        <f>IF(prodnorm42&gt;0,1/ROUND(prodnorm42,4),0)</f>
        <v>0</v>
      </c>
      <c r="H24" s="43">
        <f>ROUND(dagwerk42,4+2)</f>
        <v>0</v>
      </c>
      <c r="I24" s="44">
        <f>ROUND(uurtarief42,2)</f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4.4000000000000004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</row>
    <row r="25" spans="1:26" x14ac:dyDescent="0.2">
      <c r="A25" s="22" t="s">
        <v>195</v>
      </c>
      <c r="B25" s="22" t="s">
        <v>12</v>
      </c>
      <c r="C25" s="22" t="s">
        <v>796</v>
      </c>
      <c r="D25" s="22" t="s">
        <v>187</v>
      </c>
      <c r="E25" s="41">
        <f t="shared" si="0"/>
        <v>0.88235294117647056</v>
      </c>
      <c r="F25" s="41">
        <v>1</v>
      </c>
      <c r="G25" s="41">
        <f>IF(prodnorm43&gt;0,1/ROUND(prodnorm43,4),0)</f>
        <v>0</v>
      </c>
      <c r="H25" s="43">
        <f>ROUND(dagwerk43,4+2)</f>
        <v>0</v>
      </c>
      <c r="I25" s="44">
        <f>ROUND(uurtarief43,2)</f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32</v>
      </c>
      <c r="Q25" s="41">
        <v>66.490000000000009</v>
      </c>
      <c r="R25" s="41">
        <v>48</v>
      </c>
      <c r="S25" s="41">
        <v>0</v>
      </c>
      <c r="T25" s="41">
        <v>0</v>
      </c>
      <c r="U25" s="41">
        <v>0</v>
      </c>
      <c r="V25" s="41">
        <v>0</v>
      </c>
      <c r="W25" s="41">
        <v>2</v>
      </c>
      <c r="X25" s="41">
        <v>0</v>
      </c>
      <c r="Y25" s="41">
        <v>0</v>
      </c>
      <c r="Z25" s="41">
        <v>0</v>
      </c>
    </row>
    <row r="26" spans="1:26" x14ac:dyDescent="0.2">
      <c r="A26" s="22" t="s">
        <v>195</v>
      </c>
      <c r="B26" s="22" t="s">
        <v>11</v>
      </c>
      <c r="C26" s="22" t="s">
        <v>796</v>
      </c>
      <c r="D26" s="22" t="s">
        <v>187</v>
      </c>
      <c r="E26" s="41">
        <f t="shared" si="0"/>
        <v>0.92941176470588238</v>
      </c>
      <c r="F26" s="41">
        <v>1</v>
      </c>
      <c r="G26" s="41">
        <f>IF(prodnorm44&gt;0,1/ROUND(prodnorm44,4),0)</f>
        <v>0</v>
      </c>
      <c r="H26" s="43">
        <f>ROUND(dagwerk44,4+2)</f>
        <v>0</v>
      </c>
      <c r="I26" s="44">
        <f>ROUND(uurtarief44,2)</f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48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</row>
    <row r="27" spans="1:26" x14ac:dyDescent="0.2">
      <c r="A27" s="22" t="s">
        <v>195</v>
      </c>
      <c r="B27" s="22" t="s">
        <v>26</v>
      </c>
      <c r="C27" s="22" t="s">
        <v>796</v>
      </c>
      <c r="D27" s="22" t="s">
        <v>187</v>
      </c>
      <c r="E27" s="41">
        <f t="shared" si="0"/>
        <v>0.14117647058823529</v>
      </c>
      <c r="F27" s="41">
        <v>1</v>
      </c>
      <c r="G27" s="41">
        <f>IF(prodnorm45&gt;0,1/ROUND(prodnorm45,4),0)</f>
        <v>0</v>
      </c>
      <c r="H27" s="43">
        <f>ROUND(dagwerk45,4+2)</f>
        <v>0</v>
      </c>
      <c r="I27" s="44">
        <f>ROUND(uurtarief45,2)</f>
        <v>0</v>
      </c>
      <c r="J27" s="41">
        <v>0</v>
      </c>
      <c r="K27" s="41">
        <v>13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</row>
    <row r="28" spans="1:26" x14ac:dyDescent="0.2">
      <c r="A28" s="22" t="s">
        <v>195</v>
      </c>
      <c r="B28" s="22" t="s">
        <v>10</v>
      </c>
      <c r="C28" s="22" t="s">
        <v>796</v>
      </c>
      <c r="D28" s="22" t="s">
        <v>187</v>
      </c>
      <c r="E28" s="41">
        <f t="shared" si="0"/>
        <v>1</v>
      </c>
      <c r="F28" s="41">
        <v>1</v>
      </c>
      <c r="G28" s="41">
        <f>IF(prodnorm46&gt;0,1/ROUND(prodnorm46,4),0)</f>
        <v>0</v>
      </c>
      <c r="H28" s="43">
        <f>ROUND(dagwerk46,4+2)</f>
        <v>0</v>
      </c>
      <c r="I28" s="44">
        <f>ROUND(uurtarief46,2)</f>
        <v>0</v>
      </c>
      <c r="J28" s="41">
        <v>5.16</v>
      </c>
      <c r="K28" s="41">
        <v>0</v>
      </c>
      <c r="L28" s="41">
        <v>73.5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</row>
    <row r="29" spans="1:26" x14ac:dyDescent="0.2">
      <c r="A29" s="22" t="s">
        <v>197</v>
      </c>
      <c r="B29" s="22" t="s">
        <v>23</v>
      </c>
      <c r="C29" s="22" t="s">
        <v>796</v>
      </c>
      <c r="D29" s="22" t="s">
        <v>187</v>
      </c>
      <c r="E29" s="41">
        <f t="shared" si="0"/>
        <v>0.25490196078431371</v>
      </c>
      <c r="F29" s="41">
        <v>1</v>
      </c>
      <c r="G29" s="41">
        <f>IF(prodnorm47&gt;0,1/ROUND(prodnorm47,4),0)</f>
        <v>0</v>
      </c>
      <c r="H29" s="43">
        <f>ROUND(dagwerk47,4+2)</f>
        <v>0</v>
      </c>
      <c r="I29" s="44">
        <f>ROUND(uurtarief47,2)</f>
        <v>0</v>
      </c>
      <c r="J29" s="41">
        <v>0</v>
      </c>
      <c r="K29" s="41">
        <v>20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</row>
    <row r="30" spans="1:26" x14ac:dyDescent="0.2">
      <c r="A30" s="22" t="s">
        <v>199</v>
      </c>
      <c r="B30" s="22" t="s">
        <v>14</v>
      </c>
      <c r="C30" s="22" t="s">
        <v>796</v>
      </c>
      <c r="D30" s="22" t="s">
        <v>187</v>
      </c>
      <c r="E30" s="41">
        <f t="shared" si="0"/>
        <v>0.78431372549019607</v>
      </c>
      <c r="F30" s="41">
        <v>1</v>
      </c>
      <c r="G30" s="41">
        <f>IF(prodnorm48&gt;0,1/ROUND(prodnorm48,4),0)</f>
        <v>0</v>
      </c>
      <c r="H30" s="43">
        <f>ROUND(dagwerk48,4+2)</f>
        <v>0</v>
      </c>
      <c r="I30" s="44">
        <f>ROUND(uurtarief48,2)</f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42.3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</row>
    <row r="31" spans="1:26" x14ac:dyDescent="0.2">
      <c r="A31" s="22" t="s">
        <v>199</v>
      </c>
      <c r="B31" s="22" t="s">
        <v>12</v>
      </c>
      <c r="C31" s="22" t="s">
        <v>796</v>
      </c>
      <c r="D31" s="22" t="s">
        <v>187</v>
      </c>
      <c r="E31" s="41">
        <f t="shared" si="0"/>
        <v>0.88235294117647056</v>
      </c>
      <c r="F31" s="41">
        <v>1</v>
      </c>
      <c r="G31" s="41">
        <f>IF(prodnorm49&gt;0,1/ROUND(prodnorm49,4),0)</f>
        <v>0</v>
      </c>
      <c r="H31" s="43">
        <f>ROUND(dagwerk49,4+2)</f>
        <v>0</v>
      </c>
      <c r="I31" s="44">
        <f>ROUND(uurtarief49,2)</f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6.6</v>
      </c>
      <c r="R31" s="41">
        <v>22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</row>
    <row r="32" spans="1:26" x14ac:dyDescent="0.2">
      <c r="A32" s="22" t="s">
        <v>199</v>
      </c>
      <c r="B32" s="22" t="s">
        <v>11</v>
      </c>
      <c r="C32" s="22" t="s">
        <v>796</v>
      </c>
      <c r="D32" s="22" t="s">
        <v>187</v>
      </c>
      <c r="E32" s="41">
        <f t="shared" si="0"/>
        <v>0.92941176470588238</v>
      </c>
      <c r="F32" s="41">
        <v>1</v>
      </c>
      <c r="G32" s="41">
        <f>IF(prodnorm50&gt;0,1/ROUND(prodnorm50,4),0)</f>
        <v>0</v>
      </c>
      <c r="H32" s="43">
        <f>ROUND(dagwerk50,4+2)</f>
        <v>0</v>
      </c>
      <c r="I32" s="44">
        <f>ROUND(uurtarief50,2)</f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12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</row>
    <row r="33" spans="1:26" x14ac:dyDescent="0.2">
      <c r="A33" s="22" t="s">
        <v>201</v>
      </c>
      <c r="B33" s="22" t="s">
        <v>12</v>
      </c>
      <c r="C33" s="22" t="s">
        <v>796</v>
      </c>
      <c r="D33" s="22" t="s">
        <v>187</v>
      </c>
      <c r="E33" s="41">
        <f t="shared" si="0"/>
        <v>0.88235294117647056</v>
      </c>
      <c r="F33" s="41">
        <v>1</v>
      </c>
      <c r="G33" s="41">
        <f>IF(prodnorm51&gt;0,1/ROUND(prodnorm51,4),0)</f>
        <v>0</v>
      </c>
      <c r="H33" s="43">
        <f>ROUND(dagwerk51,4+2)</f>
        <v>0</v>
      </c>
      <c r="I33" s="44">
        <f>ROUND(uurtarief51,2)</f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7</v>
      </c>
      <c r="X33" s="41">
        <v>0</v>
      </c>
      <c r="Y33" s="41">
        <v>0</v>
      </c>
      <c r="Z33" s="41">
        <v>0</v>
      </c>
    </row>
    <row r="34" spans="1:26" x14ac:dyDescent="0.2">
      <c r="A34" s="22" t="s">
        <v>201</v>
      </c>
      <c r="B34" s="22" t="s">
        <v>10</v>
      </c>
      <c r="C34" s="22" t="s">
        <v>796</v>
      </c>
      <c r="D34" s="22" t="s">
        <v>187</v>
      </c>
      <c r="E34" s="41">
        <f t="shared" si="0"/>
        <v>1</v>
      </c>
      <c r="F34" s="41">
        <v>1</v>
      </c>
      <c r="G34" s="41">
        <f>IF(prodnorm52&gt;0,1/ROUND(prodnorm52,4),0)</f>
        <v>0</v>
      </c>
      <c r="H34" s="43">
        <f>ROUND(dagwerk52,4+2)</f>
        <v>0</v>
      </c>
      <c r="I34" s="44">
        <f>ROUND(uurtarief52,2)</f>
        <v>0</v>
      </c>
      <c r="J34" s="41">
        <v>14.169999999999998</v>
      </c>
      <c r="K34" s="41">
        <v>0</v>
      </c>
      <c r="L34" s="41">
        <v>3.5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5.7</v>
      </c>
    </row>
    <row r="35" spans="1:26" x14ac:dyDescent="0.2">
      <c r="A35" s="22" t="s">
        <v>203</v>
      </c>
      <c r="B35" s="22" t="s">
        <v>35</v>
      </c>
      <c r="C35" s="22" t="s">
        <v>796</v>
      </c>
      <c r="D35" s="22" t="s">
        <v>187</v>
      </c>
      <c r="E35" s="41">
        <f t="shared" si="0"/>
        <v>4.7058823529411764E-2</v>
      </c>
      <c r="F35" s="41">
        <v>1</v>
      </c>
      <c r="G35" s="41">
        <f>IF(prodnorm53&gt;0,1/ROUND(prodnorm53,4),0)</f>
        <v>0</v>
      </c>
      <c r="H35" s="43">
        <f>ROUND(dagwerk53,4+2)</f>
        <v>0</v>
      </c>
      <c r="I35" s="44">
        <f>ROUND(uurtarief53,2)</f>
        <v>0</v>
      </c>
      <c r="J35" s="41">
        <v>153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</row>
    <row r="36" spans="1:26" x14ac:dyDescent="0.2">
      <c r="A36" s="22" t="s">
        <v>205</v>
      </c>
      <c r="B36" s="22" t="s">
        <v>12</v>
      </c>
      <c r="C36" s="22" t="s">
        <v>796</v>
      </c>
      <c r="D36" s="22" t="s">
        <v>187</v>
      </c>
      <c r="E36" s="41">
        <f t="shared" si="0"/>
        <v>0.88235294117647056</v>
      </c>
      <c r="F36" s="41">
        <v>1</v>
      </c>
      <c r="G36" s="41">
        <f>IF(prodnorm54&gt;0,1/ROUND(prodnorm54,4),0)</f>
        <v>0</v>
      </c>
      <c r="H36" s="43">
        <f>ROUND(dagwerk54,4+2)</f>
        <v>0</v>
      </c>
      <c r="I36" s="44">
        <f>ROUND(uurtarief54,2)</f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288</v>
      </c>
      <c r="Q36" s="41">
        <v>1268.42</v>
      </c>
      <c r="R36" s="41">
        <v>680</v>
      </c>
      <c r="S36" s="41">
        <v>0</v>
      </c>
      <c r="T36" s="41">
        <v>0</v>
      </c>
      <c r="U36" s="41">
        <v>0</v>
      </c>
      <c r="V36" s="41">
        <v>0</v>
      </c>
      <c r="W36" s="41">
        <v>270</v>
      </c>
      <c r="X36" s="41">
        <v>0</v>
      </c>
      <c r="Y36" s="41">
        <v>0</v>
      </c>
      <c r="Z36" s="41">
        <v>0</v>
      </c>
    </row>
    <row r="37" spans="1:26" x14ac:dyDescent="0.2">
      <c r="A37" s="22" t="s">
        <v>205</v>
      </c>
      <c r="B37" s="22" t="s">
        <v>11</v>
      </c>
      <c r="C37" s="22" t="s">
        <v>796</v>
      </c>
      <c r="D37" s="22" t="s">
        <v>187</v>
      </c>
      <c r="E37" s="41">
        <f t="shared" ref="E37:E68" si="1">IF(B37="","",VLOOKUP(B37,dagsoorttabel1,2,FALSE))</f>
        <v>0.92941176470588238</v>
      </c>
      <c r="F37" s="41">
        <v>1</v>
      </c>
      <c r="G37" s="41">
        <f>IF(prodnorm55&gt;0,1/ROUND(prodnorm55,4),0)</f>
        <v>0</v>
      </c>
      <c r="H37" s="43">
        <f>ROUND(dagwerk55,4+2)</f>
        <v>0</v>
      </c>
      <c r="I37" s="44">
        <f>ROUND(uurtarief55,2)</f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737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</row>
    <row r="38" spans="1:26" x14ac:dyDescent="0.2">
      <c r="A38" s="22" t="s">
        <v>205</v>
      </c>
      <c r="B38" s="22" t="s">
        <v>25</v>
      </c>
      <c r="C38" s="22" t="s">
        <v>796</v>
      </c>
      <c r="D38" s="22" t="s">
        <v>187</v>
      </c>
      <c r="E38" s="41">
        <f t="shared" si="1"/>
        <v>0.17647058823529413</v>
      </c>
      <c r="F38" s="41">
        <v>1</v>
      </c>
      <c r="G38" s="41">
        <f>IF(prodnorm56&gt;0,1/ROUND(prodnorm56,4),0)</f>
        <v>0</v>
      </c>
      <c r="H38" s="43">
        <f>ROUND(dagwerk56,4+2)</f>
        <v>0</v>
      </c>
      <c r="I38" s="44">
        <f>ROUND(uurtarief56,2)</f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37</v>
      </c>
      <c r="Q38" s="41">
        <v>114.51</v>
      </c>
      <c r="R38" s="41">
        <v>82</v>
      </c>
      <c r="S38" s="41">
        <v>57</v>
      </c>
      <c r="T38" s="41">
        <v>0</v>
      </c>
      <c r="U38" s="41">
        <v>0</v>
      </c>
      <c r="V38" s="41">
        <v>0</v>
      </c>
      <c r="W38" s="41">
        <v>51.5</v>
      </c>
      <c r="X38" s="41">
        <v>0</v>
      </c>
      <c r="Y38" s="41">
        <v>0</v>
      </c>
      <c r="Z38" s="41">
        <v>0</v>
      </c>
    </row>
    <row r="39" spans="1:26" x14ac:dyDescent="0.2">
      <c r="A39" s="22" t="s">
        <v>208</v>
      </c>
      <c r="B39" s="22" t="s">
        <v>12</v>
      </c>
      <c r="C39" s="22" t="s">
        <v>796</v>
      </c>
      <c r="D39" s="22" t="s">
        <v>187</v>
      </c>
      <c r="E39" s="41">
        <f t="shared" si="1"/>
        <v>0.88235294117647056</v>
      </c>
      <c r="F39" s="41">
        <v>1</v>
      </c>
      <c r="G39" s="41">
        <f>IF(prodnorm57&gt;0,1/ROUND(prodnorm57,4),0)</f>
        <v>0</v>
      </c>
      <c r="H39" s="43">
        <f>ROUND(dagwerk57,4+2)</f>
        <v>0</v>
      </c>
      <c r="I39" s="44">
        <f>ROUND(uurtarief57,2)</f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</row>
    <row r="40" spans="1:26" x14ac:dyDescent="0.2">
      <c r="A40" s="22" t="s">
        <v>208</v>
      </c>
      <c r="B40" s="22" t="s">
        <v>10</v>
      </c>
      <c r="C40" s="22" t="s">
        <v>796</v>
      </c>
      <c r="D40" s="22" t="s">
        <v>187</v>
      </c>
      <c r="E40" s="41">
        <f t="shared" si="1"/>
        <v>1</v>
      </c>
      <c r="F40" s="41">
        <v>1</v>
      </c>
      <c r="G40" s="41">
        <f>IF(prodnorm58&gt;0,1/ROUND(prodnorm58,4),0)</f>
        <v>0</v>
      </c>
      <c r="H40" s="43">
        <f>ROUND(dagwerk58,4+2)</f>
        <v>0</v>
      </c>
      <c r="I40" s="44">
        <f>ROUND(uurtarief58,2)</f>
        <v>0</v>
      </c>
      <c r="J40" s="41">
        <v>5.53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</row>
    <row r="41" spans="1:26" x14ac:dyDescent="0.2">
      <c r="A41" s="22" t="s">
        <v>210</v>
      </c>
      <c r="B41" s="22" t="s">
        <v>16</v>
      </c>
      <c r="C41" s="22" t="s">
        <v>796</v>
      </c>
      <c r="D41" s="22" t="s">
        <v>187</v>
      </c>
      <c r="E41" s="41">
        <f t="shared" si="1"/>
        <v>0.6</v>
      </c>
      <c r="F41" s="41">
        <v>1</v>
      </c>
      <c r="G41" s="41">
        <f>IF(prodnorm59&gt;0,1/ROUND(prodnorm59,4),0)</f>
        <v>0</v>
      </c>
      <c r="H41" s="43">
        <f>ROUND(dagwerk59,4+2)</f>
        <v>0</v>
      </c>
      <c r="I41" s="44">
        <f>ROUND(uurtarief59,2)</f>
        <v>0</v>
      </c>
      <c r="J41" s="41">
        <v>9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</row>
    <row r="42" spans="1:26" x14ac:dyDescent="0.2">
      <c r="A42" s="22" t="s">
        <v>210</v>
      </c>
      <c r="B42" s="22" t="s">
        <v>10</v>
      </c>
      <c r="C42" s="22" t="s">
        <v>796</v>
      </c>
      <c r="D42" s="22" t="s">
        <v>187</v>
      </c>
      <c r="E42" s="41">
        <f t="shared" si="1"/>
        <v>1</v>
      </c>
      <c r="F42" s="41">
        <v>1</v>
      </c>
      <c r="G42" s="41">
        <f>IF(prodnorm60&gt;0,1/ROUND(prodnorm60,4),0)</f>
        <v>0</v>
      </c>
      <c r="H42" s="43">
        <f>ROUND(dagwerk60,4+2)</f>
        <v>0</v>
      </c>
      <c r="I42" s="44">
        <f>ROUND(uurtarief60,2)</f>
        <v>0</v>
      </c>
      <c r="J42" s="41">
        <v>66.400000000000006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</v>
      </c>
    </row>
    <row r="43" spans="1:26" x14ac:dyDescent="0.2">
      <c r="A43" s="22" t="s">
        <v>212</v>
      </c>
      <c r="B43" s="22" t="s">
        <v>24</v>
      </c>
      <c r="C43" s="22" t="s">
        <v>796</v>
      </c>
      <c r="D43" s="22" t="s">
        <v>187</v>
      </c>
      <c r="E43" s="41">
        <f t="shared" si="1"/>
        <v>0.2</v>
      </c>
      <c r="F43" s="41">
        <v>1</v>
      </c>
      <c r="G43" s="41">
        <f>IF(prodnorm61&gt;0,1/ROUND(prodnorm61,4),0)</f>
        <v>0</v>
      </c>
      <c r="H43" s="43">
        <f>ROUND(dagwerk61,4+2)</f>
        <v>0</v>
      </c>
      <c r="I43" s="44">
        <f>ROUND(uurtarief61,2)</f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253.37</v>
      </c>
    </row>
    <row r="44" spans="1:26" x14ac:dyDescent="0.2">
      <c r="A44" s="22" t="s">
        <v>214</v>
      </c>
      <c r="B44" s="22" t="s">
        <v>24</v>
      </c>
      <c r="C44" s="22" t="s">
        <v>796</v>
      </c>
      <c r="D44" s="22" t="s">
        <v>187</v>
      </c>
      <c r="E44" s="41">
        <f t="shared" si="1"/>
        <v>0.2</v>
      </c>
      <c r="F44" s="41">
        <v>1</v>
      </c>
      <c r="G44" s="41">
        <f>IF(prodnorm62&gt;0,1/ROUND(prodnorm62,4),0)</f>
        <v>0</v>
      </c>
      <c r="H44" s="43">
        <f>ROUND(dagwerk62,4+2)</f>
        <v>0</v>
      </c>
      <c r="I44" s="44">
        <f>ROUND(uurtarief62,2)</f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26.799999999999997</v>
      </c>
    </row>
    <row r="45" spans="1:26" x14ac:dyDescent="0.2">
      <c r="A45" s="22" t="s">
        <v>214</v>
      </c>
      <c r="B45" s="22" t="s">
        <v>17</v>
      </c>
      <c r="C45" s="22" t="s">
        <v>796</v>
      </c>
      <c r="D45" s="22" t="s">
        <v>187</v>
      </c>
      <c r="E45" s="41">
        <f t="shared" si="1"/>
        <v>0.5</v>
      </c>
      <c r="F45" s="41">
        <v>1</v>
      </c>
      <c r="G45" s="41">
        <f>IF(prodnorm63&gt;0,1/ROUND(prodnorm63,4),0)</f>
        <v>0</v>
      </c>
      <c r="H45" s="43">
        <f>ROUND(dagwerk63,4+2)</f>
        <v>0</v>
      </c>
      <c r="I45" s="44">
        <f>ROUND(uurtarief63,2)</f>
        <v>0</v>
      </c>
      <c r="J45" s="41">
        <v>0</v>
      </c>
      <c r="K45" s="41">
        <v>0</v>
      </c>
      <c r="L45" s="41">
        <v>49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</row>
    <row r="46" spans="1:26" x14ac:dyDescent="0.2">
      <c r="A46" s="22" t="s">
        <v>214</v>
      </c>
      <c r="B46" s="22" t="s">
        <v>19</v>
      </c>
      <c r="C46" s="22" t="s">
        <v>796</v>
      </c>
      <c r="D46" s="22" t="s">
        <v>187</v>
      </c>
      <c r="E46" s="41">
        <f t="shared" si="1"/>
        <v>0.4</v>
      </c>
      <c r="F46" s="41">
        <v>1</v>
      </c>
      <c r="G46" s="41">
        <f>IF(prodnorm64&gt;0,1/ROUND(prodnorm64,4),0)</f>
        <v>0</v>
      </c>
      <c r="H46" s="43">
        <f>ROUND(dagwerk64,4+2)</f>
        <v>0</v>
      </c>
      <c r="I46" s="44">
        <f>ROUND(uurtarief64,2)</f>
        <v>0</v>
      </c>
      <c r="J46" s="41">
        <v>2.14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>
        <v>0</v>
      </c>
      <c r="Z46" s="41">
        <v>0</v>
      </c>
    </row>
    <row r="47" spans="1:26" x14ac:dyDescent="0.2">
      <c r="A47" s="22" t="s">
        <v>216</v>
      </c>
      <c r="B47" s="22" t="s">
        <v>17</v>
      </c>
      <c r="C47" s="22" t="s">
        <v>796</v>
      </c>
      <c r="D47" s="22" t="s">
        <v>187</v>
      </c>
      <c r="E47" s="41">
        <f t="shared" si="1"/>
        <v>0.5</v>
      </c>
      <c r="F47" s="41">
        <v>1</v>
      </c>
      <c r="G47" s="41">
        <f>IF(prodnorm65&gt;0,1/ROUND(prodnorm65,4),0)</f>
        <v>0</v>
      </c>
      <c r="H47" s="43">
        <f>ROUND(dagwerk65,4+2)</f>
        <v>0</v>
      </c>
      <c r="I47" s="44">
        <f>ROUND(uurtarief65,2)</f>
        <v>0</v>
      </c>
      <c r="J47" s="41">
        <v>598.08999999999992</v>
      </c>
      <c r="K47" s="41">
        <v>0</v>
      </c>
      <c r="L47" s="41">
        <v>47.400000000000006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1">
        <v>0</v>
      </c>
    </row>
    <row r="48" spans="1:26" x14ac:dyDescent="0.2">
      <c r="A48" s="22" t="s">
        <v>216</v>
      </c>
      <c r="B48" s="22" t="s">
        <v>14</v>
      </c>
      <c r="C48" s="22" t="s">
        <v>796</v>
      </c>
      <c r="D48" s="22" t="s">
        <v>187</v>
      </c>
      <c r="E48" s="41">
        <f t="shared" si="1"/>
        <v>0.78431372549019607</v>
      </c>
      <c r="F48" s="41">
        <v>1</v>
      </c>
      <c r="G48" s="41">
        <f>IF(prodnorm66&gt;0,1/ROUND(prodnorm66,4),0)</f>
        <v>0</v>
      </c>
      <c r="H48" s="43">
        <f>ROUND(dagwerk66,4+2)</f>
        <v>0</v>
      </c>
      <c r="I48" s="44">
        <f>ROUND(uurtarief66,2)</f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360.6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41">
        <v>0</v>
      </c>
      <c r="Y48" s="41">
        <v>0</v>
      </c>
      <c r="Z48" s="41">
        <v>0</v>
      </c>
    </row>
    <row r="49" spans="1:26" x14ac:dyDescent="0.2">
      <c r="A49" s="22" t="s">
        <v>216</v>
      </c>
      <c r="B49" s="22" t="s">
        <v>19</v>
      </c>
      <c r="C49" s="22" t="s">
        <v>796</v>
      </c>
      <c r="D49" s="22" t="s">
        <v>187</v>
      </c>
      <c r="E49" s="41">
        <f t="shared" si="1"/>
        <v>0.4</v>
      </c>
      <c r="F49" s="41">
        <v>1</v>
      </c>
      <c r="G49" s="41">
        <f>IF(prodnorm67&gt;0,1/ROUND(prodnorm67,4),0)</f>
        <v>0</v>
      </c>
      <c r="H49" s="43">
        <f>ROUND(dagwerk67,4+2)</f>
        <v>0</v>
      </c>
      <c r="I49" s="44">
        <f>ROUND(uurtarief67,2)</f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124.5</v>
      </c>
      <c r="Y49" s="41">
        <v>0</v>
      </c>
      <c r="Z49" s="41">
        <v>0</v>
      </c>
    </row>
    <row r="50" spans="1:26" x14ac:dyDescent="0.2">
      <c r="A50" s="22" t="s">
        <v>216</v>
      </c>
      <c r="B50" s="22" t="s">
        <v>10</v>
      </c>
      <c r="C50" s="22" t="s">
        <v>796</v>
      </c>
      <c r="D50" s="22" t="s">
        <v>187</v>
      </c>
      <c r="E50" s="41">
        <f t="shared" si="1"/>
        <v>1</v>
      </c>
      <c r="F50" s="41">
        <v>1</v>
      </c>
      <c r="G50" s="41">
        <f>IF(prodnorm68&gt;0,1/ROUND(prodnorm68,4),0)</f>
        <v>0</v>
      </c>
      <c r="H50" s="43">
        <f>ROUND(dagwerk68,4+2)</f>
        <v>0</v>
      </c>
      <c r="I50" s="44">
        <f>ROUND(uurtarief68,2)</f>
        <v>0</v>
      </c>
      <c r="J50" s="41">
        <v>158.49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</row>
    <row r="51" spans="1:26" x14ac:dyDescent="0.2">
      <c r="A51" s="22" t="s">
        <v>218</v>
      </c>
      <c r="B51" s="22" t="s">
        <v>24</v>
      </c>
      <c r="C51" s="22" t="s">
        <v>796</v>
      </c>
      <c r="D51" s="22" t="s">
        <v>187</v>
      </c>
      <c r="E51" s="41">
        <f t="shared" si="1"/>
        <v>0.2</v>
      </c>
      <c r="F51" s="41">
        <v>1</v>
      </c>
      <c r="G51" s="41">
        <f>IF(prodnorm69&gt;0,1/ROUND(prodnorm69,4),0)</f>
        <v>0</v>
      </c>
      <c r="H51" s="43">
        <f>ROUND(dagwerk69,4+2)</f>
        <v>0</v>
      </c>
      <c r="I51" s="44">
        <f>ROUND(uurtarief69,2)</f>
        <v>0</v>
      </c>
      <c r="J51" s="41">
        <v>0</v>
      </c>
      <c r="K51" s="41">
        <v>0</v>
      </c>
      <c r="L51" s="41">
        <v>0</v>
      </c>
      <c r="M51" s="41">
        <v>7</v>
      </c>
      <c r="N51" s="41">
        <v>10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1">
        <v>85.679999999999993</v>
      </c>
    </row>
    <row r="52" spans="1:26" x14ac:dyDescent="0.2">
      <c r="A52" s="22" t="s">
        <v>218</v>
      </c>
      <c r="B52" s="22" t="s">
        <v>17</v>
      </c>
      <c r="C52" s="22" t="s">
        <v>796</v>
      </c>
      <c r="D52" s="22" t="s">
        <v>187</v>
      </c>
      <c r="E52" s="41">
        <f t="shared" si="1"/>
        <v>0.5</v>
      </c>
      <c r="F52" s="41">
        <v>1</v>
      </c>
      <c r="G52" s="41">
        <f>IF(prodnorm70&gt;0,1/ROUND(prodnorm70,4),0)</f>
        <v>0</v>
      </c>
      <c r="H52" s="43">
        <f>ROUND(dagwerk70,4+2)</f>
        <v>0</v>
      </c>
      <c r="I52" s="44">
        <f>ROUND(uurtarief70,2)</f>
        <v>0</v>
      </c>
      <c r="J52" s="41">
        <v>48.48</v>
      </c>
      <c r="K52" s="41">
        <v>0</v>
      </c>
      <c r="L52" s="41">
        <v>11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</row>
    <row r="53" spans="1:26" x14ac:dyDescent="0.2">
      <c r="A53" s="22" t="s">
        <v>220</v>
      </c>
      <c r="B53" s="22" t="s">
        <v>24</v>
      </c>
      <c r="C53" s="22" t="s">
        <v>796</v>
      </c>
      <c r="D53" s="22" t="s">
        <v>187</v>
      </c>
      <c r="E53" s="41">
        <f t="shared" si="1"/>
        <v>0.2</v>
      </c>
      <c r="F53" s="41">
        <v>1</v>
      </c>
      <c r="G53" s="41">
        <f>IF(prodnorm71&gt;0,1/ROUND(prodnorm71,4),0)</f>
        <v>0</v>
      </c>
      <c r="H53" s="43">
        <f>ROUND(dagwerk71,4+2)</f>
        <v>0</v>
      </c>
      <c r="I53" s="44">
        <f>ROUND(uurtarief71,2)</f>
        <v>0</v>
      </c>
      <c r="J53" s="41">
        <v>0</v>
      </c>
      <c r="K53" s="41">
        <v>0</v>
      </c>
      <c r="L53" s="41">
        <v>0</v>
      </c>
      <c r="M53" s="41">
        <v>0</v>
      </c>
      <c r="N53" s="41">
        <v>13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</row>
    <row r="54" spans="1:26" x14ac:dyDescent="0.2">
      <c r="A54" s="22" t="s">
        <v>220</v>
      </c>
      <c r="B54" s="22" t="s">
        <v>10</v>
      </c>
      <c r="C54" s="22" t="s">
        <v>796</v>
      </c>
      <c r="D54" s="22" t="s">
        <v>187</v>
      </c>
      <c r="E54" s="41">
        <f t="shared" si="1"/>
        <v>1</v>
      </c>
      <c r="F54" s="41">
        <v>1</v>
      </c>
      <c r="G54" s="41">
        <f>IF(prodnorm72&gt;0,1/ROUND(prodnorm72,4),0)</f>
        <v>0</v>
      </c>
      <c r="H54" s="43">
        <f>ROUND(dagwerk72,4+2)</f>
        <v>0</v>
      </c>
      <c r="I54" s="44">
        <f>ROUND(uurtarief72,2)</f>
        <v>0</v>
      </c>
      <c r="J54" s="41">
        <v>205.24</v>
      </c>
      <c r="K54" s="41">
        <v>0</v>
      </c>
      <c r="L54" s="41">
        <v>113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</row>
    <row r="55" spans="1:26" x14ac:dyDescent="0.2">
      <c r="A55" s="22" t="s">
        <v>222</v>
      </c>
      <c r="B55" s="22" t="s">
        <v>18</v>
      </c>
      <c r="C55" s="22" t="s">
        <v>796</v>
      </c>
      <c r="D55" s="22" t="s">
        <v>187</v>
      </c>
      <c r="E55" s="41">
        <f t="shared" si="1"/>
        <v>0.44705882352941179</v>
      </c>
      <c r="F55" s="41">
        <v>1</v>
      </c>
      <c r="G55" s="41">
        <f>IF(prodnorm73&gt;0,1/ROUND(prodnorm73,4),0)</f>
        <v>0</v>
      </c>
      <c r="H55" s="43">
        <f>ROUND(dagwerk73,4+2)</f>
        <v>0</v>
      </c>
      <c r="I55" s="44">
        <f>ROUND(uurtarief73,2)</f>
        <v>0</v>
      </c>
      <c r="J55" s="41">
        <v>0</v>
      </c>
      <c r="K55" s="41">
        <v>0</v>
      </c>
      <c r="L55" s="41">
        <v>0</v>
      </c>
      <c r="M55" s="41">
        <v>0</v>
      </c>
      <c r="N55" s="41">
        <v>1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</row>
    <row r="56" spans="1:26" x14ac:dyDescent="0.2">
      <c r="A56" s="22" t="s">
        <v>222</v>
      </c>
      <c r="B56" s="22" t="s">
        <v>34</v>
      </c>
      <c r="C56" s="22" t="s">
        <v>796</v>
      </c>
      <c r="D56" s="22" t="s">
        <v>187</v>
      </c>
      <c r="E56" s="41">
        <f t="shared" si="1"/>
        <v>5.4901960784313725E-2</v>
      </c>
      <c r="F56" s="41">
        <v>1</v>
      </c>
      <c r="G56" s="41">
        <f>IF(prodnorm74&gt;0,1/ROUND(prodnorm74,4),0)</f>
        <v>0</v>
      </c>
      <c r="H56" s="43">
        <f>ROUND(dagwerk74,4+2)</f>
        <v>0</v>
      </c>
      <c r="I56" s="44">
        <f>ROUND(uurtarief74,2)</f>
        <v>0</v>
      </c>
      <c r="J56" s="41">
        <v>0</v>
      </c>
      <c r="K56" s="41">
        <v>9.5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</row>
    <row r="57" spans="1:26" x14ac:dyDescent="0.2">
      <c r="A57" s="22" t="s">
        <v>222</v>
      </c>
      <c r="B57" s="22" t="s">
        <v>15</v>
      </c>
      <c r="C57" s="22" t="s">
        <v>796</v>
      </c>
      <c r="D57" s="22" t="s">
        <v>187</v>
      </c>
      <c r="E57" s="41">
        <f t="shared" si="1"/>
        <v>0.68627450980392157</v>
      </c>
      <c r="F57" s="41">
        <v>1</v>
      </c>
      <c r="G57" s="41">
        <f>IF(prodnorm75&gt;0,1/ROUND(prodnorm75,4),0)</f>
        <v>0</v>
      </c>
      <c r="H57" s="43">
        <f>ROUND(dagwerk75,4+2)</f>
        <v>0</v>
      </c>
      <c r="I57" s="44">
        <f>ROUND(uurtarief75,2)</f>
        <v>0</v>
      </c>
      <c r="J57" s="41">
        <v>0</v>
      </c>
      <c r="K57" s="41">
        <v>9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</row>
    <row r="58" spans="1:26" x14ac:dyDescent="0.2">
      <c r="A58" s="22" t="s">
        <v>222</v>
      </c>
      <c r="B58" s="22" t="s">
        <v>32</v>
      </c>
      <c r="C58" s="22" t="s">
        <v>796</v>
      </c>
      <c r="D58" s="22" t="s">
        <v>187</v>
      </c>
      <c r="E58" s="41">
        <f t="shared" si="1"/>
        <v>6.6666666666666666E-2</v>
      </c>
      <c r="F58" s="41">
        <v>1</v>
      </c>
      <c r="G58" s="41">
        <f>IF(prodnorm76&gt;0,1/ROUND(prodnorm76,4),0)</f>
        <v>0</v>
      </c>
      <c r="H58" s="43">
        <f>ROUND(dagwerk76,4+2)</f>
        <v>0</v>
      </c>
      <c r="I58" s="44">
        <f>ROUND(uurtarief76,2)</f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3</v>
      </c>
      <c r="W58" s="41">
        <v>0</v>
      </c>
      <c r="X58" s="41">
        <v>0</v>
      </c>
      <c r="Y58" s="41">
        <v>0</v>
      </c>
      <c r="Z58" s="41">
        <v>0</v>
      </c>
    </row>
    <row r="59" spans="1:26" x14ac:dyDescent="0.2">
      <c r="A59" s="22" t="s">
        <v>222</v>
      </c>
      <c r="B59" s="22" t="s">
        <v>31</v>
      </c>
      <c r="C59" s="22" t="s">
        <v>796</v>
      </c>
      <c r="D59" s="22" t="s">
        <v>187</v>
      </c>
      <c r="E59" s="41">
        <f t="shared" si="1"/>
        <v>7.4509803921568626E-2</v>
      </c>
      <c r="F59" s="41">
        <v>1</v>
      </c>
      <c r="G59" s="41">
        <f>IF(prodnorm77&gt;0,1/ROUND(prodnorm77,4),0)</f>
        <v>0</v>
      </c>
      <c r="H59" s="43">
        <f>ROUND(dagwerk77,4+2)</f>
        <v>0</v>
      </c>
      <c r="I59" s="44">
        <f>ROUND(uurtarief77,2)</f>
        <v>0</v>
      </c>
      <c r="J59" s="41">
        <v>0</v>
      </c>
      <c r="K59" s="41">
        <v>9.5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</row>
    <row r="60" spans="1:26" x14ac:dyDescent="0.2">
      <c r="A60" s="22" t="s">
        <v>222</v>
      </c>
      <c r="B60" s="22" t="s">
        <v>24</v>
      </c>
      <c r="C60" s="22" t="s">
        <v>796</v>
      </c>
      <c r="D60" s="22" t="s">
        <v>187</v>
      </c>
      <c r="E60" s="41">
        <f t="shared" si="1"/>
        <v>0.2</v>
      </c>
      <c r="F60" s="41">
        <v>1</v>
      </c>
      <c r="G60" s="41">
        <f>IF(prodnorm78&gt;0,1/ROUND(prodnorm78,4),0)</f>
        <v>0</v>
      </c>
      <c r="H60" s="43">
        <f>ROUND(dagwerk78,4+2)</f>
        <v>0</v>
      </c>
      <c r="I60" s="44">
        <f>ROUND(uurtarief78,2)</f>
        <v>0</v>
      </c>
      <c r="J60" s="41">
        <v>0</v>
      </c>
      <c r="K60" s="41">
        <v>0</v>
      </c>
      <c r="L60" s="41">
        <v>5</v>
      </c>
      <c r="M60" s="41">
        <v>2</v>
      </c>
      <c r="N60" s="41">
        <v>13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4.75</v>
      </c>
      <c r="Z60" s="41">
        <v>0</v>
      </c>
    </row>
    <row r="61" spans="1:26" x14ac:dyDescent="0.2">
      <c r="A61" s="22" t="s">
        <v>222</v>
      </c>
      <c r="B61" s="22" t="s">
        <v>14</v>
      </c>
      <c r="C61" s="22" t="s">
        <v>796</v>
      </c>
      <c r="D61" s="22" t="s">
        <v>187</v>
      </c>
      <c r="E61" s="41">
        <f t="shared" si="1"/>
        <v>0.78431372549019607</v>
      </c>
      <c r="F61" s="41">
        <v>1</v>
      </c>
      <c r="G61" s="41">
        <f>IF(prodnorm79&gt;0,1/ROUND(prodnorm79,4),0)</f>
        <v>0</v>
      </c>
      <c r="H61" s="43">
        <f>ROUND(dagwerk79,4+2)</f>
        <v>0</v>
      </c>
      <c r="I61" s="44">
        <f>ROUND(uurtarief79,2)</f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108.80000000000001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21.5</v>
      </c>
    </row>
    <row r="62" spans="1:26" x14ac:dyDescent="0.2">
      <c r="A62" s="22" t="s">
        <v>222</v>
      </c>
      <c r="B62" s="22" t="s">
        <v>12</v>
      </c>
      <c r="C62" s="22" t="s">
        <v>796</v>
      </c>
      <c r="D62" s="22" t="s">
        <v>187</v>
      </c>
      <c r="E62" s="41">
        <f t="shared" si="1"/>
        <v>0.88235294117647056</v>
      </c>
      <c r="F62" s="41">
        <v>1</v>
      </c>
      <c r="G62" s="41">
        <f>IF(prodnorm80&gt;0,1/ROUND(prodnorm80,4),0)</f>
        <v>0</v>
      </c>
      <c r="H62" s="43">
        <f>ROUND(dagwerk80,4+2)</f>
        <v>0</v>
      </c>
      <c r="I62" s="44">
        <f>ROUND(uurtarief80,2)</f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59</v>
      </c>
      <c r="Q62" s="41">
        <v>202.15999999999997</v>
      </c>
      <c r="R62" s="41">
        <v>129</v>
      </c>
      <c r="S62" s="41">
        <v>0</v>
      </c>
      <c r="T62" s="41">
        <v>0</v>
      </c>
      <c r="U62" s="41">
        <v>0</v>
      </c>
      <c r="V62" s="41">
        <v>0</v>
      </c>
      <c r="W62" s="41">
        <v>69</v>
      </c>
      <c r="X62" s="41">
        <v>0</v>
      </c>
      <c r="Y62" s="41">
        <v>0</v>
      </c>
      <c r="Z62" s="41">
        <v>0</v>
      </c>
    </row>
    <row r="63" spans="1:26" x14ac:dyDescent="0.2">
      <c r="A63" s="22" t="s">
        <v>222</v>
      </c>
      <c r="B63" s="22" t="s">
        <v>11</v>
      </c>
      <c r="C63" s="22" t="s">
        <v>796</v>
      </c>
      <c r="D63" s="22" t="s">
        <v>187</v>
      </c>
      <c r="E63" s="41">
        <f t="shared" si="1"/>
        <v>0.92941176470588238</v>
      </c>
      <c r="F63" s="41">
        <v>1</v>
      </c>
      <c r="G63" s="41">
        <f>IF(prodnorm81&gt;0,1/ROUND(prodnorm81,4),0)</f>
        <v>0</v>
      </c>
      <c r="H63" s="43">
        <f>ROUND(dagwerk81,4+2)</f>
        <v>0</v>
      </c>
      <c r="I63" s="44">
        <f>ROUND(uurtarief81,2)</f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161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</row>
    <row r="64" spans="1:26" x14ac:dyDescent="0.2">
      <c r="A64" s="22" t="s">
        <v>222</v>
      </c>
      <c r="B64" s="22" t="s">
        <v>19</v>
      </c>
      <c r="C64" s="22" t="s">
        <v>796</v>
      </c>
      <c r="D64" s="22" t="s">
        <v>187</v>
      </c>
      <c r="E64" s="41">
        <f t="shared" si="1"/>
        <v>0.4</v>
      </c>
      <c r="F64" s="41">
        <v>1</v>
      </c>
      <c r="G64" s="41">
        <f>IF(prodnorm82&gt;0,1/ROUND(prodnorm82,4),0)</f>
        <v>0</v>
      </c>
      <c r="H64" s="43">
        <f>ROUND(dagwerk82,4+2)</f>
        <v>0</v>
      </c>
      <c r="I64" s="44">
        <f>ROUND(uurtarief82,2)</f>
        <v>0</v>
      </c>
      <c r="J64" s="41">
        <v>1.8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3.5</v>
      </c>
      <c r="Y64" s="41">
        <v>0</v>
      </c>
      <c r="Z64" s="41">
        <v>0</v>
      </c>
    </row>
    <row r="65" spans="1:26" x14ac:dyDescent="0.2">
      <c r="A65" s="22" t="s">
        <v>222</v>
      </c>
      <c r="B65" s="22" t="s">
        <v>26</v>
      </c>
      <c r="C65" s="22" t="s">
        <v>796</v>
      </c>
      <c r="D65" s="22" t="s">
        <v>187</v>
      </c>
      <c r="E65" s="41">
        <f t="shared" si="1"/>
        <v>0.14117647058823529</v>
      </c>
      <c r="F65" s="41">
        <v>1</v>
      </c>
      <c r="G65" s="41">
        <f>IF(prodnorm83&gt;0,1/ROUND(prodnorm83,4),0)</f>
        <v>0</v>
      </c>
      <c r="H65" s="43">
        <f>ROUND(dagwerk83,4+2)</f>
        <v>0</v>
      </c>
      <c r="I65" s="44">
        <f>ROUND(uurtarief83,2)</f>
        <v>0</v>
      </c>
      <c r="J65" s="41">
        <v>0</v>
      </c>
      <c r="K65" s="41">
        <v>9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</row>
    <row r="66" spans="1:26" x14ac:dyDescent="0.2">
      <c r="A66" s="22" t="s">
        <v>222</v>
      </c>
      <c r="B66" s="22" t="s">
        <v>16</v>
      </c>
      <c r="C66" s="22" t="s">
        <v>796</v>
      </c>
      <c r="D66" s="22" t="s">
        <v>187</v>
      </c>
      <c r="E66" s="41">
        <f t="shared" si="1"/>
        <v>0.6</v>
      </c>
      <c r="F66" s="41">
        <v>1</v>
      </c>
      <c r="G66" s="41">
        <f>IF(prodnorm84&gt;0,1/ROUND(prodnorm84,4),0)</f>
        <v>0</v>
      </c>
      <c r="H66" s="43">
        <f>ROUND(dagwerk84,4+2)</f>
        <v>0</v>
      </c>
      <c r="I66" s="44">
        <f>ROUND(uurtarief84,2)</f>
        <v>0</v>
      </c>
      <c r="J66" s="41">
        <v>9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</row>
    <row r="67" spans="1:26" x14ac:dyDescent="0.2">
      <c r="A67" s="22" t="s">
        <v>222</v>
      </c>
      <c r="B67" s="22" t="s">
        <v>10</v>
      </c>
      <c r="C67" s="22" t="s">
        <v>796</v>
      </c>
      <c r="D67" s="22" t="s">
        <v>187</v>
      </c>
      <c r="E67" s="41">
        <f t="shared" si="1"/>
        <v>1</v>
      </c>
      <c r="F67" s="41">
        <v>1</v>
      </c>
      <c r="G67" s="41">
        <f>IF(prodnorm85&gt;0,1/ROUND(prodnorm85,4),0)</f>
        <v>0</v>
      </c>
      <c r="H67" s="43">
        <f>ROUND(dagwerk85,4+2)</f>
        <v>0</v>
      </c>
      <c r="I67" s="44">
        <f>ROUND(uurtarief85,2)</f>
        <v>0</v>
      </c>
      <c r="J67" s="41">
        <v>121.30000000000001</v>
      </c>
      <c r="K67" s="41">
        <v>0</v>
      </c>
      <c r="L67" s="41">
        <v>25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10</v>
      </c>
    </row>
    <row r="68" spans="1:26" x14ac:dyDescent="0.2">
      <c r="A68" s="22" t="s">
        <v>222</v>
      </c>
      <c r="B68" s="22" t="s">
        <v>23</v>
      </c>
      <c r="C68" s="22" t="s">
        <v>796</v>
      </c>
      <c r="D68" s="22" t="s">
        <v>187</v>
      </c>
      <c r="E68" s="41">
        <f t="shared" si="1"/>
        <v>0.25490196078431371</v>
      </c>
      <c r="F68" s="41">
        <v>1</v>
      </c>
      <c r="G68" s="41">
        <f>IF(prodnorm86&gt;0,1/ROUND(prodnorm86,4),0)</f>
        <v>0</v>
      </c>
      <c r="H68" s="43">
        <f>ROUND(dagwerk86,4+2)</f>
        <v>0</v>
      </c>
      <c r="I68" s="44">
        <f>ROUND(uurtarief86,2)</f>
        <v>0</v>
      </c>
      <c r="J68" s="41">
        <v>0</v>
      </c>
      <c r="K68" s="41">
        <v>0</v>
      </c>
      <c r="L68" s="41">
        <v>0</v>
      </c>
      <c r="M68" s="41">
        <v>0</v>
      </c>
      <c r="N68" s="41">
        <v>1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</row>
    <row r="69" spans="1:26" x14ac:dyDescent="0.2">
      <c r="A69" s="22" t="s">
        <v>222</v>
      </c>
      <c r="B69" s="22" t="s">
        <v>21</v>
      </c>
      <c r="C69" s="22" t="s">
        <v>796</v>
      </c>
      <c r="D69" s="22" t="s">
        <v>187</v>
      </c>
      <c r="E69" s="41">
        <f t="shared" ref="E69:E100" si="2">IF(B69="","",VLOOKUP(B69,dagsoorttabel1,2,FALSE))</f>
        <v>0.33333333333333331</v>
      </c>
      <c r="F69" s="41">
        <v>1</v>
      </c>
      <c r="G69" s="41">
        <f>IF(prodnorm87&gt;0,1/ROUND(prodnorm87,4),0)</f>
        <v>0</v>
      </c>
      <c r="H69" s="43">
        <f>ROUND(dagwerk87,4+2)</f>
        <v>0</v>
      </c>
      <c r="I69" s="44">
        <f>ROUND(uurtarief87,2)</f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81.72</v>
      </c>
      <c r="W69" s="41">
        <v>0</v>
      </c>
      <c r="X69" s="41">
        <v>0</v>
      </c>
      <c r="Y69" s="41">
        <v>0</v>
      </c>
      <c r="Z69" s="41">
        <v>0</v>
      </c>
    </row>
    <row r="70" spans="1:26" x14ac:dyDescent="0.2">
      <c r="A70" s="22" t="s">
        <v>224</v>
      </c>
      <c r="B70" s="22" t="s">
        <v>10</v>
      </c>
      <c r="C70" s="22" t="s">
        <v>796</v>
      </c>
      <c r="D70" s="22" t="s">
        <v>187</v>
      </c>
      <c r="E70" s="41">
        <f t="shared" si="2"/>
        <v>1</v>
      </c>
      <c r="F70" s="41">
        <v>1</v>
      </c>
      <c r="G70" s="41">
        <f>IF(prodnorm88&gt;0,1/ROUND(prodnorm88,4),0)</f>
        <v>0</v>
      </c>
      <c r="H70" s="43">
        <f>ROUND(dagwerk88,4+2)</f>
        <v>0</v>
      </c>
      <c r="I70" s="44">
        <f>ROUND(uurtarief88,2)</f>
        <v>0</v>
      </c>
      <c r="J70" s="41">
        <v>116.82000000000001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</row>
    <row r="71" spans="1:26" x14ac:dyDescent="0.2">
      <c r="A71" s="22" t="s">
        <v>224</v>
      </c>
      <c r="B71" s="22" t="s">
        <v>23</v>
      </c>
      <c r="C71" s="22" t="s">
        <v>796</v>
      </c>
      <c r="D71" s="22" t="s">
        <v>187</v>
      </c>
      <c r="E71" s="41">
        <f t="shared" si="2"/>
        <v>0.25490196078431371</v>
      </c>
      <c r="F71" s="41">
        <v>1</v>
      </c>
      <c r="G71" s="41">
        <f>IF(prodnorm89&gt;0,1/ROUND(prodnorm89,4),0)</f>
        <v>0</v>
      </c>
      <c r="H71" s="43">
        <f>ROUND(dagwerk89,4+2)</f>
        <v>0</v>
      </c>
      <c r="I71" s="44">
        <f>ROUND(uurtarief89,2)</f>
        <v>0</v>
      </c>
      <c r="J71" s="41">
        <v>0</v>
      </c>
      <c r="K71" s="41">
        <v>9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</row>
    <row r="72" spans="1:26" x14ac:dyDescent="0.2">
      <c r="A72" s="22" t="s">
        <v>227</v>
      </c>
      <c r="B72" s="22" t="s">
        <v>24</v>
      </c>
      <c r="C72" s="22" t="s">
        <v>796</v>
      </c>
      <c r="D72" s="22" t="s">
        <v>187</v>
      </c>
      <c r="E72" s="41">
        <f t="shared" si="2"/>
        <v>0.2</v>
      </c>
      <c r="F72" s="41">
        <v>1</v>
      </c>
      <c r="G72" s="41">
        <f>IF(prodnorm90&gt;0,1/ROUND(prodnorm90,4),0)</f>
        <v>0</v>
      </c>
      <c r="H72" s="43">
        <f>ROUND(dagwerk90,4+2)</f>
        <v>0</v>
      </c>
      <c r="I72" s="44">
        <f>ROUND(uurtarief90,2)</f>
        <v>0</v>
      </c>
      <c r="J72" s="41">
        <v>20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190</v>
      </c>
      <c r="Z72" s="41">
        <v>0</v>
      </c>
    </row>
    <row r="73" spans="1:26" x14ac:dyDescent="0.2">
      <c r="A73" s="22" t="s">
        <v>227</v>
      </c>
      <c r="B73" s="22" t="s">
        <v>14</v>
      </c>
      <c r="C73" s="22" t="s">
        <v>796</v>
      </c>
      <c r="D73" s="22" t="s">
        <v>187</v>
      </c>
      <c r="E73" s="41">
        <f t="shared" si="2"/>
        <v>0.78431372549019607</v>
      </c>
      <c r="F73" s="41">
        <v>1</v>
      </c>
      <c r="G73" s="41">
        <f>IF(prodnorm91&gt;0,1/ROUND(prodnorm91,4),0)</f>
        <v>0</v>
      </c>
      <c r="H73" s="43">
        <f>ROUND(dagwerk91,4+2)</f>
        <v>0</v>
      </c>
      <c r="I73" s="44">
        <f>ROUND(uurtarief91,2)</f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59.9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</row>
    <row r="74" spans="1:26" x14ac:dyDescent="0.2">
      <c r="A74" s="22" t="s">
        <v>227</v>
      </c>
      <c r="B74" s="22" t="s">
        <v>19</v>
      </c>
      <c r="C74" s="22" t="s">
        <v>796</v>
      </c>
      <c r="D74" s="22" t="s">
        <v>187</v>
      </c>
      <c r="E74" s="41">
        <f t="shared" si="2"/>
        <v>0.4</v>
      </c>
      <c r="F74" s="41">
        <v>1</v>
      </c>
      <c r="G74" s="41">
        <f>IF(prodnorm92&gt;0,1/ROUND(prodnorm92,4),0)</f>
        <v>0</v>
      </c>
      <c r="H74" s="43">
        <f>ROUND(dagwerk92,4+2)</f>
        <v>0</v>
      </c>
      <c r="I74" s="44">
        <f>ROUND(uurtarief92,2)</f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16</v>
      </c>
      <c r="Y74" s="41">
        <v>0</v>
      </c>
      <c r="Z74" s="41">
        <v>0</v>
      </c>
    </row>
    <row r="75" spans="1:26" x14ac:dyDescent="0.2">
      <c r="A75" s="22" t="s">
        <v>227</v>
      </c>
      <c r="B75" s="22" t="s">
        <v>10</v>
      </c>
      <c r="C75" s="22" t="s">
        <v>796</v>
      </c>
      <c r="D75" s="22" t="s">
        <v>187</v>
      </c>
      <c r="E75" s="41">
        <f t="shared" si="2"/>
        <v>1</v>
      </c>
      <c r="F75" s="41">
        <v>1</v>
      </c>
      <c r="G75" s="41">
        <f>IF(prodnorm93&gt;0,1/ROUND(prodnorm93,4),0)</f>
        <v>0</v>
      </c>
      <c r="H75" s="43">
        <f>ROUND(dagwerk93,4+2)</f>
        <v>0</v>
      </c>
      <c r="I75" s="44">
        <f>ROUND(uurtarief93,2)</f>
        <v>0</v>
      </c>
      <c r="J75" s="41">
        <v>23.4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</row>
    <row r="76" spans="1:26" x14ac:dyDescent="0.2">
      <c r="A76" s="22" t="s">
        <v>229</v>
      </c>
      <c r="B76" s="22" t="s">
        <v>24</v>
      </c>
      <c r="C76" s="22" t="s">
        <v>796</v>
      </c>
      <c r="D76" s="22" t="s">
        <v>187</v>
      </c>
      <c r="E76" s="41">
        <f t="shared" si="2"/>
        <v>0.2</v>
      </c>
      <c r="F76" s="41">
        <v>1</v>
      </c>
      <c r="G76" s="41">
        <f>IF(prodnorm94&gt;0,1/ROUND(prodnorm94,4),0)</f>
        <v>0</v>
      </c>
      <c r="H76" s="43">
        <f>ROUND(dagwerk94,4+2)</f>
        <v>0</v>
      </c>
      <c r="I76" s="44">
        <f>ROUND(uurtarief94,2)</f>
        <v>0</v>
      </c>
      <c r="J76" s="41">
        <v>240.5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</row>
    <row r="77" spans="1:26" x14ac:dyDescent="0.2">
      <c r="A77" s="22" t="s">
        <v>229</v>
      </c>
      <c r="B77" s="22" t="s">
        <v>10</v>
      </c>
      <c r="C77" s="22" t="s">
        <v>796</v>
      </c>
      <c r="D77" s="22" t="s">
        <v>187</v>
      </c>
      <c r="E77" s="41">
        <f t="shared" si="2"/>
        <v>1</v>
      </c>
      <c r="F77" s="41">
        <v>1</v>
      </c>
      <c r="G77" s="41">
        <f>IF(prodnorm95&gt;0,1/ROUND(prodnorm95,4),0)</f>
        <v>0</v>
      </c>
      <c r="H77" s="43">
        <f>ROUND(dagwerk95,4+2)</f>
        <v>0</v>
      </c>
      <c r="I77" s="44">
        <f>ROUND(uurtarief95,2)</f>
        <v>0</v>
      </c>
      <c r="J77" s="41">
        <v>55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</row>
    <row r="78" spans="1:26" x14ac:dyDescent="0.2">
      <c r="A78" s="22" t="s">
        <v>231</v>
      </c>
      <c r="B78" s="22" t="s">
        <v>32</v>
      </c>
      <c r="C78" s="22" t="s">
        <v>796</v>
      </c>
      <c r="D78" s="22" t="s">
        <v>187</v>
      </c>
      <c r="E78" s="41">
        <f t="shared" si="2"/>
        <v>6.6666666666666666E-2</v>
      </c>
      <c r="F78" s="41">
        <v>1</v>
      </c>
      <c r="G78" s="41">
        <f>IF(prodnorm96&gt;0,1/ROUND(prodnorm96,4),0)</f>
        <v>0</v>
      </c>
      <c r="H78" s="43">
        <f>ROUND(dagwerk96,4+2)</f>
        <v>0</v>
      </c>
      <c r="I78" s="44">
        <f>ROUND(uurtarief96,2)</f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5.0999999999999996</v>
      </c>
      <c r="W78" s="41">
        <v>0</v>
      </c>
      <c r="X78" s="41">
        <v>0</v>
      </c>
      <c r="Y78" s="41">
        <v>0</v>
      </c>
      <c r="Z78" s="41">
        <v>0</v>
      </c>
    </row>
    <row r="79" spans="1:26" x14ac:dyDescent="0.2">
      <c r="A79" s="22" t="s">
        <v>231</v>
      </c>
      <c r="B79" s="22" t="s">
        <v>24</v>
      </c>
      <c r="C79" s="22" t="s">
        <v>796</v>
      </c>
      <c r="D79" s="22" t="s">
        <v>187</v>
      </c>
      <c r="E79" s="41">
        <f t="shared" si="2"/>
        <v>0.2</v>
      </c>
      <c r="F79" s="41">
        <v>1</v>
      </c>
      <c r="G79" s="41">
        <f>IF(prodnorm97&gt;0,1/ROUND(prodnorm97,4),0)</f>
        <v>0</v>
      </c>
      <c r="H79" s="43">
        <f>ROUND(dagwerk97,4+2)</f>
        <v>0</v>
      </c>
      <c r="I79" s="44">
        <f>ROUND(uurtarief97,2)</f>
        <v>0</v>
      </c>
      <c r="J79" s="41">
        <v>30.82</v>
      </c>
      <c r="K79" s="41">
        <v>0</v>
      </c>
      <c r="L79" s="41">
        <v>0</v>
      </c>
      <c r="M79" s="41">
        <v>3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30</v>
      </c>
      <c r="Z79" s="41">
        <v>152.30000000000001</v>
      </c>
    </row>
    <row r="80" spans="1:26" x14ac:dyDescent="0.2">
      <c r="A80" s="22" t="s">
        <v>231</v>
      </c>
      <c r="B80" s="22" t="s">
        <v>17</v>
      </c>
      <c r="C80" s="22" t="s">
        <v>796</v>
      </c>
      <c r="D80" s="22" t="s">
        <v>187</v>
      </c>
      <c r="E80" s="41">
        <f t="shared" si="2"/>
        <v>0.5</v>
      </c>
      <c r="F80" s="41">
        <v>1</v>
      </c>
      <c r="G80" s="41">
        <f>IF(prodnorm98&gt;0,1/ROUND(prodnorm98,4),0)</f>
        <v>0</v>
      </c>
      <c r="H80" s="43">
        <f>ROUND(dagwerk98,4+2)</f>
        <v>0</v>
      </c>
      <c r="I80" s="44">
        <f>ROUND(uurtarief98,2)</f>
        <v>0</v>
      </c>
      <c r="J80" s="41">
        <v>200.71</v>
      </c>
      <c r="K80" s="41">
        <v>0</v>
      </c>
      <c r="L80" s="41">
        <v>240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</row>
    <row r="81" spans="1:26" x14ac:dyDescent="0.2">
      <c r="A81" s="22" t="s">
        <v>231</v>
      </c>
      <c r="B81" s="22" t="s">
        <v>14</v>
      </c>
      <c r="C81" s="22" t="s">
        <v>796</v>
      </c>
      <c r="D81" s="22" t="s">
        <v>187</v>
      </c>
      <c r="E81" s="41">
        <f t="shared" si="2"/>
        <v>0.78431372549019607</v>
      </c>
      <c r="F81" s="41">
        <v>1</v>
      </c>
      <c r="G81" s="41">
        <f>IF(prodnorm99&gt;0,1/ROUND(prodnorm99,4),0)</f>
        <v>0</v>
      </c>
      <c r="H81" s="43">
        <f>ROUND(dagwerk99,4+2)</f>
        <v>0</v>
      </c>
      <c r="I81" s="44">
        <f>ROUND(uurtarief99,2)</f>
        <v>0</v>
      </c>
      <c r="J81" s="41">
        <v>0</v>
      </c>
      <c r="K81" s="41">
        <v>0</v>
      </c>
      <c r="L81" s="41">
        <v>0</v>
      </c>
      <c r="M81" s="41">
        <v>0</v>
      </c>
      <c r="N81" s="41">
        <v>0</v>
      </c>
      <c r="O81" s="41">
        <v>550.90000000000009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>
        <v>0</v>
      </c>
      <c r="Z81" s="41">
        <v>0</v>
      </c>
    </row>
    <row r="82" spans="1:26" x14ac:dyDescent="0.2">
      <c r="A82" s="22" t="s">
        <v>231</v>
      </c>
      <c r="B82" s="22" t="s">
        <v>12</v>
      </c>
      <c r="C82" s="22" t="s">
        <v>796</v>
      </c>
      <c r="D82" s="22" t="s">
        <v>187</v>
      </c>
      <c r="E82" s="41">
        <f t="shared" si="2"/>
        <v>0.88235294117647056</v>
      </c>
      <c r="F82" s="41">
        <v>1</v>
      </c>
      <c r="G82" s="41">
        <f>IF(prodnorm100&gt;0,1/ROUND(prodnorm100,4),0)</f>
        <v>0</v>
      </c>
      <c r="H82" s="43">
        <f>ROUND(dagwerk100,4+2)</f>
        <v>0</v>
      </c>
      <c r="I82" s="44">
        <f>ROUND(uurtarief100,2)</f>
        <v>0</v>
      </c>
      <c r="J82" s="41">
        <v>0</v>
      </c>
      <c r="K82" s="41">
        <v>0</v>
      </c>
      <c r="L82" s="41">
        <v>0</v>
      </c>
      <c r="M82" s="41">
        <v>0</v>
      </c>
      <c r="N82" s="41">
        <v>0</v>
      </c>
      <c r="O82" s="41">
        <v>0</v>
      </c>
      <c r="P82" s="41">
        <v>0</v>
      </c>
      <c r="Q82" s="41">
        <v>269.25</v>
      </c>
      <c r="R82" s="41">
        <v>69</v>
      </c>
      <c r="S82" s="41">
        <v>0</v>
      </c>
      <c r="T82" s="41">
        <v>0</v>
      </c>
      <c r="U82" s="41">
        <v>0</v>
      </c>
      <c r="V82" s="41">
        <v>0</v>
      </c>
      <c r="W82" s="41">
        <v>26</v>
      </c>
      <c r="X82" s="41">
        <v>0</v>
      </c>
      <c r="Y82" s="41">
        <v>0</v>
      </c>
      <c r="Z82" s="41">
        <v>0</v>
      </c>
    </row>
    <row r="83" spans="1:26" x14ac:dyDescent="0.2">
      <c r="A83" s="22" t="s">
        <v>231</v>
      </c>
      <c r="B83" s="22" t="s">
        <v>11</v>
      </c>
      <c r="C83" s="22" t="s">
        <v>796</v>
      </c>
      <c r="D83" s="22" t="s">
        <v>187</v>
      </c>
      <c r="E83" s="41">
        <f t="shared" si="2"/>
        <v>0.92941176470588238</v>
      </c>
      <c r="F83" s="41">
        <v>1</v>
      </c>
      <c r="G83" s="41">
        <f>IF(prodnorm101&gt;0,1/ROUND(prodnorm101,4),0)</f>
        <v>0</v>
      </c>
      <c r="H83" s="43">
        <f>ROUND(dagwerk101,4+2)</f>
        <v>0</v>
      </c>
      <c r="I83" s="44">
        <f>ROUND(uurtarief101,2)</f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41">
        <v>146</v>
      </c>
      <c r="T83" s="41">
        <v>0</v>
      </c>
      <c r="U83" s="41">
        <v>0</v>
      </c>
      <c r="V83" s="41">
        <v>0</v>
      </c>
      <c r="W83" s="41">
        <v>0</v>
      </c>
      <c r="X83" s="41">
        <v>0</v>
      </c>
      <c r="Y83" s="41">
        <v>0</v>
      </c>
      <c r="Z83" s="41">
        <v>0</v>
      </c>
    </row>
    <row r="84" spans="1:26" x14ac:dyDescent="0.2">
      <c r="A84" s="22" t="s">
        <v>231</v>
      </c>
      <c r="B84" s="22" t="s">
        <v>19</v>
      </c>
      <c r="C84" s="22" t="s">
        <v>796</v>
      </c>
      <c r="D84" s="22" t="s">
        <v>187</v>
      </c>
      <c r="E84" s="41">
        <f t="shared" si="2"/>
        <v>0.4</v>
      </c>
      <c r="F84" s="41">
        <v>1</v>
      </c>
      <c r="G84" s="41">
        <f>IF(prodnorm102&gt;0,1/ROUND(prodnorm102,4),0)</f>
        <v>0</v>
      </c>
      <c r="H84" s="43">
        <f>ROUND(dagwerk102,4+2)</f>
        <v>0</v>
      </c>
      <c r="I84" s="44">
        <f>ROUND(uurtarief102,2)</f>
        <v>0</v>
      </c>
      <c r="J84" s="41">
        <v>0</v>
      </c>
      <c r="K84" s="41">
        <v>0</v>
      </c>
      <c r="L84" s="41">
        <v>0</v>
      </c>
      <c r="M84" s="41">
        <v>0</v>
      </c>
      <c r="N84" s="41">
        <v>6</v>
      </c>
      <c r="O84" s="41">
        <v>0</v>
      </c>
      <c r="P84" s="41">
        <v>0</v>
      </c>
      <c r="Q84" s="41">
        <v>0</v>
      </c>
      <c r="R84" s="41">
        <v>0</v>
      </c>
      <c r="S84" s="41">
        <v>0</v>
      </c>
      <c r="T84" s="41">
        <v>0</v>
      </c>
      <c r="U84" s="41">
        <v>0</v>
      </c>
      <c r="V84" s="41">
        <v>0</v>
      </c>
      <c r="W84" s="41">
        <v>0</v>
      </c>
      <c r="X84" s="41">
        <v>0</v>
      </c>
      <c r="Y84" s="41">
        <v>0</v>
      </c>
      <c r="Z84" s="41">
        <v>0</v>
      </c>
    </row>
    <row r="85" spans="1:26" x14ac:dyDescent="0.2">
      <c r="A85" s="22" t="s">
        <v>231</v>
      </c>
      <c r="B85" s="22" t="s">
        <v>10</v>
      </c>
      <c r="C85" s="22" t="s">
        <v>796</v>
      </c>
      <c r="D85" s="22" t="s">
        <v>187</v>
      </c>
      <c r="E85" s="41">
        <f t="shared" si="2"/>
        <v>1</v>
      </c>
      <c r="F85" s="41">
        <v>1</v>
      </c>
      <c r="G85" s="41">
        <f>IF(prodnorm103&gt;0,1/ROUND(prodnorm103,4),0)</f>
        <v>0</v>
      </c>
      <c r="H85" s="43">
        <f>ROUND(dagwerk103,4+2)</f>
        <v>0</v>
      </c>
      <c r="I85" s="44">
        <f>ROUND(uurtarief103,2)</f>
        <v>0</v>
      </c>
      <c r="J85" s="41">
        <v>601.13999999999987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1">
        <v>0</v>
      </c>
      <c r="V85" s="41">
        <v>0</v>
      </c>
      <c r="W85" s="41">
        <v>0</v>
      </c>
      <c r="X85" s="41">
        <v>0</v>
      </c>
      <c r="Y85" s="41">
        <v>0</v>
      </c>
      <c r="Z85" s="41">
        <v>0</v>
      </c>
    </row>
    <row r="86" spans="1:26" x14ac:dyDescent="0.2">
      <c r="A86" s="22" t="s">
        <v>231</v>
      </c>
      <c r="B86" s="22" t="s">
        <v>21</v>
      </c>
      <c r="C86" s="22" t="s">
        <v>796</v>
      </c>
      <c r="D86" s="22" t="s">
        <v>187</v>
      </c>
      <c r="E86" s="41">
        <f t="shared" si="2"/>
        <v>0.33333333333333331</v>
      </c>
      <c r="F86" s="41">
        <v>1</v>
      </c>
      <c r="G86" s="41">
        <f>IF(prodnorm104&gt;0,1/ROUND(prodnorm104,4),0)</f>
        <v>0</v>
      </c>
      <c r="H86" s="43">
        <f>ROUND(dagwerk104,4+2)</f>
        <v>0</v>
      </c>
      <c r="I86" s="44">
        <f>ROUND(uurtarief104,2)</f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41">
        <v>0</v>
      </c>
      <c r="R86" s="41">
        <v>0</v>
      </c>
      <c r="S86" s="41">
        <v>0</v>
      </c>
      <c r="T86" s="41">
        <v>0</v>
      </c>
      <c r="U86" s="41">
        <v>0</v>
      </c>
      <c r="V86" s="41">
        <v>22.5</v>
      </c>
      <c r="W86" s="41">
        <v>0</v>
      </c>
      <c r="X86" s="41">
        <v>0</v>
      </c>
      <c r="Y86" s="41">
        <v>0</v>
      </c>
      <c r="Z86" s="41">
        <v>0</v>
      </c>
    </row>
    <row r="87" spans="1:26" x14ac:dyDescent="0.2">
      <c r="A87" s="22" t="s">
        <v>233</v>
      </c>
      <c r="B87" s="22" t="s">
        <v>24</v>
      </c>
      <c r="C87" s="22" t="s">
        <v>796</v>
      </c>
      <c r="D87" s="22" t="s">
        <v>187</v>
      </c>
      <c r="E87" s="41">
        <f t="shared" si="2"/>
        <v>0.2</v>
      </c>
      <c r="F87" s="41">
        <v>1</v>
      </c>
      <c r="G87" s="41">
        <f>IF(prodnorm105&gt;0,1/ROUND(prodnorm105,4),0)</f>
        <v>0</v>
      </c>
      <c r="H87" s="43">
        <f>ROUND(dagwerk105,4+2)</f>
        <v>0</v>
      </c>
      <c r="I87" s="44">
        <f>ROUND(uurtarief105,2)</f>
        <v>0</v>
      </c>
      <c r="J87" s="41">
        <v>0</v>
      </c>
      <c r="K87" s="41">
        <v>0</v>
      </c>
      <c r="L87" s="41">
        <v>0</v>
      </c>
      <c r="M87" s="41">
        <v>0</v>
      </c>
      <c r="N87" s="41">
        <v>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>
        <v>0</v>
      </c>
      <c r="Z87" s="41">
        <v>3</v>
      </c>
    </row>
    <row r="88" spans="1:26" x14ac:dyDescent="0.2">
      <c r="A88" s="22" t="s">
        <v>233</v>
      </c>
      <c r="B88" s="22" t="s">
        <v>17</v>
      </c>
      <c r="C88" s="22" t="s">
        <v>796</v>
      </c>
      <c r="D88" s="22" t="s">
        <v>187</v>
      </c>
      <c r="E88" s="41">
        <f t="shared" si="2"/>
        <v>0.5</v>
      </c>
      <c r="F88" s="41">
        <v>1</v>
      </c>
      <c r="G88" s="41">
        <f>IF(prodnorm106&gt;0,1/ROUND(prodnorm106,4),0)</f>
        <v>0</v>
      </c>
      <c r="H88" s="43">
        <f>ROUND(dagwerk106,4+2)</f>
        <v>0</v>
      </c>
      <c r="I88" s="44">
        <f>ROUND(uurtarief106,2)</f>
        <v>0</v>
      </c>
      <c r="J88" s="41">
        <v>936.33999999999992</v>
      </c>
      <c r="K88" s="41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>
        <v>0</v>
      </c>
      <c r="Z88" s="41">
        <v>0</v>
      </c>
    </row>
    <row r="89" spans="1:26" x14ac:dyDescent="0.2">
      <c r="A89" s="22" t="s">
        <v>233</v>
      </c>
      <c r="B89" s="22" t="s">
        <v>14</v>
      </c>
      <c r="C89" s="22" t="s">
        <v>796</v>
      </c>
      <c r="D89" s="22" t="s">
        <v>187</v>
      </c>
      <c r="E89" s="41">
        <f t="shared" si="2"/>
        <v>0.78431372549019607</v>
      </c>
      <c r="F89" s="41">
        <v>1</v>
      </c>
      <c r="G89" s="41">
        <f>IF(prodnorm107&gt;0,1/ROUND(prodnorm107,4),0)</f>
        <v>0</v>
      </c>
      <c r="H89" s="43">
        <f>ROUND(dagwerk107,4+2)</f>
        <v>0</v>
      </c>
      <c r="I89" s="44">
        <f>ROUND(uurtarief107,2)</f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194.6</v>
      </c>
      <c r="P89" s="41">
        <v>0</v>
      </c>
      <c r="Q89" s="41">
        <v>0</v>
      </c>
      <c r="R89" s="41">
        <v>0</v>
      </c>
      <c r="S89" s="41">
        <v>0</v>
      </c>
      <c r="T89" s="41">
        <v>0</v>
      </c>
      <c r="U89" s="41">
        <v>0</v>
      </c>
      <c r="V89" s="41">
        <v>0</v>
      </c>
      <c r="W89" s="41">
        <v>0</v>
      </c>
      <c r="X89" s="41">
        <v>0</v>
      </c>
      <c r="Y89" s="41">
        <v>0</v>
      </c>
      <c r="Z89" s="41">
        <v>0</v>
      </c>
    </row>
    <row r="90" spans="1:26" x14ac:dyDescent="0.2">
      <c r="A90" s="22" t="s">
        <v>233</v>
      </c>
      <c r="B90" s="22" t="s">
        <v>12</v>
      </c>
      <c r="C90" s="22" t="s">
        <v>796</v>
      </c>
      <c r="D90" s="22" t="s">
        <v>187</v>
      </c>
      <c r="E90" s="41">
        <f t="shared" si="2"/>
        <v>0.88235294117647056</v>
      </c>
      <c r="F90" s="41">
        <v>1</v>
      </c>
      <c r="G90" s="41">
        <f>IF(prodnorm108&gt;0,1/ROUND(prodnorm108,4),0)</f>
        <v>0</v>
      </c>
      <c r="H90" s="43">
        <f>ROUND(dagwerk108,4+2)</f>
        <v>0</v>
      </c>
      <c r="I90" s="44">
        <f>ROUND(uurtarief108,2)</f>
        <v>0</v>
      </c>
      <c r="J90" s="41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29</v>
      </c>
      <c r="Q90" s="41">
        <v>15</v>
      </c>
      <c r="R90" s="41">
        <v>0</v>
      </c>
      <c r="S90" s="41">
        <v>0</v>
      </c>
      <c r="T90" s="41">
        <v>0</v>
      </c>
      <c r="U90" s="41">
        <v>0</v>
      </c>
      <c r="V90" s="41">
        <v>0</v>
      </c>
      <c r="W90" s="41">
        <v>0</v>
      </c>
      <c r="X90" s="41">
        <v>0</v>
      </c>
      <c r="Y90" s="41">
        <v>0</v>
      </c>
      <c r="Z90" s="41">
        <v>0</v>
      </c>
    </row>
    <row r="91" spans="1:26" x14ac:dyDescent="0.2">
      <c r="A91" s="22" t="s">
        <v>233</v>
      </c>
      <c r="B91" s="22" t="s">
        <v>19</v>
      </c>
      <c r="C91" s="22" t="s">
        <v>796</v>
      </c>
      <c r="D91" s="22" t="s">
        <v>187</v>
      </c>
      <c r="E91" s="41">
        <f t="shared" si="2"/>
        <v>0.4</v>
      </c>
      <c r="F91" s="41">
        <v>1</v>
      </c>
      <c r="G91" s="41">
        <f>IF(prodnorm109&gt;0,1/ROUND(prodnorm109,4),0)</f>
        <v>0</v>
      </c>
      <c r="H91" s="43">
        <f>ROUND(dagwerk109,4+2)</f>
        <v>0</v>
      </c>
      <c r="I91" s="44">
        <f>ROUND(uurtarief109,2)</f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89</v>
      </c>
      <c r="Y91" s="41">
        <v>0</v>
      </c>
      <c r="Z91" s="41">
        <v>0</v>
      </c>
    </row>
    <row r="92" spans="1:26" x14ac:dyDescent="0.2">
      <c r="A92" s="22" t="s">
        <v>235</v>
      </c>
      <c r="B92" s="22" t="s">
        <v>34</v>
      </c>
      <c r="C92" s="22" t="s">
        <v>796</v>
      </c>
      <c r="D92" s="22" t="s">
        <v>187</v>
      </c>
      <c r="E92" s="41">
        <f t="shared" si="2"/>
        <v>5.4901960784313725E-2</v>
      </c>
      <c r="F92" s="41">
        <v>1</v>
      </c>
      <c r="G92" s="41">
        <f>IF(prodnorm110&gt;0,1/ROUND(prodnorm110,4),0)</f>
        <v>0</v>
      </c>
      <c r="H92" s="43">
        <f>ROUND(dagwerk110,4+2)</f>
        <v>0</v>
      </c>
      <c r="I92" s="44">
        <f>ROUND(uurtarief110,2)</f>
        <v>0</v>
      </c>
      <c r="J92" s="41">
        <v>0</v>
      </c>
      <c r="K92" s="41">
        <v>6</v>
      </c>
      <c r="L92" s="41">
        <v>0</v>
      </c>
      <c r="M92" s="41">
        <v>0</v>
      </c>
      <c r="N92" s="41">
        <v>0</v>
      </c>
      <c r="O92" s="41">
        <v>0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1">
        <v>0</v>
      </c>
      <c r="V92" s="41">
        <v>0</v>
      </c>
      <c r="W92" s="41">
        <v>0</v>
      </c>
      <c r="X92" s="41">
        <v>0</v>
      </c>
      <c r="Y92" s="41">
        <v>0</v>
      </c>
      <c r="Z92" s="41">
        <v>0</v>
      </c>
    </row>
    <row r="93" spans="1:26" x14ac:dyDescent="0.2">
      <c r="A93" s="22" t="s">
        <v>235</v>
      </c>
      <c r="B93" s="22" t="s">
        <v>31</v>
      </c>
      <c r="C93" s="22" t="s">
        <v>796</v>
      </c>
      <c r="D93" s="22" t="s">
        <v>187</v>
      </c>
      <c r="E93" s="41">
        <f t="shared" si="2"/>
        <v>7.4509803921568626E-2</v>
      </c>
      <c r="F93" s="41">
        <v>1</v>
      </c>
      <c r="G93" s="41">
        <f>IF(prodnorm111&gt;0,1/ROUND(prodnorm111,4),0)</f>
        <v>0</v>
      </c>
      <c r="H93" s="43">
        <f>ROUND(dagwerk111,4+2)</f>
        <v>0</v>
      </c>
      <c r="I93" s="44">
        <f>ROUND(uurtarief111,2)</f>
        <v>0</v>
      </c>
      <c r="J93" s="41">
        <v>0</v>
      </c>
      <c r="K93" s="41">
        <v>6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1">
        <v>0</v>
      </c>
    </row>
    <row r="94" spans="1:26" x14ac:dyDescent="0.2">
      <c r="A94" s="22" t="s">
        <v>235</v>
      </c>
      <c r="B94" s="22" t="s">
        <v>10</v>
      </c>
      <c r="C94" s="22" t="s">
        <v>796</v>
      </c>
      <c r="D94" s="22" t="s">
        <v>187</v>
      </c>
      <c r="E94" s="41">
        <f t="shared" si="2"/>
        <v>1</v>
      </c>
      <c r="F94" s="41">
        <v>1</v>
      </c>
      <c r="G94" s="41">
        <f>IF(prodnorm112&gt;0,1/ROUND(prodnorm112,4),0)</f>
        <v>0</v>
      </c>
      <c r="H94" s="43">
        <f>ROUND(dagwerk112,4+2)</f>
        <v>0</v>
      </c>
      <c r="I94" s="44">
        <f>ROUND(uurtarief112,2)</f>
        <v>0</v>
      </c>
      <c r="J94" s="41">
        <v>63.96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</row>
    <row r="95" spans="1:26" x14ac:dyDescent="0.2">
      <c r="A95" s="22" t="s">
        <v>237</v>
      </c>
      <c r="B95" s="22" t="s">
        <v>10</v>
      </c>
      <c r="C95" s="22" t="s">
        <v>796</v>
      </c>
      <c r="D95" s="22" t="s">
        <v>187</v>
      </c>
      <c r="E95" s="41">
        <f t="shared" si="2"/>
        <v>1</v>
      </c>
      <c r="F95" s="41">
        <v>1</v>
      </c>
      <c r="G95" s="41">
        <f>IF(prodnorm113&gt;0,1/ROUND(prodnorm113,4),0)</f>
        <v>0</v>
      </c>
      <c r="H95" s="43">
        <f>ROUND(dagwerk113,4+2)</f>
        <v>0</v>
      </c>
      <c r="I95" s="44">
        <f>ROUND(uurtarief113,2)</f>
        <v>0</v>
      </c>
      <c r="J95" s="41">
        <v>33.549999999999997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1">
        <v>0</v>
      </c>
    </row>
    <row r="96" spans="1:26" x14ac:dyDescent="0.2">
      <c r="A96" s="22" t="s">
        <v>239</v>
      </c>
      <c r="B96" s="22" t="s">
        <v>17</v>
      </c>
      <c r="C96" s="22" t="s">
        <v>796</v>
      </c>
      <c r="D96" s="22" t="s">
        <v>187</v>
      </c>
      <c r="E96" s="41">
        <f t="shared" si="2"/>
        <v>0.5</v>
      </c>
      <c r="F96" s="41">
        <v>1</v>
      </c>
      <c r="G96" s="41">
        <f>IF(prodnorm114&gt;0,1/ROUND(prodnorm114,4),0)</f>
        <v>0</v>
      </c>
      <c r="H96" s="43">
        <f>ROUND(dagwerk114,4+2)</f>
        <v>0</v>
      </c>
      <c r="I96" s="44">
        <f>ROUND(uurtarief114,2)</f>
        <v>0</v>
      </c>
      <c r="J96" s="41">
        <v>48.48</v>
      </c>
      <c r="K96" s="41">
        <v>0</v>
      </c>
      <c r="L96" s="41">
        <v>11</v>
      </c>
      <c r="M96" s="41">
        <v>0</v>
      </c>
      <c r="N96" s="41">
        <v>0</v>
      </c>
      <c r="O96" s="41">
        <v>0</v>
      </c>
      <c r="P96" s="41">
        <v>0</v>
      </c>
      <c r="Q96" s="41">
        <v>0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</row>
    <row r="97" spans="1:26" x14ac:dyDescent="0.2">
      <c r="A97" s="22" t="s">
        <v>239</v>
      </c>
      <c r="B97" s="22" t="s">
        <v>19</v>
      </c>
      <c r="C97" s="22" t="s">
        <v>796</v>
      </c>
      <c r="D97" s="22" t="s">
        <v>187</v>
      </c>
      <c r="E97" s="41">
        <f t="shared" si="2"/>
        <v>0.4</v>
      </c>
      <c r="F97" s="41">
        <v>1</v>
      </c>
      <c r="G97" s="41">
        <f>IF(prodnorm115&gt;0,1/ROUND(prodnorm115,4),0)</f>
        <v>0</v>
      </c>
      <c r="H97" s="43">
        <f>ROUND(dagwerk115,4+2)</f>
        <v>0</v>
      </c>
      <c r="I97" s="44">
        <f>ROUND(uurtarief115,2)</f>
        <v>0</v>
      </c>
      <c r="J97" s="41">
        <v>2.14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</row>
    <row r="98" spans="1:26" x14ac:dyDescent="0.2">
      <c r="A98" s="22" t="s">
        <v>239</v>
      </c>
      <c r="B98" s="22" t="s">
        <v>16</v>
      </c>
      <c r="C98" s="22" t="s">
        <v>796</v>
      </c>
      <c r="D98" s="22" t="s">
        <v>187</v>
      </c>
      <c r="E98" s="41">
        <f t="shared" si="2"/>
        <v>0.6</v>
      </c>
      <c r="F98" s="41">
        <v>1</v>
      </c>
      <c r="G98" s="41">
        <f>IF(prodnorm116&gt;0,1/ROUND(prodnorm116,4),0)</f>
        <v>0</v>
      </c>
      <c r="H98" s="43">
        <f>ROUND(dagwerk116,4+2)</f>
        <v>0</v>
      </c>
      <c r="I98" s="44">
        <f>ROUND(uurtarief116,2)</f>
        <v>0</v>
      </c>
      <c r="J98" s="41">
        <v>13.379999999999999</v>
      </c>
      <c r="K98" s="41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</row>
    <row r="99" spans="1:26" x14ac:dyDescent="0.2">
      <c r="A99" s="22" t="s">
        <v>241</v>
      </c>
      <c r="B99" s="22" t="s">
        <v>41</v>
      </c>
      <c r="C99" s="22" t="s">
        <v>796</v>
      </c>
      <c r="D99" s="22" t="s">
        <v>242</v>
      </c>
      <c r="E99" s="41">
        <f t="shared" si="2"/>
        <v>3.9215686274509803E-3</v>
      </c>
      <c r="F99" s="41">
        <v>1</v>
      </c>
      <c r="G99" s="41">
        <f>IF(prodnorm117&gt;0,1/ROUND(prodnorm117,4),0)</f>
        <v>0</v>
      </c>
      <c r="H99" s="43">
        <f>ROUND(dagwerk117,4+2)</f>
        <v>0</v>
      </c>
      <c r="I99" s="44">
        <f>ROUND(uurtarief117,2)</f>
        <v>0</v>
      </c>
      <c r="J99" s="41">
        <v>188</v>
      </c>
      <c r="K99" s="41">
        <v>23.25</v>
      </c>
      <c r="L99" s="41">
        <v>279</v>
      </c>
      <c r="M99" s="41">
        <v>7</v>
      </c>
      <c r="N99" s="41">
        <v>0</v>
      </c>
      <c r="O99" s="41">
        <v>306.60000000000002</v>
      </c>
      <c r="P99" s="41">
        <v>6</v>
      </c>
      <c r="Q99" s="41">
        <v>372.59000000000003</v>
      </c>
      <c r="R99" s="41">
        <v>22</v>
      </c>
      <c r="S99" s="41">
        <v>121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651.65000000000009</v>
      </c>
    </row>
    <row r="100" spans="1:26" x14ac:dyDescent="0.2">
      <c r="A100" s="22" t="s">
        <v>244</v>
      </c>
      <c r="B100" s="22" t="s">
        <v>40</v>
      </c>
      <c r="C100" s="22" t="s">
        <v>796</v>
      </c>
      <c r="D100" s="22" t="s">
        <v>242</v>
      </c>
      <c r="E100" s="41">
        <f t="shared" si="2"/>
        <v>7.8431372549019607E-3</v>
      </c>
      <c r="F100" s="41">
        <v>1</v>
      </c>
      <c r="G100" s="41">
        <f>IF(prodnorm118&gt;0,1/ROUND(prodnorm118,4),0)</f>
        <v>0</v>
      </c>
      <c r="H100" s="43">
        <f>ROUND(dagwerk118,4+2)</f>
        <v>0</v>
      </c>
      <c r="I100" s="44">
        <f>ROUND(uurtarief118,2)</f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325</v>
      </c>
      <c r="Q100" s="41">
        <v>1382.93</v>
      </c>
      <c r="R100" s="41">
        <v>762</v>
      </c>
      <c r="S100" s="41">
        <v>794</v>
      </c>
      <c r="T100" s="41">
        <v>0</v>
      </c>
      <c r="U100" s="41">
        <v>0</v>
      </c>
      <c r="V100" s="41">
        <v>0</v>
      </c>
      <c r="W100" s="41">
        <v>321.5</v>
      </c>
      <c r="X100" s="41">
        <v>0</v>
      </c>
      <c r="Y100" s="41">
        <v>0</v>
      </c>
      <c r="Z100" s="41">
        <v>0</v>
      </c>
    </row>
    <row r="101" spans="1:26" x14ac:dyDescent="0.2">
      <c r="A101" s="22" t="s">
        <v>246</v>
      </c>
      <c r="B101" s="22" t="s">
        <v>24</v>
      </c>
      <c r="C101" s="22" t="s">
        <v>796</v>
      </c>
      <c r="D101" s="22" t="s">
        <v>242</v>
      </c>
      <c r="E101" s="41">
        <f t="shared" ref="E101:E111" si="3">IF(B101="","",VLOOKUP(B101,dagsoorttabel1,2,FALSE))</f>
        <v>0.2</v>
      </c>
      <c r="F101" s="41">
        <v>1</v>
      </c>
      <c r="G101" s="41">
        <f>IF(prodnorm119&gt;0,1/ROUND(prodnorm119,4),0)</f>
        <v>0</v>
      </c>
      <c r="H101" s="43">
        <f>ROUND(dagwerk119,4+2)</f>
        <v>0</v>
      </c>
      <c r="I101" s="44">
        <f>ROUND(uurtarief119,2)</f>
        <v>0</v>
      </c>
      <c r="J101" s="41">
        <v>15.32</v>
      </c>
      <c r="K101" s="41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</row>
    <row r="102" spans="1:26" x14ac:dyDescent="0.2">
      <c r="A102" s="22" t="s">
        <v>246</v>
      </c>
      <c r="B102" s="22" t="s">
        <v>36</v>
      </c>
      <c r="C102" s="22" t="s">
        <v>796</v>
      </c>
      <c r="D102" s="22" t="s">
        <v>242</v>
      </c>
      <c r="E102" s="41">
        <f t="shared" si="3"/>
        <v>3.1372549019607843E-2</v>
      </c>
      <c r="F102" s="41">
        <v>1</v>
      </c>
      <c r="G102" s="41">
        <f>IF(prodnorm120&gt;0,1/ROUND(prodnorm120,4),0)</f>
        <v>0</v>
      </c>
      <c r="H102" s="43">
        <f>ROUND(dagwerk120,4+2)</f>
        <v>0</v>
      </c>
      <c r="I102" s="44">
        <f>ROUND(uurtarief120,2)</f>
        <v>0</v>
      </c>
      <c r="J102" s="41">
        <v>517.91</v>
      </c>
      <c r="K102" s="41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</row>
    <row r="103" spans="1:26" x14ac:dyDescent="0.2">
      <c r="A103" s="22" t="s">
        <v>248</v>
      </c>
      <c r="B103" s="22" t="s">
        <v>13</v>
      </c>
      <c r="C103" s="22" t="s">
        <v>796</v>
      </c>
      <c r="D103" s="22" t="s">
        <v>242</v>
      </c>
      <c r="E103" s="41">
        <f t="shared" si="3"/>
        <v>0.8</v>
      </c>
      <c r="F103" s="41">
        <v>1</v>
      </c>
      <c r="G103" s="41">
        <f>IF(prodnorm121&gt;0,1/ROUND(prodnorm121,4),0)</f>
        <v>0</v>
      </c>
      <c r="H103" s="43">
        <f>ROUND(dagwerk121,4+2)</f>
        <v>0</v>
      </c>
      <c r="I103" s="44">
        <f>ROUND(uurtarief121,2)</f>
        <v>0</v>
      </c>
      <c r="J103" s="41">
        <v>163.05000000000001</v>
      </c>
      <c r="K103" s="41">
        <v>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</row>
    <row r="104" spans="1:26" x14ac:dyDescent="0.2">
      <c r="A104" s="22" t="s">
        <v>248</v>
      </c>
      <c r="B104" s="22" t="s">
        <v>10</v>
      </c>
      <c r="C104" s="22" t="s">
        <v>796</v>
      </c>
      <c r="D104" s="22" t="s">
        <v>242</v>
      </c>
      <c r="E104" s="41">
        <f t="shared" si="3"/>
        <v>1</v>
      </c>
      <c r="F104" s="41">
        <v>1</v>
      </c>
      <c r="G104" s="41">
        <f>IF(prodnorm122&gt;0,1/ROUND(prodnorm122,4),0)</f>
        <v>0</v>
      </c>
      <c r="H104" s="43">
        <f>ROUND(dagwerk122,4+2)</f>
        <v>0</v>
      </c>
      <c r="I104" s="44">
        <f>ROUND(uurtarief122,2)</f>
        <v>0</v>
      </c>
      <c r="J104" s="41">
        <v>2</v>
      </c>
      <c r="K104" s="41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</row>
    <row r="105" spans="1:26" x14ac:dyDescent="0.2">
      <c r="A105" s="22" t="s">
        <v>250</v>
      </c>
      <c r="B105" s="22" t="s">
        <v>17</v>
      </c>
      <c r="C105" s="22" t="s">
        <v>796</v>
      </c>
      <c r="D105" s="22" t="s">
        <v>242</v>
      </c>
      <c r="E105" s="41">
        <f t="shared" si="3"/>
        <v>0.5</v>
      </c>
      <c r="F105" s="41">
        <v>1</v>
      </c>
      <c r="G105" s="41">
        <f>IF(prodnorm123&gt;0,1/ROUND(prodnorm123,4),0)</f>
        <v>0</v>
      </c>
      <c r="H105" s="43">
        <f>ROUND(dagwerk123,4+2)</f>
        <v>0</v>
      </c>
      <c r="I105" s="44">
        <f>ROUND(uurtarief123,2)</f>
        <v>0</v>
      </c>
      <c r="J105" s="41">
        <v>213.48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</row>
    <row r="106" spans="1:26" x14ac:dyDescent="0.2">
      <c r="A106" s="22" t="s">
        <v>252</v>
      </c>
      <c r="B106" s="22" t="s">
        <v>10</v>
      </c>
      <c r="C106" s="22" t="s">
        <v>796</v>
      </c>
      <c r="D106" s="22" t="s">
        <v>253</v>
      </c>
      <c r="E106" s="41">
        <f t="shared" si="3"/>
        <v>1</v>
      </c>
      <c r="F106" s="41">
        <v>1</v>
      </c>
      <c r="G106" s="41">
        <f>ROUND(prodnorm17,4)/60</f>
        <v>0</v>
      </c>
      <c r="H106" s="43">
        <f>ROUND(dagwerk17,4+2)</f>
        <v>0</v>
      </c>
      <c r="I106" s="44">
        <f>ROUND(uurtarief17,2)</f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1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</row>
    <row r="107" spans="1:26" x14ac:dyDescent="0.2">
      <c r="A107" s="22" t="s">
        <v>256</v>
      </c>
      <c r="B107" s="22" t="s">
        <v>10</v>
      </c>
      <c r="C107" s="22" t="s">
        <v>796</v>
      </c>
      <c r="D107" s="22" t="s">
        <v>253</v>
      </c>
      <c r="E107" s="41">
        <f t="shared" si="3"/>
        <v>1</v>
      </c>
      <c r="F107" s="41">
        <v>1</v>
      </c>
      <c r="G107" s="41">
        <f>ROUND(prodnorm18,4)/60</f>
        <v>0</v>
      </c>
      <c r="H107" s="43">
        <f>ROUND(dagwerk18,4+2)</f>
        <v>0</v>
      </c>
      <c r="I107" s="44">
        <f>ROUND(uurtarief18,2)</f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1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</row>
    <row r="108" spans="1:26" x14ac:dyDescent="0.2">
      <c r="A108" s="22" t="s">
        <v>258</v>
      </c>
      <c r="B108" s="22" t="s">
        <v>35</v>
      </c>
      <c r="C108" s="22" t="s">
        <v>796</v>
      </c>
      <c r="D108" s="22" t="s">
        <v>253</v>
      </c>
      <c r="E108" s="41">
        <f t="shared" si="3"/>
        <v>4.7058823529411764E-2</v>
      </c>
      <c r="F108" s="41">
        <v>1</v>
      </c>
      <c r="G108" s="41">
        <f>ROUND(prodnorm19,4)/60</f>
        <v>0</v>
      </c>
      <c r="H108" s="43">
        <f>ROUND(dagwerk19,4+2)</f>
        <v>0</v>
      </c>
      <c r="I108" s="44">
        <f>ROUND(uurtarief19,2)</f>
        <v>0</v>
      </c>
      <c r="J108" s="41">
        <v>1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>
        <v>0</v>
      </c>
      <c r="Z108" s="41">
        <v>0</v>
      </c>
    </row>
    <row r="109" spans="1:26" x14ac:dyDescent="0.2">
      <c r="A109" s="22" t="s">
        <v>260</v>
      </c>
      <c r="B109" s="22" t="s">
        <v>24</v>
      </c>
      <c r="C109" s="22" t="s">
        <v>796</v>
      </c>
      <c r="D109" s="22" t="s">
        <v>253</v>
      </c>
      <c r="E109" s="41">
        <f t="shared" si="3"/>
        <v>0.2</v>
      </c>
      <c r="F109" s="41">
        <v>1</v>
      </c>
      <c r="G109" s="41">
        <f>ROUND(prodnorm20,4)/60</f>
        <v>0</v>
      </c>
      <c r="H109" s="43">
        <f>ROUND(dagwerk20,4+2)</f>
        <v>0</v>
      </c>
      <c r="I109" s="44">
        <f>ROUND(uurtarief20,2)</f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1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</row>
    <row r="110" spans="1:26" x14ac:dyDescent="0.2">
      <c r="A110" s="22" t="s">
        <v>260</v>
      </c>
      <c r="B110" s="22" t="s">
        <v>28</v>
      </c>
      <c r="C110" s="22" t="s">
        <v>796</v>
      </c>
      <c r="D110" s="22" t="s">
        <v>253</v>
      </c>
      <c r="E110" s="41">
        <f t="shared" si="3"/>
        <v>9.8039215686274508E-2</v>
      </c>
      <c r="F110" s="41">
        <v>1</v>
      </c>
      <c r="G110" s="41">
        <f>ROUND(prodnorm21,4)/60</f>
        <v>0</v>
      </c>
      <c r="H110" s="43">
        <f>ROUND(dagwerk21,4+2)</f>
        <v>0</v>
      </c>
      <c r="I110" s="44">
        <f>ROUND(uurtarief21,2)</f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1</v>
      </c>
      <c r="Q110" s="41">
        <v>0</v>
      </c>
      <c r="R110" s="41">
        <v>1</v>
      </c>
      <c r="S110" s="41">
        <v>0</v>
      </c>
      <c r="T110" s="41">
        <v>0</v>
      </c>
      <c r="U110" s="41">
        <v>0</v>
      </c>
      <c r="V110" s="41">
        <v>0</v>
      </c>
      <c r="W110" s="41">
        <v>1</v>
      </c>
      <c r="X110" s="41">
        <v>0</v>
      </c>
      <c r="Y110" s="41">
        <v>0</v>
      </c>
      <c r="Z110" s="41">
        <v>0</v>
      </c>
    </row>
    <row r="111" spans="1:26" x14ac:dyDescent="0.2">
      <c r="A111" s="27" t="s">
        <v>262</v>
      </c>
      <c r="B111" s="27" t="s">
        <v>30</v>
      </c>
      <c r="C111" s="27" t="s">
        <v>796</v>
      </c>
      <c r="D111" s="27" t="s">
        <v>253</v>
      </c>
      <c r="E111" s="46">
        <f t="shared" si="3"/>
        <v>7.8431372549019607E-2</v>
      </c>
      <c r="F111" s="46">
        <v>1</v>
      </c>
      <c r="G111" s="46">
        <f>ROUND(prodnorm22,4)/60</f>
        <v>0</v>
      </c>
      <c r="H111" s="58">
        <f>ROUND(dagwerk22,4+2)</f>
        <v>0</v>
      </c>
      <c r="I111" s="48">
        <f>ROUND(uurtarief22,2)</f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1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</row>
    <row r="112" spans="1:26" x14ac:dyDescent="0.2">
      <c r="A112" s="50" t="s">
        <v>264</v>
      </c>
      <c r="B112" s="51"/>
      <c r="C112" s="51"/>
      <c r="D112" s="51"/>
      <c r="E112" s="51"/>
      <c r="F112" s="51"/>
      <c r="G112" s="51"/>
      <c r="H112" s="51"/>
      <c r="I112" s="51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</row>
    <row r="114" spans="1:26" x14ac:dyDescent="0.2">
      <c r="A114" s="17" t="s">
        <v>266</v>
      </c>
      <c r="B114" s="17" t="s">
        <v>35</v>
      </c>
      <c r="C114" s="17" t="s">
        <v>797</v>
      </c>
      <c r="D114" s="17" t="s">
        <v>187</v>
      </c>
      <c r="E114" s="37">
        <f t="shared" ref="E114:E121" si="4">IF(B114="","",VLOOKUP(B114,dagsoorttabel1,2,FALSE))</f>
        <v>4.7058823529411764E-2</v>
      </c>
      <c r="F114" s="37">
        <v>1</v>
      </c>
      <c r="G114" s="37">
        <f>IF(prodnorm125&gt;0,1/ROUND(prodnorm125,4),0)</f>
        <v>0</v>
      </c>
      <c r="H114" s="39">
        <f>ROUND(dagwerk125,4+2)</f>
        <v>0</v>
      </c>
      <c r="I114" s="40">
        <f>ROUND(uurtarief125,2)</f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74.5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</row>
    <row r="115" spans="1:26" x14ac:dyDescent="0.2">
      <c r="A115" s="22" t="s">
        <v>267</v>
      </c>
      <c r="B115" s="22" t="s">
        <v>35</v>
      </c>
      <c r="C115" s="22" t="s">
        <v>797</v>
      </c>
      <c r="D115" s="22" t="s">
        <v>187</v>
      </c>
      <c r="E115" s="41">
        <f t="shared" si="4"/>
        <v>4.7058823529411764E-2</v>
      </c>
      <c r="F115" s="41">
        <v>1</v>
      </c>
      <c r="G115" s="41">
        <f>IF(prodnorm126&gt;0,1/ROUND(prodnorm126,4),0)</f>
        <v>0</v>
      </c>
      <c r="H115" s="43">
        <f>ROUND(dagwerk126,4+2)</f>
        <v>0</v>
      </c>
      <c r="I115" s="44">
        <f>ROUND(uurtarief126,2)</f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4.4000000000000004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</row>
    <row r="116" spans="1:26" x14ac:dyDescent="0.2">
      <c r="A116" s="22" t="s">
        <v>268</v>
      </c>
      <c r="B116" s="22" t="s">
        <v>35</v>
      </c>
      <c r="C116" s="22" t="s">
        <v>797</v>
      </c>
      <c r="D116" s="22" t="s">
        <v>187</v>
      </c>
      <c r="E116" s="41">
        <f t="shared" si="4"/>
        <v>4.7058823529411764E-2</v>
      </c>
      <c r="F116" s="41">
        <v>1</v>
      </c>
      <c r="G116" s="41">
        <f>IF(prodnorm127&gt;0,1/ROUND(prodnorm127,4),0)</f>
        <v>0</v>
      </c>
      <c r="H116" s="43">
        <f>ROUND(dagwerk127,4+2)</f>
        <v>0</v>
      </c>
      <c r="I116" s="44">
        <f>ROUND(uurtarief127,2)</f>
        <v>0</v>
      </c>
      <c r="J116" s="41">
        <v>0</v>
      </c>
      <c r="K116" s="41">
        <v>0</v>
      </c>
      <c r="L116" s="41">
        <v>0</v>
      </c>
      <c r="M116" s="41">
        <v>0</v>
      </c>
      <c r="N116" s="41">
        <v>0</v>
      </c>
      <c r="O116" s="41">
        <v>42.3</v>
      </c>
      <c r="P116" s="41">
        <v>0</v>
      </c>
      <c r="Q116" s="41">
        <v>0</v>
      </c>
      <c r="R116" s="41">
        <v>0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</row>
    <row r="117" spans="1:26" x14ac:dyDescent="0.2">
      <c r="A117" s="22" t="s">
        <v>269</v>
      </c>
      <c r="B117" s="22" t="s">
        <v>35</v>
      </c>
      <c r="C117" s="22" t="s">
        <v>797</v>
      </c>
      <c r="D117" s="22" t="s">
        <v>187</v>
      </c>
      <c r="E117" s="41">
        <f t="shared" si="4"/>
        <v>4.7058823529411764E-2</v>
      </c>
      <c r="F117" s="41">
        <v>1</v>
      </c>
      <c r="G117" s="41">
        <f>IF(prodnorm128&gt;0,1/ROUND(prodnorm128,4),0)</f>
        <v>0</v>
      </c>
      <c r="H117" s="43">
        <f>ROUND(dagwerk128,4+2)</f>
        <v>0</v>
      </c>
      <c r="I117" s="44">
        <f>ROUND(uurtarief128,2)</f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360.6</v>
      </c>
      <c r="P117" s="41">
        <v>0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</row>
    <row r="118" spans="1:26" x14ac:dyDescent="0.2">
      <c r="A118" s="22" t="s">
        <v>270</v>
      </c>
      <c r="B118" s="22" t="s">
        <v>35</v>
      </c>
      <c r="C118" s="22" t="s">
        <v>797</v>
      </c>
      <c r="D118" s="22" t="s">
        <v>187</v>
      </c>
      <c r="E118" s="41">
        <f t="shared" si="4"/>
        <v>4.7058823529411764E-2</v>
      </c>
      <c r="F118" s="41">
        <v>1</v>
      </c>
      <c r="G118" s="41">
        <f>IF(prodnorm129&gt;0,1/ROUND(prodnorm129,4),0)</f>
        <v>0</v>
      </c>
      <c r="H118" s="43">
        <f>ROUND(dagwerk129,4+2)</f>
        <v>0</v>
      </c>
      <c r="I118" s="44">
        <f>ROUND(uurtarief129,2)</f>
        <v>0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41">
        <v>108.80000000000001</v>
      </c>
      <c r="P118" s="41">
        <v>0</v>
      </c>
      <c r="Q118" s="41">
        <v>0</v>
      </c>
      <c r="R118" s="41">
        <v>0</v>
      </c>
      <c r="S118" s="41">
        <v>0</v>
      </c>
      <c r="T118" s="41">
        <v>0</v>
      </c>
      <c r="U118" s="41">
        <v>0</v>
      </c>
      <c r="V118" s="41">
        <v>0</v>
      </c>
      <c r="W118" s="41">
        <v>0</v>
      </c>
      <c r="X118" s="41">
        <v>0</v>
      </c>
      <c r="Y118" s="41">
        <v>0</v>
      </c>
      <c r="Z118" s="41">
        <v>0</v>
      </c>
    </row>
    <row r="119" spans="1:26" x14ac:dyDescent="0.2">
      <c r="A119" s="22" t="s">
        <v>271</v>
      </c>
      <c r="B119" s="22" t="s">
        <v>35</v>
      </c>
      <c r="C119" s="22" t="s">
        <v>797</v>
      </c>
      <c r="D119" s="22" t="s">
        <v>187</v>
      </c>
      <c r="E119" s="41">
        <f t="shared" si="4"/>
        <v>4.7058823529411764E-2</v>
      </c>
      <c r="F119" s="41">
        <v>1</v>
      </c>
      <c r="G119" s="41">
        <f>IF(prodnorm130&gt;0,1/ROUND(prodnorm130,4),0)</f>
        <v>0</v>
      </c>
      <c r="H119" s="43">
        <f>ROUND(dagwerk130,4+2)</f>
        <v>0</v>
      </c>
      <c r="I119" s="44">
        <f>ROUND(uurtarief130,2)</f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49.9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</row>
    <row r="120" spans="1:26" x14ac:dyDescent="0.2">
      <c r="A120" s="22" t="s">
        <v>273</v>
      </c>
      <c r="B120" s="22" t="s">
        <v>35</v>
      </c>
      <c r="C120" s="22" t="s">
        <v>797</v>
      </c>
      <c r="D120" s="22" t="s">
        <v>187</v>
      </c>
      <c r="E120" s="41">
        <f t="shared" si="4"/>
        <v>4.7058823529411764E-2</v>
      </c>
      <c r="F120" s="41">
        <v>1</v>
      </c>
      <c r="G120" s="41">
        <f>IF(prodnorm131&gt;0,1/ROUND(prodnorm131,4),0)</f>
        <v>0</v>
      </c>
      <c r="H120" s="43">
        <f>ROUND(dagwerk131,4+2)</f>
        <v>0</v>
      </c>
      <c r="I120" s="44">
        <f>ROUND(uurtarief131,2)</f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550.90000000000009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</row>
    <row r="121" spans="1:26" x14ac:dyDescent="0.2">
      <c r="A121" s="27" t="s">
        <v>274</v>
      </c>
      <c r="B121" s="27" t="s">
        <v>35</v>
      </c>
      <c r="C121" s="27" t="s">
        <v>797</v>
      </c>
      <c r="D121" s="27" t="s">
        <v>187</v>
      </c>
      <c r="E121" s="46">
        <f t="shared" si="4"/>
        <v>4.7058823529411764E-2</v>
      </c>
      <c r="F121" s="46">
        <v>1</v>
      </c>
      <c r="G121" s="46">
        <f>IF(prodnorm132&gt;0,1/ROUND(prodnorm132,4),0)</f>
        <v>0</v>
      </c>
      <c r="H121" s="58">
        <f>ROUND(dagwerk132,4+2)</f>
        <v>0</v>
      </c>
      <c r="I121" s="48">
        <f>ROUND(uurtarief132,2)</f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81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</row>
    <row r="122" spans="1:26" x14ac:dyDescent="0.2">
      <c r="A122" s="50" t="s">
        <v>275</v>
      </c>
      <c r="B122" s="51"/>
      <c r="C122" s="51"/>
      <c r="D122" s="51"/>
      <c r="E122" s="51"/>
      <c r="F122" s="51"/>
      <c r="G122" s="51"/>
      <c r="H122" s="51"/>
      <c r="I122" s="51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</row>
    <row r="124" spans="1:26" x14ac:dyDescent="0.2">
      <c r="A124" s="17" t="s">
        <v>277</v>
      </c>
      <c r="B124" s="17" t="s">
        <v>29</v>
      </c>
      <c r="C124" s="17" t="s">
        <v>798</v>
      </c>
      <c r="D124" s="17" t="s">
        <v>187</v>
      </c>
      <c r="E124" s="37">
        <f t="shared" ref="E124:E133" si="5">IF(B124="","",VLOOKUP(B124,dagsoorttabel1,2,FALSE))</f>
        <v>9.4117647058823528E-2</v>
      </c>
      <c r="F124" s="37">
        <v>1</v>
      </c>
      <c r="G124" s="37">
        <f>IF(prodnorm135&gt;0,1/ROUND(prodnorm135,4),0)</f>
        <v>0</v>
      </c>
      <c r="H124" s="39">
        <f>ROUND(dagwerk135,4+2)</f>
        <v>0</v>
      </c>
      <c r="I124" s="40">
        <f>ROUND(uurtarief135,2)</f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4.4000000000000004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</row>
    <row r="125" spans="1:26" x14ac:dyDescent="0.2">
      <c r="A125" s="22" t="s">
        <v>277</v>
      </c>
      <c r="B125" s="22" t="s">
        <v>22</v>
      </c>
      <c r="C125" s="22" t="s">
        <v>798</v>
      </c>
      <c r="D125" s="22" t="s">
        <v>187</v>
      </c>
      <c r="E125" s="41">
        <f t="shared" si="5"/>
        <v>0.27450980392156865</v>
      </c>
      <c r="F125" s="41">
        <v>1</v>
      </c>
      <c r="G125" s="41">
        <f>IF(prodnorm136&gt;0,1/ROUND(prodnorm136,4),0)</f>
        <v>0</v>
      </c>
      <c r="H125" s="43">
        <f>ROUND(dagwerk136,4+2)</f>
        <v>0</v>
      </c>
      <c r="I125" s="44">
        <f>ROUND(uurtarief136,2)</f>
        <v>0</v>
      </c>
      <c r="J125" s="41">
        <v>0</v>
      </c>
      <c r="K125" s="41">
        <v>13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41">
        <v>0</v>
      </c>
      <c r="R125" s="41">
        <v>0</v>
      </c>
      <c r="S125" s="41">
        <v>0</v>
      </c>
      <c r="T125" s="41">
        <v>0</v>
      </c>
      <c r="U125" s="41">
        <v>0</v>
      </c>
      <c r="V125" s="41">
        <v>0</v>
      </c>
      <c r="W125" s="41">
        <v>0</v>
      </c>
      <c r="X125" s="41">
        <v>0</v>
      </c>
      <c r="Y125" s="41">
        <v>0</v>
      </c>
      <c r="Z125" s="41">
        <v>0</v>
      </c>
    </row>
    <row r="126" spans="1:26" x14ac:dyDescent="0.2">
      <c r="A126" s="22" t="s">
        <v>278</v>
      </c>
      <c r="B126" s="22" t="s">
        <v>27</v>
      </c>
      <c r="C126" s="22" t="s">
        <v>798</v>
      </c>
      <c r="D126" s="22" t="s">
        <v>187</v>
      </c>
      <c r="E126" s="41">
        <f t="shared" si="5"/>
        <v>0.10196078431372549</v>
      </c>
      <c r="F126" s="41">
        <v>1</v>
      </c>
      <c r="G126" s="41">
        <f>IF(prodnorm137&gt;0,1/ROUND(prodnorm137,4),0)</f>
        <v>0</v>
      </c>
      <c r="H126" s="43">
        <f>ROUND(dagwerk137,4+2)</f>
        <v>0</v>
      </c>
      <c r="I126" s="44">
        <f>ROUND(uurtarief137,2)</f>
        <v>0</v>
      </c>
      <c r="J126" s="41">
        <v>0</v>
      </c>
      <c r="K126" s="41">
        <v>13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  <c r="Q126" s="41">
        <v>0</v>
      </c>
      <c r="R126" s="41">
        <v>0</v>
      </c>
      <c r="S126" s="41">
        <v>0</v>
      </c>
      <c r="T126" s="41">
        <v>0</v>
      </c>
      <c r="U126" s="41">
        <v>0</v>
      </c>
      <c r="V126" s="41">
        <v>0</v>
      </c>
      <c r="W126" s="41">
        <v>0</v>
      </c>
      <c r="X126" s="41">
        <v>0</v>
      </c>
      <c r="Y126" s="41">
        <v>0</v>
      </c>
      <c r="Z126" s="41">
        <v>0</v>
      </c>
    </row>
    <row r="127" spans="1:26" x14ac:dyDescent="0.2">
      <c r="A127" s="22" t="s">
        <v>279</v>
      </c>
      <c r="B127" s="22" t="s">
        <v>29</v>
      </c>
      <c r="C127" s="22" t="s">
        <v>798</v>
      </c>
      <c r="D127" s="22" t="s">
        <v>187</v>
      </c>
      <c r="E127" s="41">
        <f t="shared" si="5"/>
        <v>9.4117647058823528E-2</v>
      </c>
      <c r="F127" s="41">
        <v>1</v>
      </c>
      <c r="G127" s="41">
        <f>IF(prodnorm138&gt;0,1/ROUND(prodnorm138,4),0)</f>
        <v>0</v>
      </c>
      <c r="H127" s="43">
        <f>ROUND(dagwerk138,4+2)</f>
        <v>0</v>
      </c>
      <c r="I127" s="44">
        <f>ROUND(uurtarief138,2)</f>
        <v>0</v>
      </c>
      <c r="J127" s="41">
        <v>0</v>
      </c>
      <c r="K127" s="41">
        <v>0</v>
      </c>
      <c r="L127" s="41">
        <v>0</v>
      </c>
      <c r="M127" s="41">
        <v>0</v>
      </c>
      <c r="N127" s="41">
        <v>0</v>
      </c>
      <c r="O127" s="41">
        <v>42.3</v>
      </c>
      <c r="P127" s="41">
        <v>0</v>
      </c>
      <c r="Q127" s="41">
        <v>0</v>
      </c>
      <c r="R127" s="41">
        <v>0</v>
      </c>
      <c r="S127" s="41">
        <v>0</v>
      </c>
      <c r="T127" s="41">
        <v>0</v>
      </c>
      <c r="U127" s="41">
        <v>0</v>
      </c>
      <c r="V127" s="41">
        <v>0</v>
      </c>
      <c r="W127" s="41">
        <v>0</v>
      </c>
      <c r="X127" s="41">
        <v>0</v>
      </c>
      <c r="Y127" s="41">
        <v>0</v>
      </c>
      <c r="Z127" s="41">
        <v>0</v>
      </c>
    </row>
    <row r="128" spans="1:26" x14ac:dyDescent="0.2">
      <c r="A128" s="22" t="s">
        <v>280</v>
      </c>
      <c r="B128" s="22" t="s">
        <v>29</v>
      </c>
      <c r="C128" s="22" t="s">
        <v>798</v>
      </c>
      <c r="D128" s="22" t="s">
        <v>187</v>
      </c>
      <c r="E128" s="41">
        <f t="shared" si="5"/>
        <v>9.4117647058823528E-2</v>
      </c>
      <c r="F128" s="41">
        <v>1</v>
      </c>
      <c r="G128" s="41">
        <f>IF(prodnorm139&gt;0,1/ROUND(prodnorm139,4),0)</f>
        <v>0</v>
      </c>
      <c r="H128" s="43">
        <f>ROUND(dagwerk139,4+2)</f>
        <v>0</v>
      </c>
      <c r="I128" s="44">
        <f>ROUND(uurtarief139,2)</f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226</v>
      </c>
      <c r="P128" s="41">
        <v>0</v>
      </c>
      <c r="Q128" s="41">
        <v>0</v>
      </c>
      <c r="R128" s="41">
        <v>0</v>
      </c>
      <c r="S128" s="41">
        <v>0</v>
      </c>
      <c r="T128" s="41">
        <v>0</v>
      </c>
      <c r="U128" s="41">
        <v>0</v>
      </c>
      <c r="V128" s="41">
        <v>0</v>
      </c>
      <c r="W128" s="41">
        <v>0</v>
      </c>
      <c r="X128" s="41">
        <v>0</v>
      </c>
      <c r="Y128" s="41">
        <v>0</v>
      </c>
      <c r="Z128" s="41">
        <v>0</v>
      </c>
    </row>
    <row r="129" spans="1:26" x14ac:dyDescent="0.2">
      <c r="A129" s="22" t="s">
        <v>282</v>
      </c>
      <c r="B129" s="22" t="s">
        <v>29</v>
      </c>
      <c r="C129" s="22" t="s">
        <v>798</v>
      </c>
      <c r="D129" s="22" t="s">
        <v>187</v>
      </c>
      <c r="E129" s="41">
        <f t="shared" si="5"/>
        <v>9.4117647058823528E-2</v>
      </c>
      <c r="F129" s="41">
        <v>1</v>
      </c>
      <c r="G129" s="41">
        <f>IF(prodnorm140&gt;0,1/ROUND(prodnorm140,4),0)</f>
        <v>0</v>
      </c>
      <c r="H129" s="43">
        <f>ROUND(dagwerk140,4+2)</f>
        <v>0</v>
      </c>
      <c r="I129" s="44">
        <f>ROUND(uurtarief140,2)</f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102.20000000000002</v>
      </c>
      <c r="P129" s="41">
        <v>0</v>
      </c>
      <c r="Q129" s="41">
        <v>0</v>
      </c>
      <c r="R129" s="41">
        <v>0</v>
      </c>
      <c r="S129" s="41">
        <v>0</v>
      </c>
      <c r="T129" s="41">
        <v>0</v>
      </c>
      <c r="U129" s="41">
        <v>0</v>
      </c>
      <c r="V129" s="41">
        <v>0</v>
      </c>
      <c r="W129" s="41">
        <v>0</v>
      </c>
      <c r="X129" s="41">
        <v>0</v>
      </c>
      <c r="Y129" s="41">
        <v>0</v>
      </c>
      <c r="Z129" s="41">
        <v>0</v>
      </c>
    </row>
    <row r="130" spans="1:26" x14ac:dyDescent="0.2">
      <c r="A130" s="22" t="s">
        <v>282</v>
      </c>
      <c r="B130" s="22" t="s">
        <v>22</v>
      </c>
      <c r="C130" s="22" t="s">
        <v>798</v>
      </c>
      <c r="D130" s="22" t="s">
        <v>187</v>
      </c>
      <c r="E130" s="41">
        <f t="shared" si="5"/>
        <v>0.27450980392156865</v>
      </c>
      <c r="F130" s="41">
        <v>1</v>
      </c>
      <c r="G130" s="41">
        <f>IF(prodnorm141&gt;0,1/ROUND(prodnorm141,4),0)</f>
        <v>0</v>
      </c>
      <c r="H130" s="43">
        <f>ROUND(dagwerk141,4+2)</f>
        <v>0</v>
      </c>
      <c r="I130" s="44">
        <f>ROUND(uurtarief141,2)</f>
        <v>0</v>
      </c>
      <c r="J130" s="41">
        <v>0</v>
      </c>
      <c r="K130" s="41">
        <v>9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41">
        <v>0</v>
      </c>
      <c r="R130" s="41">
        <v>0</v>
      </c>
      <c r="S130" s="41">
        <v>0</v>
      </c>
      <c r="T130" s="41">
        <v>0</v>
      </c>
      <c r="U130" s="41">
        <v>0</v>
      </c>
      <c r="V130" s="41">
        <v>0</v>
      </c>
      <c r="W130" s="41">
        <v>0</v>
      </c>
      <c r="X130" s="41">
        <v>0</v>
      </c>
      <c r="Y130" s="41">
        <v>0</v>
      </c>
      <c r="Z130" s="41">
        <v>0</v>
      </c>
    </row>
    <row r="131" spans="1:26" x14ac:dyDescent="0.2">
      <c r="A131" s="22" t="s">
        <v>283</v>
      </c>
      <c r="B131" s="22" t="s">
        <v>27</v>
      </c>
      <c r="C131" s="22" t="s">
        <v>798</v>
      </c>
      <c r="D131" s="22" t="s">
        <v>187</v>
      </c>
      <c r="E131" s="41">
        <f t="shared" si="5"/>
        <v>0.10196078431372549</v>
      </c>
      <c r="F131" s="41">
        <v>1</v>
      </c>
      <c r="G131" s="41">
        <f>IF(prodnorm142&gt;0,1/ROUND(prodnorm142,4),0)</f>
        <v>0</v>
      </c>
      <c r="H131" s="43">
        <f>ROUND(dagwerk142,4+2)</f>
        <v>0</v>
      </c>
      <c r="I131" s="44">
        <f>ROUND(uurtarief142,2)</f>
        <v>0</v>
      </c>
      <c r="J131" s="41">
        <v>0</v>
      </c>
      <c r="K131" s="41">
        <v>9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  <c r="Q131" s="41">
        <v>0</v>
      </c>
      <c r="R131" s="41">
        <v>0</v>
      </c>
      <c r="S131" s="41">
        <v>0</v>
      </c>
      <c r="T131" s="41">
        <v>0</v>
      </c>
      <c r="U131" s="41">
        <v>0</v>
      </c>
      <c r="V131" s="41">
        <v>0</v>
      </c>
      <c r="W131" s="41">
        <v>0</v>
      </c>
      <c r="X131" s="41">
        <v>0</v>
      </c>
      <c r="Y131" s="41">
        <v>0</v>
      </c>
      <c r="Z131" s="41">
        <v>0</v>
      </c>
    </row>
    <row r="132" spans="1:26" x14ac:dyDescent="0.2">
      <c r="A132" s="22" t="s">
        <v>284</v>
      </c>
      <c r="B132" s="22" t="s">
        <v>29</v>
      </c>
      <c r="C132" s="22" t="s">
        <v>798</v>
      </c>
      <c r="D132" s="22" t="s">
        <v>187</v>
      </c>
      <c r="E132" s="41">
        <f t="shared" si="5"/>
        <v>9.4117647058823528E-2</v>
      </c>
      <c r="F132" s="41">
        <v>1</v>
      </c>
      <c r="G132" s="41">
        <f>IF(prodnorm143&gt;0,1/ROUND(prodnorm143,4),0)</f>
        <v>0</v>
      </c>
      <c r="H132" s="43">
        <f>ROUND(dagwerk143,4+2)</f>
        <v>0</v>
      </c>
      <c r="I132" s="44">
        <f>ROUND(uurtarief143,2)</f>
        <v>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41">
        <v>505.70000000000005</v>
      </c>
      <c r="P132" s="41">
        <v>0</v>
      </c>
      <c r="Q132" s="41">
        <v>0</v>
      </c>
      <c r="R132" s="41">
        <v>0</v>
      </c>
      <c r="S132" s="41">
        <v>0</v>
      </c>
      <c r="T132" s="41">
        <v>0</v>
      </c>
      <c r="U132" s="41">
        <v>0</v>
      </c>
      <c r="V132" s="41">
        <v>0</v>
      </c>
      <c r="W132" s="41">
        <v>0</v>
      </c>
      <c r="X132" s="41">
        <v>0</v>
      </c>
      <c r="Y132" s="41">
        <v>0</v>
      </c>
      <c r="Z132" s="41">
        <v>0</v>
      </c>
    </row>
    <row r="133" spans="1:26" x14ac:dyDescent="0.2">
      <c r="A133" s="27" t="s">
        <v>285</v>
      </c>
      <c r="B133" s="27" t="s">
        <v>29</v>
      </c>
      <c r="C133" s="27" t="s">
        <v>798</v>
      </c>
      <c r="D133" s="27" t="s">
        <v>187</v>
      </c>
      <c r="E133" s="46">
        <f t="shared" si="5"/>
        <v>9.4117647058823528E-2</v>
      </c>
      <c r="F133" s="46">
        <v>1</v>
      </c>
      <c r="G133" s="46">
        <f>IF(prodnorm144&gt;0,1/ROUND(prodnorm144,4),0)</f>
        <v>0</v>
      </c>
      <c r="H133" s="58">
        <f>ROUND(dagwerk144,4+2)</f>
        <v>0</v>
      </c>
      <c r="I133" s="48">
        <f>ROUND(uurtarief144,2)</f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57.2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</row>
    <row r="134" spans="1:26" x14ac:dyDescent="0.2">
      <c r="A134" s="50" t="s">
        <v>286</v>
      </c>
      <c r="B134" s="51"/>
      <c r="C134" s="51"/>
      <c r="D134" s="51"/>
      <c r="E134" s="51"/>
      <c r="F134" s="51"/>
      <c r="G134" s="51"/>
      <c r="H134" s="51"/>
      <c r="I134" s="51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6FED-716B-4D7A-B7BC-9181E70135A3}">
  <dimension ref="A1:S36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11.625" customWidth="1"/>
    <col min="8" max="11" width="12.125" customWidth="1"/>
    <col min="12" max="15" width="11.6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I.1.6: ",tabeltype," objecten")</f>
        <v>Bijlage I.1.6: Invultabel objecten</v>
      </c>
    </row>
    <row r="3" spans="1:19" ht="51" x14ac:dyDescent="0.2">
      <c r="A3" s="8" t="s">
        <v>289</v>
      </c>
      <c r="B3" s="8" t="s">
        <v>799</v>
      </c>
      <c r="C3" s="8" t="s">
        <v>800</v>
      </c>
      <c r="D3" s="8" t="s">
        <v>801</v>
      </c>
      <c r="E3" s="8" t="s">
        <v>8</v>
      </c>
      <c r="F3" s="8" t="s">
        <v>802</v>
      </c>
      <c r="G3" s="8" t="s">
        <v>182</v>
      </c>
      <c r="H3" s="8" t="s">
        <v>803</v>
      </c>
      <c r="I3" s="8" t="s">
        <v>804</v>
      </c>
      <c r="J3" s="8" t="s">
        <v>805</v>
      </c>
      <c r="K3" s="8" t="s">
        <v>806</v>
      </c>
      <c r="L3" s="8" t="s">
        <v>807</v>
      </c>
      <c r="M3" s="8" t="s">
        <v>183</v>
      </c>
      <c r="N3" s="8" t="s">
        <v>808</v>
      </c>
      <c r="O3" s="8" t="s">
        <v>809</v>
      </c>
      <c r="P3" s="8" t="s">
        <v>810</v>
      </c>
      <c r="Q3" s="8" t="s">
        <v>184</v>
      </c>
      <c r="R3" s="8" t="s">
        <v>185</v>
      </c>
      <c r="S3" s="8" t="s">
        <v>811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17" t="s">
        <v>299</v>
      </c>
      <c r="B6" s="17" t="s">
        <v>812</v>
      </c>
      <c r="C6" s="17" t="s">
        <v>813</v>
      </c>
      <c r="D6" s="17" t="s">
        <v>814</v>
      </c>
      <c r="E6" s="93" t="s">
        <v>10</v>
      </c>
      <c r="F6" s="94">
        <f t="shared" ref="F6:F21" si="0">gemuurtarief1</f>
        <v>0</v>
      </c>
      <c r="G6" s="37">
        <f>SUMPRODUCT(taakfreqtabel1,uurfactortabel1,kengetaltabel1,object1_opptabel1)</f>
        <v>0</v>
      </c>
      <c r="H6" s="37">
        <f t="shared" ref="H6:H21" si="1">G6*(1/VLOOKUP(E6,dagsoorttabel1,2,FALSE))</f>
        <v>0</v>
      </c>
      <c r="I6" s="37">
        <f>SUMPRODUCT(dagwerktabel1,taakfreqtabel1,uurfactortabel1,kengetaltabel1,object1_opptabel1)*(1/VLOOKUP(E6,dagsoorttabel1,2,FALSE))</f>
        <v>0</v>
      </c>
      <c r="J6" s="95"/>
      <c r="K6" s="37">
        <f t="shared" ref="K6:K21" si="2">I6+J6</f>
        <v>0</v>
      </c>
      <c r="L6" s="37">
        <f t="shared" ref="L6:L21" si="3">G6+J6*VLOOKUP(E6,dagsoorttabel1,2,FALSE)</f>
        <v>0</v>
      </c>
      <c r="M6" s="40">
        <f>SUMPRODUCT(taakfreqtabel1,kengetaltabel1,tarieftabel1,object1_opptabel1)</f>
        <v>0</v>
      </c>
      <c r="N6" s="40">
        <f t="shared" ref="N6:N21" si="4">F6*J6*VLOOKUP(E6,dagsoorttabel1,2,FALSE)</f>
        <v>0</v>
      </c>
      <c r="O6" s="40">
        <f t="shared" ref="O6:O21" si="5">SUM(M6:N6)</f>
        <v>0</v>
      </c>
      <c r="P6" s="37">
        <f t="shared" ref="P6:P21" si="6">K6*dagenperjaar1*VLOOKUP(E6,dagsoorttabel1,2,FALSE)</f>
        <v>0</v>
      </c>
      <c r="Q6" s="37">
        <f t="shared" ref="Q6:Q21" si="7">L6*dagenperjaar1</f>
        <v>0</v>
      </c>
      <c r="R6" s="40">
        <f t="shared" ref="R6:R21" si="8">O6*dagenperjaar1</f>
        <v>0</v>
      </c>
      <c r="S6" s="40">
        <f t="shared" ref="S6:S21" si="9">R6/12</f>
        <v>0</v>
      </c>
    </row>
    <row r="7" spans="1:19" x14ac:dyDescent="0.2">
      <c r="A7" s="22" t="s">
        <v>538</v>
      </c>
      <c r="B7" s="22" t="s">
        <v>815</v>
      </c>
      <c r="C7" s="22" t="s">
        <v>816</v>
      </c>
      <c r="D7" s="22" t="s">
        <v>814</v>
      </c>
      <c r="E7" s="96" t="s">
        <v>15</v>
      </c>
      <c r="F7" s="97">
        <f t="shared" si="0"/>
        <v>0</v>
      </c>
      <c r="G7" s="41">
        <f>SUMPRODUCT(taakfreqtabel1,uurfactortabel1,kengetaltabel1,object2_opptabel1)</f>
        <v>0</v>
      </c>
      <c r="H7" s="41">
        <f t="shared" si="1"/>
        <v>0</v>
      </c>
      <c r="I7" s="41">
        <f>SUMPRODUCT(dagwerktabel1,taakfreqtabel1,uurfactortabel1,kengetaltabel1,object2_opptabel1)*(1/VLOOKUP(E7,dagsoorttabel1,2,FALSE))</f>
        <v>0</v>
      </c>
      <c r="J7" s="98"/>
      <c r="K7" s="41">
        <f t="shared" si="2"/>
        <v>0</v>
      </c>
      <c r="L7" s="41">
        <f t="shared" si="3"/>
        <v>0</v>
      </c>
      <c r="M7" s="44">
        <f>SUMPRODUCT(taakfreqtabel1,kengetaltabel1,tarieftabel1,object2_opptabel1)</f>
        <v>0</v>
      </c>
      <c r="N7" s="44">
        <f t="shared" si="4"/>
        <v>0</v>
      </c>
      <c r="O7" s="44">
        <f t="shared" si="5"/>
        <v>0</v>
      </c>
      <c r="P7" s="41">
        <f t="shared" si="6"/>
        <v>0</v>
      </c>
      <c r="Q7" s="41">
        <f t="shared" si="7"/>
        <v>0</v>
      </c>
      <c r="R7" s="44">
        <f t="shared" si="8"/>
        <v>0</v>
      </c>
      <c r="S7" s="44">
        <f t="shared" si="9"/>
        <v>0</v>
      </c>
    </row>
    <row r="8" spans="1:19" x14ac:dyDescent="0.2">
      <c r="A8" s="22" t="s">
        <v>557</v>
      </c>
      <c r="B8" s="22" t="s">
        <v>817</v>
      </c>
      <c r="C8" s="22" t="s">
        <v>818</v>
      </c>
      <c r="D8" s="22" t="s">
        <v>814</v>
      </c>
      <c r="E8" s="96" t="s">
        <v>10</v>
      </c>
      <c r="F8" s="97">
        <f t="shared" si="0"/>
        <v>0</v>
      </c>
      <c r="G8" s="41">
        <f>SUMPRODUCT(taakfreqtabel1,uurfactortabel1,kengetaltabel1,object3_opptabel1)</f>
        <v>0</v>
      </c>
      <c r="H8" s="41">
        <f t="shared" si="1"/>
        <v>0</v>
      </c>
      <c r="I8" s="41">
        <f>SUMPRODUCT(dagwerktabel1,taakfreqtabel1,uurfactortabel1,kengetaltabel1,object3_opptabel1)*(1/VLOOKUP(E8,dagsoorttabel1,2,FALSE))</f>
        <v>0</v>
      </c>
      <c r="J8" s="98"/>
      <c r="K8" s="41">
        <f t="shared" si="2"/>
        <v>0</v>
      </c>
      <c r="L8" s="41">
        <f t="shared" si="3"/>
        <v>0</v>
      </c>
      <c r="M8" s="44">
        <f>SUMPRODUCT(taakfreqtabel1,kengetaltabel1,tarieftabel1,object3_opptabel1)</f>
        <v>0</v>
      </c>
      <c r="N8" s="44">
        <f t="shared" si="4"/>
        <v>0</v>
      </c>
      <c r="O8" s="44">
        <f t="shared" si="5"/>
        <v>0</v>
      </c>
      <c r="P8" s="41">
        <f t="shared" si="6"/>
        <v>0</v>
      </c>
      <c r="Q8" s="41">
        <f t="shared" si="7"/>
        <v>0</v>
      </c>
      <c r="R8" s="44">
        <f t="shared" si="8"/>
        <v>0</v>
      </c>
      <c r="S8" s="44">
        <f t="shared" si="9"/>
        <v>0</v>
      </c>
    </row>
    <row r="9" spans="1:19" x14ac:dyDescent="0.2">
      <c r="A9" s="22" t="s">
        <v>571</v>
      </c>
      <c r="B9" s="22" t="s">
        <v>819</v>
      </c>
      <c r="C9" s="22" t="s">
        <v>820</v>
      </c>
      <c r="D9" s="22" t="s">
        <v>814</v>
      </c>
      <c r="E9" s="96" t="s">
        <v>24</v>
      </c>
      <c r="F9" s="97">
        <f t="shared" si="0"/>
        <v>0</v>
      </c>
      <c r="G9" s="41">
        <f>SUMPRODUCT(taakfreqtabel1,uurfactortabel1,kengetaltabel1,object4_opptabel1)</f>
        <v>0</v>
      </c>
      <c r="H9" s="41">
        <f t="shared" si="1"/>
        <v>0</v>
      </c>
      <c r="I9" s="41">
        <f>SUMPRODUCT(dagwerktabel1,taakfreqtabel1,uurfactortabel1,kengetaltabel1,object4_opptabel1)*(1/VLOOKUP(E9,dagsoorttabel1,2,FALSE))</f>
        <v>0</v>
      </c>
      <c r="J9" s="98"/>
      <c r="K9" s="41">
        <f t="shared" si="2"/>
        <v>0</v>
      </c>
      <c r="L9" s="41">
        <f t="shared" si="3"/>
        <v>0</v>
      </c>
      <c r="M9" s="44">
        <f>SUMPRODUCT(taakfreqtabel1,kengetaltabel1,tarieftabel1,object4_opptabel1)</f>
        <v>0</v>
      </c>
      <c r="N9" s="44">
        <f t="shared" si="4"/>
        <v>0</v>
      </c>
      <c r="O9" s="44">
        <f t="shared" si="5"/>
        <v>0</v>
      </c>
      <c r="P9" s="41">
        <f t="shared" si="6"/>
        <v>0</v>
      </c>
      <c r="Q9" s="41">
        <f t="shared" si="7"/>
        <v>0</v>
      </c>
      <c r="R9" s="44">
        <f t="shared" si="8"/>
        <v>0</v>
      </c>
      <c r="S9" s="44">
        <f t="shared" si="9"/>
        <v>0</v>
      </c>
    </row>
    <row r="10" spans="1:19" x14ac:dyDescent="0.2">
      <c r="A10" s="22" t="s">
        <v>580</v>
      </c>
      <c r="B10" s="22" t="s">
        <v>821</v>
      </c>
      <c r="C10" s="22" t="s">
        <v>822</v>
      </c>
      <c r="D10" s="22" t="s">
        <v>814</v>
      </c>
      <c r="E10" s="96" t="s">
        <v>18</v>
      </c>
      <c r="F10" s="97">
        <f t="shared" si="0"/>
        <v>0</v>
      </c>
      <c r="G10" s="41">
        <f>SUMPRODUCT(taakfreqtabel1,uurfactortabel1,kengetaltabel1,object5_opptabel1)</f>
        <v>0</v>
      </c>
      <c r="H10" s="41">
        <f t="shared" si="1"/>
        <v>0</v>
      </c>
      <c r="I10" s="41">
        <f>SUMPRODUCT(dagwerktabel1,taakfreqtabel1,uurfactortabel1,kengetaltabel1,object5_opptabel1)*(1/VLOOKUP(E10,dagsoorttabel1,2,FALSE))</f>
        <v>0</v>
      </c>
      <c r="J10" s="98"/>
      <c r="K10" s="41">
        <f t="shared" si="2"/>
        <v>0</v>
      </c>
      <c r="L10" s="41">
        <f t="shared" si="3"/>
        <v>0</v>
      </c>
      <c r="M10" s="44">
        <f>SUMPRODUCT(taakfreqtabel1,kengetaltabel1,tarieftabel1,object5_opptabel1)</f>
        <v>0</v>
      </c>
      <c r="N10" s="44">
        <f t="shared" si="4"/>
        <v>0</v>
      </c>
      <c r="O10" s="44">
        <f t="shared" si="5"/>
        <v>0</v>
      </c>
      <c r="P10" s="41">
        <f t="shared" si="6"/>
        <v>0</v>
      </c>
      <c r="Q10" s="41">
        <f t="shared" si="7"/>
        <v>0</v>
      </c>
      <c r="R10" s="44">
        <f t="shared" si="8"/>
        <v>0</v>
      </c>
      <c r="S10" s="44">
        <f t="shared" si="9"/>
        <v>0</v>
      </c>
    </row>
    <row r="11" spans="1:19" x14ac:dyDescent="0.2">
      <c r="A11" s="22" t="s">
        <v>588</v>
      </c>
      <c r="B11" s="22" t="s">
        <v>823</v>
      </c>
      <c r="C11" s="22" t="s">
        <v>824</v>
      </c>
      <c r="D11" s="22" t="s">
        <v>814</v>
      </c>
      <c r="E11" s="96" t="s">
        <v>10</v>
      </c>
      <c r="F11" s="97">
        <f t="shared" si="0"/>
        <v>0</v>
      </c>
      <c r="G11" s="41">
        <f>SUMPRODUCT(taakfreqtabel1,uurfactortabel1,kengetaltabel1,object6_opptabel1)</f>
        <v>0</v>
      </c>
      <c r="H11" s="41">
        <f t="shared" si="1"/>
        <v>0</v>
      </c>
      <c r="I11" s="41">
        <f>SUMPRODUCT(dagwerktabel1,taakfreqtabel1,uurfactortabel1,kengetaltabel1,object6_opptabel1)*(1/VLOOKUP(E11,dagsoorttabel1,2,FALSE))</f>
        <v>0</v>
      </c>
      <c r="J11" s="98"/>
      <c r="K11" s="41">
        <f t="shared" si="2"/>
        <v>0</v>
      </c>
      <c r="L11" s="41">
        <f t="shared" si="3"/>
        <v>0</v>
      </c>
      <c r="M11" s="44">
        <f>SUMPRODUCT(taakfreqtabel1,kengetaltabel1,tarieftabel1,object6_opptabel1)</f>
        <v>0</v>
      </c>
      <c r="N11" s="44">
        <f t="shared" si="4"/>
        <v>0</v>
      </c>
      <c r="O11" s="44">
        <f t="shared" si="5"/>
        <v>0</v>
      </c>
      <c r="P11" s="41">
        <f t="shared" si="6"/>
        <v>0</v>
      </c>
      <c r="Q11" s="41">
        <f t="shared" si="7"/>
        <v>0</v>
      </c>
      <c r="R11" s="44">
        <f t="shared" si="8"/>
        <v>0</v>
      </c>
      <c r="S11" s="44">
        <f t="shared" si="9"/>
        <v>0</v>
      </c>
    </row>
    <row r="12" spans="1:19" x14ac:dyDescent="0.2">
      <c r="A12" s="22" t="s">
        <v>627</v>
      </c>
      <c r="B12" s="22" t="s">
        <v>825</v>
      </c>
      <c r="C12" s="22" t="s">
        <v>826</v>
      </c>
      <c r="D12" s="22" t="s">
        <v>814</v>
      </c>
      <c r="E12" s="96" t="s">
        <v>12</v>
      </c>
      <c r="F12" s="97">
        <f t="shared" si="0"/>
        <v>0</v>
      </c>
      <c r="G12" s="41">
        <f>SUMPRODUCT(taakfreqtabel1,uurfactortabel1,kengetaltabel1,object7_opptabel1)</f>
        <v>0</v>
      </c>
      <c r="H12" s="41">
        <f t="shared" si="1"/>
        <v>0</v>
      </c>
      <c r="I12" s="41">
        <f>SUMPRODUCT(dagwerktabel1,taakfreqtabel1,uurfactortabel1,kengetaltabel1,object7_opptabel1)*(1/VLOOKUP(E12,dagsoorttabel1,2,FALSE))</f>
        <v>0</v>
      </c>
      <c r="J12" s="98"/>
      <c r="K12" s="41">
        <f t="shared" si="2"/>
        <v>0</v>
      </c>
      <c r="L12" s="41">
        <f t="shared" si="3"/>
        <v>0</v>
      </c>
      <c r="M12" s="44">
        <f>SUMPRODUCT(taakfreqtabel1,kengetaltabel1,tarieftabel1,object7_opptabel1)</f>
        <v>0</v>
      </c>
      <c r="N12" s="44">
        <f t="shared" si="4"/>
        <v>0</v>
      </c>
      <c r="O12" s="44">
        <f t="shared" si="5"/>
        <v>0</v>
      </c>
      <c r="P12" s="41">
        <f t="shared" si="6"/>
        <v>0</v>
      </c>
      <c r="Q12" s="41">
        <f t="shared" si="7"/>
        <v>0</v>
      </c>
      <c r="R12" s="44">
        <f t="shared" si="8"/>
        <v>0</v>
      </c>
      <c r="S12" s="44">
        <f t="shared" si="9"/>
        <v>0</v>
      </c>
    </row>
    <row r="13" spans="1:19" x14ac:dyDescent="0.2">
      <c r="A13" s="22" t="s">
        <v>635</v>
      </c>
      <c r="B13" s="22" t="s">
        <v>827</v>
      </c>
      <c r="C13" s="22" t="s">
        <v>828</v>
      </c>
      <c r="D13" s="22" t="s">
        <v>829</v>
      </c>
      <c r="E13" s="96" t="s">
        <v>12</v>
      </c>
      <c r="F13" s="97">
        <f t="shared" si="0"/>
        <v>0</v>
      </c>
      <c r="G13" s="41">
        <f>SUMPRODUCT(taakfreqtabel1,uurfactortabel1,kengetaltabel1,object8_opptabel1)</f>
        <v>0</v>
      </c>
      <c r="H13" s="41">
        <f t="shared" si="1"/>
        <v>0</v>
      </c>
      <c r="I13" s="41">
        <f>SUMPRODUCT(dagwerktabel1,taakfreqtabel1,uurfactortabel1,kengetaltabel1,object8_opptabel1)*(1/VLOOKUP(E13,dagsoorttabel1,2,FALSE))</f>
        <v>0</v>
      </c>
      <c r="J13" s="98"/>
      <c r="K13" s="41">
        <f t="shared" si="2"/>
        <v>0</v>
      </c>
      <c r="L13" s="41">
        <f t="shared" si="3"/>
        <v>0</v>
      </c>
      <c r="M13" s="44">
        <f>SUMPRODUCT(taakfreqtabel1,kengetaltabel1,tarieftabel1,object8_opptabel1)</f>
        <v>0</v>
      </c>
      <c r="N13" s="44">
        <f t="shared" si="4"/>
        <v>0</v>
      </c>
      <c r="O13" s="44">
        <f t="shared" si="5"/>
        <v>0</v>
      </c>
      <c r="P13" s="41">
        <f t="shared" si="6"/>
        <v>0</v>
      </c>
      <c r="Q13" s="41">
        <f t="shared" si="7"/>
        <v>0</v>
      </c>
      <c r="R13" s="44">
        <f t="shared" si="8"/>
        <v>0</v>
      </c>
      <c r="S13" s="44">
        <f t="shared" si="9"/>
        <v>0</v>
      </c>
    </row>
    <row r="14" spans="1:19" x14ac:dyDescent="0.2">
      <c r="A14" s="22" t="s">
        <v>661</v>
      </c>
      <c r="B14" s="22" t="s">
        <v>830</v>
      </c>
      <c r="C14" s="22" t="s">
        <v>831</v>
      </c>
      <c r="D14" s="22" t="s">
        <v>814</v>
      </c>
      <c r="E14" s="96" t="s">
        <v>12</v>
      </c>
      <c r="F14" s="97">
        <f t="shared" si="0"/>
        <v>0</v>
      </c>
      <c r="G14" s="41">
        <f>SUMPRODUCT(taakfreqtabel1,uurfactortabel1,kengetaltabel1,object9_opptabel1)</f>
        <v>0</v>
      </c>
      <c r="H14" s="41">
        <f t="shared" si="1"/>
        <v>0</v>
      </c>
      <c r="I14" s="41">
        <f>SUMPRODUCT(dagwerktabel1,taakfreqtabel1,uurfactortabel1,kengetaltabel1,object9_opptabel1)*(1/VLOOKUP(E14,dagsoorttabel1,2,FALSE))</f>
        <v>0</v>
      </c>
      <c r="J14" s="98"/>
      <c r="K14" s="41">
        <f t="shared" si="2"/>
        <v>0</v>
      </c>
      <c r="L14" s="41">
        <f t="shared" si="3"/>
        <v>0</v>
      </c>
      <c r="M14" s="44">
        <f>SUMPRODUCT(taakfreqtabel1,kengetaltabel1,tarieftabel1,object9_opptabel1)</f>
        <v>0</v>
      </c>
      <c r="N14" s="44">
        <f t="shared" si="4"/>
        <v>0</v>
      </c>
      <c r="O14" s="44">
        <f t="shared" si="5"/>
        <v>0</v>
      </c>
      <c r="P14" s="41">
        <f t="shared" si="6"/>
        <v>0</v>
      </c>
      <c r="Q14" s="41">
        <f t="shared" si="7"/>
        <v>0</v>
      </c>
      <c r="R14" s="44">
        <f t="shared" si="8"/>
        <v>0</v>
      </c>
      <c r="S14" s="44">
        <f t="shared" si="9"/>
        <v>0</v>
      </c>
    </row>
    <row r="15" spans="1:19" x14ac:dyDescent="0.2">
      <c r="A15" s="22" t="s">
        <v>683</v>
      </c>
      <c r="B15" s="22" t="s">
        <v>832</v>
      </c>
      <c r="C15" s="22" t="s">
        <v>833</v>
      </c>
      <c r="D15" s="22" t="s">
        <v>814</v>
      </c>
      <c r="E15" s="96" t="s">
        <v>11</v>
      </c>
      <c r="F15" s="97">
        <f t="shared" si="0"/>
        <v>0</v>
      </c>
      <c r="G15" s="41">
        <f>SUMPRODUCT(taakfreqtabel1,uurfactortabel1,kengetaltabel1,object10_opptabel1)</f>
        <v>0</v>
      </c>
      <c r="H15" s="41">
        <f t="shared" si="1"/>
        <v>0</v>
      </c>
      <c r="I15" s="41">
        <f>SUMPRODUCT(dagwerktabel1,taakfreqtabel1,uurfactortabel1,kengetaltabel1,object10_opptabel1)*(1/VLOOKUP(E15,dagsoorttabel1,2,FALSE))</f>
        <v>0</v>
      </c>
      <c r="J15" s="98"/>
      <c r="K15" s="41">
        <f t="shared" si="2"/>
        <v>0</v>
      </c>
      <c r="L15" s="41">
        <f t="shared" si="3"/>
        <v>0</v>
      </c>
      <c r="M15" s="44">
        <f>SUMPRODUCT(taakfreqtabel1,kengetaltabel1,tarieftabel1,object10_opptabel1)</f>
        <v>0</v>
      </c>
      <c r="N15" s="44">
        <f t="shared" si="4"/>
        <v>0</v>
      </c>
      <c r="O15" s="44">
        <f t="shared" si="5"/>
        <v>0</v>
      </c>
      <c r="P15" s="41">
        <f t="shared" si="6"/>
        <v>0</v>
      </c>
      <c r="Q15" s="41">
        <f t="shared" si="7"/>
        <v>0</v>
      </c>
      <c r="R15" s="44">
        <f t="shared" si="8"/>
        <v>0</v>
      </c>
      <c r="S15" s="44">
        <f t="shared" si="9"/>
        <v>0</v>
      </c>
    </row>
    <row r="16" spans="1:19" x14ac:dyDescent="0.2">
      <c r="A16" s="22" t="s">
        <v>698</v>
      </c>
      <c r="B16" s="22" t="s">
        <v>834</v>
      </c>
      <c r="C16" s="22" t="s">
        <v>835</v>
      </c>
      <c r="D16" s="22" t="s">
        <v>814</v>
      </c>
      <c r="E16" s="96" t="s">
        <v>10</v>
      </c>
      <c r="F16" s="97">
        <f t="shared" si="0"/>
        <v>0</v>
      </c>
      <c r="G16" s="41">
        <f>SUMPRODUCT(taakfreqtabel1,uurfactortabel1,kengetaltabel1,object11_opptabel1)</f>
        <v>0</v>
      </c>
      <c r="H16" s="41">
        <f t="shared" si="1"/>
        <v>0</v>
      </c>
      <c r="I16" s="41">
        <f>SUMPRODUCT(dagwerktabel1,taakfreqtabel1,uurfactortabel1,kengetaltabel1,object11_opptabel1)*(1/VLOOKUP(E16,dagsoorttabel1,2,FALSE))</f>
        <v>0</v>
      </c>
      <c r="J16" s="98"/>
      <c r="K16" s="41">
        <f t="shared" si="2"/>
        <v>0</v>
      </c>
      <c r="L16" s="41">
        <f t="shared" si="3"/>
        <v>0</v>
      </c>
      <c r="M16" s="44">
        <f>SUMPRODUCT(taakfreqtabel1,kengetaltabel1,tarieftabel1,object11_opptabel1)</f>
        <v>0</v>
      </c>
      <c r="N16" s="44">
        <f t="shared" si="4"/>
        <v>0</v>
      </c>
      <c r="O16" s="44">
        <f t="shared" si="5"/>
        <v>0</v>
      </c>
      <c r="P16" s="41">
        <f t="shared" si="6"/>
        <v>0</v>
      </c>
      <c r="Q16" s="41">
        <f t="shared" si="7"/>
        <v>0</v>
      </c>
      <c r="R16" s="44">
        <f t="shared" si="8"/>
        <v>0</v>
      </c>
      <c r="S16" s="44">
        <f t="shared" si="9"/>
        <v>0</v>
      </c>
    </row>
    <row r="17" spans="1:19" x14ac:dyDescent="0.2">
      <c r="A17" s="22" t="s">
        <v>701</v>
      </c>
      <c r="B17" s="22" t="s">
        <v>836</v>
      </c>
      <c r="C17" s="22" t="s">
        <v>837</v>
      </c>
      <c r="D17" s="22" t="s">
        <v>814</v>
      </c>
      <c r="E17" s="96" t="s">
        <v>21</v>
      </c>
      <c r="F17" s="97">
        <f t="shared" si="0"/>
        <v>0</v>
      </c>
      <c r="G17" s="41">
        <f>SUMPRODUCT(taakfreqtabel1,uurfactortabel1,kengetaltabel1,object13_opptabel1)</f>
        <v>0</v>
      </c>
      <c r="H17" s="41">
        <f t="shared" si="1"/>
        <v>0</v>
      </c>
      <c r="I17" s="41">
        <f>SUMPRODUCT(dagwerktabel1,taakfreqtabel1,uurfactortabel1,kengetaltabel1,object13_opptabel1)*(1/VLOOKUP(E17,dagsoorttabel1,2,FALSE))</f>
        <v>0</v>
      </c>
      <c r="J17" s="98"/>
      <c r="K17" s="41">
        <f t="shared" si="2"/>
        <v>0</v>
      </c>
      <c r="L17" s="41">
        <f t="shared" si="3"/>
        <v>0</v>
      </c>
      <c r="M17" s="44">
        <f>SUMPRODUCT(taakfreqtabel1,kengetaltabel1,tarieftabel1,object13_opptabel1)</f>
        <v>0</v>
      </c>
      <c r="N17" s="44">
        <f t="shared" si="4"/>
        <v>0</v>
      </c>
      <c r="O17" s="44">
        <f t="shared" si="5"/>
        <v>0</v>
      </c>
      <c r="P17" s="41">
        <f t="shared" si="6"/>
        <v>0</v>
      </c>
      <c r="Q17" s="41">
        <f t="shared" si="7"/>
        <v>0</v>
      </c>
      <c r="R17" s="44">
        <f t="shared" si="8"/>
        <v>0</v>
      </c>
      <c r="S17" s="44">
        <f t="shared" si="9"/>
        <v>0</v>
      </c>
    </row>
    <row r="18" spans="1:19" x14ac:dyDescent="0.2">
      <c r="A18" s="22" t="s">
        <v>713</v>
      </c>
      <c r="B18" s="22" t="s">
        <v>838</v>
      </c>
      <c r="C18" s="22" t="s">
        <v>839</v>
      </c>
      <c r="D18" s="22" t="s">
        <v>814</v>
      </c>
      <c r="E18" s="96" t="s">
        <v>12</v>
      </c>
      <c r="F18" s="97">
        <f t="shared" si="0"/>
        <v>0</v>
      </c>
      <c r="G18" s="41">
        <f>SUMPRODUCT(taakfreqtabel1,uurfactortabel1,kengetaltabel1,object14_opptabel1)</f>
        <v>0</v>
      </c>
      <c r="H18" s="41">
        <f t="shared" si="1"/>
        <v>0</v>
      </c>
      <c r="I18" s="41">
        <f>SUMPRODUCT(dagwerktabel1,taakfreqtabel1,uurfactortabel1,kengetaltabel1,object14_opptabel1)*(1/VLOOKUP(E18,dagsoorttabel1,2,FALSE))</f>
        <v>0</v>
      </c>
      <c r="J18" s="98"/>
      <c r="K18" s="41">
        <f t="shared" si="2"/>
        <v>0</v>
      </c>
      <c r="L18" s="41">
        <f t="shared" si="3"/>
        <v>0</v>
      </c>
      <c r="M18" s="44">
        <f>SUMPRODUCT(taakfreqtabel1,kengetaltabel1,tarieftabel1,object14_opptabel1)</f>
        <v>0</v>
      </c>
      <c r="N18" s="44">
        <f t="shared" si="4"/>
        <v>0</v>
      </c>
      <c r="O18" s="44">
        <f t="shared" si="5"/>
        <v>0</v>
      </c>
      <c r="P18" s="41">
        <f t="shared" si="6"/>
        <v>0</v>
      </c>
      <c r="Q18" s="41">
        <f t="shared" si="7"/>
        <v>0</v>
      </c>
      <c r="R18" s="44">
        <f t="shared" si="8"/>
        <v>0</v>
      </c>
      <c r="S18" s="44">
        <f t="shared" si="9"/>
        <v>0</v>
      </c>
    </row>
    <row r="19" spans="1:19" x14ac:dyDescent="0.2">
      <c r="A19" s="22" t="s">
        <v>720</v>
      </c>
      <c r="B19" s="22" t="s">
        <v>840</v>
      </c>
      <c r="C19" s="22" t="s">
        <v>841</v>
      </c>
      <c r="D19" s="22" t="s">
        <v>814</v>
      </c>
      <c r="E19" s="96" t="s">
        <v>19</v>
      </c>
      <c r="F19" s="97">
        <f t="shared" si="0"/>
        <v>0</v>
      </c>
      <c r="G19" s="41">
        <f>SUMPRODUCT(taakfreqtabel1,uurfactortabel1,kengetaltabel1,object15_opptabel1)</f>
        <v>0</v>
      </c>
      <c r="H19" s="41">
        <f t="shared" si="1"/>
        <v>0</v>
      </c>
      <c r="I19" s="41">
        <f>SUMPRODUCT(dagwerktabel1,taakfreqtabel1,uurfactortabel1,kengetaltabel1,object15_opptabel1)*(1/VLOOKUP(E19,dagsoorttabel1,2,FALSE))</f>
        <v>0</v>
      </c>
      <c r="J19" s="98"/>
      <c r="K19" s="41">
        <f t="shared" si="2"/>
        <v>0</v>
      </c>
      <c r="L19" s="41">
        <f t="shared" si="3"/>
        <v>0</v>
      </c>
      <c r="M19" s="44">
        <f>SUMPRODUCT(taakfreqtabel1,kengetaltabel1,tarieftabel1,object15_opptabel1)</f>
        <v>0</v>
      </c>
      <c r="N19" s="44">
        <f t="shared" si="4"/>
        <v>0</v>
      </c>
      <c r="O19" s="44">
        <f t="shared" si="5"/>
        <v>0</v>
      </c>
      <c r="P19" s="41">
        <f t="shared" si="6"/>
        <v>0</v>
      </c>
      <c r="Q19" s="41">
        <f t="shared" si="7"/>
        <v>0</v>
      </c>
      <c r="R19" s="44">
        <f t="shared" si="8"/>
        <v>0</v>
      </c>
      <c r="S19" s="44">
        <f t="shared" si="9"/>
        <v>0</v>
      </c>
    </row>
    <row r="20" spans="1:19" x14ac:dyDescent="0.2">
      <c r="A20" s="22" t="s">
        <v>724</v>
      </c>
      <c r="B20" s="22" t="s">
        <v>842</v>
      </c>
      <c r="C20" s="22" t="s">
        <v>843</v>
      </c>
      <c r="D20" s="22" t="s">
        <v>814</v>
      </c>
      <c r="E20" s="96" t="s">
        <v>24</v>
      </c>
      <c r="F20" s="97">
        <f t="shared" si="0"/>
        <v>0</v>
      </c>
      <c r="G20" s="41">
        <f>SUMPRODUCT(taakfreqtabel1,uurfactortabel1,kengetaltabel1,object16_opptabel1)</f>
        <v>0</v>
      </c>
      <c r="H20" s="41">
        <f t="shared" si="1"/>
        <v>0</v>
      </c>
      <c r="I20" s="41">
        <f>SUMPRODUCT(dagwerktabel1,taakfreqtabel1,uurfactortabel1,kengetaltabel1,object16_opptabel1)*(1/VLOOKUP(E20,dagsoorttabel1,2,FALSE))</f>
        <v>0</v>
      </c>
      <c r="J20" s="98"/>
      <c r="K20" s="41">
        <f t="shared" si="2"/>
        <v>0</v>
      </c>
      <c r="L20" s="41">
        <f t="shared" si="3"/>
        <v>0</v>
      </c>
      <c r="M20" s="44">
        <f>SUMPRODUCT(taakfreqtabel1,kengetaltabel1,tarieftabel1,object16_opptabel1)</f>
        <v>0</v>
      </c>
      <c r="N20" s="44">
        <f t="shared" si="4"/>
        <v>0</v>
      </c>
      <c r="O20" s="44">
        <f t="shared" si="5"/>
        <v>0</v>
      </c>
      <c r="P20" s="41">
        <f t="shared" si="6"/>
        <v>0</v>
      </c>
      <c r="Q20" s="41">
        <f t="shared" si="7"/>
        <v>0</v>
      </c>
      <c r="R20" s="44">
        <f t="shared" si="8"/>
        <v>0</v>
      </c>
      <c r="S20" s="44">
        <f t="shared" si="9"/>
        <v>0</v>
      </c>
    </row>
    <row r="21" spans="1:19" x14ac:dyDescent="0.2">
      <c r="A21" s="27" t="s">
        <v>750</v>
      </c>
      <c r="B21" s="27" t="s">
        <v>844</v>
      </c>
      <c r="C21" s="27" t="s">
        <v>845</v>
      </c>
      <c r="D21" s="27" t="s">
        <v>814</v>
      </c>
      <c r="E21" s="99" t="s">
        <v>10</v>
      </c>
      <c r="F21" s="100">
        <f t="shared" si="0"/>
        <v>0</v>
      </c>
      <c r="G21" s="46">
        <f>SUMPRODUCT(taakfreqtabel1,uurfactortabel1,kengetaltabel1,object17_opptabel1)</f>
        <v>0</v>
      </c>
      <c r="H21" s="46">
        <f t="shared" si="1"/>
        <v>0</v>
      </c>
      <c r="I21" s="46">
        <f>SUMPRODUCT(dagwerktabel1,taakfreqtabel1,uurfactortabel1,kengetaltabel1,object17_opptabel1)*(1/VLOOKUP(E21,dagsoorttabel1,2,FALSE))</f>
        <v>0</v>
      </c>
      <c r="J21" s="101"/>
      <c r="K21" s="46">
        <f t="shared" si="2"/>
        <v>0</v>
      </c>
      <c r="L21" s="46">
        <f t="shared" si="3"/>
        <v>0</v>
      </c>
      <c r="M21" s="48">
        <f>SUMPRODUCT(taakfreqtabel1,kengetaltabel1,tarieftabel1,object17_opptabel1)</f>
        <v>0</v>
      </c>
      <c r="N21" s="48">
        <f t="shared" si="4"/>
        <v>0</v>
      </c>
      <c r="O21" s="48">
        <f t="shared" si="5"/>
        <v>0</v>
      </c>
      <c r="P21" s="46">
        <f t="shared" si="6"/>
        <v>0</v>
      </c>
      <c r="Q21" s="46">
        <f t="shared" si="7"/>
        <v>0</v>
      </c>
      <c r="R21" s="48">
        <f t="shared" si="8"/>
        <v>0</v>
      </c>
      <c r="S21" s="48">
        <f t="shared" si="9"/>
        <v>0</v>
      </c>
    </row>
    <row r="22" spans="1:19" x14ac:dyDescent="0.2">
      <c r="A22" s="50" t="s">
        <v>264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>
        <f>SUM(P6:P21)</f>
        <v>0</v>
      </c>
      <c r="Q22" s="52">
        <f>SUM(Q6:Q21)</f>
        <v>0</v>
      </c>
      <c r="R22" s="53">
        <f>SUM(R6:R21)</f>
        <v>0</v>
      </c>
      <c r="S22" s="54">
        <f>SUM(S6:S21)</f>
        <v>0</v>
      </c>
    </row>
    <row r="23" spans="1:19" x14ac:dyDescent="0.2">
      <c r="A23" s="55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6"/>
    </row>
    <row r="24" spans="1:19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</row>
    <row r="25" spans="1:19" x14ac:dyDescent="0.2">
      <c r="A25" s="12" t="s">
        <v>154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4"/>
    </row>
    <row r="26" spans="1:19" x14ac:dyDescent="0.2">
      <c r="A26" s="102" t="s">
        <v>588</v>
      </c>
      <c r="B26" s="102" t="s">
        <v>823</v>
      </c>
      <c r="C26" s="102" t="s">
        <v>824</v>
      </c>
      <c r="D26" s="102" t="s">
        <v>814</v>
      </c>
      <c r="E26" s="103" t="s">
        <v>35</v>
      </c>
      <c r="F26" s="104">
        <f>gemuurtarief3</f>
        <v>0</v>
      </c>
      <c r="G26" s="105">
        <f>SUMPRODUCT(taakfreqtabel3,uurfactortabel3,kengetaltabel3,object6_opptabel3)</f>
        <v>0</v>
      </c>
      <c r="H26" s="105">
        <f>G26*(1/VLOOKUP(E26,dagsoorttabel1,2,FALSE))</f>
        <v>0</v>
      </c>
      <c r="I26" s="105">
        <f>SUMPRODUCT(dagwerktabel3,taakfreqtabel3,uurfactortabel3,kengetaltabel3,object6_opptabel3)*(1/VLOOKUP(E26,dagsoorttabel1,2,FALSE))</f>
        <v>0</v>
      </c>
      <c r="J26" s="106"/>
      <c r="K26" s="105">
        <f>I26+J26</f>
        <v>0</v>
      </c>
      <c r="L26" s="105">
        <f>G26+J26*VLOOKUP(E26,dagsoorttabel1,2,FALSE)</f>
        <v>0</v>
      </c>
      <c r="M26" s="107">
        <f>SUMPRODUCT(taakfreqtabel3,kengetaltabel3,tarieftabel3,object6_opptabel3)</f>
        <v>0</v>
      </c>
      <c r="N26" s="107">
        <f>F26*J26*VLOOKUP(E26,dagsoorttabel1,2,FALSE)</f>
        <v>0</v>
      </c>
      <c r="O26" s="107">
        <f>SUM(M26:N26)</f>
        <v>0</v>
      </c>
      <c r="P26" s="105">
        <f>K26*dagenperjaar1*VLOOKUP(E26,dagsoorttabel1,2,FALSE)</f>
        <v>0</v>
      </c>
      <c r="Q26" s="105">
        <f>L26*dagenperjaar1</f>
        <v>0</v>
      </c>
      <c r="R26" s="107">
        <f>O26*dagenperjaar1</f>
        <v>0</v>
      </c>
      <c r="S26" s="107">
        <f>R26/12</f>
        <v>0</v>
      </c>
    </row>
    <row r="27" spans="1:19" x14ac:dyDescent="0.2">
      <c r="A27" s="50" t="s">
        <v>275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2">
        <f>SUM(P26:P26)</f>
        <v>0</v>
      </c>
      <c r="Q27" s="52">
        <f>SUM(Q26:Q26)</f>
        <v>0</v>
      </c>
      <c r="R27" s="53">
        <f>SUM(R26:R26)</f>
        <v>0</v>
      </c>
      <c r="S27" s="54">
        <f>SUM(S26:S26)</f>
        <v>0</v>
      </c>
    </row>
    <row r="28" spans="1:19" x14ac:dyDescent="0.2">
      <c r="A28" s="55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6"/>
    </row>
    <row r="29" spans="1:19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1"/>
    </row>
    <row r="30" spans="1:19" x14ac:dyDescent="0.2">
      <c r="A30" s="12" t="s">
        <v>171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4"/>
    </row>
    <row r="31" spans="1:19" x14ac:dyDescent="0.2">
      <c r="A31" s="17" t="s">
        <v>538</v>
      </c>
      <c r="B31" s="17" t="s">
        <v>815</v>
      </c>
      <c r="C31" s="17" t="s">
        <v>816</v>
      </c>
      <c r="D31" s="17" t="s">
        <v>814</v>
      </c>
      <c r="E31" s="93" t="s">
        <v>22</v>
      </c>
      <c r="F31" s="94">
        <f>gemuurtarief4</f>
        <v>0</v>
      </c>
      <c r="G31" s="37">
        <f>SUMPRODUCT(taakfreqtabel4,uurfactortabel4,kengetaltabel4,object2_opptabel4)</f>
        <v>0</v>
      </c>
      <c r="H31" s="37">
        <f>G31*(1/VLOOKUP(E31,dagsoorttabel1,2,FALSE))</f>
        <v>0</v>
      </c>
      <c r="I31" s="37">
        <f>SUMPRODUCT(dagwerktabel4,taakfreqtabel4,uurfactortabel4,kengetaltabel4,object2_opptabel4)*(1/VLOOKUP(E31,dagsoorttabel1,2,FALSE))</f>
        <v>0</v>
      </c>
      <c r="J31" s="95"/>
      <c r="K31" s="37">
        <f>I31+J31</f>
        <v>0</v>
      </c>
      <c r="L31" s="37">
        <f>G31+J31*VLOOKUP(E31,dagsoorttabel1,2,FALSE)</f>
        <v>0</v>
      </c>
      <c r="M31" s="40">
        <f>SUMPRODUCT(taakfreqtabel4,kengetaltabel4,tarieftabel4,object2_opptabel4)</f>
        <v>0</v>
      </c>
      <c r="N31" s="40">
        <f>F31*J31*VLOOKUP(E31,dagsoorttabel1,2,FALSE)</f>
        <v>0</v>
      </c>
      <c r="O31" s="40">
        <f>SUM(M31:N31)</f>
        <v>0</v>
      </c>
      <c r="P31" s="37">
        <f>K31*dagenperjaar1*VLOOKUP(E31,dagsoorttabel1,2,FALSE)</f>
        <v>0</v>
      </c>
      <c r="Q31" s="37">
        <f>L31*dagenperjaar1</f>
        <v>0</v>
      </c>
      <c r="R31" s="40">
        <f>O31*dagenperjaar1</f>
        <v>0</v>
      </c>
      <c r="S31" s="40">
        <f>R31/12</f>
        <v>0</v>
      </c>
    </row>
    <row r="32" spans="1:19" x14ac:dyDescent="0.2">
      <c r="A32" s="27" t="s">
        <v>588</v>
      </c>
      <c r="B32" s="27" t="s">
        <v>823</v>
      </c>
      <c r="C32" s="27" t="s">
        <v>824</v>
      </c>
      <c r="D32" s="27" t="s">
        <v>814</v>
      </c>
      <c r="E32" s="99" t="s">
        <v>29</v>
      </c>
      <c r="F32" s="100">
        <f>gemuurtarief4</f>
        <v>0</v>
      </c>
      <c r="G32" s="46">
        <f>SUMPRODUCT(taakfreqtabel4,uurfactortabel4,kengetaltabel4,object6_opptabel4)</f>
        <v>0</v>
      </c>
      <c r="H32" s="46">
        <f>G32*(1/VLOOKUP(E32,dagsoorttabel1,2,FALSE))</f>
        <v>0</v>
      </c>
      <c r="I32" s="46">
        <f>SUMPRODUCT(dagwerktabel4,taakfreqtabel4,uurfactortabel4,kengetaltabel4,object6_opptabel4)*(1/VLOOKUP(E32,dagsoorttabel1,2,FALSE))</f>
        <v>0</v>
      </c>
      <c r="J32" s="101"/>
      <c r="K32" s="46">
        <f>I32+J32</f>
        <v>0</v>
      </c>
      <c r="L32" s="46">
        <f>G32+J32*VLOOKUP(E32,dagsoorttabel1,2,FALSE)</f>
        <v>0</v>
      </c>
      <c r="M32" s="48">
        <f>SUMPRODUCT(taakfreqtabel4,kengetaltabel4,tarieftabel4,object6_opptabel4)</f>
        <v>0</v>
      </c>
      <c r="N32" s="48">
        <f>F32*J32*VLOOKUP(E32,dagsoorttabel1,2,FALSE)</f>
        <v>0</v>
      </c>
      <c r="O32" s="48">
        <f>SUM(M32:N32)</f>
        <v>0</v>
      </c>
      <c r="P32" s="46">
        <f>K32*dagenperjaar1*VLOOKUP(E32,dagsoorttabel1,2,FALSE)</f>
        <v>0</v>
      </c>
      <c r="Q32" s="46">
        <f>L32*dagenperjaar1</f>
        <v>0</v>
      </c>
      <c r="R32" s="48">
        <f>O32*dagenperjaar1</f>
        <v>0</v>
      </c>
      <c r="S32" s="48">
        <f>R32/12</f>
        <v>0</v>
      </c>
    </row>
    <row r="33" spans="1:19" x14ac:dyDescent="0.2">
      <c r="A33" s="50" t="s">
        <v>286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>
        <f>SUM(P31:P32)</f>
        <v>0</v>
      </c>
      <c r="Q33" s="52">
        <f>SUM(Q31:Q32)</f>
        <v>0</v>
      </c>
      <c r="R33" s="53">
        <f>SUM(R31:R32)</f>
        <v>0</v>
      </c>
      <c r="S33" s="54">
        <f>SUM(S31:S32)</f>
        <v>0</v>
      </c>
    </row>
    <row r="34" spans="1:19" x14ac:dyDescent="0.2">
      <c r="A34" s="55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6"/>
    </row>
    <row r="36" spans="1:19" x14ac:dyDescent="0.2">
      <c r="A36" s="50" t="s">
        <v>846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>
        <f>urenjaartotaalhf1+urenjaartotaalhf3+urenjaartotaalhf4</f>
        <v>0</v>
      </c>
      <c r="Q36" s="52">
        <f>urenjaartotaal1+urenjaartotaal3+urenjaartotaal4</f>
        <v>0</v>
      </c>
      <c r="R36" s="53">
        <f>prijsjaartotaal1+prijsjaartotaal3+prijsjaartotaal4</f>
        <v>0</v>
      </c>
      <c r="S36" s="53">
        <f>prijsmaandtotaal1+prijsmaandtotaal3+prijsmaandtotaal4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1173</vt:i4>
      </vt:variant>
    </vt:vector>
  </HeadingPairs>
  <TitlesOfParts>
    <vt:vector size="1190" baseType="lpstr">
      <vt:lpstr>Voorblad</vt:lpstr>
      <vt:lpstr>Omreken</vt:lpstr>
      <vt:lpstr>Categorienormen</vt:lpstr>
      <vt:lpstr>Regulier werk</vt:lpstr>
      <vt:lpstr>Ruimten werkdag</vt:lpstr>
      <vt:lpstr>Ruimten werkdag vakantie</vt:lpstr>
      <vt:lpstr>Ruimten weekenddag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Regiewerk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weekenddag'!Afdruktitels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catdw_1_AHB_1</vt:lpstr>
      <vt:lpstr>catdw_1_AHV_12</vt:lpstr>
      <vt:lpstr>catdw_1_AHV_14</vt:lpstr>
      <vt:lpstr>catdw_1_AHV_19</vt:lpstr>
      <vt:lpstr>catdw_1_AHV_51</vt:lpstr>
      <vt:lpstr>catdw_1_AZB_1</vt:lpstr>
      <vt:lpstr>catdw_1_AZV_12</vt:lpstr>
      <vt:lpstr>catdw_1_BHB_1</vt:lpstr>
      <vt:lpstr>catdw_1_BHV_12</vt:lpstr>
      <vt:lpstr>catdw_1_BHV_14</vt:lpstr>
      <vt:lpstr>catdw_1_BHV_19</vt:lpstr>
      <vt:lpstr>catdw_1_BHV_40</vt:lpstr>
      <vt:lpstr>catdw_1_BHV_51</vt:lpstr>
      <vt:lpstr>catdw_1_BZB_1</vt:lpstr>
      <vt:lpstr>catdw_1_BZV_40</vt:lpstr>
      <vt:lpstr>catdw_1_BZV_51</vt:lpstr>
      <vt:lpstr>catdw_1_DHB_1</vt:lpstr>
      <vt:lpstr>catdw_1_DHV_14</vt:lpstr>
      <vt:lpstr>catdw_1_DHV_18</vt:lpstr>
      <vt:lpstr>catdw_1_DHV_19</vt:lpstr>
      <vt:lpstr>catdw_1_DHV_35</vt:lpstr>
      <vt:lpstr>catdw_1_DHV_40</vt:lpstr>
      <vt:lpstr>catdw_1_DHV_45</vt:lpstr>
      <vt:lpstr>catdw_1_DHV_51</vt:lpstr>
      <vt:lpstr>catdw_1_DHV_65</vt:lpstr>
      <vt:lpstr>catdw_1_EHB_1</vt:lpstr>
      <vt:lpstr>catdw_1_EHV_40</vt:lpstr>
      <vt:lpstr>catdw_1_EHV_45</vt:lpstr>
      <vt:lpstr>catdw_1_EHV_51</vt:lpstr>
      <vt:lpstr>catdw_1_EZB_1</vt:lpstr>
      <vt:lpstr>catdw_1_EZV_51</vt:lpstr>
      <vt:lpstr>catdw_1_FHB_1</vt:lpstr>
      <vt:lpstr>catdw_1_FHV_12</vt:lpstr>
      <vt:lpstr>catdw_1_GHB_1</vt:lpstr>
      <vt:lpstr>catdw_1_GHV_45</vt:lpstr>
      <vt:lpstr>catdw_1_GHV_51</vt:lpstr>
      <vt:lpstr>catdw_1_IHB_1</vt:lpstr>
      <vt:lpstr>catdw_1_IHV_45</vt:lpstr>
      <vt:lpstr>catdw_1_IHV_51</vt:lpstr>
      <vt:lpstr>catdw_1_KHB_1</vt:lpstr>
      <vt:lpstr>catdw_1_KHV_51</vt:lpstr>
      <vt:lpstr>catdw_1_LHB_1</vt:lpstr>
      <vt:lpstr>catdw_1_LHV_51</vt:lpstr>
      <vt:lpstr>catdw_1_OHB_1</vt:lpstr>
      <vt:lpstr>catdw_1_OHV_51</vt:lpstr>
      <vt:lpstr>catdw_1_OZB_1</vt:lpstr>
      <vt:lpstr>catdw_1_OZV_40</vt:lpstr>
      <vt:lpstr>catdw_1_OZV_51</vt:lpstr>
      <vt:lpstr>catdw_1_PHB_1</vt:lpstr>
      <vt:lpstr>catdw_1_PHV_51</vt:lpstr>
      <vt:lpstr>catdw_1_RHB_1</vt:lpstr>
      <vt:lpstr>catdw_1_RHV_51</vt:lpstr>
      <vt:lpstr>catdw_1_SHB_1</vt:lpstr>
      <vt:lpstr>catdw_1_SHV_14</vt:lpstr>
      <vt:lpstr>catdw_1_SHV_17</vt:lpstr>
      <vt:lpstr>catdw_1_SHV_18</vt:lpstr>
      <vt:lpstr>catdw_1_SHV_19</vt:lpstr>
      <vt:lpstr>catdw_1_SHV_35</vt:lpstr>
      <vt:lpstr>catdw_1_SHV_38</vt:lpstr>
      <vt:lpstr>catdw_1_SHV_40</vt:lpstr>
      <vt:lpstr>catdw_1_SHV_45</vt:lpstr>
      <vt:lpstr>catdw_1_SHV_51</vt:lpstr>
      <vt:lpstr>catdw_1_SHV_65</vt:lpstr>
      <vt:lpstr>catdw_1_SHV_85</vt:lpstr>
      <vt:lpstr>catdw_1_THB_1</vt:lpstr>
      <vt:lpstr>catdw_1_THV_40</vt:lpstr>
      <vt:lpstr>catdw_1_THV_51</vt:lpstr>
      <vt:lpstr>catdw_1_TZB_1</vt:lpstr>
      <vt:lpstr>catdw_1_TZV_51</vt:lpstr>
      <vt:lpstr>catdw_1_VHB_1</vt:lpstr>
      <vt:lpstr>catdw_1_VHV_17</vt:lpstr>
      <vt:lpstr>catdw_1_VHV_40</vt:lpstr>
      <vt:lpstr>catdw_1_VHV_45</vt:lpstr>
      <vt:lpstr>catdw_1_VHV_51</vt:lpstr>
      <vt:lpstr>catdw_1_VHV_85</vt:lpstr>
      <vt:lpstr>catdw_1_VZB_1</vt:lpstr>
      <vt:lpstr>catdw_1_VZV_40</vt:lpstr>
      <vt:lpstr>catdw_1_VZV_45</vt:lpstr>
      <vt:lpstr>catdw_1_VZV_51</vt:lpstr>
      <vt:lpstr>catdw_1_WHB_1</vt:lpstr>
      <vt:lpstr>catdw_1_WHV_14</vt:lpstr>
      <vt:lpstr>catdw_1_WHV_19</vt:lpstr>
      <vt:lpstr>catdw_1_WHV_51</vt:lpstr>
      <vt:lpstr>catdw_1_WZB_1</vt:lpstr>
      <vt:lpstr>catdw_1_WZV_51</vt:lpstr>
      <vt:lpstr>catdw_1_XMBB_1</vt:lpstr>
      <vt:lpstr>catdw_1_XSPB_1</vt:lpstr>
      <vt:lpstr>catdw_3_VBZB_1</vt:lpstr>
      <vt:lpstr>catdw_3_VBZV_12</vt:lpstr>
      <vt:lpstr>catdw_3_VDHB_1</vt:lpstr>
      <vt:lpstr>catdw_3_VDHV_12</vt:lpstr>
      <vt:lpstr>catdw_3_VEHB_1</vt:lpstr>
      <vt:lpstr>catdw_3_VEHV_12</vt:lpstr>
      <vt:lpstr>catdw_3_VOZB_1</vt:lpstr>
      <vt:lpstr>catdw_3_VOZV_12</vt:lpstr>
      <vt:lpstr>catdw_3_VSHB_1</vt:lpstr>
      <vt:lpstr>catdw_3_VSHV_12</vt:lpstr>
      <vt:lpstr>catdw_3_VTHB_1</vt:lpstr>
      <vt:lpstr>catdw_3_VTHV_12</vt:lpstr>
      <vt:lpstr>catdw_3_VVHB_1</vt:lpstr>
      <vt:lpstr>catdw_3_VVHV_12</vt:lpstr>
      <vt:lpstr>catdw_3_VVZB_1</vt:lpstr>
      <vt:lpstr>catdw_3_VVZV_12</vt:lpstr>
      <vt:lpstr>catdw_4_WDHB_1</vt:lpstr>
      <vt:lpstr>catdw_4_WEHB_1</vt:lpstr>
      <vt:lpstr>catdw_4_WOZB_1</vt:lpstr>
      <vt:lpstr>catdw_4_WSHB_1</vt:lpstr>
      <vt:lpstr>catdw_4_WVHB_1</vt:lpstr>
      <vt:lpstr>catdw_4_WVZB_1</vt:lpstr>
      <vt:lpstr>catfd_1_AHB_1</vt:lpstr>
      <vt:lpstr>catfd_1_AHV_12</vt:lpstr>
      <vt:lpstr>catfd_1_AHV_14</vt:lpstr>
      <vt:lpstr>catfd_1_AHV_19</vt:lpstr>
      <vt:lpstr>catfd_1_AHV_51</vt:lpstr>
      <vt:lpstr>catfd_1_AZB_1</vt:lpstr>
      <vt:lpstr>catfd_1_AZV_12</vt:lpstr>
      <vt:lpstr>catfd_1_BHB_1</vt:lpstr>
      <vt:lpstr>catfd_1_BHV_12</vt:lpstr>
      <vt:lpstr>catfd_1_BHV_14</vt:lpstr>
      <vt:lpstr>catfd_1_BHV_19</vt:lpstr>
      <vt:lpstr>catfd_1_BHV_40</vt:lpstr>
      <vt:lpstr>catfd_1_BHV_51</vt:lpstr>
      <vt:lpstr>catfd_1_BZB_1</vt:lpstr>
      <vt:lpstr>catfd_1_BZV_40</vt:lpstr>
      <vt:lpstr>catfd_1_BZV_51</vt:lpstr>
      <vt:lpstr>catfd_1_DHB_1</vt:lpstr>
      <vt:lpstr>catfd_1_DHV_14</vt:lpstr>
      <vt:lpstr>catfd_1_DHV_18</vt:lpstr>
      <vt:lpstr>catfd_1_DHV_19</vt:lpstr>
      <vt:lpstr>catfd_1_DHV_35</vt:lpstr>
      <vt:lpstr>catfd_1_DHV_40</vt:lpstr>
      <vt:lpstr>catfd_1_DHV_45</vt:lpstr>
      <vt:lpstr>catfd_1_DHV_51</vt:lpstr>
      <vt:lpstr>catfd_1_DHV_65</vt:lpstr>
      <vt:lpstr>catfd_1_EHB_1</vt:lpstr>
      <vt:lpstr>catfd_1_EHV_40</vt:lpstr>
      <vt:lpstr>catfd_1_EHV_45</vt:lpstr>
      <vt:lpstr>catfd_1_EHV_51</vt:lpstr>
      <vt:lpstr>catfd_1_EZB_1</vt:lpstr>
      <vt:lpstr>catfd_1_EZV_51</vt:lpstr>
      <vt:lpstr>catfd_1_FHB_1</vt:lpstr>
      <vt:lpstr>catfd_1_FHV_12</vt:lpstr>
      <vt:lpstr>catfd_1_GHB_1</vt:lpstr>
      <vt:lpstr>catfd_1_GHV_45</vt:lpstr>
      <vt:lpstr>catfd_1_GHV_51</vt:lpstr>
      <vt:lpstr>catfd_1_IHB_1</vt:lpstr>
      <vt:lpstr>catfd_1_IHV_45</vt:lpstr>
      <vt:lpstr>catfd_1_IHV_51</vt:lpstr>
      <vt:lpstr>catfd_1_KHB_1</vt:lpstr>
      <vt:lpstr>catfd_1_KHV_51</vt:lpstr>
      <vt:lpstr>catfd_1_LHB_1</vt:lpstr>
      <vt:lpstr>catfd_1_LHV_51</vt:lpstr>
      <vt:lpstr>catfd_1_OHB_1</vt:lpstr>
      <vt:lpstr>catfd_1_OHV_51</vt:lpstr>
      <vt:lpstr>catfd_1_OZB_1</vt:lpstr>
      <vt:lpstr>catfd_1_OZV_40</vt:lpstr>
      <vt:lpstr>catfd_1_OZV_51</vt:lpstr>
      <vt:lpstr>catfd_1_PHB_1</vt:lpstr>
      <vt:lpstr>catfd_1_PHV_51</vt:lpstr>
      <vt:lpstr>catfd_1_RHB_1</vt:lpstr>
      <vt:lpstr>catfd_1_RHV_51</vt:lpstr>
      <vt:lpstr>catfd_1_SHB_1</vt:lpstr>
      <vt:lpstr>catfd_1_SHV_14</vt:lpstr>
      <vt:lpstr>catfd_1_SHV_17</vt:lpstr>
      <vt:lpstr>catfd_1_SHV_18</vt:lpstr>
      <vt:lpstr>catfd_1_SHV_19</vt:lpstr>
      <vt:lpstr>catfd_1_SHV_35</vt:lpstr>
      <vt:lpstr>catfd_1_SHV_38</vt:lpstr>
      <vt:lpstr>catfd_1_SHV_40</vt:lpstr>
      <vt:lpstr>catfd_1_SHV_45</vt:lpstr>
      <vt:lpstr>catfd_1_SHV_51</vt:lpstr>
      <vt:lpstr>catfd_1_SHV_65</vt:lpstr>
      <vt:lpstr>catfd_1_SHV_85</vt:lpstr>
      <vt:lpstr>catfd_1_THB_1</vt:lpstr>
      <vt:lpstr>catfd_1_THV_40</vt:lpstr>
      <vt:lpstr>catfd_1_THV_51</vt:lpstr>
      <vt:lpstr>catfd_1_TZB_1</vt:lpstr>
      <vt:lpstr>catfd_1_TZV_51</vt:lpstr>
      <vt:lpstr>catfd_1_VHB_1</vt:lpstr>
      <vt:lpstr>catfd_1_VHV_17</vt:lpstr>
      <vt:lpstr>catfd_1_VHV_40</vt:lpstr>
      <vt:lpstr>catfd_1_VHV_45</vt:lpstr>
      <vt:lpstr>catfd_1_VHV_51</vt:lpstr>
      <vt:lpstr>catfd_1_VHV_85</vt:lpstr>
      <vt:lpstr>catfd_1_VZB_1</vt:lpstr>
      <vt:lpstr>catfd_1_VZV_40</vt:lpstr>
      <vt:lpstr>catfd_1_VZV_45</vt:lpstr>
      <vt:lpstr>catfd_1_VZV_51</vt:lpstr>
      <vt:lpstr>catfd_1_WHB_1</vt:lpstr>
      <vt:lpstr>catfd_1_WHV_14</vt:lpstr>
      <vt:lpstr>catfd_1_WHV_19</vt:lpstr>
      <vt:lpstr>catfd_1_WHV_51</vt:lpstr>
      <vt:lpstr>catfd_1_WZB_1</vt:lpstr>
      <vt:lpstr>catfd_1_WZV_51</vt:lpstr>
      <vt:lpstr>catfd_1_XMBB_1</vt:lpstr>
      <vt:lpstr>catfd_1_XSPB_1</vt:lpstr>
      <vt:lpstr>catfd_3_VBZB_1</vt:lpstr>
      <vt:lpstr>catfd_3_VBZV_12</vt:lpstr>
      <vt:lpstr>catfd_3_VDHB_1</vt:lpstr>
      <vt:lpstr>catfd_3_VDHV_12</vt:lpstr>
      <vt:lpstr>catfd_3_VEHB_1</vt:lpstr>
      <vt:lpstr>catfd_3_VEHV_12</vt:lpstr>
      <vt:lpstr>catfd_3_VOZB_1</vt:lpstr>
      <vt:lpstr>catfd_3_VOZV_12</vt:lpstr>
      <vt:lpstr>catfd_3_VSHB_1</vt:lpstr>
      <vt:lpstr>catfd_3_VSHV_12</vt:lpstr>
      <vt:lpstr>catfd_3_VTHB_1</vt:lpstr>
      <vt:lpstr>catfd_3_VTHV_12</vt:lpstr>
      <vt:lpstr>catfd_3_VVHB_1</vt:lpstr>
      <vt:lpstr>catfd_3_VVHV_12</vt:lpstr>
      <vt:lpstr>catfd_3_VVZB_1</vt:lpstr>
      <vt:lpstr>catfd_3_VVZV_12</vt:lpstr>
      <vt:lpstr>catfd_4_WDHB_1</vt:lpstr>
      <vt:lpstr>catfd_4_WEHB_1</vt:lpstr>
      <vt:lpstr>catfd_4_WOZB_1</vt:lpstr>
      <vt:lpstr>catfd_4_WSHB_1</vt:lpstr>
      <vt:lpstr>catfd_4_WVHB_1</vt:lpstr>
      <vt:lpstr>catfd_4_WVZB_1</vt:lpstr>
      <vt:lpstr>catpn_1_AHB_1</vt:lpstr>
      <vt:lpstr>catpn_1_AHV_12</vt:lpstr>
      <vt:lpstr>catpn_1_AHV_14</vt:lpstr>
      <vt:lpstr>catpn_1_AHV_19</vt:lpstr>
      <vt:lpstr>catpn_1_AHV_51</vt:lpstr>
      <vt:lpstr>catpn_1_AZB_1</vt:lpstr>
      <vt:lpstr>catpn_1_AZV_12</vt:lpstr>
      <vt:lpstr>catpn_1_BHB_1</vt:lpstr>
      <vt:lpstr>catpn_1_BHV_12</vt:lpstr>
      <vt:lpstr>catpn_1_BHV_14</vt:lpstr>
      <vt:lpstr>catpn_1_BHV_19</vt:lpstr>
      <vt:lpstr>catpn_1_BHV_40</vt:lpstr>
      <vt:lpstr>catpn_1_BHV_51</vt:lpstr>
      <vt:lpstr>catpn_1_BZB_1</vt:lpstr>
      <vt:lpstr>catpn_1_BZV_40</vt:lpstr>
      <vt:lpstr>catpn_1_BZV_51</vt:lpstr>
      <vt:lpstr>catpn_1_DHB_1</vt:lpstr>
      <vt:lpstr>catpn_1_DHV_14</vt:lpstr>
      <vt:lpstr>catpn_1_DHV_18</vt:lpstr>
      <vt:lpstr>catpn_1_DHV_19</vt:lpstr>
      <vt:lpstr>catpn_1_DHV_35</vt:lpstr>
      <vt:lpstr>catpn_1_DHV_40</vt:lpstr>
      <vt:lpstr>catpn_1_DHV_45</vt:lpstr>
      <vt:lpstr>catpn_1_DHV_51</vt:lpstr>
      <vt:lpstr>catpn_1_DHV_65</vt:lpstr>
      <vt:lpstr>catpn_1_EHB_1</vt:lpstr>
      <vt:lpstr>catpn_1_EHV_40</vt:lpstr>
      <vt:lpstr>catpn_1_EHV_45</vt:lpstr>
      <vt:lpstr>catpn_1_EHV_51</vt:lpstr>
      <vt:lpstr>catpn_1_EZB_1</vt:lpstr>
      <vt:lpstr>catpn_1_EZV_51</vt:lpstr>
      <vt:lpstr>catpn_1_FHB_1</vt:lpstr>
      <vt:lpstr>catpn_1_FHV_12</vt:lpstr>
      <vt:lpstr>catpn_1_GHB_1</vt:lpstr>
      <vt:lpstr>catpn_1_GHV_45</vt:lpstr>
      <vt:lpstr>catpn_1_GHV_51</vt:lpstr>
      <vt:lpstr>catpn_1_IHB_1</vt:lpstr>
      <vt:lpstr>catpn_1_IHV_45</vt:lpstr>
      <vt:lpstr>catpn_1_IHV_51</vt:lpstr>
      <vt:lpstr>catpn_1_KHB_1</vt:lpstr>
      <vt:lpstr>catpn_1_KHV_51</vt:lpstr>
      <vt:lpstr>catpn_1_LHB_1</vt:lpstr>
      <vt:lpstr>catpn_1_LHV_51</vt:lpstr>
      <vt:lpstr>catpn_1_OHB_1</vt:lpstr>
      <vt:lpstr>catpn_1_OHV_51</vt:lpstr>
      <vt:lpstr>catpn_1_OZB_1</vt:lpstr>
      <vt:lpstr>catpn_1_OZV_40</vt:lpstr>
      <vt:lpstr>catpn_1_OZV_51</vt:lpstr>
      <vt:lpstr>catpn_1_PHB_1</vt:lpstr>
      <vt:lpstr>catpn_1_PHV_51</vt:lpstr>
      <vt:lpstr>catpn_1_RHB_1</vt:lpstr>
      <vt:lpstr>catpn_1_RHV_51</vt:lpstr>
      <vt:lpstr>catpn_1_SHB_1</vt:lpstr>
      <vt:lpstr>catpn_1_SHV_14</vt:lpstr>
      <vt:lpstr>catpn_1_SHV_17</vt:lpstr>
      <vt:lpstr>catpn_1_SHV_18</vt:lpstr>
      <vt:lpstr>catpn_1_SHV_19</vt:lpstr>
      <vt:lpstr>catpn_1_SHV_35</vt:lpstr>
      <vt:lpstr>catpn_1_SHV_38</vt:lpstr>
      <vt:lpstr>catpn_1_SHV_40</vt:lpstr>
      <vt:lpstr>catpn_1_SHV_45</vt:lpstr>
      <vt:lpstr>catpn_1_SHV_51</vt:lpstr>
      <vt:lpstr>catpn_1_SHV_65</vt:lpstr>
      <vt:lpstr>catpn_1_SHV_85</vt:lpstr>
      <vt:lpstr>catpn_1_THB_1</vt:lpstr>
      <vt:lpstr>catpn_1_THV_40</vt:lpstr>
      <vt:lpstr>catpn_1_THV_51</vt:lpstr>
      <vt:lpstr>catpn_1_TZB_1</vt:lpstr>
      <vt:lpstr>catpn_1_TZV_51</vt:lpstr>
      <vt:lpstr>catpn_1_VHB_1</vt:lpstr>
      <vt:lpstr>catpn_1_VHV_17</vt:lpstr>
      <vt:lpstr>catpn_1_VHV_40</vt:lpstr>
      <vt:lpstr>catpn_1_VHV_45</vt:lpstr>
      <vt:lpstr>catpn_1_VHV_51</vt:lpstr>
      <vt:lpstr>catpn_1_VHV_85</vt:lpstr>
      <vt:lpstr>catpn_1_VZB_1</vt:lpstr>
      <vt:lpstr>catpn_1_VZV_40</vt:lpstr>
      <vt:lpstr>catpn_1_VZV_45</vt:lpstr>
      <vt:lpstr>catpn_1_VZV_51</vt:lpstr>
      <vt:lpstr>catpn_1_WHB_1</vt:lpstr>
      <vt:lpstr>catpn_1_WHV_14</vt:lpstr>
      <vt:lpstr>catpn_1_WHV_19</vt:lpstr>
      <vt:lpstr>catpn_1_WHV_51</vt:lpstr>
      <vt:lpstr>catpn_1_WZB_1</vt:lpstr>
      <vt:lpstr>catpn_1_WZV_51</vt:lpstr>
      <vt:lpstr>catpn_1_XMBB_1</vt:lpstr>
      <vt:lpstr>catpn_1_XSPB_1</vt:lpstr>
      <vt:lpstr>catpn_3_VBZB_1</vt:lpstr>
      <vt:lpstr>catpn_3_VBZV_12</vt:lpstr>
      <vt:lpstr>catpn_3_VDHB_1</vt:lpstr>
      <vt:lpstr>catpn_3_VDHV_12</vt:lpstr>
      <vt:lpstr>catpn_3_VEHB_1</vt:lpstr>
      <vt:lpstr>catpn_3_VEHV_12</vt:lpstr>
      <vt:lpstr>catpn_3_VOZB_1</vt:lpstr>
      <vt:lpstr>catpn_3_VOZV_12</vt:lpstr>
      <vt:lpstr>catpn_3_VSHB_1</vt:lpstr>
      <vt:lpstr>catpn_3_VSHV_12</vt:lpstr>
      <vt:lpstr>catpn_3_VTHB_1</vt:lpstr>
      <vt:lpstr>catpn_3_VTHV_12</vt:lpstr>
      <vt:lpstr>catpn_3_VVHB_1</vt:lpstr>
      <vt:lpstr>catpn_3_VVHV_12</vt:lpstr>
      <vt:lpstr>catpn_3_VVZB_1</vt:lpstr>
      <vt:lpstr>catpn_3_VVZV_12</vt:lpstr>
      <vt:lpstr>catpn_4_WDHB_1</vt:lpstr>
      <vt:lpstr>catpn_4_WEHB_1</vt:lpstr>
      <vt:lpstr>catpn_4_WOZB_1</vt:lpstr>
      <vt:lpstr>catpn_4_WSHB_1</vt:lpstr>
      <vt:lpstr>catpn_4_WVHB_1</vt:lpstr>
      <vt:lpstr>catpn_4_WVZB_1</vt:lpstr>
      <vt:lpstr>cattf_1_AHB_1</vt:lpstr>
      <vt:lpstr>cattf_1_AHV_12</vt:lpstr>
      <vt:lpstr>cattf_1_AHV_14</vt:lpstr>
      <vt:lpstr>cattf_1_AHV_19</vt:lpstr>
      <vt:lpstr>cattf_1_AHV_51</vt:lpstr>
      <vt:lpstr>cattf_1_AZB_1</vt:lpstr>
      <vt:lpstr>cattf_1_AZV_12</vt:lpstr>
      <vt:lpstr>cattf_1_BHB_1</vt:lpstr>
      <vt:lpstr>cattf_1_BHV_12</vt:lpstr>
      <vt:lpstr>cattf_1_BHV_14</vt:lpstr>
      <vt:lpstr>cattf_1_BHV_19</vt:lpstr>
      <vt:lpstr>cattf_1_BHV_40</vt:lpstr>
      <vt:lpstr>cattf_1_BHV_51</vt:lpstr>
      <vt:lpstr>cattf_1_BZB_1</vt:lpstr>
      <vt:lpstr>cattf_1_BZV_40</vt:lpstr>
      <vt:lpstr>cattf_1_BZV_51</vt:lpstr>
      <vt:lpstr>cattf_1_DHB_1</vt:lpstr>
      <vt:lpstr>cattf_1_DHV_14</vt:lpstr>
      <vt:lpstr>cattf_1_DHV_18</vt:lpstr>
      <vt:lpstr>cattf_1_DHV_19</vt:lpstr>
      <vt:lpstr>cattf_1_DHV_35</vt:lpstr>
      <vt:lpstr>cattf_1_DHV_40</vt:lpstr>
      <vt:lpstr>cattf_1_DHV_45</vt:lpstr>
      <vt:lpstr>cattf_1_DHV_51</vt:lpstr>
      <vt:lpstr>cattf_1_DHV_65</vt:lpstr>
      <vt:lpstr>cattf_1_EHB_1</vt:lpstr>
      <vt:lpstr>cattf_1_EHV_40</vt:lpstr>
      <vt:lpstr>cattf_1_EHV_45</vt:lpstr>
      <vt:lpstr>cattf_1_EHV_51</vt:lpstr>
      <vt:lpstr>cattf_1_EZB_1</vt:lpstr>
      <vt:lpstr>cattf_1_EZV_51</vt:lpstr>
      <vt:lpstr>cattf_1_FHB_1</vt:lpstr>
      <vt:lpstr>cattf_1_FHV_12</vt:lpstr>
      <vt:lpstr>cattf_1_GHB_1</vt:lpstr>
      <vt:lpstr>cattf_1_GHV_45</vt:lpstr>
      <vt:lpstr>cattf_1_GHV_51</vt:lpstr>
      <vt:lpstr>cattf_1_IHB_1</vt:lpstr>
      <vt:lpstr>cattf_1_IHV_45</vt:lpstr>
      <vt:lpstr>cattf_1_IHV_51</vt:lpstr>
      <vt:lpstr>cattf_1_KHB_1</vt:lpstr>
      <vt:lpstr>cattf_1_KHV_51</vt:lpstr>
      <vt:lpstr>cattf_1_LHB_1</vt:lpstr>
      <vt:lpstr>cattf_1_LHV_51</vt:lpstr>
      <vt:lpstr>cattf_1_OHB_1</vt:lpstr>
      <vt:lpstr>cattf_1_OHV_51</vt:lpstr>
      <vt:lpstr>cattf_1_OZB_1</vt:lpstr>
      <vt:lpstr>cattf_1_OZV_40</vt:lpstr>
      <vt:lpstr>cattf_1_OZV_51</vt:lpstr>
      <vt:lpstr>cattf_1_PHB_1</vt:lpstr>
      <vt:lpstr>cattf_1_PHV_51</vt:lpstr>
      <vt:lpstr>cattf_1_RHB_1</vt:lpstr>
      <vt:lpstr>cattf_1_RHV_51</vt:lpstr>
      <vt:lpstr>cattf_1_SHB_1</vt:lpstr>
      <vt:lpstr>cattf_1_SHV_14</vt:lpstr>
      <vt:lpstr>cattf_1_SHV_17</vt:lpstr>
      <vt:lpstr>cattf_1_SHV_18</vt:lpstr>
      <vt:lpstr>cattf_1_SHV_19</vt:lpstr>
      <vt:lpstr>cattf_1_SHV_35</vt:lpstr>
      <vt:lpstr>cattf_1_SHV_38</vt:lpstr>
      <vt:lpstr>cattf_1_SHV_40</vt:lpstr>
      <vt:lpstr>cattf_1_SHV_45</vt:lpstr>
      <vt:lpstr>cattf_1_SHV_51</vt:lpstr>
      <vt:lpstr>cattf_1_SHV_65</vt:lpstr>
      <vt:lpstr>cattf_1_SHV_85</vt:lpstr>
      <vt:lpstr>cattf_1_THB_1</vt:lpstr>
      <vt:lpstr>cattf_1_THV_40</vt:lpstr>
      <vt:lpstr>cattf_1_THV_51</vt:lpstr>
      <vt:lpstr>cattf_1_TZB_1</vt:lpstr>
      <vt:lpstr>cattf_1_TZV_51</vt:lpstr>
      <vt:lpstr>cattf_1_VHB_1</vt:lpstr>
      <vt:lpstr>cattf_1_VHV_17</vt:lpstr>
      <vt:lpstr>cattf_1_VHV_40</vt:lpstr>
      <vt:lpstr>cattf_1_VHV_45</vt:lpstr>
      <vt:lpstr>cattf_1_VHV_51</vt:lpstr>
      <vt:lpstr>cattf_1_VHV_85</vt:lpstr>
      <vt:lpstr>cattf_1_VZB_1</vt:lpstr>
      <vt:lpstr>cattf_1_VZV_40</vt:lpstr>
      <vt:lpstr>cattf_1_VZV_45</vt:lpstr>
      <vt:lpstr>cattf_1_VZV_51</vt:lpstr>
      <vt:lpstr>cattf_1_WHB_1</vt:lpstr>
      <vt:lpstr>cattf_1_WHV_14</vt:lpstr>
      <vt:lpstr>cattf_1_WHV_19</vt:lpstr>
      <vt:lpstr>cattf_1_WHV_51</vt:lpstr>
      <vt:lpstr>cattf_1_WZB_1</vt:lpstr>
      <vt:lpstr>cattf_1_WZV_51</vt:lpstr>
      <vt:lpstr>cattf_1_XMBB_1</vt:lpstr>
      <vt:lpstr>cattf_1_XSPB_1</vt:lpstr>
      <vt:lpstr>cattf_3_VBZB_1</vt:lpstr>
      <vt:lpstr>cattf_3_VBZV_12</vt:lpstr>
      <vt:lpstr>cattf_3_VDHB_1</vt:lpstr>
      <vt:lpstr>cattf_3_VDHV_12</vt:lpstr>
      <vt:lpstr>cattf_3_VEHB_1</vt:lpstr>
      <vt:lpstr>cattf_3_VEHV_12</vt:lpstr>
      <vt:lpstr>cattf_3_VOZB_1</vt:lpstr>
      <vt:lpstr>cattf_3_VOZV_12</vt:lpstr>
      <vt:lpstr>cattf_3_VSHB_1</vt:lpstr>
      <vt:lpstr>cattf_3_VSHV_12</vt:lpstr>
      <vt:lpstr>cattf_3_VTHB_1</vt:lpstr>
      <vt:lpstr>cattf_3_VTHV_12</vt:lpstr>
      <vt:lpstr>cattf_3_VVHB_1</vt:lpstr>
      <vt:lpstr>cattf_3_VVHV_12</vt:lpstr>
      <vt:lpstr>cattf_3_VVZB_1</vt:lpstr>
      <vt:lpstr>cattf_3_VVZV_12</vt:lpstr>
      <vt:lpstr>cattf_4_WDHB_1</vt:lpstr>
      <vt:lpstr>cattf_4_WEHB_1</vt:lpstr>
      <vt:lpstr>cattf_4_WOZB_1</vt:lpstr>
      <vt:lpstr>cattf_4_WSHB_1</vt:lpstr>
      <vt:lpstr>cattf_4_WVHB_1</vt:lpstr>
      <vt:lpstr>cattf_4_WVZB_1</vt:lpstr>
      <vt:lpstr>dagenperjaar1</vt:lpstr>
      <vt:lpstr>dagenperweek1</vt:lpstr>
      <vt:lpstr>dagsoorttabel1</vt:lpstr>
      <vt:lpstr>dagwerk100</vt:lpstr>
      <vt:lpstr>dagwerk101</vt:lpstr>
      <vt:lpstr>dagwerk102</vt:lpstr>
      <vt:lpstr>dagwerk103</vt:lpstr>
      <vt:lpstr>dagwerk104</vt:lpstr>
      <vt:lpstr>dagwerk105</vt:lpstr>
      <vt:lpstr>dagwerk106</vt:lpstr>
      <vt:lpstr>dagwerk107</vt:lpstr>
      <vt:lpstr>dagwerk108</vt:lpstr>
      <vt:lpstr>dagwerk109</vt:lpstr>
      <vt:lpstr>dagwerk110</vt:lpstr>
      <vt:lpstr>dagwerk111</vt:lpstr>
      <vt:lpstr>dagwerk112</vt:lpstr>
      <vt:lpstr>dagwerk113</vt:lpstr>
      <vt:lpstr>dagwerk114</vt:lpstr>
      <vt:lpstr>dagwerk115</vt:lpstr>
      <vt:lpstr>dagwerk116</vt:lpstr>
      <vt:lpstr>dagwerk117</vt:lpstr>
      <vt:lpstr>dagwerk118</vt:lpstr>
      <vt:lpstr>dagwerk119</vt:lpstr>
      <vt:lpstr>dagwerk120</vt:lpstr>
      <vt:lpstr>dagwerk121</vt:lpstr>
      <vt:lpstr>dagwerk122</vt:lpstr>
      <vt:lpstr>dagwerk123</vt:lpstr>
      <vt:lpstr>dagwerk125</vt:lpstr>
      <vt:lpstr>dagwerk126</vt:lpstr>
      <vt:lpstr>dagwerk127</vt:lpstr>
      <vt:lpstr>dagwerk128</vt:lpstr>
      <vt:lpstr>dagwerk129</vt:lpstr>
      <vt:lpstr>dagwerk130</vt:lpstr>
      <vt:lpstr>dagwerk131</vt:lpstr>
      <vt:lpstr>dagwerk132</vt:lpstr>
      <vt:lpstr>dagwerk135</vt:lpstr>
      <vt:lpstr>dagwerk136</vt:lpstr>
      <vt:lpstr>dagwerk137</vt:lpstr>
      <vt:lpstr>dagwerk138</vt:lpstr>
      <vt:lpstr>dagwerk139</vt:lpstr>
      <vt:lpstr>dagwerk140</vt:lpstr>
      <vt:lpstr>dagwerk141</vt:lpstr>
      <vt:lpstr>dagwerk142</vt:lpstr>
      <vt:lpstr>dagwerk143</vt:lpstr>
      <vt:lpstr>dagwerk144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dagwerk96</vt:lpstr>
      <vt:lpstr>dagwerk97</vt:lpstr>
      <vt:lpstr>dagwerk98</vt:lpstr>
      <vt:lpstr>dagwerk99</vt:lpstr>
      <vt:lpstr>dagwerktabel1</vt:lpstr>
      <vt:lpstr>dagwerktabel3</vt:lpstr>
      <vt:lpstr>dagwerktabel4</vt:lpstr>
      <vt:lpstr>gemuurtarief1</vt:lpstr>
      <vt:lpstr>gemuurtarief3</vt:lpstr>
      <vt:lpstr>gemuurtarief4</vt:lpstr>
      <vt:lpstr>kengetaltabel1</vt:lpstr>
      <vt:lpstr>kengetaltabel3</vt:lpstr>
      <vt:lpstr>kengetaltabel4</vt:lpstr>
      <vt:lpstr>object1_gemuurtarief1</vt:lpstr>
      <vt:lpstr>object1_opptabel1</vt:lpstr>
      <vt:lpstr>object1_opptabel3</vt:lpstr>
      <vt:lpstr>object1_opptabel4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object10_opptabel3</vt:lpstr>
      <vt:lpstr>object10_opptabel4</vt:lpstr>
      <vt:lpstr>object10_prijsdag1</vt:lpstr>
      <vt:lpstr>object10_prijsjaar1</vt:lpstr>
      <vt:lpstr>object10_urendag1</vt:lpstr>
      <vt:lpstr>object10_urendaghf1</vt:lpstr>
      <vt:lpstr>object10_urenjaar1</vt:lpstr>
      <vt:lpstr>object11_opptabel1</vt:lpstr>
      <vt:lpstr>object11_opptabel3</vt:lpstr>
      <vt:lpstr>object11_opptabel4</vt:lpstr>
      <vt:lpstr>object12_opptabel1</vt:lpstr>
      <vt:lpstr>object12_opptabel3</vt:lpstr>
      <vt:lpstr>object12_opptabel4</vt:lpstr>
      <vt:lpstr>object13_gemuurtarief1</vt:lpstr>
      <vt:lpstr>object13_opptabel1</vt:lpstr>
      <vt:lpstr>object13_opptabel3</vt:lpstr>
      <vt:lpstr>object13_opptabel4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object14_opptabel3</vt:lpstr>
      <vt:lpstr>object14_opptabel4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object15_opptabel3</vt:lpstr>
      <vt:lpstr>object15_opptabel4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object16_opptabel3</vt:lpstr>
      <vt:lpstr>object16_opptabel4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object17_opptabel3</vt:lpstr>
      <vt:lpstr>object17_opptabel4</vt:lpstr>
      <vt:lpstr>object17_prijsdag1</vt:lpstr>
      <vt:lpstr>object17_prijsjaar1</vt:lpstr>
      <vt:lpstr>object17_urendag1</vt:lpstr>
      <vt:lpstr>object17_urendaghf1</vt:lpstr>
      <vt:lpstr>object17_urenjaar1</vt:lpstr>
      <vt:lpstr>object2_gemuurtarief1</vt:lpstr>
      <vt:lpstr>object2_gemuurtarief4</vt:lpstr>
      <vt:lpstr>object2_opptabel1</vt:lpstr>
      <vt:lpstr>object2_opptabel3</vt:lpstr>
      <vt:lpstr>object2_opptabel4</vt:lpstr>
      <vt:lpstr>object2_prijsdag1</vt:lpstr>
      <vt:lpstr>object2_prijsdag4</vt:lpstr>
      <vt:lpstr>object2_prijsjaar1</vt:lpstr>
      <vt:lpstr>object2_prijsjaar4</vt:lpstr>
      <vt:lpstr>object2_urendag1</vt:lpstr>
      <vt:lpstr>object2_urendag4</vt:lpstr>
      <vt:lpstr>object2_urendaghf1</vt:lpstr>
      <vt:lpstr>object2_urendaghf4</vt:lpstr>
      <vt:lpstr>object2_urenjaar1</vt:lpstr>
      <vt:lpstr>object2_urenjaar4</vt:lpstr>
      <vt:lpstr>object3_gemuurtarief1</vt:lpstr>
      <vt:lpstr>object3_opptabel1</vt:lpstr>
      <vt:lpstr>object3_opptabel3</vt:lpstr>
      <vt:lpstr>object3_opptabel4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object4_opptabel3</vt:lpstr>
      <vt:lpstr>object4_opptabel4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object5_opptabel3</vt:lpstr>
      <vt:lpstr>object5_opptabel4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object6_gemuurtarief3</vt:lpstr>
      <vt:lpstr>object6_gemuurtarief4</vt:lpstr>
      <vt:lpstr>object6_opptabel1</vt:lpstr>
      <vt:lpstr>object6_opptabel3</vt:lpstr>
      <vt:lpstr>object6_opptabel4</vt:lpstr>
      <vt:lpstr>object6_prijsdag1</vt:lpstr>
      <vt:lpstr>object6_prijsdag3</vt:lpstr>
      <vt:lpstr>object6_prijsdag4</vt:lpstr>
      <vt:lpstr>object6_prijsjaar1</vt:lpstr>
      <vt:lpstr>object6_prijsjaar3</vt:lpstr>
      <vt:lpstr>object6_prijsjaar4</vt:lpstr>
      <vt:lpstr>object6_urendag1</vt:lpstr>
      <vt:lpstr>object6_urendag3</vt:lpstr>
      <vt:lpstr>object6_urendag4</vt:lpstr>
      <vt:lpstr>object6_urendaghf1</vt:lpstr>
      <vt:lpstr>object6_urendaghf3</vt:lpstr>
      <vt:lpstr>object6_urendaghf4</vt:lpstr>
      <vt:lpstr>object6_urenjaar1</vt:lpstr>
      <vt:lpstr>object6_urenjaar3</vt:lpstr>
      <vt:lpstr>object6_urenjaar4</vt:lpstr>
      <vt:lpstr>object7_gemuurtarief1</vt:lpstr>
      <vt:lpstr>object7_opptabel1</vt:lpstr>
      <vt:lpstr>object7_opptabel3</vt:lpstr>
      <vt:lpstr>object7_opptabel4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object8_opptabel3</vt:lpstr>
      <vt:lpstr>object8_opptabel4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object9_opptabel3</vt:lpstr>
      <vt:lpstr>object9_opptabel4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objectprijs13_1</vt:lpstr>
      <vt:lpstr>objectprijs14_1</vt:lpstr>
      <vt:lpstr>objectprijs15_1</vt:lpstr>
      <vt:lpstr>objectprijs16_1</vt:lpstr>
      <vt:lpstr>objectprijs17_1</vt:lpstr>
      <vt:lpstr>objectprijs2_1</vt:lpstr>
      <vt:lpstr>objectprijs2_4</vt:lpstr>
      <vt:lpstr>objectprijs3_1</vt:lpstr>
      <vt:lpstr>objectprijs4_1</vt:lpstr>
      <vt:lpstr>objectprijs5_1</vt:lpstr>
      <vt:lpstr>objectprijs6_1</vt:lpstr>
      <vt:lpstr>objectprijs6_3</vt:lpstr>
      <vt:lpstr>objectprijs6_4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objecturen13_1</vt:lpstr>
      <vt:lpstr>objecturen14_1</vt:lpstr>
      <vt:lpstr>objecturen15_1</vt:lpstr>
      <vt:lpstr>objecturen16_1</vt:lpstr>
      <vt:lpstr>objecturen17_1</vt:lpstr>
      <vt:lpstr>objecturen2_1</vt:lpstr>
      <vt:lpstr>objecturen2_4</vt:lpstr>
      <vt:lpstr>objecturen3_1</vt:lpstr>
      <vt:lpstr>objecturen4_1</vt:lpstr>
      <vt:lpstr>objecturen5_1</vt:lpstr>
      <vt:lpstr>objecturen6_1</vt:lpstr>
      <vt:lpstr>objecturen6_3</vt:lpstr>
      <vt:lpstr>objecturen6_4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objecturenhf13_1</vt:lpstr>
      <vt:lpstr>objecturenhf14_1</vt:lpstr>
      <vt:lpstr>objecturenhf15_1</vt:lpstr>
      <vt:lpstr>objecturenhf16_1</vt:lpstr>
      <vt:lpstr>objecturenhf17_1</vt:lpstr>
      <vt:lpstr>objecturenhf2_1</vt:lpstr>
      <vt:lpstr>objecturenhf2_4</vt:lpstr>
      <vt:lpstr>objecturenhf3_1</vt:lpstr>
      <vt:lpstr>objecturenhf4_1</vt:lpstr>
      <vt:lpstr>objecturenhf5_1</vt:lpstr>
      <vt:lpstr>objecturenhf6_1</vt:lpstr>
      <vt:lpstr>objecturenhf6_3</vt:lpstr>
      <vt:lpstr>objecturenhf6_4</vt:lpstr>
      <vt:lpstr>objecturenhf7_1</vt:lpstr>
      <vt:lpstr>objecturenhf8_1</vt:lpstr>
      <vt:lpstr>objecturenhf9_1</vt:lpstr>
      <vt:lpstr>prijsdag1</vt:lpstr>
      <vt:lpstr>prijsdag3</vt:lpstr>
      <vt:lpstr>prijsdag4</vt:lpstr>
      <vt:lpstr>prijsjaar</vt:lpstr>
      <vt:lpstr>prijsjaar1</vt:lpstr>
      <vt:lpstr>prijsjaar3</vt:lpstr>
      <vt:lpstr>prijsjaar4</vt:lpstr>
      <vt:lpstr>prijsjaarafroep</vt:lpstr>
      <vt:lpstr>prijsjaarafroep1</vt:lpstr>
      <vt:lpstr>prijsjaarafroep4</vt:lpstr>
      <vt:lpstr>prijsjaarglas</vt:lpstr>
      <vt:lpstr>prijsjaarglas1</vt:lpstr>
      <vt:lpstr>prijsjaarnietmeewerkend</vt:lpstr>
      <vt:lpstr>prijsjaarregie</vt:lpstr>
      <vt:lpstr>prijsjaarregie1</vt:lpstr>
      <vt:lpstr>prijsjaarregie4</vt:lpstr>
      <vt:lpstr>prijsjaartotaal</vt:lpstr>
      <vt:lpstr>prijsjaartotaal1</vt:lpstr>
      <vt:lpstr>prijsjaartotaal3</vt:lpstr>
      <vt:lpstr>prijsjaartotaal4</vt:lpstr>
      <vt:lpstr>prijsjaartotaaloverzicht</vt:lpstr>
      <vt:lpstr>prijsmaandtotaal1</vt:lpstr>
      <vt:lpstr>prijsmaandtotaal3</vt:lpstr>
      <vt:lpstr>prijsmaandtotaal4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prodnorm118</vt:lpstr>
      <vt:lpstr>prodnorm119</vt:lpstr>
      <vt:lpstr>prodnorm120</vt:lpstr>
      <vt:lpstr>prodnorm121</vt:lpstr>
      <vt:lpstr>prodnorm122</vt:lpstr>
      <vt:lpstr>prodnorm123</vt:lpstr>
      <vt:lpstr>prodnorm125</vt:lpstr>
      <vt:lpstr>prodnorm126</vt:lpstr>
      <vt:lpstr>prodnorm127</vt:lpstr>
      <vt:lpstr>prodnorm128</vt:lpstr>
      <vt:lpstr>prodnorm129</vt:lpstr>
      <vt:lpstr>prodnorm130</vt:lpstr>
      <vt:lpstr>prodnorm131</vt:lpstr>
      <vt:lpstr>prodnorm132</vt:lpstr>
      <vt:lpstr>prodnorm135</vt:lpstr>
      <vt:lpstr>prodnorm136</vt:lpstr>
      <vt:lpstr>prodnorm137</vt:lpstr>
      <vt:lpstr>prodnorm138</vt:lpstr>
      <vt:lpstr>prodnorm139</vt:lpstr>
      <vt:lpstr>prodnorm140</vt:lpstr>
      <vt:lpstr>prodnorm141</vt:lpstr>
      <vt:lpstr>prodnorm142</vt:lpstr>
      <vt:lpstr>prodnorm143</vt:lpstr>
      <vt:lpstr>prodnorm144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taakfreqtabel3</vt:lpstr>
      <vt:lpstr>taakfreqtabel4</vt:lpstr>
      <vt:lpstr>tabeltype</vt:lpstr>
      <vt:lpstr>tarieftabel1</vt:lpstr>
      <vt:lpstr>tarieftabel3</vt:lpstr>
      <vt:lpstr>tarieftabel4</vt:lpstr>
      <vt:lpstr>tzpjt1</vt:lpstr>
      <vt:lpstr>tzpjt1_1</vt:lpstr>
      <vt:lpstr>tzpjt10_1</vt:lpstr>
      <vt:lpstr>tzpjt11_1</vt:lpstr>
      <vt:lpstr>tzpjt13_1</vt:lpstr>
      <vt:lpstr>tzpjt14_1</vt:lpstr>
      <vt:lpstr>tzpjt15_1</vt:lpstr>
      <vt:lpstr>tzpjt16_1</vt:lpstr>
      <vt:lpstr>tzpjt17_1</vt:lpstr>
      <vt:lpstr>tzpjt2_1</vt:lpstr>
      <vt:lpstr>tzpjt2_4</vt:lpstr>
      <vt:lpstr>tzpjt3</vt:lpstr>
      <vt:lpstr>tzpjt3_1</vt:lpstr>
      <vt:lpstr>tzpjt4</vt:lpstr>
      <vt:lpstr>tzpjt4_1</vt:lpstr>
      <vt:lpstr>tzpjt5_1</vt:lpstr>
      <vt:lpstr>tzpjt6_1</vt:lpstr>
      <vt:lpstr>tzpjt6_3</vt:lpstr>
      <vt:lpstr>tzpjt6_4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tzpmt13_1</vt:lpstr>
      <vt:lpstr>tzpmt14_1</vt:lpstr>
      <vt:lpstr>tzpmt15_1</vt:lpstr>
      <vt:lpstr>tzpmt16_1</vt:lpstr>
      <vt:lpstr>tzpmt17_1</vt:lpstr>
      <vt:lpstr>tzpmt2_1</vt:lpstr>
      <vt:lpstr>tzpmt2_4</vt:lpstr>
      <vt:lpstr>tzpmt3</vt:lpstr>
      <vt:lpstr>tzpmt3_1</vt:lpstr>
      <vt:lpstr>tzpmt4</vt:lpstr>
      <vt:lpstr>tzpmt4_1</vt:lpstr>
      <vt:lpstr>tzpmt5_1</vt:lpstr>
      <vt:lpstr>tzpmt6_1</vt:lpstr>
      <vt:lpstr>tzpmt6_3</vt:lpstr>
      <vt:lpstr>tzpmt6_4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tzujt13_1</vt:lpstr>
      <vt:lpstr>tzujt14_1</vt:lpstr>
      <vt:lpstr>tzujt15_1</vt:lpstr>
      <vt:lpstr>tzujt16_1</vt:lpstr>
      <vt:lpstr>tzujt17_1</vt:lpstr>
      <vt:lpstr>tzujt2_1</vt:lpstr>
      <vt:lpstr>tzujt2_4</vt:lpstr>
      <vt:lpstr>tzujt3</vt:lpstr>
      <vt:lpstr>tzujt3_1</vt:lpstr>
      <vt:lpstr>tzujt4</vt:lpstr>
      <vt:lpstr>tzujt4_1</vt:lpstr>
      <vt:lpstr>tzujt5_1</vt:lpstr>
      <vt:lpstr>tzujt6_1</vt:lpstr>
      <vt:lpstr>tzujt6_3</vt:lpstr>
      <vt:lpstr>tzujt6_4</vt:lpstr>
      <vt:lpstr>tzujt7_1</vt:lpstr>
      <vt:lpstr>tzujt8_1</vt:lpstr>
      <vt:lpstr>tzujt9_1</vt:lpstr>
      <vt:lpstr>urendag1</vt:lpstr>
      <vt:lpstr>urendag3</vt:lpstr>
      <vt:lpstr>urendag4</vt:lpstr>
      <vt:lpstr>urenjaar</vt:lpstr>
      <vt:lpstr>urenjaar1</vt:lpstr>
      <vt:lpstr>urenjaar3</vt:lpstr>
      <vt:lpstr>urenjaar4</vt:lpstr>
      <vt:lpstr>urenjaarnietmeewerkend</vt:lpstr>
      <vt:lpstr>urenjaartotaal</vt:lpstr>
      <vt:lpstr>urenjaartotaal1</vt:lpstr>
      <vt:lpstr>urenjaartotaal3</vt:lpstr>
      <vt:lpstr>urenjaartotaal4</vt:lpstr>
      <vt:lpstr>urenjaartotaalhf</vt:lpstr>
      <vt:lpstr>urenjaartotaalhf1</vt:lpstr>
      <vt:lpstr>urenjaartotaalhf3</vt:lpstr>
      <vt:lpstr>urenjaartotaalhf4</vt:lpstr>
      <vt:lpstr>urenjaartotaaloverzicht</vt:lpstr>
      <vt:lpstr>urenjaartotaaloverzichthf</vt:lpstr>
      <vt:lpstr>uurfactortabel1</vt:lpstr>
      <vt:lpstr>uurfactortabel3</vt:lpstr>
      <vt:lpstr>uurfactortabel4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uurtarief118</vt:lpstr>
      <vt:lpstr>uurtarief119</vt:lpstr>
      <vt:lpstr>uurtarief120</vt:lpstr>
      <vt:lpstr>uurtarief121</vt:lpstr>
      <vt:lpstr>uurtarief122</vt:lpstr>
      <vt:lpstr>uurtarief123</vt:lpstr>
      <vt:lpstr>uurtarief125</vt:lpstr>
      <vt:lpstr>uurtarief126</vt:lpstr>
      <vt:lpstr>uurtarief127</vt:lpstr>
      <vt:lpstr>uurtarief128</vt:lpstr>
      <vt:lpstr>uurtarief129</vt:lpstr>
      <vt:lpstr>uurtarief130</vt:lpstr>
      <vt:lpstr>uurtarief131</vt:lpstr>
      <vt:lpstr>uurtarief132</vt:lpstr>
      <vt:lpstr>uurtarief135</vt:lpstr>
      <vt:lpstr>uurtarief136</vt:lpstr>
      <vt:lpstr>uurtarief137</vt:lpstr>
      <vt:lpstr>uurtarief138</vt:lpstr>
      <vt:lpstr>uurtarief139</vt:lpstr>
      <vt:lpstr>uurtarief140</vt:lpstr>
      <vt:lpstr>uurtarief141</vt:lpstr>
      <vt:lpstr>uurtarief142</vt:lpstr>
      <vt:lpstr>uurtarief143</vt:lpstr>
      <vt:lpstr>uurtarief144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2023-09-25T08:19:41Z</dcterms:created>
  <dcterms:modified xsi:type="dcterms:W3CDTF">2023-09-25T08:51:11Z</dcterms:modified>
</cp:coreProperties>
</file>