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D993FE6B-51EF-48CB-A389-E0FD943CD215}" xr6:coauthVersionLast="47" xr6:coauthVersionMax="47" xr10:uidLastSave="{00000000-0000-0000-0000-000000000000}"/>
  <bookViews>
    <workbookView xWindow="-28920" yWindow="-1875" windowWidth="29040" windowHeight="17640" xr2:uid="{15D7FC62-57DB-484C-A104-8839515390A3}"/>
  </bookViews>
  <sheets>
    <sheet name="Perceel 2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2" l="1"/>
  <c r="F21" i="2"/>
  <c r="G21" i="2" s="1"/>
  <c r="F20" i="2"/>
  <c r="G20" i="2" s="1"/>
  <c r="F19" i="2"/>
  <c r="G19" i="2" s="1"/>
  <c r="E16" i="2"/>
  <c r="G14" i="2"/>
  <c r="F14" i="2"/>
  <c r="D7" i="3" s="1"/>
  <c r="F7" i="3" s="1"/>
  <c r="G13" i="2"/>
  <c r="G12" i="2"/>
  <c r="F12" i="2"/>
  <c r="H43" i="1" l="1"/>
  <c r="H38" i="1"/>
  <c r="G38" i="1"/>
  <c r="H31" i="1"/>
  <c r="G31" i="1"/>
  <c r="P31" i="1" s="1"/>
  <c r="F31" i="1"/>
  <c r="O31" i="1" s="1"/>
  <c r="Q30" i="1"/>
  <c r="P30" i="1"/>
  <c r="O30" i="1"/>
  <c r="N30" i="1"/>
  <c r="M30" i="1"/>
  <c r="L30" i="1"/>
  <c r="K30" i="1"/>
  <c r="J30" i="1"/>
  <c r="I30" i="1"/>
  <c r="H30" i="1"/>
  <c r="Q27" i="1"/>
  <c r="P27" i="1"/>
  <c r="O27" i="1"/>
  <c r="N27" i="1"/>
  <c r="M27" i="1"/>
  <c r="L27" i="1"/>
  <c r="K27" i="1"/>
  <c r="J27" i="1"/>
  <c r="I27" i="1"/>
  <c r="R27" i="1" s="1"/>
  <c r="H27" i="1"/>
  <c r="G26" i="1"/>
  <c r="F26" i="1"/>
  <c r="I19" i="1"/>
  <c r="J19" i="1" s="1"/>
  <c r="H19" i="1"/>
  <c r="H32" i="1" s="1"/>
  <c r="Q14" i="1"/>
  <c r="I13" i="1"/>
  <c r="J13" i="1" s="1"/>
  <c r="K13" i="1" s="1"/>
  <c r="L13" i="1" s="1"/>
  <c r="M13" i="1" s="1"/>
  <c r="N13" i="1" s="1"/>
  <c r="O13" i="1" s="1"/>
  <c r="P13" i="1" s="1"/>
  <c r="Q13" i="1" s="1"/>
  <c r="L26" i="1" l="1"/>
  <c r="Q25" i="1"/>
  <c r="I25" i="1"/>
  <c r="K25" i="1"/>
  <c r="K26" i="1"/>
  <c r="R30" i="1"/>
  <c r="J31" i="1"/>
  <c r="J32" i="1"/>
  <c r="K19" i="1"/>
  <c r="I43" i="1"/>
  <c r="J43" i="1" s="1"/>
  <c r="K43" i="1" s="1"/>
  <c r="L43" i="1" s="1"/>
  <c r="M43" i="1" s="1"/>
  <c r="N43" i="1" s="1"/>
  <c r="O43" i="1" s="1"/>
  <c r="P43" i="1" s="1"/>
  <c r="Q43" i="1" s="1"/>
  <c r="J25" i="1"/>
  <c r="M26" i="1"/>
  <c r="I31" i="1"/>
  <c r="Q31" i="1"/>
  <c r="I38" i="1"/>
  <c r="J38" i="1" s="1"/>
  <c r="K38" i="1" s="1"/>
  <c r="L38" i="1" s="1"/>
  <c r="M38" i="1" s="1"/>
  <c r="N38" i="1" s="1"/>
  <c r="O38" i="1" s="1"/>
  <c r="P38" i="1" s="1"/>
  <c r="Q38" i="1" s="1"/>
  <c r="L25" i="1"/>
  <c r="O26" i="1"/>
  <c r="K31" i="1"/>
  <c r="M25" i="1"/>
  <c r="H26" i="1"/>
  <c r="P26" i="1"/>
  <c r="L31" i="1"/>
  <c r="I32" i="1"/>
  <c r="N26" i="1"/>
  <c r="N25" i="1"/>
  <c r="I26" i="1"/>
  <c r="Q26" i="1"/>
  <c r="M31" i="1"/>
  <c r="O25" i="1"/>
  <c r="J26" i="1"/>
  <c r="N31" i="1"/>
  <c r="H25" i="1"/>
  <c r="P25" i="1"/>
  <c r="R31" i="1" l="1"/>
  <c r="R25" i="1"/>
  <c r="R38" i="1"/>
  <c r="R43" i="1"/>
  <c r="K32" i="1"/>
  <c r="L19" i="1"/>
  <c r="R26" i="1"/>
  <c r="L32" i="1" l="1"/>
  <c r="M19" i="1"/>
  <c r="R28" i="1"/>
  <c r="M32" i="1" l="1"/>
  <c r="N19" i="1"/>
  <c r="O19" i="1" l="1"/>
  <c r="N32" i="1"/>
  <c r="P19" i="1" l="1"/>
  <c r="O32" i="1"/>
  <c r="Q19" i="1" l="1"/>
  <c r="Q32" i="1" s="1"/>
  <c r="R32" i="1" s="1"/>
  <c r="R33" i="1" s="1"/>
  <c r="R46" i="1" s="1"/>
  <c r="F9" i="2" s="1"/>
  <c r="C7" i="3" s="1"/>
  <c r="E7" i="3" s="1"/>
  <c r="F15" i="2" s="1"/>
  <c r="P32" i="1"/>
</calcChain>
</file>

<file path=xl/sharedStrings.xml><?xml version="1.0" encoding="utf-8"?>
<sst xmlns="http://schemas.openxmlformats.org/spreadsheetml/2006/main" count="153" uniqueCount="103">
  <si>
    <t>Europese Aanbesteding</t>
  </si>
  <si>
    <t xml:space="preserve">InformatieBeveiliging Producten &amp; Diensten </t>
  </si>
  <si>
    <t>Perceel 2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</si>
  <si>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</si>
  <si>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</si>
  <si>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</si>
  <si>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</si>
  <si>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</si>
  <si>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</si>
  <si>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</si>
  <si>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</si>
  <si>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2.1</t>
  </si>
  <si>
    <t>BeyondTrust corporation</t>
  </si>
  <si>
    <t>Life Cycle management</t>
  </si>
  <si>
    <t>Uitbreiding</t>
  </si>
  <si>
    <t>Onderhoud &amp; Support</t>
  </si>
  <si>
    <t>2.2</t>
  </si>
  <si>
    <t>Totaal</t>
  </si>
  <si>
    <t>Technical accountmanager</t>
  </si>
  <si>
    <t>Life Cycle Management / Uitbreiding / Onderhoud &amp; Support</t>
  </si>
  <si>
    <t>Aard /
grondslag</t>
  </si>
  <si>
    <t>Prijs per
eenheid</t>
  </si>
  <si>
    <t>Minimaal
Kortings-
percentage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</si>
  <si>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</si>
  <si>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</si>
  <si>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</si>
  <si>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</si>
  <si>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</si>
  <si>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</si>
  <si>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Technical Accountmanager</t>
  </si>
  <si>
    <t>Prijs
per jaar</t>
  </si>
  <si>
    <t>n.v.t.</t>
  </si>
  <si>
    <t>Ten behoeve van vergelijkingswaarde Peceel 2</t>
  </si>
  <si>
    <t>IBP&amp;D - BeyondTrust</t>
  </si>
  <si>
    <t>BPK-Grafiek</t>
  </si>
  <si>
    <t>Kenmerk: IUC23-026 Perceel 2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</si>
  <si>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</si>
  <si>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</si>
  <si>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</si>
  <si>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</si>
  <si>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</si>
  <si>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</si>
  <si>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</si>
  <si>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</si>
  <si>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</si>
  <si>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</si>
  <si>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</si>
  <si>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</si>
  <si>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</si>
  <si>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</si>
  <si>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</si>
  <si>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</si>
  <si>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</si>
  <si>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</si>
  <si>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</si>
  <si>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</si>
  <si>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</si>
  <si>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</si>
  <si>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</si>
  <si>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</si>
  <si>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</si>
  <si>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</si>
  <si>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</si>
  <si>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</si>
  <si>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</si>
  <si>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</si>
  <si>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</si>
  <si>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</si>
  <si>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</si>
  <si>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</si>
  <si>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</si>
  <si>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</si>
  <si>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</si>
  <si>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</si>
  <si>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</si>
  <si>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</si>
  <si>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</si>
  <si>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</si>
  <si>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</si>
  <si>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</si>
  <si>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</si>
  <si>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</si>
  <si>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</si>
  <si>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</si>
  <si>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</si>
  <si>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</si>
  <si>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</si>
  <si>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</si>
  <si>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</si>
  <si>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</si>
  <si>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</si>
  <si>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</si>
  <si>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</si>
  <si>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</si>
  <si>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2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</si>
  <si>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</si>
  <si>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</si>
  <si>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</si>
  <si>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BeyondInsight and Password Safe</t>
  </si>
  <si>
    <t>* voor de volledige omschrijving van de Installed Base wordt verwezen naar "Bijlage 6 - Installed Base"</t>
  </si>
  <si>
    <t>BeyondInsight and Password Safe incl. recht op Nieuwe Versies, Password Safe Per Asset</t>
  </si>
  <si>
    <t xml:space="preserve">Naam Inschrijver: </t>
  </si>
  <si>
    <t>BeyondInsight and Password virtual appliance geschikt voor Password Safe omgeving. BeyondTrust Appliance Series-UVM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</si>
</sst>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&quot;€&quot;\ #,##0.00"/>
    <numFmt numFmtId="168" formatCode="_(&quot;€&quot;* #,##0.00_);_(&quot;€&quot;* \(#,##0.00\);_(&quot;€&quot;* &quot;-&quot;??_);_(@_)"/>
    <numFmt numFmtId="169" formatCode="&quot;€&quot;#,##0.00_);\(&quot;€&quot;#,##0.00\)"/>
    <numFmt numFmtId="170" formatCode="0.0"/>
    <numFmt numFmtId="171" formatCode="_(* #,##0.00_);_(* \(#,##0.00\);_(* &quot;-&quot;??_);_(@_)"/>
    <numFmt numFmtId="172" formatCode="#,##0.0"/>
    <numFmt numFmtId="173" formatCode="0.000"/>
    <numFmt numFmtId="174" formatCode="_ &quot;€&quot;\ * #,##0_ ;_ &quot;€&quot;\ * \-#,##0_ ;_ &quot;€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168" fontId="37" fillId="0" borderId="0" applyFont="0" applyFill="0" applyBorder="0" applyAlignment="0" applyProtection="0"/>
  </cellStyleXfs>
  <cellXfs count="217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0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166" fontId="0" fillId="0" borderId="6" xfId="1" applyNumberFormat="1" applyFont="1" applyBorder="1" applyProtection="1">
      <protection hidden="1"/>
    </xf>
    <xf numFmtId="0" fontId="0" fillId="0" borderId="9" xfId="0" applyBorder="1" applyProtection="1">
      <protection hidden="1"/>
    </xf>
    <xf numFmtId="164" fontId="0" fillId="2" borderId="9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164" fontId="0" fillId="2" borderId="11" xfId="1" applyNumberFormat="1" applyFont="1" applyFill="1" applyBorder="1" applyAlignment="1" applyProtection="1">
      <alignment horizontal="center"/>
      <protection hidden="1"/>
    </xf>
    <xf numFmtId="165" fontId="0" fillId="2" borderId="12" xfId="0" applyNumberFormat="1" applyFill="1" applyBorder="1" applyAlignment="1" applyProtection="1">
      <alignment horizontal="center"/>
      <protection hidden="1"/>
    </xf>
    <xf numFmtId="165" fontId="0" fillId="2" borderId="13" xfId="0" applyNumberFormat="1" applyFill="1" applyBorder="1" applyAlignment="1" applyProtection="1">
      <alignment horizontal="right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5" xfId="1" applyNumberFormat="1" applyFont="1" applyFill="1" applyBorder="1" applyAlignment="1" applyProtection="1">
      <alignment horizontal="center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0" borderId="14" xfId="1" applyNumberFormat="1" applyFont="1" applyBorder="1" applyProtection="1">
      <protection hidden="1"/>
    </xf>
    <xf numFmtId="166" fontId="0" fillId="0" borderId="0" xfId="1" applyNumberFormat="1" applyFont="1" applyProtection="1">
      <protection hidden="1"/>
    </xf>
    <xf numFmtId="0" fontId="0" fillId="2" borderId="16" xfId="0" applyFill="1" applyBorder="1" applyAlignment="1" applyProtection="1">
      <alignment horizontal="left" vertical="top"/>
      <protection hidden="1"/>
    </xf>
    <xf numFmtId="0" fontId="0" fillId="2" borderId="9" xfId="0" applyFill="1" applyBorder="1" applyAlignment="1" applyProtection="1">
      <alignment horizontal="left" vertical="top"/>
      <protection hidden="1"/>
    </xf>
    <xf numFmtId="166" fontId="0" fillId="2" borderId="9" xfId="1" applyNumberFormat="1" applyFont="1" applyFill="1" applyBorder="1" applyAlignment="1" applyProtection="1">
      <alignment horizontal="left" vertical="center"/>
      <protection hidden="1"/>
    </xf>
    <xf numFmtId="165" fontId="0" fillId="2" borderId="16" xfId="0" applyNumberFormat="1" applyFill="1" applyBorder="1" applyAlignment="1" applyProtection="1">
      <alignment horizontal="center"/>
      <protection hidden="1"/>
    </xf>
    <xf numFmtId="165" fontId="0" fillId="2" borderId="10" xfId="0" applyNumberFormat="1" applyFill="1" applyBorder="1" applyAlignment="1" applyProtection="1">
      <alignment horizontal="right"/>
      <protection hidden="1"/>
    </xf>
    <xf numFmtId="166" fontId="0" fillId="2" borderId="18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Fill="1" applyBorder="1" applyAlignment="1" applyProtection="1">
      <alignment horizontal="center"/>
      <protection hidden="1"/>
    </xf>
    <xf numFmtId="164" fontId="0" fillId="2" borderId="19" xfId="1" applyNumberFormat="1" applyFont="1" applyFill="1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164" fontId="0" fillId="2" borderId="6" xfId="1" applyNumberFormat="1" applyFont="1" applyFill="1" applyBorder="1" applyAlignment="1" applyProtection="1">
      <alignment horizontal="left"/>
      <protection hidden="1"/>
    </xf>
    <xf numFmtId="164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0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Border="1" applyProtection="1">
      <protection hidden="1"/>
    </xf>
    <xf numFmtId="0" fontId="0" fillId="2" borderId="0" xfId="0" applyFill="1" applyProtection="1"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0" fillId="2" borderId="6" xfId="0" quotePrefix="1" applyNumberFormat="1" applyFill="1" applyBorder="1" applyAlignment="1" applyProtection="1">
      <alignment horizontal="right" vertical="top"/>
      <protection locked="0"/>
    </xf>
    <xf numFmtId="9" fontId="0" fillId="0" borderId="6" xfId="2" applyNumberFormat="1" applyFont="1" applyFill="1" applyBorder="1" applyAlignment="1" applyProtection="1">
      <alignment horizontal="righ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44" fontId="2" fillId="5" borderId="20" xfId="2" applyFont="1" applyFill="1" applyBorder="1" applyAlignment="1" applyProtection="1">
      <alignment horizontal="right" vertical="top" wrapText="1"/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2" fillId="3" borderId="16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0" xfId="0" applyFont="1" applyFill="1" applyBorder="1" applyAlignment="1" applyProtection="1">
      <alignment horizontal="center" wrapText="1"/>
      <protection hidden="1"/>
    </xf>
    <xf numFmtId="0" fontId="2" fillId="3" borderId="19" xfId="0" applyFont="1" applyFill="1" applyBorder="1" applyAlignment="1" applyProtection="1">
      <alignment horizontal="right" wrapText="1"/>
      <protection hidden="1"/>
    </xf>
    <xf numFmtId="0" fontId="2" fillId="3" borderId="19" xfId="0" applyFont="1" applyFill="1" applyBorder="1" applyAlignment="1" applyProtection="1">
      <alignment horizontal="center" wrapText="1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2" xfId="0" applyFill="1" applyBorder="1" applyProtection="1">
      <protection hidden="1"/>
    </xf>
    <xf numFmtId="167" fontId="0" fillId="4" borderId="6" xfId="3" applyNumberFormat="1" applyFont="1" applyFill="1" applyBorder="1" applyAlignment="1" applyProtection="1">
      <alignment horizontal="right" vertical="top"/>
      <protection locked="0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167" fontId="0" fillId="0" borderId="6" xfId="2" applyNumberFormat="1" applyFont="1" applyFill="1" applyBorder="1" applyAlignment="1" applyProtection="1">
      <alignment horizontal="right" vertical="top" wrapText="1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20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8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70" fontId="26" fillId="0" borderId="4" xfId="0" applyNumberFormat="1" applyFont="1" applyBorder="1" applyAlignment="1" applyProtection="1">
      <alignment horizontal="right" vertical="center"/>
      <protection hidden="1"/>
    </xf>
    <xf numFmtId="170" fontId="26" fillId="0" borderId="3" xfId="0" applyNumberFormat="1" applyFont="1" applyBorder="1" applyAlignment="1" applyProtection="1">
      <alignment horizontal="left" vertical="center"/>
      <protection hidden="1"/>
    </xf>
    <xf numFmtId="172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3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21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22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22" xfId="0" applyNumberFormat="1" applyFont="1" applyBorder="1" applyAlignment="1" applyProtection="1">
      <alignment horizontal="right" vertical="center"/>
      <protection hidden="1"/>
    </xf>
    <xf numFmtId="170" fontId="26" fillId="0" borderId="22" xfId="0" applyNumberFormat="1" applyFont="1" applyBorder="1" applyAlignment="1" applyProtection="1">
      <alignment horizontal="right" vertical="center"/>
      <protection hidden="1"/>
    </xf>
    <xf numFmtId="170" fontId="26" fillId="0" borderId="22" xfId="0" applyNumberFormat="1" applyFont="1" applyBorder="1" applyAlignment="1" applyProtection="1">
      <alignment horizontal="left" vertical="center"/>
      <protection hidden="1"/>
    </xf>
    <xf numFmtId="0" fontId="22" fillId="3" borderId="21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8" fontId="29" fillId="2" borderId="0" xfId="4" applyFont="1" applyFill="1" applyBorder="1" applyAlignment="1" applyProtection="1">
      <alignment horizontal="right" vertical="center" wrapText="1"/>
      <protection hidden="1"/>
    </xf>
    <xf numFmtId="170" fontId="29" fillId="2" borderId="0" xfId="0" applyNumberFormat="1" applyFont="1" applyFill="1" applyAlignment="1" applyProtection="1">
      <alignment horizontal="right" vertical="center" wrapText="1"/>
      <protection hidden="1"/>
    </xf>
    <xf numFmtId="173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9" fontId="32" fillId="2" borderId="0" xfId="4" applyNumberFormat="1" applyFont="1" applyFill="1" applyBorder="1" applyAlignment="1" applyProtection="1">
      <alignment horizontal="right" vertical="center"/>
      <protection locked="0"/>
    </xf>
    <xf numFmtId="170" fontId="32" fillId="2" borderId="0" xfId="0" applyNumberFormat="1" applyFont="1" applyFill="1" applyAlignment="1" applyProtection="1">
      <alignment horizontal="right" vertical="center"/>
      <protection locked="0"/>
    </xf>
    <xf numFmtId="173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1" fontId="29" fillId="2" borderId="0" xfId="5" applyFont="1" applyFill="1" applyBorder="1" applyAlignment="1" applyProtection="1">
      <alignment vertical="center"/>
      <protection locked="0"/>
    </xf>
    <xf numFmtId="171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1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4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8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8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9" fontId="26" fillId="7" borderId="6" xfId="4" quotePrefix="1" applyNumberFormat="1" applyFont="1" applyFill="1" applyBorder="1" applyAlignment="1" applyProtection="1">
      <alignment horizontal="right" vertical="center" wrapText="1"/>
    </xf>
    <xf numFmtId="0" fontId="36" fillId="3" borderId="0" xfId="0" applyFont="1" applyFill="1" applyAlignment="1">
      <alignment horizontal="right"/>
    </xf>
    <xf numFmtId="168" fontId="38" fillId="8" borderId="4" xfId="7" applyFont="1" applyFill="1" applyBorder="1" applyAlignment="1" applyProtection="1">
      <alignment horizontal="left" vertical="center"/>
      <protection locked="0"/>
    </xf>
    <xf numFmtId="168" fontId="38" fillId="8" borderId="2" xfId="7" applyFont="1" applyFill="1" applyBorder="1" applyAlignment="1" applyProtection="1">
      <alignment horizontal="left" vertical="center"/>
      <protection locked="0"/>
    </xf>
    <xf numFmtId="168" fontId="38" fillId="8" borderId="3" xfId="7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8" xfId="0" applyFill="1" applyBorder="1" applyAlignment="1" applyProtection="1">
      <alignment horizontal="left" vertical="top" wrapText="1"/>
      <protection hidden="1"/>
    </xf>
    <xf numFmtId="0" fontId="0" fillId="2" borderId="9" xfId="0" applyFill="1" applyBorder="1" applyAlignment="1" applyProtection="1">
      <alignment horizontal="left" vertical="top" wrapText="1"/>
      <protection hidden="1"/>
    </xf>
    <xf numFmtId="0" fontId="0" fillId="2" borderId="11" xfId="0" applyFill="1" applyBorder="1" applyAlignment="1" applyProtection="1">
      <alignment horizontal="left" vertical="top" wrapText="1"/>
      <protection hidden="1"/>
    </xf>
    <xf numFmtId="0" fontId="0" fillId="2" borderId="17" xfId="0" applyFill="1" applyBorder="1" applyAlignment="1" applyProtection="1">
      <alignment horizontal="left" vertical="top" wrapText="1"/>
      <protection hidden="1"/>
    </xf>
    <xf numFmtId="0" fontId="0" fillId="2" borderId="19" xfId="0" applyFill="1" applyBorder="1" applyAlignment="1" applyProtection="1">
      <alignment horizontal="left" vertical="top" wrapText="1"/>
      <protection hidden="1"/>
    </xf>
    <xf numFmtId="0" fontId="22" fillId="0" borderId="22" xfId="0" applyFont="1" applyBorder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</cellXfs>
  <cellStyles count="8">
    <cellStyle name="Komma" xfId="1" builtinId="3"/>
    <cellStyle name="Komma 2" xfId="5" xr:uid="{187C2AD1-7796-41BD-9E31-65F14EC47825}"/>
    <cellStyle name="Procent" xfId="3" builtinId="5"/>
    <cellStyle name="Standaard" xfId="0" builtinId="0"/>
    <cellStyle name="Standaard 3" xfId="6" xr:uid="{95D34E4A-227B-4740-8ACE-0AC43DBD48D7}"/>
    <cellStyle name="Valuta" xfId="2" builtinId="4"/>
    <cellStyle name="Valuta 2" xfId="4" xr:uid="{87F2E2DA-82C4-4C06-BECD-9E0148D3BD03}"/>
    <cellStyle name="Valuta 4" xfId="7" xr:uid="{ED58EF9F-D4F1-476B-921E-FF70E185F958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1348385.5697619529</c:v>
                </c:pt>
                <c:pt idx="2">
                  <c:v>1522472.8999294562</c:v>
                </c:pt>
                <c:pt idx="3">
                  <c:v>1716476.1540352833</c:v>
                </c:pt>
                <c:pt idx="4">
                  <c:v>1929453.2245373733</c:v>
                </c:pt>
                <c:pt idx="5">
                  <c:v>2061009.7384314665</c:v>
                </c:pt>
                <c:pt idx="6">
                  <c:v>2156060.2587012155</c:v>
                </c:pt>
                <c:pt idx="7">
                  <c:v>2229863.5367123662</c:v>
                </c:pt>
                <c:pt idx="8">
                  <c:v>2289599.8070424143</c:v>
                </c:pt>
                <c:pt idx="9">
                  <c:v>2339267.7744181762</c:v>
                </c:pt>
                <c:pt idx="10">
                  <c:v>2381342.1018972094</c:v>
                </c:pt>
                <c:pt idx="11">
                  <c:v>2417470.1761578289</c:v>
                </c:pt>
                <c:pt idx="12">
                  <c:v>2448809.1789898225</c:v>
                </c:pt>
                <c:pt idx="13">
                  <c:v>2476206.2420795932</c:v>
                </c:pt>
                <c:pt idx="14">
                  <c:v>2500302.2190787229</c:v>
                </c:pt>
                <c:pt idx="15">
                  <c:v>2521595.0597408796</c:v>
                </c:pt>
                <c:pt idx="16">
                  <c:v>2540480.3766449261</c:v>
                </c:pt>
                <c:pt idx="17">
                  <c:v>2557278.4369163518</c:v>
                </c:pt>
                <c:pt idx="18">
                  <c:v>2572252.7130746162</c:v>
                </c:pt>
                <c:pt idx="19">
                  <c:v>2585622.9886275483</c:v>
                </c:pt>
                <c:pt idx="20">
                  <c:v>2597574.8387293238</c:v>
                </c:pt>
                <c:pt idx="21">
                  <c:v>2608266.6312277825</c:v>
                </c:pt>
                <c:pt idx="22">
                  <c:v>2617834.7908287859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1B-4348-B1BA-D03D81CE5736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1147725.5791800988</c:v>
                </c:pt>
                <c:pt idx="2">
                  <c:v>1296430.9969269352</c:v>
                </c:pt>
                <c:pt idx="3">
                  <c:v>1462813.4642268363</c:v>
                </c:pt>
                <c:pt idx="4">
                  <c:v>1646972.3226817197</c:v>
                </c:pt>
                <c:pt idx="5">
                  <c:v>1762098.4325738733</c:v>
                </c:pt>
                <c:pt idx="6">
                  <c:v>1846315.0758035309</c:v>
                </c:pt>
                <c:pt idx="7">
                  <c:v>1912556.3661951018</c:v>
                </c:pt>
                <c:pt idx="8">
                  <c:v>1966900.1247741187</c:v>
                </c:pt>
                <c:pt idx="9">
                  <c:v>2012726.0086745648</c:v>
                </c:pt>
                <c:pt idx="10">
                  <c:v>2052122.1271716596</c:v>
                </c:pt>
                <c:pt idx="11">
                  <c:v>2086476.0276460471</c:v>
                </c:pt>
                <c:pt idx="12">
                  <c:v>2116760.4449427249</c:v>
                </c:pt>
                <c:pt idx="13">
                  <c:v>2143685.9486904219</c:v>
                </c:pt>
                <c:pt idx="14">
                  <c:v>2167788.8280818686</c:v>
                </c:pt>
                <c:pt idx="15">
                  <c:v>2189484.7392092128</c:v>
                </c:pt>
                <c:pt idx="16">
                  <c:v>2209103.0313309776</c:v>
                </c:pt>
                <c:pt idx="17">
                  <c:v>2226909.5781953335</c:v>
                </c:pt>
                <c:pt idx="18">
                  <c:v>2243122.4649730767</c:v>
                </c:pt>
                <c:pt idx="19">
                  <c:v>2257923.0683190632</c:v>
                </c:pt>
                <c:pt idx="20">
                  <c:v>2271464.0709449011</c:v>
                </c:pt>
                <c:pt idx="21">
                  <c:v>2283875.3801595801</c:v>
                </c:pt>
                <c:pt idx="22">
                  <c:v>2295268.5788072306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1B-4348-B1BA-D03D81CE5736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913303.6104243939</c:v>
                </c:pt>
                <c:pt idx="2">
                  <c:v>1032158.6153191358</c:v>
                </c:pt>
                <c:pt idx="3">
                  <c:v>1165803.9367030845</c:v>
                </c:pt>
                <c:pt idx="4">
                  <c:v>1315226.6005749577</c:v>
                </c:pt>
                <c:pt idx="5">
                  <c:v>1410003.3913442071</c:v>
                </c:pt>
                <c:pt idx="6">
                  <c:v>1480366.5495508597</c:v>
                </c:pt>
                <c:pt idx="7">
                  <c:v>1536556.8652480566</c:v>
                </c:pt>
                <c:pt idx="8">
                  <c:v>1583379.0032881303</c:v>
                </c:pt>
                <c:pt idx="9">
                  <c:v>1623500.3335050559</c:v>
                </c:pt>
                <c:pt idx="10">
                  <c:v>1658566.0809125695</c:v>
                </c:pt>
                <c:pt idx="11">
                  <c:v>1689667.5357487903</c:v>
                </c:pt>
                <c:pt idx="12">
                  <c:v>1717568.2885786614</c:v>
                </c:pt>
                <c:pt idx="13">
                  <c:v>1742825.0057899905</c:v>
                </c:pt>
                <c:pt idx="14">
                  <c:v>1765856.9194731454</c:v>
                </c:pt>
                <c:pt idx="15">
                  <c:v>1786988.2188297852</c:v>
                </c:pt>
                <c:pt idx="16">
                  <c:v>1806475.1572297327</c:v>
                </c:pt>
                <c:pt idx="17">
                  <c:v>1824524.0707014285</c:v>
                </c:pt>
                <c:pt idx="18">
                  <c:v>1841303.750613688</c:v>
                </c:pt>
                <c:pt idx="19">
                  <c:v>1856954.1777180482</c:v>
                </c:pt>
                <c:pt idx="20">
                  <c:v>1871592.8362555937</c:v>
                </c:pt>
                <c:pt idx="21">
                  <c:v>1885319.3743049344</c:v>
                </c:pt>
                <c:pt idx="22">
                  <c:v>1898219.1068141949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1B-4348-B1BA-D03D81CE5736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1B-4348-B1BA-D03D81CE5736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4760000.0000000009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B1B-4348-B1BA-D03D81CE5736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4760000.0000000009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B1B-4348-B1BA-D03D81CE5736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2380000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B1B-4348-B1BA-D03D81CE5736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2617866.4387928625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B1B-4348-B1BA-D03D81CE5736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4B1B-4348-B1BA-D03D81CE5736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4B1B-4348-B1BA-D03D81CE5736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4B1B-4348-B1BA-D03D81CE5736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4760000.0000000009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4B1B-4348-B1BA-D03D81CE5736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4760000.0000000009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4B1B-4348-B1BA-D03D81CE5736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4B1B-4348-B1BA-D03D81CE573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4B1B-4348-B1BA-D03D81CE5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4B1B-4348-B1BA-D03D81CE5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4760000.0000000009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238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8DAEC975-8C5B-4EED-BD9E-0C21F0EC1B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2933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F69EB5ED-36F7-41A8-916D-294C76D7C9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4" name="Afbeelding 3">
          <a:extLst>
            <a:ext uri="{FF2B5EF4-FFF2-40B4-BE49-F238E27FC236}">
              <a16:creationId xmlns:a16="http://schemas.microsoft.com/office/drawing/2014/main" id="{168C5360-FC53-48F3-8C9C-13C5EDE12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16</xdr:col>
      <xdr:colOff>126405</xdr:colOff>
      <xdr:row>5</xdr:row>
      <xdr:rowOff>166521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F3FC878-B6AA-4FFC-A9E6-A0537EA30C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5211425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659028</xdr:colOff>
      <xdr:row>4</xdr:row>
      <xdr:rowOff>42917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D398508-2D8A-4274-9E3A-B39518B22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7325976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C58F6E51-EF5B-42FA-8F56-54D7B1B07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3E7BA1E-D2AB-46FB-B6F6-1352C373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AD81F1A9-8893-4507-A80F-F6652264A1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2%20-%20IBP&amp;D%20-%20PAM%20Beyond%20tru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D79E-E88D-44D8-A9D5-A6AB37432421}">
  <sheetPr>
    <tabColor theme="0" tint="-0.249977111117893"/>
    <pageSetUpPr fitToPage="1"/>
  </sheetPr>
  <dimension ref="A2:R51"/>
  <sheetViews>
    <sheetView showGridLines="0" tabSelected="1" zoomScaleNormal="100" workbookViewId="0">
      <selection activeCell="D25" sqref="D25:D27"/>
    </sheetView>
  </sheetViews>
  <sheetFormatPr defaultColWidth="9.140625" defaultRowHeight="15" customHeight="1" x14ac:dyDescent="0.25"/>
  <cols>
    <col min="1" max="1" width="3.7109375" style="81" customWidth="1"/>
    <col min="2" max="2" width="3.7109375" style="2" customWidth="1"/>
    <col min="3" max="3" width="28.5703125" style="81" customWidth="1"/>
    <col min="4" max="4" width="42.7109375" style="5" customWidth="1"/>
    <col min="5" max="5" width="23.5703125" style="5" customWidth="1"/>
    <col min="6" max="6" width="16.85546875" style="112" customWidth="1"/>
    <col min="7" max="7" width="11" style="113" bestFit="1" customWidth="1"/>
    <col min="8" max="12" width="17" style="113" customWidth="1"/>
    <col min="13" max="18" width="17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3</v>
      </c>
      <c r="D5" s="194" t="s">
        <v>101</v>
      </c>
      <c r="E5" s="195"/>
      <c r="F5" s="196"/>
      <c r="G5" s="196"/>
      <c r="H5" s="197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7" t="s">
        <v>98</v>
      </c>
      <c r="D9" s="18"/>
      <c r="E9" s="19"/>
      <c r="F9" s="20"/>
      <c r="G9" s="20"/>
      <c r="H9" s="21"/>
      <c r="I9" s="13"/>
      <c r="J9" s="13"/>
      <c r="K9" s="13"/>
      <c r="L9" s="13"/>
    </row>
    <row r="10" spans="1:18" ht="15" customHeight="1" x14ac:dyDescent="0.25">
      <c r="A10" s="1"/>
      <c r="C10" s="22" t="s">
        <v>99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8" ht="15.75" thickBot="1" x14ac:dyDescent="0.3">
      <c r="A11" s="1"/>
      <c r="B11" s="23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  <c r="N11" s="29"/>
      <c r="O11" s="29"/>
      <c r="P11" s="29"/>
      <c r="Q11" s="29"/>
      <c r="R11" s="29"/>
    </row>
    <row r="12" spans="1:18" x14ac:dyDescent="0.25">
      <c r="A12" s="1"/>
      <c r="B12" s="30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  <c r="N12" s="36"/>
      <c r="O12" s="36"/>
      <c r="P12" s="36"/>
      <c r="Q12" s="36"/>
      <c r="R12" s="36"/>
    </row>
    <row r="13" spans="1:18" ht="31.5" customHeight="1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198" t="s">
        <v>10</v>
      </c>
      <c r="G13" s="199"/>
      <c r="H13" s="40">
        <v>2024</v>
      </c>
      <c r="I13" s="40">
        <f t="shared" ref="I13:Q13" si="0">+H13+1</f>
        <v>2025</v>
      </c>
      <c r="J13" s="41">
        <f t="shared" si="0"/>
        <v>2026</v>
      </c>
      <c r="K13" s="42">
        <f t="shared" si="0"/>
        <v>2027</v>
      </c>
      <c r="L13" s="40">
        <f t="shared" si="0"/>
        <v>2028</v>
      </c>
      <c r="M13" s="40">
        <f t="shared" si="0"/>
        <v>2029</v>
      </c>
      <c r="N13" s="40">
        <f t="shared" si="0"/>
        <v>2030</v>
      </c>
      <c r="O13" s="40">
        <f t="shared" si="0"/>
        <v>2031</v>
      </c>
      <c r="P13" s="40">
        <f t="shared" si="0"/>
        <v>2032</v>
      </c>
      <c r="Q13" s="40">
        <f t="shared" si="0"/>
        <v>2033</v>
      </c>
    </row>
    <row r="14" spans="1:18" ht="22.5" customHeight="1" x14ac:dyDescent="0.25">
      <c r="A14" s="1"/>
      <c r="B14" s="43" t="s">
        <v>11</v>
      </c>
      <c r="C14" s="44" t="s">
        <v>12</v>
      </c>
      <c r="D14" s="200" t="s">
        <v>102</v>
      </c>
      <c r="E14" s="45">
        <v>10</v>
      </c>
      <c r="F14" s="46"/>
      <c r="G14" s="47" t="s">
        <v>13</v>
      </c>
      <c r="H14" s="48"/>
      <c r="I14" s="48"/>
      <c r="J14" s="49"/>
      <c r="K14" s="50"/>
      <c r="L14" s="51">
        <v>10</v>
      </c>
      <c r="M14" s="51"/>
      <c r="N14" s="51"/>
      <c r="O14" s="51"/>
      <c r="P14" s="51"/>
      <c r="Q14" s="52">
        <f>L14+L15</f>
        <v>12</v>
      </c>
    </row>
    <row r="15" spans="1:18" ht="22.5" customHeight="1" x14ac:dyDescent="0.25">
      <c r="A15" s="1"/>
      <c r="C15" s="53"/>
      <c r="D15" s="201"/>
      <c r="E15" s="54"/>
      <c r="F15" s="46"/>
      <c r="G15" s="21" t="s">
        <v>14</v>
      </c>
      <c r="H15" s="55"/>
      <c r="I15" s="55"/>
      <c r="J15" s="56"/>
      <c r="K15" s="57"/>
      <c r="L15" s="52">
        <v>2</v>
      </c>
      <c r="M15" s="52"/>
      <c r="N15" s="52"/>
      <c r="O15" s="52"/>
      <c r="P15" s="52"/>
      <c r="Q15" s="52">
        <v>2</v>
      </c>
    </row>
    <row r="16" spans="1:18" ht="22.5" customHeight="1" thickBot="1" x14ac:dyDescent="0.3">
      <c r="A16" s="1"/>
      <c r="B16" s="58"/>
      <c r="C16" s="59"/>
      <c r="D16" s="202"/>
      <c r="E16" s="60"/>
      <c r="F16" s="61"/>
      <c r="G16" s="62" t="s">
        <v>15</v>
      </c>
      <c r="H16" s="63">
        <v>10</v>
      </c>
      <c r="I16" s="63">
        <v>10</v>
      </c>
      <c r="J16" s="64">
        <v>10</v>
      </c>
      <c r="K16" s="65">
        <v>10</v>
      </c>
      <c r="L16" s="66">
        <v>12</v>
      </c>
      <c r="M16" s="66">
        <v>12</v>
      </c>
      <c r="N16" s="66">
        <v>12</v>
      </c>
      <c r="O16" s="66">
        <v>12</v>
      </c>
      <c r="P16" s="66">
        <v>12</v>
      </c>
      <c r="Q16" s="66">
        <v>14</v>
      </c>
      <c r="R16" s="67"/>
    </row>
    <row r="17" spans="1:18" ht="15" customHeight="1" x14ac:dyDescent="0.25">
      <c r="A17" s="1"/>
      <c r="B17" s="68" t="s">
        <v>16</v>
      </c>
      <c r="C17" s="69" t="s">
        <v>12</v>
      </c>
      <c r="D17" s="203" t="s">
        <v>100</v>
      </c>
      <c r="E17" s="70">
        <v>19750</v>
      </c>
      <c r="F17" s="71"/>
      <c r="G17" s="72" t="s">
        <v>13</v>
      </c>
      <c r="H17" s="48"/>
      <c r="I17" s="48"/>
      <c r="J17" s="73"/>
      <c r="K17" s="50"/>
      <c r="L17" s="51"/>
      <c r="M17" s="51"/>
      <c r="N17" s="51"/>
      <c r="O17" s="51"/>
      <c r="P17" s="51"/>
      <c r="Q17" s="52"/>
      <c r="R17" s="67"/>
    </row>
    <row r="18" spans="1:18" ht="15" customHeight="1" x14ac:dyDescent="0.25">
      <c r="A18" s="1"/>
      <c r="C18" s="53"/>
      <c r="D18" s="201"/>
      <c r="E18" s="54"/>
      <c r="F18" s="46"/>
      <c r="G18" s="21" t="s">
        <v>14</v>
      </c>
      <c r="H18" s="74">
        <v>500</v>
      </c>
      <c r="I18" s="55"/>
      <c r="J18" s="56"/>
      <c r="K18" s="57"/>
      <c r="L18" s="52">
        <v>500</v>
      </c>
      <c r="M18" s="52"/>
      <c r="N18" s="52"/>
      <c r="O18" s="52"/>
      <c r="P18" s="52">
        <v>500</v>
      </c>
      <c r="Q18" s="52"/>
      <c r="R18" s="67"/>
    </row>
    <row r="19" spans="1:18" ht="15" customHeight="1" thickBot="1" x14ac:dyDescent="0.3">
      <c r="A19" s="1"/>
      <c r="C19" s="53"/>
      <c r="D19" s="204"/>
      <c r="E19" s="75"/>
      <c r="F19" s="46"/>
      <c r="G19" s="21" t="s">
        <v>17</v>
      </c>
      <c r="H19" s="63">
        <f>SUM(H17:H18)+E17</f>
        <v>20250</v>
      </c>
      <c r="I19" s="63">
        <f>+H19</f>
        <v>20250</v>
      </c>
      <c r="J19" s="56">
        <f>+I19</f>
        <v>20250</v>
      </c>
      <c r="K19" s="65">
        <f>+J19</f>
        <v>20250</v>
      </c>
      <c r="L19" s="66">
        <f>+K19+L18</f>
        <v>20750</v>
      </c>
      <c r="M19" s="66">
        <f>+L19</f>
        <v>20750</v>
      </c>
      <c r="N19" s="66">
        <f>+M19</f>
        <v>20750</v>
      </c>
      <c r="O19" s="66">
        <f>+N19</f>
        <v>20750</v>
      </c>
      <c r="P19" s="66">
        <f>+O19</f>
        <v>20750</v>
      </c>
      <c r="Q19" s="66">
        <f>+P19+Q18</f>
        <v>20750</v>
      </c>
      <c r="R19" s="67"/>
    </row>
    <row r="20" spans="1:18" ht="15" customHeight="1" x14ac:dyDescent="0.25">
      <c r="A20" s="1"/>
      <c r="C20" s="76"/>
      <c r="D20" s="77" t="s">
        <v>18</v>
      </c>
      <c r="E20" s="78">
        <v>1</v>
      </c>
      <c r="F20" s="13"/>
      <c r="G20" s="13"/>
      <c r="H20" s="79"/>
      <c r="I20" s="79"/>
      <c r="J20" s="79"/>
      <c r="K20" s="79"/>
      <c r="L20" s="80"/>
      <c r="M20" s="80"/>
      <c r="N20" s="80"/>
      <c r="O20" s="80"/>
      <c r="P20" s="80"/>
      <c r="Q20" s="80"/>
      <c r="R20" s="67"/>
    </row>
    <row r="21" spans="1:18" ht="15.75" thickBot="1" x14ac:dyDescent="0.3">
      <c r="A21" s="1"/>
      <c r="B21" s="23"/>
      <c r="C21" s="23"/>
      <c r="D21" s="24"/>
      <c r="E21" s="25"/>
      <c r="F21" s="25"/>
      <c r="G21" s="26"/>
      <c r="H21" s="27"/>
      <c r="I21" s="28"/>
      <c r="J21" s="27"/>
      <c r="K21" s="27"/>
      <c r="L21" s="27"/>
      <c r="M21" s="29"/>
      <c r="N21" s="29"/>
      <c r="O21" s="29"/>
      <c r="P21" s="29"/>
      <c r="Q21" s="29"/>
      <c r="R21" s="29"/>
    </row>
    <row r="22" spans="1:18" x14ac:dyDescent="0.25">
      <c r="A22" s="1"/>
      <c r="B22" s="30"/>
      <c r="C22" s="30"/>
      <c r="D22" s="31"/>
      <c r="E22" s="32"/>
      <c r="F22" s="32"/>
      <c r="G22" s="33"/>
      <c r="H22" s="34"/>
      <c r="I22" s="35"/>
      <c r="J22" s="34"/>
      <c r="K22" s="34"/>
      <c r="L22" s="34"/>
      <c r="M22" s="36"/>
      <c r="N22" s="36"/>
      <c r="O22" s="36"/>
      <c r="P22" s="36"/>
      <c r="Q22" s="36"/>
      <c r="R22" s="36"/>
    </row>
    <row r="23" spans="1:18" ht="21" x14ac:dyDescent="0.35">
      <c r="B23" s="82">
        <v>1</v>
      </c>
      <c r="C23" s="38" t="s">
        <v>19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</row>
    <row r="24" spans="1:18" s="87" customFormat="1" ht="42.95" customHeight="1" x14ac:dyDescent="0.25">
      <c r="A24" s="83"/>
      <c r="B24" s="37" t="s">
        <v>6</v>
      </c>
      <c r="C24" s="84" t="s">
        <v>24</v>
      </c>
      <c r="D24" s="39" t="s">
        <v>8</v>
      </c>
      <c r="E24" s="85" t="s">
        <v>20</v>
      </c>
      <c r="F24" s="85" t="s">
        <v>21</v>
      </c>
      <c r="G24" s="86" t="s">
        <v>22</v>
      </c>
      <c r="H24" s="40">
        <v>2024</v>
      </c>
      <c r="I24" s="40">
        <v>2025</v>
      </c>
      <c r="J24" s="41">
        <v>2026</v>
      </c>
      <c r="K24" s="42">
        <v>2027</v>
      </c>
      <c r="L24" s="40">
        <v>2028</v>
      </c>
      <c r="M24" s="40">
        <v>2029</v>
      </c>
      <c r="N24" s="40">
        <v>2030</v>
      </c>
      <c r="O24" s="40">
        <v>2031</v>
      </c>
      <c r="P24" s="40">
        <v>2032</v>
      </c>
      <c r="Q24" s="40">
        <v>2033</v>
      </c>
      <c r="R24" s="40" t="s">
        <v>17</v>
      </c>
    </row>
    <row r="25" spans="1:18" ht="20.25" customHeight="1" x14ac:dyDescent="0.25">
      <c r="B25" s="43" t="s">
        <v>11</v>
      </c>
      <c r="C25" s="44" t="s">
        <v>12</v>
      </c>
      <c r="D25" s="200" t="s">
        <v>102</v>
      </c>
      <c r="E25" s="47" t="s">
        <v>13</v>
      </c>
      <c r="F25" s="88"/>
      <c r="G25" s="89"/>
      <c r="H25" s="90">
        <f t="shared" ref="H25:Q26" si="1">+$F$26*(1-$G$26)*H14</f>
        <v>0</v>
      </c>
      <c r="I25" s="90">
        <f t="shared" si="1"/>
        <v>0</v>
      </c>
      <c r="J25" s="91">
        <f t="shared" si="1"/>
        <v>0</v>
      </c>
      <c r="K25" s="92">
        <f t="shared" si="1"/>
        <v>0</v>
      </c>
      <c r="L25" s="90">
        <f t="shared" si="1"/>
        <v>0</v>
      </c>
      <c r="M25" s="90">
        <f t="shared" si="1"/>
        <v>0</v>
      </c>
      <c r="N25" s="90">
        <f t="shared" si="1"/>
        <v>0</v>
      </c>
      <c r="O25" s="90">
        <f t="shared" si="1"/>
        <v>0</v>
      </c>
      <c r="P25" s="90">
        <f t="shared" si="1"/>
        <v>0</v>
      </c>
      <c r="Q25" s="90">
        <f t="shared" si="1"/>
        <v>0</v>
      </c>
      <c r="R25" s="90">
        <f>SUM(H25:Q25)</f>
        <v>0</v>
      </c>
    </row>
    <row r="26" spans="1:18" ht="20.25" customHeight="1" x14ac:dyDescent="0.25">
      <c r="C26" s="69"/>
      <c r="D26" s="201"/>
      <c r="E26" s="21" t="s">
        <v>14</v>
      </c>
      <c r="F26" s="93">
        <f>+F25</f>
        <v>0</v>
      </c>
      <c r="G26" s="94">
        <f>+G25</f>
        <v>0</v>
      </c>
      <c r="H26" s="90">
        <f t="shared" si="1"/>
        <v>0</v>
      </c>
      <c r="I26" s="90">
        <f t="shared" si="1"/>
        <v>0</v>
      </c>
      <c r="J26" s="91">
        <f t="shared" si="1"/>
        <v>0</v>
      </c>
      <c r="K26" s="92">
        <f t="shared" si="1"/>
        <v>0</v>
      </c>
      <c r="L26" s="90">
        <f t="shared" si="1"/>
        <v>0</v>
      </c>
      <c r="M26" s="90">
        <f t="shared" si="1"/>
        <v>0</v>
      </c>
      <c r="N26" s="90">
        <f t="shared" si="1"/>
        <v>0</v>
      </c>
      <c r="O26" s="90">
        <f t="shared" si="1"/>
        <v>0</v>
      </c>
      <c r="P26" s="90">
        <f t="shared" si="1"/>
        <v>0</v>
      </c>
      <c r="Q26" s="90">
        <f t="shared" si="1"/>
        <v>0</v>
      </c>
      <c r="R26" s="90">
        <f>SUM(H26:Q26)</f>
        <v>0</v>
      </c>
    </row>
    <row r="27" spans="1:18" ht="20.25" customHeight="1" thickBot="1" x14ac:dyDescent="0.3">
      <c r="B27" s="5"/>
      <c r="C27" s="76"/>
      <c r="D27" s="202"/>
      <c r="E27" s="47" t="s">
        <v>15</v>
      </c>
      <c r="F27" s="88"/>
      <c r="G27" s="89"/>
      <c r="H27" s="90">
        <f>+$F$27*(1-$G$27)*H16</f>
        <v>0</v>
      </c>
      <c r="I27" s="90">
        <f t="shared" ref="I27:Q27" si="2">+$F$27*(1-$G$27)*I16</f>
        <v>0</v>
      </c>
      <c r="J27" s="91">
        <f t="shared" si="2"/>
        <v>0</v>
      </c>
      <c r="K27" s="92">
        <f t="shared" si="2"/>
        <v>0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si="2"/>
        <v>0</v>
      </c>
      <c r="Q27" s="90">
        <f t="shared" si="2"/>
        <v>0</v>
      </c>
      <c r="R27" s="90">
        <f>SUM(H27:Q27)</f>
        <v>0</v>
      </c>
    </row>
    <row r="28" spans="1:18" ht="15" customHeight="1" thickBot="1" x14ac:dyDescent="0.3">
      <c r="B28" s="5"/>
      <c r="C28" s="5"/>
      <c r="E28" s="95"/>
      <c r="F28" s="95"/>
      <c r="G28" s="95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7">
        <f>SUM(R25:R27)</f>
        <v>0</v>
      </c>
    </row>
    <row r="29" spans="1:18" ht="15" customHeight="1" thickTop="1" thickBot="1" x14ac:dyDescent="0.3">
      <c r="B29" s="5"/>
      <c r="C29" s="5"/>
      <c r="E29" s="95"/>
      <c r="F29" s="95"/>
      <c r="G29" s="95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</row>
    <row r="30" spans="1:18" ht="15" customHeight="1" x14ac:dyDescent="0.25">
      <c r="B30" s="43" t="s">
        <v>16</v>
      </c>
      <c r="C30" s="44" t="s">
        <v>12</v>
      </c>
      <c r="D30" s="203" t="s">
        <v>100</v>
      </c>
      <c r="E30" s="47" t="s">
        <v>13</v>
      </c>
      <c r="F30" s="88">
        <v>0</v>
      </c>
      <c r="G30" s="89"/>
      <c r="H30" s="90">
        <f>+$F$30*(1-$G$30)*H17</f>
        <v>0</v>
      </c>
      <c r="I30" s="90">
        <f t="shared" ref="I30:Q30" si="3">+$F$30*(1-$G$30)*I17</f>
        <v>0</v>
      </c>
      <c r="J30" s="91">
        <f t="shared" si="3"/>
        <v>0</v>
      </c>
      <c r="K30" s="92">
        <f t="shared" si="3"/>
        <v>0</v>
      </c>
      <c r="L30" s="90">
        <f t="shared" si="3"/>
        <v>0</v>
      </c>
      <c r="M30" s="90">
        <f t="shared" si="3"/>
        <v>0</v>
      </c>
      <c r="N30" s="90">
        <f t="shared" si="3"/>
        <v>0</v>
      </c>
      <c r="O30" s="90">
        <f t="shared" si="3"/>
        <v>0</v>
      </c>
      <c r="P30" s="90">
        <f t="shared" si="3"/>
        <v>0</v>
      </c>
      <c r="Q30" s="90">
        <f t="shared" si="3"/>
        <v>0</v>
      </c>
      <c r="R30" s="90">
        <f>SUM(H30:Q30)</f>
        <v>0</v>
      </c>
    </row>
    <row r="31" spans="1:18" ht="15" customHeight="1" x14ac:dyDescent="0.25">
      <c r="C31" s="69"/>
      <c r="D31" s="201"/>
      <c r="E31" s="21" t="s">
        <v>14</v>
      </c>
      <c r="F31" s="93">
        <f>+F30</f>
        <v>0</v>
      </c>
      <c r="G31" s="94">
        <f>+G30</f>
        <v>0</v>
      </c>
      <c r="H31" s="90">
        <f t="shared" ref="H31:Q31" si="4">+$F$31*(1-$G$31)*H18</f>
        <v>0</v>
      </c>
      <c r="I31" s="90">
        <f t="shared" si="4"/>
        <v>0</v>
      </c>
      <c r="J31" s="91">
        <f t="shared" si="4"/>
        <v>0</v>
      </c>
      <c r="K31" s="92">
        <f t="shared" si="4"/>
        <v>0</v>
      </c>
      <c r="L31" s="90">
        <f t="shared" si="4"/>
        <v>0</v>
      </c>
      <c r="M31" s="90">
        <f t="shared" si="4"/>
        <v>0</v>
      </c>
      <c r="N31" s="90">
        <f t="shared" si="4"/>
        <v>0</v>
      </c>
      <c r="O31" s="90">
        <f t="shared" si="4"/>
        <v>0</v>
      </c>
      <c r="P31" s="90">
        <f t="shared" si="4"/>
        <v>0</v>
      </c>
      <c r="Q31" s="90">
        <f t="shared" si="4"/>
        <v>0</v>
      </c>
      <c r="R31" s="90">
        <f>SUM(H31:Q31)</f>
        <v>0</v>
      </c>
    </row>
    <row r="32" spans="1:18" ht="15" customHeight="1" x14ac:dyDescent="0.25">
      <c r="B32" s="5"/>
      <c r="C32" s="76"/>
      <c r="D32" s="204"/>
      <c r="E32" s="47" t="s">
        <v>15</v>
      </c>
      <c r="F32" s="88"/>
      <c r="G32" s="89"/>
      <c r="H32" s="90">
        <f t="shared" ref="H32:Q32" si="5">+$F$32*(1-$G$32)*H19</f>
        <v>0</v>
      </c>
      <c r="I32" s="90">
        <f t="shared" si="5"/>
        <v>0</v>
      </c>
      <c r="J32" s="91">
        <f t="shared" si="5"/>
        <v>0</v>
      </c>
      <c r="K32" s="92">
        <f t="shared" si="5"/>
        <v>0</v>
      </c>
      <c r="L32" s="90">
        <f t="shared" si="5"/>
        <v>0</v>
      </c>
      <c r="M32" s="90">
        <f t="shared" si="5"/>
        <v>0</v>
      </c>
      <c r="N32" s="90">
        <f t="shared" si="5"/>
        <v>0</v>
      </c>
      <c r="O32" s="90">
        <f t="shared" si="5"/>
        <v>0</v>
      </c>
      <c r="P32" s="90">
        <f t="shared" si="5"/>
        <v>0</v>
      </c>
      <c r="Q32" s="90">
        <f t="shared" si="5"/>
        <v>0</v>
      </c>
      <c r="R32" s="90">
        <f>SUM(H32:Q32)</f>
        <v>0</v>
      </c>
    </row>
    <row r="33" spans="2:18" ht="15" customHeight="1" thickBot="1" x14ac:dyDescent="0.3">
      <c r="B33" s="5"/>
      <c r="C33" s="5"/>
      <c r="E33" s="95"/>
      <c r="F33" s="95"/>
      <c r="G33" s="95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7">
        <f>SUM(R30:R32)</f>
        <v>0</v>
      </c>
    </row>
    <row r="34" spans="2:18" ht="15" customHeight="1" thickTop="1" thickBot="1" x14ac:dyDescent="0.3">
      <c r="B34" s="23"/>
      <c r="C34" s="98"/>
      <c r="D34" s="25"/>
      <c r="E34" s="25"/>
      <c r="F34" s="26"/>
      <c r="G34" s="27"/>
      <c r="H34" s="28"/>
      <c r="I34" s="27"/>
      <c r="J34" s="27"/>
      <c r="K34" s="27"/>
      <c r="L34" s="29"/>
      <c r="M34" s="29"/>
      <c r="N34" s="29"/>
      <c r="O34" s="29"/>
      <c r="P34" s="29"/>
      <c r="Q34" s="29"/>
      <c r="R34" s="29"/>
    </row>
    <row r="35" spans="2:18" ht="15" customHeight="1" x14ac:dyDescent="0.25">
      <c r="B35" s="30"/>
      <c r="C35" s="99"/>
      <c r="D35" s="32"/>
      <c r="E35" s="32"/>
      <c r="F35" s="33"/>
      <c r="G35" s="34"/>
      <c r="H35" s="35"/>
      <c r="I35" s="34"/>
      <c r="J35" s="34"/>
      <c r="K35" s="34"/>
      <c r="L35" s="36"/>
    </row>
    <row r="36" spans="2:18" ht="21" x14ac:dyDescent="0.35">
      <c r="B36" s="82">
        <v>2</v>
      </c>
      <c r="C36" s="38" t="s">
        <v>23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/>
    </row>
    <row r="37" spans="2:18" ht="45" x14ac:dyDescent="0.25">
      <c r="C37" s="100" t="s">
        <v>24</v>
      </c>
      <c r="D37" s="101" t="s">
        <v>25</v>
      </c>
      <c r="E37" s="102"/>
      <c r="F37" s="103" t="s">
        <v>26</v>
      </c>
      <c r="G37" s="104" t="s">
        <v>27</v>
      </c>
      <c r="H37" s="40">
        <v>2024</v>
      </c>
      <c r="I37" s="40">
        <v>2025</v>
      </c>
      <c r="J37" s="41">
        <v>2026</v>
      </c>
      <c r="K37" s="42">
        <v>2027</v>
      </c>
      <c r="L37" s="40">
        <v>2028</v>
      </c>
      <c r="M37" s="40">
        <v>2029</v>
      </c>
      <c r="N37" s="40">
        <v>2030</v>
      </c>
      <c r="O37" s="40">
        <v>2031</v>
      </c>
      <c r="P37" s="40">
        <v>2032</v>
      </c>
      <c r="Q37" s="40">
        <v>2033</v>
      </c>
      <c r="R37" s="40" t="s">
        <v>17</v>
      </c>
    </row>
    <row r="38" spans="2:18" ht="15" customHeight="1" thickBot="1" x14ac:dyDescent="0.3">
      <c r="C38" s="105" t="s">
        <v>12</v>
      </c>
      <c r="D38" s="106" t="s">
        <v>28</v>
      </c>
      <c r="E38" s="106"/>
      <c r="F38" s="107"/>
      <c r="G38" s="108">
        <f>20*8</f>
        <v>160</v>
      </c>
      <c r="H38" s="90">
        <f>+F38*G38</f>
        <v>0</v>
      </c>
      <c r="I38" s="90">
        <f>+H38</f>
        <v>0</v>
      </c>
      <c r="J38" s="91">
        <f t="shared" ref="J38:Q38" si="6">+I38</f>
        <v>0</v>
      </c>
      <c r="K38" s="92">
        <f t="shared" si="6"/>
        <v>0</v>
      </c>
      <c r="L38" s="90">
        <f t="shared" si="6"/>
        <v>0</v>
      </c>
      <c r="M38" s="90">
        <f t="shared" si="6"/>
        <v>0</v>
      </c>
      <c r="N38" s="90">
        <f t="shared" si="6"/>
        <v>0</v>
      </c>
      <c r="O38" s="90">
        <f t="shared" si="6"/>
        <v>0</v>
      </c>
      <c r="P38" s="90">
        <f t="shared" si="6"/>
        <v>0</v>
      </c>
      <c r="Q38" s="90">
        <f t="shared" si="6"/>
        <v>0</v>
      </c>
      <c r="R38" s="97">
        <f>SUM(H38:Q38)</f>
        <v>0</v>
      </c>
    </row>
    <row r="39" spans="2:18" ht="15" customHeight="1" thickTop="1" thickBot="1" x14ac:dyDescent="0.3">
      <c r="B39" s="98"/>
      <c r="C39" s="98"/>
      <c r="D39" s="25"/>
      <c r="E39" s="25"/>
      <c r="F39" s="26"/>
      <c r="G39" s="27"/>
      <c r="H39" s="28"/>
      <c r="I39" s="27"/>
      <c r="J39" s="27"/>
      <c r="K39" s="27"/>
      <c r="L39" s="29"/>
      <c r="M39" s="29"/>
      <c r="N39" s="29"/>
      <c r="O39" s="29"/>
      <c r="P39" s="29"/>
      <c r="Q39" s="29"/>
      <c r="R39" s="29"/>
    </row>
    <row r="40" spans="2:18" ht="15" customHeight="1" x14ac:dyDescent="0.25">
      <c r="B40" s="30"/>
      <c r="C40" s="99"/>
      <c r="D40" s="32"/>
      <c r="E40" s="32"/>
      <c r="F40" s="33"/>
      <c r="G40" s="34"/>
      <c r="H40" s="35"/>
      <c r="I40" s="34"/>
      <c r="J40" s="34"/>
      <c r="K40" s="34"/>
      <c r="L40" s="36"/>
    </row>
    <row r="41" spans="2:18" ht="21" x14ac:dyDescent="0.35">
      <c r="B41" s="82">
        <v>3</v>
      </c>
      <c r="C41" s="38" t="s">
        <v>29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6"/>
    </row>
    <row r="42" spans="2:18" ht="45" x14ac:dyDescent="0.25">
      <c r="C42" s="100" t="s">
        <v>24</v>
      </c>
      <c r="D42" s="101" t="s">
        <v>25</v>
      </c>
      <c r="E42" s="102"/>
      <c r="F42" s="103" t="s">
        <v>30</v>
      </c>
      <c r="G42" s="104" t="s">
        <v>27</v>
      </c>
      <c r="H42" s="40">
        <v>2024</v>
      </c>
      <c r="I42" s="40">
        <v>2025</v>
      </c>
      <c r="J42" s="41">
        <v>2026</v>
      </c>
      <c r="K42" s="42">
        <v>2027</v>
      </c>
      <c r="L42" s="40">
        <v>2028</v>
      </c>
      <c r="M42" s="40">
        <v>2029</v>
      </c>
      <c r="N42" s="40">
        <v>2030</v>
      </c>
      <c r="O42" s="40">
        <v>2031</v>
      </c>
      <c r="P42" s="40">
        <v>2032</v>
      </c>
      <c r="Q42" s="40">
        <v>2033</v>
      </c>
      <c r="R42" s="40" t="s">
        <v>17</v>
      </c>
    </row>
    <row r="43" spans="2:18" ht="15" customHeight="1" thickBot="1" x14ac:dyDescent="0.3">
      <c r="C43" s="105" t="s">
        <v>12</v>
      </c>
      <c r="D43" s="106" t="s">
        <v>29</v>
      </c>
      <c r="E43" s="106"/>
      <c r="F43" s="107"/>
      <c r="G43" s="108" t="s">
        <v>31</v>
      </c>
      <c r="H43" s="109">
        <f>+F43</f>
        <v>0</v>
      </c>
      <c r="I43" s="90">
        <f>+H43</f>
        <v>0</v>
      </c>
      <c r="J43" s="91">
        <f t="shared" ref="J43:Q43" si="7">+I43</f>
        <v>0</v>
      </c>
      <c r="K43" s="92">
        <f t="shared" si="7"/>
        <v>0</v>
      </c>
      <c r="L43" s="90">
        <f t="shared" si="7"/>
        <v>0</v>
      </c>
      <c r="M43" s="90">
        <f t="shared" si="7"/>
        <v>0</v>
      </c>
      <c r="N43" s="90">
        <f t="shared" si="7"/>
        <v>0</v>
      </c>
      <c r="O43" s="90">
        <f t="shared" si="7"/>
        <v>0</v>
      </c>
      <c r="P43" s="90">
        <f t="shared" si="7"/>
        <v>0</v>
      </c>
      <c r="Q43" s="90">
        <f t="shared" si="7"/>
        <v>0</v>
      </c>
      <c r="R43" s="97">
        <f>SUM(H43:Q43)</f>
        <v>0</v>
      </c>
    </row>
    <row r="44" spans="2:18" ht="15" customHeight="1" thickTop="1" thickBot="1" x14ac:dyDescent="0.3">
      <c r="B44" s="98"/>
      <c r="C44" s="98"/>
      <c r="D44" s="25"/>
      <c r="E44" s="25"/>
      <c r="F44" s="26"/>
      <c r="G44" s="27"/>
      <c r="H44" s="28"/>
      <c r="I44" s="27"/>
      <c r="J44" s="27"/>
      <c r="K44" s="27"/>
      <c r="L44" s="29"/>
      <c r="M44" s="29"/>
      <c r="N44" s="29"/>
      <c r="O44" s="29"/>
      <c r="P44" s="29"/>
      <c r="Q44" s="29"/>
      <c r="R44" s="29"/>
    </row>
    <row r="45" spans="2:18" ht="15" customHeight="1" x14ac:dyDescent="0.25">
      <c r="C45" s="99"/>
      <c r="D45" s="32"/>
      <c r="E45" s="32"/>
      <c r="F45" s="33"/>
      <c r="G45" s="34"/>
      <c r="H45" s="34"/>
      <c r="I45" s="34"/>
      <c r="J45" s="34"/>
      <c r="K45" s="34"/>
      <c r="L45" s="5"/>
    </row>
    <row r="46" spans="2:18" ht="21.75" thickBot="1" x14ac:dyDescent="0.4">
      <c r="C46" s="110" t="s">
        <v>32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11">
        <f>+R28+R33+R38+R43</f>
        <v>0</v>
      </c>
    </row>
    <row r="47" spans="2:18" ht="15" customHeight="1" thickTop="1" thickBot="1" x14ac:dyDescent="0.3">
      <c r="B47" s="98"/>
      <c r="C47" s="98"/>
      <c r="D47" s="25"/>
      <c r="E47" s="25"/>
      <c r="F47" s="26"/>
      <c r="G47" s="27"/>
      <c r="H47" s="27"/>
      <c r="I47" s="27"/>
      <c r="J47" s="27"/>
      <c r="K47" s="27"/>
      <c r="L47" s="29"/>
      <c r="M47" s="29"/>
      <c r="N47" s="29"/>
      <c r="O47" s="29"/>
      <c r="P47" s="29"/>
      <c r="Q47" s="29"/>
      <c r="R47" s="29"/>
    </row>
    <row r="48" spans="2:18" ht="15" customHeight="1" x14ac:dyDescent="0.25">
      <c r="B48" s="99"/>
      <c r="C48" s="99"/>
      <c r="D48" s="32"/>
      <c r="E48" s="32"/>
      <c r="F48" s="33"/>
      <c r="G48" s="34"/>
      <c r="H48" s="34"/>
      <c r="I48" s="34"/>
      <c r="J48" s="34"/>
      <c r="K48" s="34"/>
      <c r="L48" s="36"/>
      <c r="M48" s="36"/>
      <c r="N48" s="36"/>
      <c r="O48" s="36"/>
      <c r="P48" s="36"/>
      <c r="Q48" s="36"/>
      <c r="R48" s="36"/>
    </row>
    <row r="49" spans="3:12" ht="15" customHeight="1" x14ac:dyDescent="0.25">
      <c r="C49" s="99"/>
      <c r="D49" s="32"/>
      <c r="E49" s="32"/>
      <c r="F49" s="33"/>
      <c r="G49" s="34"/>
      <c r="H49" s="34"/>
      <c r="I49" s="34"/>
      <c r="J49" s="34"/>
      <c r="K49" s="34"/>
      <c r="L49" s="36"/>
    </row>
    <row r="50" spans="3:12" ht="15" customHeight="1" x14ac:dyDescent="0.25">
      <c r="C50" s="99"/>
      <c r="D50" s="32"/>
      <c r="E50" s="32"/>
      <c r="F50" s="33"/>
      <c r="G50" s="34"/>
      <c r="H50" s="34"/>
      <c r="I50" s="34"/>
      <c r="J50" s="34"/>
      <c r="K50" s="34"/>
      <c r="L50" s="36"/>
    </row>
    <row r="51" spans="3:12" ht="15" customHeight="1" x14ac:dyDescent="0.25">
      <c r="C51" s="99"/>
      <c r="D51" s="32"/>
      <c r="E51" s="32"/>
      <c r="F51" s="33"/>
      <c r="G51" s="34"/>
      <c r="H51" s="34"/>
      <c r="I51" s="34"/>
      <c r="J51" s="34"/>
      <c r="K51" s="34"/>
      <c r="L51" s="36"/>
    </row>
  </sheetData>
  <sheetProtection algorithmName="SHA-512" hashValue="lC6Q9FyLzIYFMfeRmq+JerXlgAliq9nhmMiXTR+IHlaLTRcbEBE9mnu8okPEyTRi+SCfn0WdjwAM+kUUM/mWlA==" saltValue="VV/4Zhd+tfqLQ8+UtfvBZw==" spinCount="100000" sheet="1" objects="1" scenarios="1"/>
  <mergeCells count="6">
    <mergeCell ref="D30:D32"/>
    <mergeCell ref="E5:H5"/>
    <mergeCell ref="F13:G13"/>
    <mergeCell ref="D14:D16"/>
    <mergeCell ref="D17:D19"/>
    <mergeCell ref="D25:D27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AB19-54E9-48AD-BA1E-8D897C7DD532}">
  <sheetPr>
    <tabColor theme="0" tint="-0.499984740745262"/>
    <pageSetUpPr fitToPage="1"/>
  </sheetPr>
  <dimension ref="A1:P95"/>
  <sheetViews>
    <sheetView showGridLines="0" zoomScaleNormal="100" workbookViewId="0">
      <selection activeCell="F10" sqref="F10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115" customFormat="1" ht="21" customHeight="1" x14ac:dyDescent="0.2">
      <c r="A1" s="114"/>
      <c r="B1" s="114"/>
      <c r="C1" s="114"/>
      <c r="D1" s="114"/>
      <c r="E1" s="114"/>
      <c r="F1" s="114"/>
      <c r="G1" s="114"/>
      <c r="H1" s="114"/>
    </row>
    <row r="2" spans="1:10" s="115" customFormat="1" ht="21" customHeight="1" x14ac:dyDescent="0.3">
      <c r="A2" s="114"/>
      <c r="B2" s="116" t="s">
        <v>0</v>
      </c>
      <c r="C2" s="117"/>
      <c r="D2" s="117"/>
      <c r="E2" s="117"/>
      <c r="F2" s="117"/>
      <c r="G2" s="118"/>
      <c r="H2" s="118"/>
    </row>
    <row r="3" spans="1:10" s="115" customFormat="1" ht="21" customHeight="1" x14ac:dyDescent="0.25">
      <c r="A3" s="114"/>
      <c r="B3" s="119" t="s">
        <v>33</v>
      </c>
      <c r="C3" s="117"/>
      <c r="D3" s="117"/>
      <c r="E3" s="117"/>
      <c r="F3" s="117"/>
      <c r="G3" s="118"/>
      <c r="H3" s="118"/>
    </row>
    <row r="4" spans="1:10" s="115" customFormat="1" ht="24.75" x14ac:dyDescent="0.3">
      <c r="A4" s="114"/>
      <c r="B4" s="120" t="s">
        <v>34</v>
      </c>
      <c r="C4" s="117"/>
      <c r="D4" s="117"/>
      <c r="E4" s="117"/>
      <c r="F4" s="117"/>
      <c r="G4" s="118"/>
      <c r="H4" s="118"/>
    </row>
    <row r="5" spans="1:10" s="115" customFormat="1" ht="21" customHeight="1" x14ac:dyDescent="0.2">
      <c r="A5" s="114"/>
      <c r="B5" s="121" t="s">
        <v>35</v>
      </c>
      <c r="C5" s="117"/>
      <c r="D5" s="117"/>
      <c r="E5" s="117"/>
      <c r="F5" s="117"/>
      <c r="G5" s="118"/>
      <c r="H5" s="118"/>
    </row>
    <row r="6" spans="1:10" s="115" customFormat="1" ht="21" customHeight="1" x14ac:dyDescent="0.2">
      <c r="A6" s="114"/>
      <c r="B6" s="122" t="s">
        <v>36</v>
      </c>
      <c r="C6" s="117"/>
      <c r="D6" s="117"/>
      <c r="E6" s="117"/>
      <c r="F6" s="117"/>
      <c r="G6" s="118"/>
      <c r="H6" s="118"/>
    </row>
    <row r="7" spans="1:10" s="114" customFormat="1" ht="15" customHeight="1" thickBot="1" x14ac:dyDescent="0.25">
      <c r="B7" s="123"/>
      <c r="C7" s="124"/>
      <c r="D7" s="124"/>
      <c r="E7" s="124"/>
      <c r="F7" s="125"/>
      <c r="G7" s="126"/>
      <c r="H7" s="126"/>
      <c r="J7" s="127"/>
    </row>
    <row r="8" spans="1:10" s="115" customFormat="1" ht="15" customHeight="1" x14ac:dyDescent="0.2">
      <c r="A8" s="114"/>
    </row>
    <row r="9" spans="1:10" s="115" customFormat="1" ht="27.95" customHeight="1" x14ac:dyDescent="0.2">
      <c r="A9" s="128"/>
      <c r="B9" s="128"/>
      <c r="D9" s="206" t="s">
        <v>37</v>
      </c>
      <c r="E9" s="206"/>
      <c r="F9" s="193">
        <f>'Perceel 2'!R46</f>
        <v>0</v>
      </c>
    </row>
    <row r="10" spans="1:10" s="115" customFormat="1" ht="12.75" customHeight="1" x14ac:dyDescent="0.2">
      <c r="B10" s="128"/>
      <c r="C10" s="128"/>
    </row>
    <row r="11" spans="1:10" s="115" customFormat="1" ht="27.95" customHeight="1" x14ac:dyDescent="0.2">
      <c r="A11" s="129"/>
      <c r="B11" s="130"/>
      <c r="C11" s="130"/>
      <c r="D11" s="207" t="s">
        <v>38</v>
      </c>
      <c r="E11" s="208"/>
      <c r="F11" s="131" t="s">
        <v>39</v>
      </c>
      <c r="G11" s="209" t="s">
        <v>40</v>
      </c>
      <c r="H11" s="210"/>
    </row>
    <row r="12" spans="1:10" s="115" customFormat="1" ht="27.95" customHeight="1" x14ac:dyDescent="0.2">
      <c r="A12" s="129"/>
      <c r="B12" s="130"/>
      <c r="C12" s="130"/>
      <c r="D12" s="211" t="s">
        <v>41</v>
      </c>
      <c r="E12" s="212"/>
      <c r="F12" s="132">
        <f>+DATA!G41</f>
        <v>150</v>
      </c>
      <c r="G12" s="133">
        <f>+F12/DATA!$G$40*100</f>
        <v>75</v>
      </c>
      <c r="H12" s="134" t="s">
        <v>42</v>
      </c>
    </row>
    <row r="13" spans="1:10" s="115" customFormat="1" ht="27.95" customHeight="1" x14ac:dyDescent="0.2">
      <c r="A13" s="129"/>
      <c r="B13" s="130"/>
      <c r="C13" s="130"/>
      <c r="D13" s="211" t="s">
        <v>43</v>
      </c>
      <c r="E13" s="212"/>
      <c r="F13" s="135"/>
      <c r="G13" s="133">
        <f>+F13/DATA!$G$40*100</f>
        <v>0</v>
      </c>
      <c r="H13" s="134" t="s">
        <v>42</v>
      </c>
    </row>
    <row r="14" spans="1:10" s="115" customFormat="1" ht="27.95" customHeight="1" x14ac:dyDescent="0.2">
      <c r="A14" s="129"/>
      <c r="B14" s="129"/>
      <c r="C14" s="130"/>
      <c r="D14" s="136"/>
      <c r="E14" s="137" t="s">
        <v>44</v>
      </c>
      <c r="F14" s="138">
        <f>SUM(F12:F13)</f>
        <v>150</v>
      </c>
      <c r="G14" s="133">
        <f>SUM(G12:G13)</f>
        <v>75</v>
      </c>
      <c r="H14" s="134" t="s">
        <v>42</v>
      </c>
    </row>
    <row r="15" spans="1:10" s="115" customFormat="1" ht="27.95" customHeight="1" x14ac:dyDescent="0.2">
      <c r="A15" s="129"/>
      <c r="B15" s="129"/>
      <c r="C15" s="130"/>
      <c r="D15" s="213" t="s">
        <v>45</v>
      </c>
      <c r="E15" s="214"/>
      <c r="F15" s="139">
        <f>+DATA!E7</f>
        <v>0.97435624709194002</v>
      </c>
    </row>
    <row r="16" spans="1:10" s="115" customFormat="1" ht="27.95" customHeight="1" x14ac:dyDescent="0.2">
      <c r="A16" s="129"/>
      <c r="B16" s="130"/>
      <c r="C16" s="130"/>
      <c r="D16" s="140" t="s">
        <v>46</v>
      </c>
      <c r="E16" s="141" t="str">
        <f>"Eigen inschatting door Inschrijver. Waarde tussen 0 en "&amp;F20&amp;" punten."</f>
        <v>Eigen inschatting door Inschrijver. Waarde tussen 0 en 50 punten.</v>
      </c>
      <c r="F16" s="142"/>
      <c r="G16" s="143"/>
      <c r="H16" s="144"/>
    </row>
    <row r="17" spans="1:12" s="115" customFormat="1" ht="27.95" customHeight="1" x14ac:dyDescent="0.2">
      <c r="A17" s="129"/>
      <c r="B17" s="129"/>
      <c r="C17" s="130"/>
      <c r="D17" s="145"/>
      <c r="E17" s="144"/>
      <c r="F17" s="144"/>
      <c r="G17" s="144"/>
    </row>
    <row r="18" spans="1:12" s="115" customFormat="1" ht="27.95" customHeight="1" x14ac:dyDescent="0.2">
      <c r="A18" s="129"/>
      <c r="B18" s="129"/>
      <c r="C18" s="130"/>
      <c r="D18" s="207" t="s">
        <v>47</v>
      </c>
      <c r="E18" s="208"/>
      <c r="F18" s="146" t="s">
        <v>48</v>
      </c>
      <c r="G18" s="209" t="s">
        <v>40</v>
      </c>
      <c r="H18" s="210"/>
    </row>
    <row r="19" spans="1:12" s="115" customFormat="1" ht="27.95" customHeight="1" x14ac:dyDescent="0.2">
      <c r="A19" s="129"/>
      <c r="B19" s="129"/>
      <c r="C19" s="130"/>
      <c r="D19" s="206" t="s">
        <v>49</v>
      </c>
      <c r="E19" s="206"/>
      <c r="F19" s="138">
        <f>DATA!G41</f>
        <v>150</v>
      </c>
      <c r="G19" s="133">
        <f>+F19/DATA!$G$40*100</f>
        <v>75</v>
      </c>
      <c r="H19" s="134" t="s">
        <v>42</v>
      </c>
    </row>
    <row r="20" spans="1:12" s="115" customFormat="1" ht="27.95" customHeight="1" x14ac:dyDescent="0.2">
      <c r="A20" s="129"/>
      <c r="B20" s="129"/>
      <c r="C20" s="130"/>
      <c r="D20" s="206" t="s">
        <v>50</v>
      </c>
      <c r="E20" s="206"/>
      <c r="F20" s="138">
        <f>DATA!G42</f>
        <v>50</v>
      </c>
      <c r="G20" s="133">
        <f>+F20/DATA!$G$40*100</f>
        <v>25</v>
      </c>
      <c r="H20" s="134" t="s">
        <v>42</v>
      </c>
      <c r="J20" s="147"/>
      <c r="K20" s="147"/>
      <c r="L20" s="147"/>
    </row>
    <row r="21" spans="1:12" s="115" customFormat="1" ht="27.95" customHeight="1" x14ac:dyDescent="0.2">
      <c r="A21" s="129"/>
      <c r="B21" s="130"/>
      <c r="C21" s="130"/>
      <c r="D21" s="206" t="s">
        <v>17</v>
      </c>
      <c r="E21" s="206"/>
      <c r="F21" s="138">
        <f>SUM(F19:F20)</f>
        <v>200</v>
      </c>
      <c r="G21" s="133">
        <f>+F21/DATA!$G$40*100</f>
        <v>100</v>
      </c>
      <c r="H21" s="134" t="s">
        <v>42</v>
      </c>
    </row>
    <row r="22" spans="1:12" s="115" customFormat="1" ht="27.95" customHeight="1" x14ac:dyDescent="0.2">
      <c r="A22" s="129"/>
      <c r="B22" s="130"/>
      <c r="C22" s="130"/>
      <c r="D22" s="205"/>
      <c r="E22" s="205"/>
      <c r="F22" s="148"/>
      <c r="G22" s="149"/>
      <c r="H22" s="150"/>
    </row>
    <row r="23" spans="1:12" s="115" customFormat="1" ht="27.95" customHeight="1" x14ac:dyDescent="0.2">
      <c r="A23" s="129"/>
      <c r="B23" s="130"/>
      <c r="C23" s="130"/>
      <c r="D23" s="128"/>
      <c r="E23" s="128"/>
      <c r="F23" s="128"/>
      <c r="G23" s="128"/>
      <c r="H23" s="128"/>
    </row>
    <row r="24" spans="1:12" s="115" customFormat="1" ht="27.95" customHeight="1" x14ac:dyDescent="0.2">
      <c r="A24" s="129"/>
      <c r="B24" s="130"/>
      <c r="C24" s="130"/>
      <c r="D24" s="128"/>
      <c r="E24" s="128"/>
      <c r="F24" s="128"/>
      <c r="G24" s="128"/>
      <c r="H24" s="128"/>
    </row>
    <row r="25" spans="1:12" s="115" customFormat="1" ht="27.95" customHeight="1" x14ac:dyDescent="0.2">
      <c r="A25" s="129"/>
      <c r="B25" s="130"/>
      <c r="C25" s="130"/>
      <c r="D25" s="128"/>
      <c r="E25" s="128"/>
      <c r="F25" s="128"/>
      <c r="G25" s="128"/>
      <c r="H25" s="128"/>
    </row>
    <row r="26" spans="1:12" s="115" customFormat="1" ht="27.95" customHeight="1" x14ac:dyDescent="0.2">
      <c r="A26" s="129"/>
      <c r="B26" s="130"/>
      <c r="C26" s="130"/>
      <c r="D26" s="128"/>
      <c r="E26" s="128"/>
      <c r="F26" s="128"/>
      <c r="G26" s="128"/>
      <c r="H26" s="128"/>
    </row>
    <row r="27" spans="1:12" s="115" customFormat="1" ht="27.75" customHeight="1" x14ac:dyDescent="0.2">
      <c r="A27" s="114"/>
      <c r="B27" s="130"/>
      <c r="C27" s="130"/>
      <c r="D27" s="128"/>
      <c r="E27" s="128"/>
      <c r="F27" s="128"/>
      <c r="G27" s="128"/>
      <c r="H27" s="128"/>
    </row>
    <row r="28" spans="1:12" s="115" customFormat="1" ht="15" customHeight="1" thickBot="1" x14ac:dyDescent="0.25">
      <c r="A28" s="114"/>
      <c r="B28" s="123"/>
      <c r="C28" s="124"/>
      <c r="D28" s="124"/>
      <c r="E28" s="124"/>
      <c r="F28" s="125"/>
      <c r="G28" s="126"/>
      <c r="H28" s="126"/>
    </row>
    <row r="29" spans="1:12" s="115" customFormat="1" ht="15" customHeight="1" x14ac:dyDescent="0.2"/>
    <row r="30" spans="1:12" s="115" customFormat="1" ht="27.95" hidden="1" customHeight="1" x14ac:dyDescent="0.2">
      <c r="B30" s="128"/>
    </row>
    <row r="31" spans="1:12" s="115" customFormat="1" ht="27.95" hidden="1" customHeight="1" x14ac:dyDescent="0.2">
      <c r="B31" s="128"/>
    </row>
    <row r="32" spans="1:12" s="115" customFormat="1" ht="27.95" hidden="1" customHeight="1" x14ac:dyDescent="0.2">
      <c r="B32" s="128"/>
    </row>
    <row r="33" spans="2:16" s="115" customFormat="1" ht="27.95" hidden="1" customHeight="1" x14ac:dyDescent="0.2">
      <c r="B33" s="128"/>
    </row>
    <row r="34" spans="2:16" s="115" customFormat="1" ht="27.95" hidden="1" customHeight="1" x14ac:dyDescent="0.2">
      <c r="B34" s="128"/>
    </row>
    <row r="35" spans="2:16" s="115" customFormat="1" ht="27.95" hidden="1" customHeight="1" x14ac:dyDescent="0.2">
      <c r="B35" s="128"/>
      <c r="P35" s="115" t="s">
        <v>51</v>
      </c>
    </row>
    <row r="36" spans="2:16" s="115" customFormat="1" ht="27.95" hidden="1" customHeight="1" x14ac:dyDescent="0.2">
      <c r="B36" s="128"/>
    </row>
    <row r="37" spans="2:16" s="115" customFormat="1" ht="27.95" hidden="1" customHeight="1" x14ac:dyDescent="0.25">
      <c r="B37" s="128"/>
      <c r="G37" s="5"/>
    </row>
    <row r="38" spans="2:16" s="115" customFormat="1" ht="27.95" hidden="1" customHeight="1" x14ac:dyDescent="0.25">
      <c r="B38" s="128"/>
      <c r="G38" s="5"/>
    </row>
    <row r="39" spans="2:16" s="115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51" t="s">
        <v>44</v>
      </c>
      <c r="D83" s="152"/>
      <c r="E83" s="153">
        <v>1650</v>
      </c>
      <c r="F83" s="154" t="e">
        <f>+E83/Qmax*100</f>
        <v>#NAME?</v>
      </c>
      <c r="G83" s="134" t="s">
        <v>42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6XnEy/muTyk7lApJnvY9NqFpf2dIufpaUlYLgUo9TKDmd68/G+F2HLK7yAuYHgTpy7V2gbrcAs27+vp2yW9Wjw==" saltValue="HcGcMkf45dHlwYYz2zAtRw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0347-9A29-4EA0-9B75-409F0944E1F8}">
  <dimension ref="A1:AE80"/>
  <sheetViews>
    <sheetView showGridLines="0" zoomScaleNormal="100" workbookViewId="0">
      <selection activeCell="C9" sqref="C9:J10"/>
    </sheetView>
  </sheetViews>
  <sheetFormatPr defaultColWidth="0" defaultRowHeight="15" zeroHeight="1" x14ac:dyDescent="0.25"/>
  <cols>
    <col min="1" max="1" width="3.7109375" style="155" customWidth="1"/>
    <col min="2" max="27" width="21.7109375" style="155" customWidth="1"/>
    <col min="28" max="28" width="3.7109375" style="155" customWidth="1"/>
    <col min="29" max="31" width="21.7109375" style="155" hidden="1" customWidth="1"/>
    <col min="32" max="16384" width="9.140625" style="155" hidden="1"/>
  </cols>
  <sheetData>
    <row r="1" spans="2:28" ht="21" customHeight="1" x14ac:dyDescent="0.25">
      <c r="AB1" s="156"/>
    </row>
    <row r="2" spans="2:28" s="156" customFormat="1" ht="21" customHeight="1" x14ac:dyDescent="0.2">
      <c r="B2" s="215" t="s">
        <v>52</v>
      </c>
      <c r="C2" s="215"/>
      <c r="D2" s="215"/>
      <c r="E2" s="215"/>
    </row>
    <row r="3" spans="2:28" s="156" customFormat="1" ht="21" customHeight="1" x14ac:dyDescent="0.2">
      <c r="B3" s="215"/>
      <c r="C3" s="215"/>
      <c r="D3" s="215"/>
      <c r="E3" s="215"/>
    </row>
    <row r="4" spans="2:28" s="156" customFormat="1" ht="21" customHeight="1" x14ac:dyDescent="0.2">
      <c r="B4" s="215"/>
      <c r="C4" s="215"/>
      <c r="D4" s="215"/>
      <c r="E4" s="215"/>
    </row>
    <row r="5" spans="2:28" s="156" customFormat="1" ht="21" customHeight="1" x14ac:dyDescent="0.2">
      <c r="B5" s="157"/>
    </row>
    <row r="6" spans="2:28" s="156" customFormat="1" ht="27.95" customHeight="1" x14ac:dyDescent="0.2">
      <c r="B6" s="158" t="s">
        <v>53</v>
      </c>
    </row>
    <row r="7" spans="2:28" s="156" customFormat="1" ht="27.95" customHeight="1" x14ac:dyDescent="0.2">
      <c r="B7" s="159" t="s">
        <v>54</v>
      </c>
      <c r="C7" s="160">
        <f>+'BPK-Grafiek'!$F$9</f>
        <v>0</v>
      </c>
      <c r="D7" s="161">
        <f>+'BPK-Grafiek'!$F$14</f>
        <v>150</v>
      </c>
      <c r="E7" s="162">
        <f>IFERROR((0.5*($C$7/$G$38)^$F$38+0.5*(2-$D$7/$H$38)^$F$38)^(1/$F$38),0)</f>
        <v>0.97435624709194002</v>
      </c>
      <c r="F7" s="163">
        <f>+D7/G40*100</f>
        <v>75</v>
      </c>
    </row>
    <row r="8" spans="2:28" s="156" customFormat="1" ht="27.95" customHeight="1" x14ac:dyDescent="0.2"/>
    <row r="9" spans="2:28" s="166" customFormat="1" ht="27.95" customHeight="1" x14ac:dyDescent="0.25">
      <c r="B9" s="164" t="s">
        <v>55</v>
      </c>
      <c r="C9" s="216" t="s">
        <v>97</v>
      </c>
      <c r="D9" s="216"/>
      <c r="E9" s="216"/>
      <c r="F9" s="216"/>
      <c r="G9" s="216"/>
      <c r="H9" s="216"/>
      <c r="I9" s="216"/>
      <c r="J9" s="216"/>
      <c r="K9" s="165"/>
      <c r="L9" s="165"/>
    </row>
    <row r="10" spans="2:28" s="166" customFormat="1" ht="27.95" customHeight="1" x14ac:dyDescent="0.25">
      <c r="C10" s="216"/>
      <c r="D10" s="216"/>
      <c r="E10" s="216"/>
      <c r="F10" s="216"/>
      <c r="G10" s="216"/>
      <c r="H10" s="216"/>
      <c r="I10" s="216"/>
      <c r="J10" s="216"/>
    </row>
    <row r="11" spans="2:28" s="156" customFormat="1" ht="27.95" customHeight="1" x14ac:dyDescent="0.2">
      <c r="B11" s="167" t="s">
        <v>56</v>
      </c>
      <c r="C11" s="168" t="s">
        <v>57</v>
      </c>
      <c r="D11" s="168" t="s">
        <v>58</v>
      </c>
      <c r="E11" s="168" t="s">
        <v>59</v>
      </c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</row>
    <row r="12" spans="2:28" s="156" customFormat="1" ht="27.95" customHeight="1" x14ac:dyDescent="0.2">
      <c r="B12" s="170" t="s">
        <v>60</v>
      </c>
      <c r="C12" s="171">
        <v>2380000</v>
      </c>
      <c r="D12" s="172">
        <v>167</v>
      </c>
      <c r="E12" s="173">
        <v>1</v>
      </c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</row>
    <row r="13" spans="2:28" s="156" customFormat="1" ht="27.95" customHeight="1" x14ac:dyDescent="0.2">
      <c r="B13" s="170" t="s">
        <v>61</v>
      </c>
      <c r="C13" s="171">
        <v>2617866.4387928625</v>
      </c>
      <c r="D13" s="172">
        <v>200</v>
      </c>
      <c r="E13" s="173">
        <v>1.0000103427043121</v>
      </c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</row>
    <row r="14" spans="2:28" s="156" customFormat="1" ht="27.95" customHeight="1" x14ac:dyDescent="0.2">
      <c r="B14" s="170" t="s">
        <v>62</v>
      </c>
      <c r="C14" s="171">
        <v>0</v>
      </c>
      <c r="D14" s="172">
        <v>145.15736615928134</v>
      </c>
      <c r="E14" s="173">
        <v>1</v>
      </c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</row>
    <row r="15" spans="2:28" s="156" customFormat="1" ht="27.95" customHeight="1" x14ac:dyDescent="0.2"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</row>
    <row r="16" spans="2:28" s="156" customFormat="1" ht="27.95" customHeight="1" x14ac:dyDescent="0.2">
      <c r="B16" s="174" t="s">
        <v>63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</row>
    <row r="17" spans="2:27" s="156" customFormat="1" ht="27.95" customHeight="1" x14ac:dyDescent="0.2">
      <c r="B17" s="169"/>
      <c r="C17" s="168" t="s">
        <v>64</v>
      </c>
      <c r="D17" s="175">
        <v>0</v>
      </c>
      <c r="E17" s="175">
        <v>1.2500000000000001E-2</v>
      </c>
      <c r="F17" s="175">
        <v>2.5000000000000001E-2</v>
      </c>
      <c r="G17" s="175">
        <v>0.05</v>
      </c>
      <c r="H17" s="175">
        <v>0.1</v>
      </c>
      <c r="I17" s="175">
        <v>0.15</v>
      </c>
      <c r="J17" s="175">
        <v>0.2</v>
      </c>
      <c r="K17" s="175">
        <v>0.25</v>
      </c>
      <c r="L17" s="175">
        <v>0.3</v>
      </c>
      <c r="M17" s="175">
        <v>0.35</v>
      </c>
      <c r="N17" s="175">
        <v>0.4</v>
      </c>
      <c r="O17" s="175">
        <v>0.45</v>
      </c>
      <c r="P17" s="175">
        <v>0.5</v>
      </c>
      <c r="Q17" s="175">
        <v>0.55000000000000004</v>
      </c>
      <c r="R17" s="175">
        <v>0.6</v>
      </c>
      <c r="S17" s="175">
        <v>0.65</v>
      </c>
      <c r="T17" s="175">
        <v>0.7</v>
      </c>
      <c r="U17" s="175">
        <v>0.75</v>
      </c>
      <c r="V17" s="175">
        <v>0.8</v>
      </c>
      <c r="W17" s="175">
        <v>0.85</v>
      </c>
      <c r="X17" s="175">
        <v>0.9</v>
      </c>
      <c r="Y17" s="175">
        <v>0.95</v>
      </c>
      <c r="Z17" s="175">
        <v>1</v>
      </c>
      <c r="AA17" s="176">
        <v>0</v>
      </c>
    </row>
    <row r="18" spans="2:27" s="156" customFormat="1" ht="27.95" customHeight="1" x14ac:dyDescent="0.2">
      <c r="B18" s="177" t="s">
        <v>65</v>
      </c>
      <c r="C18" s="175">
        <v>145.15736615928134</v>
      </c>
      <c r="D18" s="175">
        <v>145.15736615928134</v>
      </c>
      <c r="E18" s="175">
        <v>145.84289908229033</v>
      </c>
      <c r="F18" s="175">
        <v>146.52843200529929</v>
      </c>
      <c r="G18" s="175">
        <v>147.89949785131728</v>
      </c>
      <c r="H18" s="175">
        <v>150.64162954335319</v>
      </c>
      <c r="I18" s="175">
        <v>153.38376123538913</v>
      </c>
      <c r="J18" s="175">
        <v>156.12589292742507</v>
      </c>
      <c r="K18" s="175">
        <v>158.86802461946101</v>
      </c>
      <c r="L18" s="175">
        <v>161.61015631149695</v>
      </c>
      <c r="M18" s="175">
        <v>164.35228800353286</v>
      </c>
      <c r="N18" s="175">
        <v>167.0944196955688</v>
      </c>
      <c r="O18" s="175">
        <v>169.83655138760474</v>
      </c>
      <c r="P18" s="175">
        <v>172.57868307964065</v>
      </c>
      <c r="Q18" s="175">
        <v>175.3208147716766</v>
      </c>
      <c r="R18" s="175">
        <v>178.06294646371254</v>
      </c>
      <c r="S18" s="175">
        <v>180.80507815574848</v>
      </c>
      <c r="T18" s="175">
        <v>183.54720984778442</v>
      </c>
      <c r="U18" s="175">
        <v>186.28934153982033</v>
      </c>
      <c r="V18" s="175">
        <v>189.03147323185627</v>
      </c>
      <c r="W18" s="175">
        <v>191.77360492389221</v>
      </c>
      <c r="X18" s="175">
        <v>194.51573661592812</v>
      </c>
      <c r="Y18" s="175">
        <v>197.25786830796406</v>
      </c>
      <c r="Z18" s="175">
        <v>200</v>
      </c>
      <c r="AA18" s="175" t="s">
        <v>59</v>
      </c>
    </row>
    <row r="19" spans="2:27" s="156" customFormat="1" ht="27.95" customHeight="1" x14ac:dyDescent="0.2">
      <c r="B19" s="177" t="s">
        <v>66</v>
      </c>
      <c r="C19" s="175"/>
      <c r="D19" s="175">
        <v>0</v>
      </c>
      <c r="E19" s="175">
        <v>1348385.5697619529</v>
      </c>
      <c r="F19" s="175">
        <v>1522472.8999294562</v>
      </c>
      <c r="G19" s="175">
        <v>1716476.1540352833</v>
      </c>
      <c r="H19" s="175">
        <v>1929453.2245373733</v>
      </c>
      <c r="I19" s="175">
        <v>2061009.7384314665</v>
      </c>
      <c r="J19" s="175">
        <v>2156060.2587012155</v>
      </c>
      <c r="K19" s="175">
        <v>2229863.5367123662</v>
      </c>
      <c r="L19" s="175">
        <v>2289599.8070424143</v>
      </c>
      <c r="M19" s="175">
        <v>2339267.7744181762</v>
      </c>
      <c r="N19" s="175">
        <v>2381342.1018972094</v>
      </c>
      <c r="O19" s="175">
        <v>2417470.1761578289</v>
      </c>
      <c r="P19" s="175">
        <v>2448809.1789898225</v>
      </c>
      <c r="Q19" s="175">
        <v>2476206.2420795932</v>
      </c>
      <c r="R19" s="175">
        <v>2500302.2190787229</v>
      </c>
      <c r="S19" s="175">
        <v>2521595.0597408796</v>
      </c>
      <c r="T19" s="175">
        <v>2540480.3766449261</v>
      </c>
      <c r="U19" s="175">
        <v>2557278.4369163518</v>
      </c>
      <c r="V19" s="175">
        <v>2572252.7130746162</v>
      </c>
      <c r="W19" s="175">
        <v>2585622.9886275483</v>
      </c>
      <c r="X19" s="175">
        <v>2597574.8387293238</v>
      </c>
      <c r="Y19" s="175">
        <v>2608266.6312277825</v>
      </c>
      <c r="Z19" s="175">
        <v>2617834.7908287859</v>
      </c>
      <c r="AA19" s="175">
        <v>1</v>
      </c>
    </row>
    <row r="20" spans="2:27" s="156" customFormat="1" ht="27.95" customHeight="1" x14ac:dyDescent="0.2">
      <c r="B20" s="178"/>
      <c r="C20" s="175"/>
      <c r="D20" s="175">
        <v>72.578683079640669</v>
      </c>
      <c r="E20" s="175">
        <v>72.921449541145165</v>
      </c>
      <c r="F20" s="175">
        <v>73.264216002649647</v>
      </c>
      <c r="G20" s="175">
        <v>73.949748925658639</v>
      </c>
      <c r="H20" s="175">
        <v>75.320814771676595</v>
      </c>
      <c r="I20" s="175">
        <v>76.691880617694565</v>
      </c>
      <c r="J20" s="175">
        <v>78.062946463712535</v>
      </c>
      <c r="K20" s="175">
        <v>79.434012309730505</v>
      </c>
      <c r="L20" s="175">
        <v>80.805078155748475</v>
      </c>
      <c r="M20" s="175">
        <v>82.176144001766431</v>
      </c>
      <c r="N20" s="175">
        <v>83.547209847784401</v>
      </c>
      <c r="O20" s="175">
        <v>84.918275693802372</v>
      </c>
      <c r="P20" s="175">
        <v>86.289341539820327</v>
      </c>
      <c r="Q20" s="175">
        <v>87.660407385838298</v>
      </c>
      <c r="R20" s="175">
        <v>89.031473231856268</v>
      </c>
      <c r="S20" s="175">
        <v>90.402539077874238</v>
      </c>
      <c r="T20" s="175">
        <v>91.773604923892208</v>
      </c>
      <c r="U20" s="175">
        <v>93.144670769910164</v>
      </c>
      <c r="V20" s="175">
        <v>94.515736615928134</v>
      </c>
      <c r="W20" s="175">
        <v>95.886802461946104</v>
      </c>
      <c r="X20" s="175">
        <v>97.25786830796406</v>
      </c>
      <c r="Y20" s="175">
        <v>98.62893415398203</v>
      </c>
      <c r="Z20" s="175">
        <v>100</v>
      </c>
      <c r="AA20" s="175">
        <v>0</v>
      </c>
    </row>
    <row r="21" spans="2:27" s="156" customFormat="1" ht="27.95" customHeight="1" x14ac:dyDescent="0.2">
      <c r="B21" s="177" t="s">
        <v>67</v>
      </c>
      <c r="C21" s="175">
        <v>164.0416295433532</v>
      </c>
      <c r="D21" s="175">
        <v>164.0416295433532</v>
      </c>
      <c r="E21" s="175">
        <v>164.49110917406128</v>
      </c>
      <c r="F21" s="175">
        <v>164.94058880476936</v>
      </c>
      <c r="G21" s="175">
        <v>165.83954806618553</v>
      </c>
      <c r="H21" s="175">
        <v>167.63746658901789</v>
      </c>
      <c r="I21" s="175">
        <v>169.43538511185022</v>
      </c>
      <c r="J21" s="175">
        <v>171.23330363468256</v>
      </c>
      <c r="K21" s="175">
        <v>173.03122215751489</v>
      </c>
      <c r="L21" s="175">
        <v>174.82914068034722</v>
      </c>
      <c r="M21" s="175">
        <v>176.62705920317958</v>
      </c>
      <c r="N21" s="175">
        <v>178.42497772601192</v>
      </c>
      <c r="O21" s="175">
        <v>180.22289624884425</v>
      </c>
      <c r="P21" s="175">
        <v>182.02081477167661</v>
      </c>
      <c r="Q21" s="175">
        <v>183.81873329450895</v>
      </c>
      <c r="R21" s="175">
        <v>185.61665181734128</v>
      </c>
      <c r="S21" s="175">
        <v>187.41457034017361</v>
      </c>
      <c r="T21" s="175">
        <v>189.21248886300594</v>
      </c>
      <c r="U21" s="175">
        <v>191.01040738583831</v>
      </c>
      <c r="V21" s="175">
        <v>192.80832590867064</v>
      </c>
      <c r="W21" s="175">
        <v>194.60624443150297</v>
      </c>
      <c r="X21" s="175">
        <v>196.40416295433533</v>
      </c>
      <c r="Y21" s="175">
        <v>198.20208147716767</v>
      </c>
      <c r="Z21" s="175">
        <v>200</v>
      </c>
      <c r="AA21" s="175" t="s">
        <v>59</v>
      </c>
    </row>
    <row r="22" spans="2:27" s="156" customFormat="1" ht="27.95" customHeight="1" x14ac:dyDescent="0.2">
      <c r="B22" s="177" t="s">
        <v>68</v>
      </c>
      <c r="C22" s="175"/>
      <c r="D22" s="175">
        <v>0</v>
      </c>
      <c r="E22" s="175">
        <v>1147725.5791800988</v>
      </c>
      <c r="F22" s="175">
        <v>1296430.9969269352</v>
      </c>
      <c r="G22" s="175">
        <v>1462813.4642268363</v>
      </c>
      <c r="H22" s="175">
        <v>1646972.3226817197</v>
      </c>
      <c r="I22" s="175">
        <v>1762098.4325738733</v>
      </c>
      <c r="J22" s="175">
        <v>1846315.0758035309</v>
      </c>
      <c r="K22" s="175">
        <v>1912556.3661951018</v>
      </c>
      <c r="L22" s="175">
        <v>1966900.1247741187</v>
      </c>
      <c r="M22" s="175">
        <v>2012726.0086745648</v>
      </c>
      <c r="N22" s="175">
        <v>2052122.1271716596</v>
      </c>
      <c r="O22" s="175">
        <v>2086476.0276460471</v>
      </c>
      <c r="P22" s="175">
        <v>2116760.4449427249</v>
      </c>
      <c r="Q22" s="175">
        <v>2143685.9486904219</v>
      </c>
      <c r="R22" s="175">
        <v>2167788.8280818686</v>
      </c>
      <c r="S22" s="175">
        <v>2189484.7392092128</v>
      </c>
      <c r="T22" s="175">
        <v>2209103.0313309776</v>
      </c>
      <c r="U22" s="175">
        <v>2226909.5781953335</v>
      </c>
      <c r="V22" s="175">
        <v>2243122.4649730767</v>
      </c>
      <c r="W22" s="175">
        <v>2257923.0683190632</v>
      </c>
      <c r="X22" s="175">
        <v>2271464.0709449011</v>
      </c>
      <c r="Y22" s="175">
        <v>2283875.3801595801</v>
      </c>
      <c r="Z22" s="175">
        <v>2295268.5788072306</v>
      </c>
      <c r="AA22" s="175">
        <v>0.9</v>
      </c>
    </row>
    <row r="23" spans="2:27" s="156" customFormat="1" ht="27.95" customHeight="1" x14ac:dyDescent="0.2">
      <c r="B23" s="178"/>
      <c r="C23" s="175"/>
      <c r="D23" s="175">
        <v>82.020814771676598</v>
      </c>
      <c r="E23" s="175">
        <v>82.245554587030639</v>
      </c>
      <c r="F23" s="175">
        <v>82.470294402384681</v>
      </c>
      <c r="G23" s="175">
        <v>82.919774033092764</v>
      </c>
      <c r="H23" s="175">
        <v>83.818733294508945</v>
      </c>
      <c r="I23" s="175">
        <v>84.717692555925112</v>
      </c>
      <c r="J23" s="175">
        <v>85.616651817341278</v>
      </c>
      <c r="K23" s="175">
        <v>86.515611078757445</v>
      </c>
      <c r="L23" s="175">
        <v>87.414570340173611</v>
      </c>
      <c r="M23" s="175">
        <v>88.313529601589792</v>
      </c>
      <c r="N23" s="175">
        <v>89.212488863005959</v>
      </c>
      <c r="O23" s="175">
        <v>90.111448124422125</v>
      </c>
      <c r="P23" s="175">
        <v>91.010407385838306</v>
      </c>
      <c r="Q23" s="175">
        <v>91.909366647254473</v>
      </c>
      <c r="R23" s="175">
        <v>92.808325908670639</v>
      </c>
      <c r="S23" s="175">
        <v>93.707285170086806</v>
      </c>
      <c r="T23" s="175">
        <v>94.606244431502972</v>
      </c>
      <c r="U23" s="175">
        <v>95.505203692919153</v>
      </c>
      <c r="V23" s="175">
        <v>96.40416295433532</v>
      </c>
      <c r="W23" s="175">
        <v>97.303122215751486</v>
      </c>
      <c r="X23" s="175">
        <v>98.202081477167667</v>
      </c>
      <c r="Y23" s="175">
        <v>99.101040738583833</v>
      </c>
      <c r="Z23" s="175">
        <v>100</v>
      </c>
      <c r="AA23" s="175">
        <v>0</v>
      </c>
    </row>
    <row r="24" spans="2:27" s="156" customFormat="1" ht="27.95" customHeight="1" x14ac:dyDescent="0.2">
      <c r="B24" s="177" t="s">
        <v>69</v>
      </c>
      <c r="C24" s="175">
        <v>182.92589292742508</v>
      </c>
      <c r="D24" s="175">
        <v>182.92589292742508</v>
      </c>
      <c r="E24" s="175">
        <v>183.13931926583226</v>
      </c>
      <c r="F24" s="175">
        <v>183.35274560423946</v>
      </c>
      <c r="G24" s="175">
        <v>183.77959828105384</v>
      </c>
      <c r="H24" s="175">
        <v>184.63330363468256</v>
      </c>
      <c r="I24" s="175">
        <v>185.48700898831132</v>
      </c>
      <c r="J24" s="175">
        <v>186.34071434194007</v>
      </c>
      <c r="K24" s="175">
        <v>187.1944196955688</v>
      </c>
      <c r="L24" s="175">
        <v>188.04812504919755</v>
      </c>
      <c r="M24" s="175">
        <v>188.90183040282631</v>
      </c>
      <c r="N24" s="175">
        <v>189.75553575645506</v>
      </c>
      <c r="O24" s="175">
        <v>190.60924111008379</v>
      </c>
      <c r="P24" s="175">
        <v>191.46294646371254</v>
      </c>
      <c r="Q24" s="175">
        <v>192.3166518173413</v>
      </c>
      <c r="R24" s="175">
        <v>193.17035717097002</v>
      </c>
      <c r="S24" s="175">
        <v>194.02406252459878</v>
      </c>
      <c r="T24" s="175">
        <v>194.87776787822753</v>
      </c>
      <c r="U24" s="175">
        <v>195.73147323185628</v>
      </c>
      <c r="V24" s="175">
        <v>196.58517858548501</v>
      </c>
      <c r="W24" s="175">
        <v>197.43888393911377</v>
      </c>
      <c r="X24" s="175">
        <v>198.29258929274252</v>
      </c>
      <c r="Y24" s="175">
        <v>199.14629464637125</v>
      </c>
      <c r="Z24" s="175">
        <v>200</v>
      </c>
      <c r="AA24" s="175" t="s">
        <v>59</v>
      </c>
    </row>
    <row r="25" spans="2:27" s="156" customFormat="1" ht="27.95" customHeight="1" x14ac:dyDescent="0.2">
      <c r="B25" s="177" t="s">
        <v>70</v>
      </c>
      <c r="C25" s="175"/>
      <c r="D25" s="175">
        <v>0</v>
      </c>
      <c r="E25" s="175">
        <v>913303.6104243939</v>
      </c>
      <c r="F25" s="175">
        <v>1032158.6153191358</v>
      </c>
      <c r="G25" s="175">
        <v>1165803.9367030845</v>
      </c>
      <c r="H25" s="175">
        <v>1315226.6005749577</v>
      </c>
      <c r="I25" s="175">
        <v>1410003.3913442071</v>
      </c>
      <c r="J25" s="175">
        <v>1480366.5495508597</v>
      </c>
      <c r="K25" s="175">
        <v>1536556.8652480566</v>
      </c>
      <c r="L25" s="175">
        <v>1583379.0032881303</v>
      </c>
      <c r="M25" s="175">
        <v>1623500.3335050559</v>
      </c>
      <c r="N25" s="175">
        <v>1658566.0809125695</v>
      </c>
      <c r="O25" s="175">
        <v>1689667.5357487903</v>
      </c>
      <c r="P25" s="175">
        <v>1717568.2885786614</v>
      </c>
      <c r="Q25" s="175">
        <v>1742825.0057899905</v>
      </c>
      <c r="R25" s="175">
        <v>1765856.9194731454</v>
      </c>
      <c r="S25" s="175">
        <v>1786988.2188297852</v>
      </c>
      <c r="T25" s="175">
        <v>1806475.1572297327</v>
      </c>
      <c r="U25" s="175">
        <v>1824524.0707014285</v>
      </c>
      <c r="V25" s="175">
        <v>1841303.750613688</v>
      </c>
      <c r="W25" s="175">
        <v>1856954.1777180482</v>
      </c>
      <c r="X25" s="175">
        <v>1871592.8362555937</v>
      </c>
      <c r="Y25" s="175">
        <v>1885319.3743049344</v>
      </c>
      <c r="Z25" s="175">
        <v>1898219.1068141949</v>
      </c>
      <c r="AA25" s="175">
        <v>0.8</v>
      </c>
    </row>
    <row r="26" spans="2:27" s="156" customFormat="1" ht="27.95" customHeight="1" x14ac:dyDescent="0.2">
      <c r="B26" s="178"/>
      <c r="C26" s="175"/>
      <c r="D26" s="175">
        <v>91.462946463712541</v>
      </c>
      <c r="E26" s="175">
        <v>91.569659632916128</v>
      </c>
      <c r="F26" s="175">
        <v>91.676372802119729</v>
      </c>
      <c r="G26" s="175">
        <v>91.889799140526918</v>
      </c>
      <c r="H26" s="175">
        <v>92.316651817341281</v>
      </c>
      <c r="I26" s="175">
        <v>92.743504494155658</v>
      </c>
      <c r="J26" s="175">
        <v>93.170357170970036</v>
      </c>
      <c r="K26" s="175">
        <v>93.597209847784399</v>
      </c>
      <c r="L26" s="175">
        <v>94.024062524598776</v>
      </c>
      <c r="M26" s="175">
        <v>94.450915201413153</v>
      </c>
      <c r="N26" s="175">
        <v>94.87776787822753</v>
      </c>
      <c r="O26" s="175">
        <v>95.304620555041893</v>
      </c>
      <c r="P26" s="175">
        <v>95.73147323185627</v>
      </c>
      <c r="Q26" s="175">
        <v>96.158325908670648</v>
      </c>
      <c r="R26" s="175">
        <v>96.585178585485011</v>
      </c>
      <c r="S26" s="175">
        <v>97.012031262299388</v>
      </c>
      <c r="T26" s="175">
        <v>97.438883939113765</v>
      </c>
      <c r="U26" s="175">
        <v>97.865736615928142</v>
      </c>
      <c r="V26" s="175">
        <v>98.292589292742505</v>
      </c>
      <c r="W26" s="175">
        <v>98.719441969556883</v>
      </c>
      <c r="X26" s="175">
        <v>99.14629464637126</v>
      </c>
      <c r="Y26" s="175">
        <v>99.573147323185623</v>
      </c>
      <c r="Z26" s="175">
        <v>100</v>
      </c>
      <c r="AA26" s="175" t="s">
        <v>51</v>
      </c>
    </row>
    <row r="27" spans="2:27" s="156" customFormat="1" ht="27.95" customHeight="1" x14ac:dyDescent="0.2">
      <c r="B27" s="177" t="s">
        <v>71</v>
      </c>
      <c r="C27" s="175">
        <v>201.81015631149697</v>
      </c>
      <c r="D27" s="175">
        <v>201.81015631149697</v>
      </c>
      <c r="E27" s="175">
        <v>201.78752935760326</v>
      </c>
      <c r="F27" s="175">
        <v>201.76490240370956</v>
      </c>
      <c r="G27" s="175">
        <v>201.71964849592212</v>
      </c>
      <c r="H27" s="175">
        <v>201.62914068034726</v>
      </c>
      <c r="I27" s="175">
        <v>201.53863286477241</v>
      </c>
      <c r="J27" s="175">
        <v>201.44812504919759</v>
      </c>
      <c r="K27" s="175">
        <v>201.35761723362273</v>
      </c>
      <c r="L27" s="175">
        <v>201.26710941804788</v>
      </c>
      <c r="M27" s="175">
        <v>201.17660160247303</v>
      </c>
      <c r="N27" s="175">
        <v>201.08609378689818</v>
      </c>
      <c r="O27" s="175">
        <v>200.99558597132332</v>
      </c>
      <c r="P27" s="175">
        <v>200.90507815574847</v>
      </c>
      <c r="Q27" s="175">
        <v>200.81457034017365</v>
      </c>
      <c r="R27" s="175">
        <v>200.72406252459879</v>
      </c>
      <c r="S27" s="175">
        <v>200.63355470902394</v>
      </c>
      <c r="T27" s="175">
        <v>200.54304689344909</v>
      </c>
      <c r="U27" s="175">
        <v>200.45253907787423</v>
      </c>
      <c r="V27" s="175">
        <v>200.36203126229938</v>
      </c>
      <c r="W27" s="175">
        <v>200.27152344672456</v>
      </c>
      <c r="X27" s="175">
        <v>200.18101563114971</v>
      </c>
      <c r="Y27" s="175">
        <v>200.09050781557485</v>
      </c>
      <c r="Z27" s="175">
        <v>200</v>
      </c>
      <c r="AA27" s="175" t="s">
        <v>59</v>
      </c>
    </row>
    <row r="28" spans="2:27" s="156" customFormat="1" ht="27.95" customHeight="1" x14ac:dyDescent="0.2">
      <c r="B28" s="177" t="s">
        <v>72</v>
      </c>
      <c r="C28" s="175"/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0.7</v>
      </c>
    </row>
    <row r="29" spans="2:27" s="156" customFormat="1" ht="27.95" customHeight="1" x14ac:dyDescent="0.2">
      <c r="B29" s="179"/>
      <c r="C29" s="169"/>
      <c r="D29" s="175">
        <v>100.90507815574847</v>
      </c>
      <c r="E29" s="175">
        <v>100.89376467880162</v>
      </c>
      <c r="F29" s="175">
        <v>100.88245120185478</v>
      </c>
      <c r="G29" s="175">
        <v>100.85982424796104</v>
      </c>
      <c r="H29" s="175">
        <v>100.81457034017363</v>
      </c>
      <c r="I29" s="175">
        <v>100.7693164323862</v>
      </c>
      <c r="J29" s="175">
        <v>100.72406252459881</v>
      </c>
      <c r="K29" s="175">
        <v>100.67880861681138</v>
      </c>
      <c r="L29" s="175">
        <v>100.63355470902393</v>
      </c>
      <c r="M29" s="175">
        <v>100.58830080123651</v>
      </c>
      <c r="N29" s="175">
        <v>100.54304689344909</v>
      </c>
      <c r="O29" s="175">
        <v>100.49779298566166</v>
      </c>
      <c r="P29" s="175">
        <v>100.45253907787423</v>
      </c>
      <c r="Q29" s="175">
        <v>100.40728517008681</v>
      </c>
      <c r="R29" s="175">
        <v>100.36203126229938</v>
      </c>
      <c r="S29" s="175">
        <v>100.31677735451197</v>
      </c>
      <c r="T29" s="175">
        <v>100.27152344672454</v>
      </c>
      <c r="U29" s="175">
        <v>100.22626953893712</v>
      </c>
      <c r="V29" s="175">
        <v>100.18101563114969</v>
      </c>
      <c r="W29" s="175">
        <v>100.13576172336226</v>
      </c>
      <c r="X29" s="175">
        <v>100.09050781557485</v>
      </c>
      <c r="Y29" s="175">
        <v>100.04525390778743</v>
      </c>
      <c r="Z29" s="175">
        <v>100</v>
      </c>
      <c r="AA29" s="175">
        <v>0</v>
      </c>
    </row>
    <row r="30" spans="2:27" s="156" customFormat="1" ht="27.95" customHeight="1" x14ac:dyDescent="0.2">
      <c r="B30" s="177" t="s">
        <v>73</v>
      </c>
      <c r="C30" s="175">
        <v>220.6944196955688</v>
      </c>
      <c r="D30" s="175">
        <v>220.6944196955688</v>
      </c>
      <c r="E30" s="175">
        <v>220.43573944937418</v>
      </c>
      <c r="F30" s="175">
        <v>220.17705920317957</v>
      </c>
      <c r="G30" s="175">
        <v>219.65969871079037</v>
      </c>
      <c r="H30" s="175">
        <v>218.62497772601191</v>
      </c>
      <c r="I30" s="175">
        <v>217.59025674123347</v>
      </c>
      <c r="J30" s="175">
        <v>216.55553575645504</v>
      </c>
      <c r="K30" s="175">
        <v>215.52081477167661</v>
      </c>
      <c r="L30" s="175">
        <v>214.48609378689815</v>
      </c>
      <c r="M30" s="175">
        <v>213.45137280211972</v>
      </c>
      <c r="N30" s="175">
        <v>212.41665181734129</v>
      </c>
      <c r="O30" s="175">
        <v>211.38193083256283</v>
      </c>
      <c r="P30" s="175">
        <v>210.3472098477844</v>
      </c>
      <c r="Q30" s="175">
        <v>209.31248886300597</v>
      </c>
      <c r="R30" s="175">
        <v>208.27776787822751</v>
      </c>
      <c r="S30" s="175">
        <v>207.24304689344908</v>
      </c>
      <c r="T30" s="175">
        <v>206.20832590867064</v>
      </c>
      <c r="U30" s="175">
        <v>205.17360492389219</v>
      </c>
      <c r="V30" s="175">
        <v>204.13888393911375</v>
      </c>
      <c r="W30" s="175">
        <v>203.10416295433532</v>
      </c>
      <c r="X30" s="175">
        <v>202.06944196955689</v>
      </c>
      <c r="Y30" s="175">
        <v>201.03472098477843</v>
      </c>
      <c r="Z30" s="175">
        <v>200</v>
      </c>
      <c r="AA30" s="175" t="s">
        <v>59</v>
      </c>
    </row>
    <row r="31" spans="2:27" s="156" customFormat="1" ht="27.75" customHeight="1" x14ac:dyDescent="0.2">
      <c r="B31" s="177" t="s">
        <v>74</v>
      </c>
      <c r="C31" s="175"/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0.6</v>
      </c>
    </row>
    <row r="32" spans="2:27" s="156" customFormat="1" ht="27.95" customHeight="1" x14ac:dyDescent="0.2">
      <c r="B32" s="178"/>
      <c r="C32" s="175"/>
      <c r="D32" s="175">
        <v>110.34720984778438</v>
      </c>
      <c r="E32" s="175">
        <v>110.21786972468711</v>
      </c>
      <c r="F32" s="175">
        <v>110.08852960158978</v>
      </c>
      <c r="G32" s="175">
        <v>109.8298493553952</v>
      </c>
      <c r="H32" s="175">
        <v>109.31248886300595</v>
      </c>
      <c r="I32" s="175">
        <v>108.79512837061674</v>
      </c>
      <c r="J32" s="175">
        <v>108.27776787822752</v>
      </c>
      <c r="K32" s="175">
        <v>107.76040738583829</v>
      </c>
      <c r="L32" s="175">
        <v>107.24304689344908</v>
      </c>
      <c r="M32" s="175">
        <v>106.72568640105986</v>
      </c>
      <c r="N32" s="175">
        <v>106.20832590867064</v>
      </c>
      <c r="O32" s="175">
        <v>105.69096541628143</v>
      </c>
      <c r="P32" s="175">
        <v>105.1736049238922</v>
      </c>
      <c r="Q32" s="175">
        <v>104.65624443150298</v>
      </c>
      <c r="R32" s="175">
        <v>104.13888393911375</v>
      </c>
      <c r="S32" s="175">
        <v>103.62152344672452</v>
      </c>
      <c r="T32" s="175">
        <v>103.10416295433534</v>
      </c>
      <c r="U32" s="175">
        <v>102.58680246194609</v>
      </c>
      <c r="V32" s="175">
        <v>102.06944196955688</v>
      </c>
      <c r="W32" s="175">
        <v>101.55208147716766</v>
      </c>
      <c r="X32" s="175">
        <v>101.03472098477843</v>
      </c>
      <c r="Y32" s="175">
        <v>100.51736049238922</v>
      </c>
      <c r="Z32" s="175">
        <v>100</v>
      </c>
      <c r="AA32" s="175" t="s">
        <v>51</v>
      </c>
    </row>
    <row r="33" spans="2:27" s="156" customFormat="1" ht="27.95" customHeight="1" x14ac:dyDescent="0.2">
      <c r="B33" s="177" t="s">
        <v>75</v>
      </c>
      <c r="C33" s="175">
        <v>126.27310277520945</v>
      </c>
      <c r="D33" s="175">
        <v>126.27310277520945</v>
      </c>
      <c r="E33" s="175">
        <v>127.19468899051934</v>
      </c>
      <c r="F33" s="175">
        <v>128.11627520582923</v>
      </c>
      <c r="G33" s="175">
        <v>129.95944763644897</v>
      </c>
      <c r="H33" s="175">
        <v>133.64579249768852</v>
      </c>
      <c r="I33" s="175">
        <v>137.33213735892804</v>
      </c>
      <c r="J33" s="175">
        <v>141.01848222016756</v>
      </c>
      <c r="K33" s="175">
        <v>144.70482708140707</v>
      </c>
      <c r="L33" s="175">
        <v>148.39117194264662</v>
      </c>
      <c r="M33" s="175">
        <v>152.07751680388614</v>
      </c>
      <c r="N33" s="175">
        <v>155.76386166512566</v>
      </c>
      <c r="O33" s="175">
        <v>159.45020652636521</v>
      </c>
      <c r="P33" s="175">
        <v>163.13655138760473</v>
      </c>
      <c r="Q33" s="175">
        <v>166.82289624884424</v>
      </c>
      <c r="R33" s="175">
        <v>170.50924111008379</v>
      </c>
      <c r="S33" s="175">
        <v>174.19558597132331</v>
      </c>
      <c r="T33" s="175">
        <v>177.88193083256283</v>
      </c>
      <c r="U33" s="175">
        <v>181.56827569380238</v>
      </c>
      <c r="V33" s="175">
        <v>185.2546205550419</v>
      </c>
      <c r="W33" s="175">
        <v>188.94096541628141</v>
      </c>
      <c r="X33" s="175">
        <v>192.62731027752096</v>
      </c>
      <c r="Y33" s="175">
        <v>196.31365513876045</v>
      </c>
      <c r="Z33" s="175">
        <v>200</v>
      </c>
      <c r="AA33" s="175" t="s">
        <v>59</v>
      </c>
    </row>
    <row r="34" spans="2:27" s="156" customFormat="1" ht="27.95" customHeight="1" x14ac:dyDescent="0.2">
      <c r="B34" s="177" t="s">
        <v>76</v>
      </c>
      <c r="C34" s="175"/>
      <c r="D34" s="175">
        <v>0</v>
      </c>
      <c r="E34" s="175">
        <v>1536425.3177538808</v>
      </c>
      <c r="F34" s="175">
        <v>1734215.5705625168</v>
      </c>
      <c r="G34" s="175">
        <v>1953907.6114733072</v>
      </c>
      <c r="H34" s="175">
        <v>2193451.3396922895</v>
      </c>
      <c r="I34" s="175">
        <v>2339938.8848068709</v>
      </c>
      <c r="J34" s="175">
        <v>2444668.413125487</v>
      </c>
      <c r="K34" s="175">
        <v>2525087.8818187308</v>
      </c>
      <c r="L34" s="175">
        <v>2589418.0960740689</v>
      </c>
      <c r="M34" s="175">
        <v>2642243.7222042349</v>
      </c>
      <c r="N34" s="175">
        <v>2686406.5475373957</v>
      </c>
      <c r="O34" s="175">
        <v>2723801.7018832224</v>
      </c>
      <c r="P34" s="175">
        <v>2755762.9991606912</v>
      </c>
      <c r="Q34" s="175">
        <v>2783268.9678845275</v>
      </c>
      <c r="R34" s="175">
        <v>2807061.5665872064</v>
      </c>
      <c r="S34" s="175">
        <v>2827718.7026618314</v>
      </c>
      <c r="T34" s="175">
        <v>2845700.6606167033</v>
      </c>
      <c r="U34" s="175">
        <v>2861380.9955929117</v>
      </c>
      <c r="V34" s="175">
        <v>2875067.7640827261</v>
      </c>
      <c r="W34" s="175">
        <v>2887018.5191168012</v>
      </c>
      <c r="X34" s="175">
        <v>2897451.1533079348</v>
      </c>
      <c r="Y34" s="175">
        <v>2906551.9011589815</v>
      </c>
      <c r="Z34" s="175">
        <v>2914481.351492763</v>
      </c>
      <c r="AA34" s="175">
        <v>1.1000000000000001</v>
      </c>
    </row>
    <row r="35" spans="2:27" s="156" customFormat="1" ht="27.95" customHeight="1" x14ac:dyDescent="0.2">
      <c r="B35" s="179"/>
      <c r="C35" s="169"/>
      <c r="D35" s="175">
        <v>63.136551387604726</v>
      </c>
      <c r="E35" s="175">
        <v>63.597344495259669</v>
      </c>
      <c r="F35" s="175">
        <v>64.058137602914613</v>
      </c>
      <c r="G35" s="175">
        <v>64.979723818224485</v>
      </c>
      <c r="H35" s="175">
        <v>66.822896248844259</v>
      </c>
      <c r="I35" s="175">
        <v>68.666068679464018</v>
      </c>
      <c r="J35" s="175">
        <v>70.509241110083778</v>
      </c>
      <c r="K35" s="175">
        <v>72.352413540703537</v>
      </c>
      <c r="L35" s="175">
        <v>74.195585971323311</v>
      </c>
      <c r="M35" s="175">
        <v>76.03875840194307</v>
      </c>
      <c r="N35" s="175">
        <v>77.88193083256283</v>
      </c>
      <c r="O35" s="175">
        <v>79.725103263182604</v>
      </c>
      <c r="P35" s="175">
        <v>81.568275693802363</v>
      </c>
      <c r="Q35" s="175">
        <v>83.411448124422122</v>
      </c>
      <c r="R35" s="175">
        <v>85.254620555041896</v>
      </c>
      <c r="S35" s="175">
        <v>87.097792985661656</v>
      </c>
      <c r="T35" s="175">
        <v>88.940965416281415</v>
      </c>
      <c r="U35" s="175">
        <v>90.784137846901189</v>
      </c>
      <c r="V35" s="175">
        <v>92.627310277520948</v>
      </c>
      <c r="W35" s="175">
        <v>94.470482708140707</v>
      </c>
      <c r="X35" s="175">
        <v>96.313655138760481</v>
      </c>
      <c r="Y35" s="175">
        <v>98.156827569380226</v>
      </c>
      <c r="Z35" s="175">
        <v>100</v>
      </c>
      <c r="AA35" s="175">
        <v>0</v>
      </c>
    </row>
    <row r="36" spans="2:27" s="156" customFormat="1" ht="27.95" customHeight="1" x14ac:dyDescent="0.2">
      <c r="B36" s="179"/>
      <c r="C36" s="169"/>
      <c r="D36" s="179"/>
      <c r="E36" s="180"/>
      <c r="F36" s="169"/>
      <c r="G36" s="181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</row>
    <row r="37" spans="2:27" ht="27.95" customHeight="1" x14ac:dyDescent="0.25">
      <c r="B37" s="167" t="s">
        <v>77</v>
      </c>
      <c r="C37" s="169"/>
      <c r="D37" s="169"/>
      <c r="E37" s="182"/>
      <c r="F37" s="167" t="s">
        <v>78</v>
      </c>
      <c r="G37" s="167" t="s">
        <v>79</v>
      </c>
      <c r="H37" s="167" t="s">
        <v>80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</row>
    <row r="38" spans="2:27" ht="27.95" customHeight="1" x14ac:dyDescent="0.25">
      <c r="B38" s="183" t="s">
        <v>81</v>
      </c>
      <c r="C38" s="184">
        <v>2380000</v>
      </c>
      <c r="D38" s="185">
        <v>83.5</v>
      </c>
      <c r="E38" s="182"/>
      <c r="F38" s="183">
        <v>5.6390000000000002</v>
      </c>
      <c r="G38" s="186">
        <v>2380000</v>
      </c>
      <c r="H38" s="183">
        <v>167</v>
      </c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</row>
    <row r="39" spans="2:27" ht="27.95" customHeight="1" x14ac:dyDescent="0.25">
      <c r="B39" s="183" t="s">
        <v>82</v>
      </c>
      <c r="C39" s="184">
        <v>2617866.4387928625</v>
      </c>
      <c r="D39" s="185">
        <v>100</v>
      </c>
      <c r="E39" s="182"/>
      <c r="F39" s="167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</row>
    <row r="40" spans="2:27" ht="27.95" customHeight="1" x14ac:dyDescent="0.25">
      <c r="B40" s="183" t="s">
        <v>83</v>
      </c>
      <c r="C40" s="187">
        <v>100</v>
      </c>
      <c r="D40" s="187">
        <v>100</v>
      </c>
      <c r="E40" s="182"/>
      <c r="F40" s="183" t="s">
        <v>83</v>
      </c>
      <c r="G40" s="188">
        <v>200</v>
      </c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</row>
    <row r="41" spans="2:27" ht="27.95" customHeight="1" x14ac:dyDescent="0.25">
      <c r="B41" s="183" t="s">
        <v>84</v>
      </c>
      <c r="C41" s="187">
        <v>75</v>
      </c>
      <c r="D41" s="187">
        <v>75</v>
      </c>
      <c r="E41" s="182"/>
      <c r="F41" s="183" t="s">
        <v>84</v>
      </c>
      <c r="G41" s="183">
        <v>150</v>
      </c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</row>
    <row r="42" spans="2:27" ht="27.95" customHeight="1" x14ac:dyDescent="0.25">
      <c r="B42" s="183" t="s">
        <v>80</v>
      </c>
      <c r="C42" s="187">
        <v>83.5</v>
      </c>
      <c r="D42" s="187">
        <v>83.5</v>
      </c>
      <c r="E42" s="182"/>
      <c r="F42" s="183" t="s">
        <v>85</v>
      </c>
      <c r="G42" s="189">
        <v>50</v>
      </c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</row>
    <row r="43" spans="2:27" ht="27.95" customHeight="1" x14ac:dyDescent="0.25">
      <c r="B43" s="183" t="s">
        <v>86</v>
      </c>
      <c r="C43" s="190">
        <v>0</v>
      </c>
      <c r="D43" s="184">
        <v>4760000.0000000009</v>
      </c>
      <c r="E43" s="182"/>
      <c r="F43" s="183" t="s">
        <v>87</v>
      </c>
      <c r="G43" s="189">
        <v>-10</v>
      </c>
      <c r="H43" s="189">
        <v>-10</v>
      </c>
      <c r="I43" s="191" t="s">
        <v>88</v>
      </c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</row>
    <row r="44" spans="2:27" ht="27.95" customHeight="1" x14ac:dyDescent="0.25">
      <c r="B44" s="183" t="s">
        <v>89</v>
      </c>
      <c r="C44" s="187">
        <v>175</v>
      </c>
      <c r="D44" s="185">
        <v>175</v>
      </c>
      <c r="E44" s="182"/>
      <c r="F44" s="183" t="s">
        <v>90</v>
      </c>
      <c r="G44" s="189">
        <v>-5</v>
      </c>
      <c r="H44" s="189">
        <v>-5</v>
      </c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</row>
    <row r="45" spans="2:27" ht="27.95" customHeight="1" x14ac:dyDescent="0.25">
      <c r="B45" s="183" t="s">
        <v>91</v>
      </c>
      <c r="C45" s="187">
        <v>37.5</v>
      </c>
      <c r="D45" s="190">
        <v>238000</v>
      </c>
      <c r="E45" s="182"/>
      <c r="F45" s="183" t="s">
        <v>92</v>
      </c>
      <c r="G45" s="189">
        <v>75</v>
      </c>
      <c r="H45" s="186">
        <v>0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</row>
    <row r="46" spans="2:27" ht="27.95" customHeight="1" x14ac:dyDescent="0.25">
      <c r="B46" s="183" t="s">
        <v>85</v>
      </c>
      <c r="C46" s="187">
        <v>87.5</v>
      </c>
      <c r="D46" s="190">
        <v>238000</v>
      </c>
      <c r="E46" s="182"/>
      <c r="F46" s="183" t="s">
        <v>93</v>
      </c>
      <c r="G46" s="178" t="s">
        <v>94</v>
      </c>
      <c r="H46" s="178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</row>
    <row r="47" spans="2:27" ht="27.95" customHeight="1" x14ac:dyDescent="0.25">
      <c r="B47" s="183" t="s">
        <v>95</v>
      </c>
      <c r="C47" s="187">
        <v>137.5</v>
      </c>
      <c r="D47" s="190">
        <v>238000</v>
      </c>
      <c r="E47" s="182"/>
      <c r="F47" s="183" t="s">
        <v>96</v>
      </c>
      <c r="G47" s="192" t="s">
        <v>33</v>
      </c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</row>
    <row r="48" spans="2:27" ht="27.95" customHeight="1" x14ac:dyDescent="0.25"/>
    <row r="49" s="155" customFormat="1" ht="15" hidden="1" customHeight="1" x14ac:dyDescent="0.25"/>
    <row r="50" s="155" customFormat="1" ht="15" hidden="1" customHeight="1" x14ac:dyDescent="0.25"/>
    <row r="51" s="155" customFormat="1" ht="15" hidden="1" customHeight="1" x14ac:dyDescent="0.25"/>
    <row r="52" s="155" customFormat="1" ht="15" hidden="1" customHeight="1" x14ac:dyDescent="0.25"/>
    <row r="53" s="155" customFormat="1" ht="15" hidden="1" customHeight="1" x14ac:dyDescent="0.25"/>
    <row r="54" s="155" customFormat="1" ht="15" hidden="1" customHeight="1" x14ac:dyDescent="0.25"/>
    <row r="55" s="155" customFormat="1" ht="15" hidden="1" customHeight="1" x14ac:dyDescent="0.25"/>
    <row r="56" s="155" customFormat="1" ht="15" hidden="1" customHeight="1" x14ac:dyDescent="0.25"/>
    <row r="57" s="155" customFormat="1" ht="15" hidden="1" customHeight="1" x14ac:dyDescent="0.25"/>
    <row r="58" s="155" customFormat="1" ht="15" hidden="1" customHeight="1" x14ac:dyDescent="0.25"/>
    <row r="59" s="155" customFormat="1" ht="15" hidden="1" customHeight="1" x14ac:dyDescent="0.25"/>
    <row r="60" s="155" customFormat="1" ht="15" hidden="1" customHeight="1" x14ac:dyDescent="0.25"/>
    <row r="61" s="155" customFormat="1" ht="15" hidden="1" customHeight="1" x14ac:dyDescent="0.25"/>
    <row r="62" s="155" customFormat="1" ht="15" hidden="1" customHeight="1" x14ac:dyDescent="0.25"/>
    <row r="63" s="155" customFormat="1" ht="15" hidden="1" customHeight="1" x14ac:dyDescent="0.25"/>
    <row r="64" s="155" customFormat="1" ht="15" hidden="1" customHeight="1" x14ac:dyDescent="0.25"/>
    <row r="65" s="155" customFormat="1" ht="15" hidden="1" customHeight="1" x14ac:dyDescent="0.25"/>
    <row r="66" s="155" customFormat="1" ht="15" hidden="1" customHeight="1" x14ac:dyDescent="0.25"/>
    <row r="67" s="155" customFormat="1" ht="15" hidden="1" customHeight="1" x14ac:dyDescent="0.25"/>
    <row r="68" s="155" customFormat="1" ht="15" hidden="1" customHeight="1" x14ac:dyDescent="0.25"/>
    <row r="69" s="155" customFormat="1" ht="15" hidden="1" customHeight="1" x14ac:dyDescent="0.25"/>
    <row r="70" s="155" customFormat="1" ht="15" hidden="1" customHeight="1" x14ac:dyDescent="0.25"/>
    <row r="71" s="155" customFormat="1" ht="15" hidden="1" customHeight="1" x14ac:dyDescent="0.25"/>
    <row r="72" s="155" customFormat="1" ht="15" hidden="1" customHeight="1" x14ac:dyDescent="0.25"/>
    <row r="73" s="155" customFormat="1" ht="15" hidden="1" customHeight="1" x14ac:dyDescent="0.25"/>
    <row r="74" s="155" customFormat="1" ht="15" hidden="1" customHeight="1" x14ac:dyDescent="0.25"/>
    <row r="75" s="155" customFormat="1" ht="15" hidden="1" customHeight="1" x14ac:dyDescent="0.25"/>
    <row r="76" s="155" customFormat="1" ht="15" hidden="1" customHeight="1" x14ac:dyDescent="0.25"/>
    <row r="77" s="155" customFormat="1" ht="15" hidden="1" customHeight="1" x14ac:dyDescent="0.25"/>
    <row r="78" s="155" customFormat="1" ht="15" hidden="1" customHeight="1" x14ac:dyDescent="0.25"/>
    <row r="79" s="155" customFormat="1" ht="15" hidden="1" customHeight="1" x14ac:dyDescent="0.25"/>
    <row r="80" s="155" customFormat="1" ht="15" hidden="1" customHeight="1" x14ac:dyDescent="0.25"/>
  </sheetData>
  <sheetProtection algorithmName="SHA-512" hashValue="rEHZQ8nH1No4CjnaHGesc52GKXtjScPvMXNT8rz/Wri0hL01EwBdOuyq5ycRSwJPX0cEk52wEaXvZlhuN2GjDQ==" saltValue="ErF5N7WrzequeRq4BtNfRg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2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2023-10-10T10:11:46Z</dcterms:created>
  <dcterms:modified xsi:type="dcterms:W3CDTF">2023-10-12T18:48:39Z</dcterms:modified>
</cp:coreProperties>
</file>