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oneu-my.sharepoint.com/personal/mark_hardy_aon_nl/Documents/Desktop/"/>
    </mc:Choice>
  </mc:AlternateContent>
  <xr:revisionPtr revIDLastSave="0" documentId="8_{DE5D0589-B6D3-4201-8F6E-ACA5D01010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ecificatie" sheetId="3" r:id="rId1"/>
    <sheet name="premieberekening" sheetId="4" r:id="rId2"/>
  </sheets>
  <definedNames>
    <definedName name="_xlnm._FilterDatabase" localSheetId="0" hidden="1">specificatie!$A$5:$Q$40</definedName>
    <definedName name="_xlnm.Print_Area" localSheetId="1">premieberekening!$A$1:$H$12</definedName>
    <definedName name="_xlnm.Print_Area" localSheetId="0">specificatie!#REF!</definedName>
    <definedName name="_xlnm.Print_Titles" localSheetId="0">specificatie!#REF!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3" l="1"/>
  <c r="K46" i="3"/>
  <c r="M46" i="3" s="1"/>
  <c r="H46" i="3"/>
  <c r="I46" i="3" s="1"/>
  <c r="N46" i="3" l="1"/>
  <c r="K36" i="3"/>
  <c r="M36" i="3" s="1"/>
  <c r="K23" i="3"/>
  <c r="M23" i="3" s="1"/>
  <c r="K15" i="3"/>
  <c r="M15" i="3" s="1"/>
  <c r="K34" i="3"/>
  <c r="M34" i="3" s="1"/>
  <c r="K33" i="3"/>
  <c r="M33" i="3" s="1"/>
  <c r="K16" i="3"/>
  <c r="K38" i="3"/>
  <c r="M38" i="3" s="1"/>
  <c r="N38" i="3" s="1"/>
  <c r="K32" i="3"/>
  <c r="M32" i="3" s="1"/>
  <c r="K13" i="3"/>
  <c r="M13" i="3" s="1"/>
  <c r="K12" i="3"/>
  <c r="M12" i="3" s="1"/>
  <c r="K37" i="3"/>
  <c r="M37" i="3" s="1"/>
  <c r="K10" i="3"/>
  <c r="M10" i="3" s="1"/>
  <c r="K6" i="3"/>
  <c r="M6" i="3" s="1"/>
  <c r="K30" i="3"/>
  <c r="M30" i="3" s="1"/>
  <c r="K31" i="3"/>
  <c r="M31" i="3" s="1"/>
  <c r="K35" i="3"/>
  <c r="M35" i="3" s="1"/>
  <c r="L17" i="3"/>
  <c r="N17" i="3" s="1"/>
  <c r="L18" i="3"/>
  <c r="N18" i="3" s="1"/>
  <c r="L37" i="3"/>
  <c r="L11" i="3"/>
  <c r="N11" i="3" s="1"/>
  <c r="L36" i="3"/>
  <c r="L34" i="3"/>
  <c r="L35" i="3"/>
  <c r="L33" i="3"/>
  <c r="L32" i="3"/>
  <c r="L38" i="3"/>
  <c r="L31" i="3"/>
  <c r="L30" i="3"/>
  <c r="L27" i="3"/>
  <c r="N27" i="3" s="1"/>
  <c r="L26" i="3"/>
  <c r="N26" i="3" s="1"/>
  <c r="L25" i="3"/>
  <c r="N25" i="3" s="1"/>
  <c r="L24" i="3"/>
  <c r="N24" i="3" s="1"/>
  <c r="L22" i="3"/>
  <c r="N22" i="3" s="1"/>
  <c r="L21" i="3"/>
  <c r="N21" i="3" s="1"/>
  <c r="L20" i="3"/>
  <c r="N20" i="3" s="1"/>
  <c r="L19" i="3"/>
  <c r="N19" i="3" s="1"/>
  <c r="L16" i="3"/>
  <c r="L15" i="3"/>
  <c r="L14" i="3"/>
  <c r="N14" i="3" s="1"/>
  <c r="L13" i="3"/>
  <c r="L12" i="3"/>
  <c r="L7" i="3"/>
  <c r="N7" i="3"/>
  <c r="L8" i="3"/>
  <c r="N8" i="3" s="1"/>
  <c r="L9" i="3"/>
  <c r="N9" i="3" s="1"/>
  <c r="L10" i="3"/>
  <c r="N39" i="3"/>
  <c r="H38" i="3"/>
  <c r="I38" i="3" s="1"/>
  <c r="H37" i="3"/>
  <c r="I37" i="3" s="1"/>
  <c r="H36" i="3"/>
  <c r="I36" i="3"/>
  <c r="H35" i="3"/>
  <c r="I35" i="3" s="1"/>
  <c r="H34" i="3"/>
  <c r="I34" i="3" s="1"/>
  <c r="H33" i="3"/>
  <c r="I33" i="3" s="1"/>
  <c r="H32" i="3"/>
  <c r="I32" i="3" s="1"/>
  <c r="H31" i="3"/>
  <c r="I31" i="3" s="1"/>
  <c r="H30" i="3"/>
  <c r="I30" i="3" s="1"/>
  <c r="N29" i="3"/>
  <c r="J29" i="3"/>
  <c r="N28" i="3"/>
  <c r="J28" i="3"/>
  <c r="J40" i="3" s="1"/>
  <c r="I27" i="3"/>
  <c r="I26" i="3"/>
  <c r="I24" i="3"/>
  <c r="H23" i="3"/>
  <c r="I23" i="3" s="1"/>
  <c r="L23" i="3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/>
  <c r="I15" i="3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H6" i="3"/>
  <c r="I6" i="3"/>
  <c r="E4" i="4"/>
  <c r="E5" i="4"/>
  <c r="E6" i="4"/>
  <c r="E7" i="4"/>
  <c r="E8" i="4"/>
  <c r="L6" i="3"/>
  <c r="N33" i="3" l="1"/>
  <c r="N10" i="3"/>
  <c r="N13" i="3"/>
  <c r="N34" i="3"/>
  <c r="N12" i="3"/>
  <c r="N35" i="3"/>
  <c r="N31" i="3"/>
  <c r="N32" i="3"/>
  <c r="N30" i="3"/>
  <c r="N36" i="3"/>
  <c r="N15" i="3"/>
  <c r="K40" i="3"/>
  <c r="K42" i="3" s="1"/>
  <c r="N23" i="3"/>
  <c r="M16" i="3"/>
  <c r="N16" i="3" s="1"/>
  <c r="C3" i="4"/>
  <c r="C16" i="4" s="1"/>
  <c r="L40" i="3"/>
  <c r="N6" i="3"/>
  <c r="N37" i="3"/>
  <c r="H3" i="4" l="1"/>
  <c r="C4" i="4"/>
  <c r="C5" i="4" s="1"/>
  <c r="N40" i="3"/>
  <c r="M40" i="3"/>
  <c r="H4" i="4"/>
  <c r="H16" i="4"/>
  <c r="C17" i="4"/>
  <c r="C18" i="4" l="1"/>
  <c r="H17" i="4"/>
  <c r="H5" i="4"/>
  <c r="C6" i="4"/>
  <c r="H6" i="4" l="1"/>
  <c r="C7" i="4"/>
  <c r="C19" i="4"/>
  <c r="H18" i="4"/>
  <c r="H19" i="4" l="1"/>
  <c r="C20" i="4"/>
  <c r="H7" i="4"/>
  <c r="C8" i="4"/>
  <c r="H8" i="4" s="1"/>
  <c r="H9" i="4" l="1"/>
  <c r="H11" i="4" s="1"/>
  <c r="H12" i="4" s="1"/>
  <c r="H20" i="4"/>
  <c r="C21" i="4"/>
  <c r="H21" i="4" s="1"/>
  <c r="H22" i="4" s="1"/>
  <c r="H24" i="4" l="1"/>
  <c r="H25" i="4"/>
  <c r="K2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van den Heuvel</author>
    <author>Maartje van Dalen</author>
    <author>Nienke Pol</author>
  </authors>
  <commentList>
    <comment ref="C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Hans van den Heuvel:</t>
        </r>
        <r>
          <rPr>
            <sz val="9"/>
            <color indexed="81"/>
            <rFont val="Tahoma"/>
            <family val="2"/>
          </rPr>
          <t xml:space="preserve">
Nieuwbouw 2017
</t>
        </r>
      </text>
    </comment>
    <comment ref="H15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Maartje van Dalen:</t>
        </r>
        <r>
          <rPr>
            <sz val="9"/>
            <color indexed="81"/>
            <rFont val="Tahoma"/>
            <family val="2"/>
          </rPr>
          <t xml:space="preserve">
ontwikkeling van de nieuwe Doorkijk bedroeg 3,2 miljoen</t>
        </r>
      </text>
    </comment>
    <comment ref="C2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Maartje van Dalen:</t>
        </r>
        <r>
          <rPr>
            <sz val="9"/>
            <color indexed="81"/>
            <rFont val="Tahoma"/>
            <family val="2"/>
          </rPr>
          <t xml:space="preserve">
bouwkosten €50.000,-</t>
        </r>
      </text>
    </comment>
    <comment ref="C36" authorId="2" shapeId="0" xr:uid="{00000000-0006-0000-0000-000004000000}">
      <text>
        <r>
          <rPr>
            <b/>
            <sz val="9"/>
            <color indexed="81"/>
            <rFont val="Tahoma"/>
            <family val="2"/>
          </rPr>
          <t>Nienke Pol:</t>
        </r>
        <r>
          <rPr>
            <sz val="9"/>
            <color indexed="81"/>
            <rFont val="Tahoma"/>
            <family val="2"/>
          </rPr>
          <t xml:space="preserve">
De bedragen van kleuterschool t Geerke hierbij optellen. Dat zijn de rode bedragen.</t>
        </r>
      </text>
    </comment>
    <comment ref="C37" authorId="2" shapeId="0" xr:uid="{00000000-0006-0000-0000-000005000000}">
      <text>
        <r>
          <rPr>
            <b/>
            <sz val="9"/>
            <color indexed="81"/>
            <rFont val="Tahoma"/>
            <family val="2"/>
          </rPr>
          <t>Nienke Pol: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Vanaf 1 aug 17 zijn 4 noodlokalen tijdelijk toegevoegd (ws voor periode van 4 tot 5 jaar). Waarde € 140.000,-.  Inboedelwaarde € 35.000,-. Geen eigendom van de gemeente. </t>
        </r>
      </text>
    </comment>
  </commentList>
</comments>
</file>

<file path=xl/sharedStrings.xml><?xml version="1.0" encoding="utf-8"?>
<sst xmlns="http://schemas.openxmlformats.org/spreadsheetml/2006/main" count="397" uniqueCount="196">
  <si>
    <t>OBS Appelhof</t>
  </si>
  <si>
    <t>Basisschool St. Victor</t>
  </si>
  <si>
    <t>Basisschool Octopus</t>
  </si>
  <si>
    <t>ZMLK school De Kom</t>
  </si>
  <si>
    <t>Scoutingboerderij Afferden</t>
  </si>
  <si>
    <t>Rioolgemaal Druten</t>
  </si>
  <si>
    <t>Gemeentehuis Druten</t>
  </si>
  <si>
    <t>Sporthal Druten</t>
  </si>
  <si>
    <t>Zwembad Gelenberg</t>
  </si>
  <si>
    <t>som</t>
  </si>
  <si>
    <t>Inventaris</t>
  </si>
  <si>
    <t>Omschrijving</t>
  </si>
  <si>
    <t>Groot-</t>
  </si>
  <si>
    <t>boek</t>
  </si>
  <si>
    <t>Inventaris gymzaal Puiflijk</t>
  </si>
  <si>
    <t>Inventaris gymzaal Afferden</t>
  </si>
  <si>
    <t>Basisschool 't Klosterhufke</t>
  </si>
  <si>
    <t>Totaal verzekerde</t>
  </si>
  <si>
    <t>Kosten-</t>
  </si>
  <si>
    <t>plaats</t>
  </si>
  <si>
    <t>D'n Bogerd multifunctioneel centrum</t>
  </si>
  <si>
    <t>2 buitenbergingen</t>
  </si>
  <si>
    <t>Gebouwen</t>
  </si>
  <si>
    <t>Straat</t>
  </si>
  <si>
    <t>Plaats</t>
  </si>
  <si>
    <t>Postcode</t>
  </si>
  <si>
    <t>Afferden</t>
  </si>
  <si>
    <t>Puiflijk</t>
  </si>
  <si>
    <t>Druten</t>
  </si>
  <si>
    <t>Deest</t>
  </si>
  <si>
    <t>Horssen</t>
  </si>
  <si>
    <t>Garageboxen</t>
  </si>
  <si>
    <t>Stellingmolen</t>
  </si>
  <si>
    <t xml:space="preserve">Woning </t>
  </si>
  <si>
    <t>Kasteellaan 24</t>
  </si>
  <si>
    <t>6651 BZ</t>
  </si>
  <si>
    <t>Heuvel 1</t>
  </si>
  <si>
    <t>6651 DA</t>
  </si>
  <si>
    <t>6651 KH</t>
  </si>
  <si>
    <t>6651 EA</t>
  </si>
  <si>
    <t>6651 CD</t>
  </si>
  <si>
    <t>Gelenberg 5</t>
  </si>
  <si>
    <t>6654 AZ</t>
  </si>
  <si>
    <t>Theekoepeltje</t>
  </si>
  <si>
    <t>Langstuk 2</t>
  </si>
  <si>
    <t>6651 HZ</t>
  </si>
  <si>
    <t>Postelkamp 2</t>
  </si>
  <si>
    <t>Octopusstraat 2</t>
  </si>
  <si>
    <t>Kerkstraat 3</t>
  </si>
  <si>
    <t>De Gaard 19</t>
  </si>
  <si>
    <t>Kloosterhof 30</t>
  </si>
  <si>
    <t>Pa Hoeklaan 2</t>
  </si>
  <si>
    <t xml:space="preserve">6651 KM </t>
  </si>
  <si>
    <t>6651 ZJ</t>
  </si>
  <si>
    <t>Mr. Van Coothstraat 34</t>
  </si>
  <si>
    <t>6651 TG</t>
  </si>
  <si>
    <t xml:space="preserve">6651 XX </t>
  </si>
  <si>
    <t>6652 BE</t>
  </si>
  <si>
    <t>6631 CA</t>
  </si>
  <si>
    <t>6654 BL</t>
  </si>
  <si>
    <t>6655 AK</t>
  </si>
  <si>
    <t>6653 BS</t>
  </si>
  <si>
    <t>Heuvel 40</t>
  </si>
  <si>
    <t>6651 DE</t>
  </si>
  <si>
    <t>6654 KA</t>
  </si>
  <si>
    <t>Waalbandijk 186</t>
  </si>
  <si>
    <t>6651 KC</t>
  </si>
  <si>
    <t>Van Heemstraweg 53</t>
  </si>
  <si>
    <t>Koningstraat 114</t>
  </si>
  <si>
    <t>6654 AH</t>
  </si>
  <si>
    <t>Mr. van Coothstraat 1W</t>
  </si>
  <si>
    <t>6651 ZE</t>
  </si>
  <si>
    <t>Basisschool  (incl. kleuterschool) 't Geerke</t>
  </si>
  <si>
    <t>Koningsplein 24</t>
  </si>
  <si>
    <t>6654 BX</t>
  </si>
  <si>
    <t>Koningsweg 12</t>
  </si>
  <si>
    <t>6655 AC</t>
  </si>
  <si>
    <t>6631 KP</t>
  </si>
  <si>
    <t>Pax Christi (Klepperheide)</t>
  </si>
  <si>
    <t>Pax Christi (Meester van Coothstraat)</t>
  </si>
  <si>
    <t>per 31-12-2018</t>
  </si>
  <si>
    <t>Indexcijfer 131,5</t>
  </si>
  <si>
    <t>per 31-12-2019</t>
  </si>
  <si>
    <t>Indexcijfer 140,3</t>
  </si>
  <si>
    <t>Woning</t>
  </si>
  <si>
    <t>Oude Toren Puiflijk</t>
  </si>
  <si>
    <t>per 31-12-2020</t>
  </si>
  <si>
    <t>Indexcijfer 150,8</t>
  </si>
  <si>
    <t>Koningsweg 17</t>
  </si>
  <si>
    <t>6655 AA</t>
  </si>
  <si>
    <t>Hertenparkje (dversen gebouwtjes)</t>
  </si>
  <si>
    <t>Jongerencentrum de Gelenberg</t>
  </si>
  <si>
    <t>nee</t>
  </si>
  <si>
    <t>Nee</t>
  </si>
  <si>
    <t>ja</t>
  </si>
  <si>
    <t>Ja</t>
  </si>
  <si>
    <t>Verzekeraar</t>
  </si>
  <si>
    <t>verzekerde som</t>
  </si>
  <si>
    <t>premie‰</t>
  </si>
  <si>
    <t>aandeel</t>
  </si>
  <si>
    <t>premie</t>
  </si>
  <si>
    <t>Nationale-Nederlanden Schadeverzekering Mij. N.V.</t>
  </si>
  <si>
    <t>Allianz Nederland Corporate</t>
  </si>
  <si>
    <t>Fatum General Insurance N.V.
vertegenwoordigd door Intermont Assuradeuren B.V.</t>
  </si>
  <si>
    <t xml:space="preserve"> Poliskosten </t>
  </si>
  <si>
    <t xml:space="preserve"> 21% assurantiebelasting </t>
  </si>
  <si>
    <t xml:space="preserve"> Door verzekeringnemer te voldoen </t>
  </si>
  <si>
    <t>XL Insurance Company SE
vertegenwoordigd door Intermont Assuradeuren B.V.</t>
  </si>
  <si>
    <t>Achmea Schadeverzekeringen NV</t>
  </si>
  <si>
    <t>Everest Insurance (Ireland) DAC
vertegenwoordigd door Intermont Assuradeuren B.V.</t>
  </si>
  <si>
    <t xml:space="preserve"> -/-</t>
  </si>
  <si>
    <t>Suppletiepremie voor de periode 31-12-2020/2021</t>
  </si>
  <si>
    <t>verzekerde som oud</t>
  </si>
  <si>
    <t>Koningsweg 1</t>
  </si>
  <si>
    <t>Rijdt 36</t>
  </si>
  <si>
    <t>6631 AT</t>
  </si>
  <si>
    <t>2 noodlokalen</t>
  </si>
  <si>
    <t>Hosterd 65</t>
  </si>
  <si>
    <t>6655 AE</t>
  </si>
  <si>
    <t>per 01-01-2022</t>
  </si>
  <si>
    <t>Indexcijfer 159,8</t>
  </si>
  <si>
    <t>per 01-01-2023</t>
  </si>
  <si>
    <t>Indexcijfer 122,3</t>
  </si>
  <si>
    <t>Indexcijfer 124,0</t>
  </si>
  <si>
    <t>Prolongatiepremie voor de periode 01-01-2023/2024</t>
  </si>
  <si>
    <t>getaxeerd door Troostwijk 01-03-22, rapportnr 289170-01-0</t>
  </si>
  <si>
    <t>Wijkcentrum De Doorkijk (inclusief Gymzaal)</t>
  </si>
  <si>
    <t>getaxeerd door Troostwijk 01-03-22, rapportnr 289156-01-0</t>
  </si>
  <si>
    <t xml:space="preserve"> /110,4*124,0</t>
  </si>
  <si>
    <t>getaxeerd door Troostwijk 01-03-22, rapportnr 289154-01-0</t>
  </si>
  <si>
    <t>getaxeerd door Troostwijk 01-03-22, rapportnr 289153-01-0</t>
  </si>
  <si>
    <t>Van Heemstraweg 52</t>
  </si>
  <si>
    <t>getaxeerd door Troostwijk 01-03-22, rapportnr 289184-01-0</t>
  </si>
  <si>
    <t>getaxeerd door Troostwijk 01-03-22, rapportnr 289150-01-0</t>
  </si>
  <si>
    <t>getaxeerd door Troostwijk 01-03-22, rapportnr 289148-01-0</t>
  </si>
  <si>
    <t>getaxeerd door Troostwijk 01-03-22, rapportnr 289171-01-0</t>
  </si>
  <si>
    <t>getaxeerd door Troostwijk 01-03-22, rapportnr 289162-01-0</t>
  </si>
  <si>
    <t>getaxeerd door Troostwijk 01-03-22, rapportnr 289172-01-0</t>
  </si>
  <si>
    <t>getaxeerd door Troostwijk 01-03-22, rapportnr 289183-01-0</t>
  </si>
  <si>
    <t>Gemeentewerf of WMO unit 1</t>
  </si>
  <si>
    <t>Gemeentewerf of WMO unit 2</t>
  </si>
  <si>
    <t>getaxeerd door Troostwijk 01-03-22, rapportnr 289178-01-0</t>
  </si>
  <si>
    <t>getaxeerd door Troostwijk 01-03-22, rapportnr 289180-01-0</t>
  </si>
  <si>
    <t>Gemeentewerf</t>
  </si>
  <si>
    <t>getaxeerd door Troostwijk 01-03-22, rapportnr 289181-01-0</t>
  </si>
  <si>
    <t>getaxeerd door Troostwijk 01-03-22, rapportnr 289185-01-0</t>
  </si>
  <si>
    <t>getaxeerd door Troostwijk 01-03-22, rapportnr 289152-01-0</t>
  </si>
  <si>
    <t>Goorstraat 8 en 10</t>
  </si>
  <si>
    <t>getaxeerd door Troostwijk 01-03-22, rapportnr 289151-01-0</t>
  </si>
  <si>
    <r>
      <t>Gelenberg 5</t>
    </r>
    <r>
      <rPr>
        <sz val="9"/>
        <color indexed="10"/>
        <rFont val="Arial"/>
        <family val="2"/>
      </rPr>
      <t>a</t>
    </r>
  </si>
  <si>
    <t>6651 CE</t>
  </si>
  <si>
    <t>Parkweg 4a</t>
  </si>
  <si>
    <t>Gebouwen getaxeerd exclusief fundering</t>
  </si>
  <si>
    <t>getaxeerd door Troostwijk 01-03-22, rapportnr 289176-01-0</t>
  </si>
  <si>
    <t>Van Heemstraweg 50b</t>
  </si>
  <si>
    <t>6651 KE</t>
  </si>
  <si>
    <t>getaxeerd door Troostwijk 01-03-22, rapportnr 289182-01-0</t>
  </si>
  <si>
    <t>getaxeerd door Troostwijk 01-03-22, rapportnr 289173-01-0</t>
  </si>
  <si>
    <t>getaxeerd door Troostwijk 01-03-22, rapportnr 289163-01-0</t>
  </si>
  <si>
    <t>getaxeerd door Troostwijk 01-03-22, rapportnr 289149-01-0</t>
  </si>
  <si>
    <t>getaxeerd door Troostwijk 01-03-22, rapportnr 289161-01-0</t>
  </si>
  <si>
    <t>De Kubus</t>
  </si>
  <si>
    <t>Irenestraat 3</t>
  </si>
  <si>
    <t>getaxeerd door Troostwijk 01-03-22, rapportnr 289155-01-0</t>
  </si>
  <si>
    <t>getaxeerd door Troostwijk 01-03-22, rapportnr 289175-01-0</t>
  </si>
  <si>
    <t>getaxeerd door Troostwijk 01-03-22, rapportnr 289177-01-0</t>
  </si>
  <si>
    <t>getaxeerd door Troostwijk 01-03-22, rapportnr 289174-01-0</t>
  </si>
  <si>
    <t>getaxeerd door Troostwijk 01-03-22, rapportnr 289157-01-0</t>
  </si>
  <si>
    <t>getaxeerd door Troostwijk 01-03-22, rapportnr 289159-01-0</t>
  </si>
  <si>
    <t>niet getaxeerd</t>
  </si>
  <si>
    <t>getaxeerd door Troostwijk 01-03-22, rapportnr 289147-01-0</t>
  </si>
  <si>
    <t xml:space="preserve"> /105,2*122,3</t>
  </si>
  <si>
    <t>Gebouwtje Drutens bosje - beheerdershuisje</t>
  </si>
  <si>
    <t>Inventaris getaxeerd</t>
  </si>
  <si>
    <t>niet op vaste taxatie, adres volgt</t>
  </si>
  <si>
    <t>Citatiestraat 1 Naast</t>
  </si>
  <si>
    <t>Raadhuisstraat 15</t>
  </si>
  <si>
    <t>Klepperheide 15 en 15a</t>
  </si>
  <si>
    <t>Molendam 1/Kerkdam 1M</t>
  </si>
  <si>
    <t>Bijeenkomstfunctie, woonfunctieHoreca-etablissement (inpandig woonhuis, zaal, schuur, ondergrond, erf, parkeerterrein en verdere toebehoren</t>
  </si>
  <si>
    <t>Totaal</t>
  </si>
  <si>
    <t>Mutatie 2024</t>
  </si>
  <si>
    <t>medio febr 2024 zal dit pand gesloopt worden</t>
  </si>
  <si>
    <t>medio febr 2024 oplevering nieuw zwembad en sportcentrum</t>
  </si>
  <si>
    <t>Zwembad en sportcentrum de Gelenberg</t>
  </si>
  <si>
    <t>Invictusstraat</t>
  </si>
  <si>
    <t>Afwijkende</t>
  </si>
  <si>
    <t>Brandmeld-</t>
  </si>
  <si>
    <t>bouwaard</t>
  </si>
  <si>
    <t>Langdurig</t>
  </si>
  <si>
    <t>Zonnepanelen</t>
  </si>
  <si>
    <t>installatie</t>
  </si>
  <si>
    <t>Sprinkler</t>
  </si>
  <si>
    <t>Inbraakalarm</t>
  </si>
  <si>
    <t>(anders dan steen)</t>
  </si>
  <si>
    <t>leegstaand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</si>
</sst>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#,##0_ ;\-#,##0\ "/>
    <numFmt numFmtId="168" formatCode="_-[$€]\ * #,##0.00_-;_-[$€]\ * #,##0.00\-;_-[$€]\ * &quot;-&quot;??_-;_-@_-"/>
    <numFmt numFmtId="169" formatCode="0.0000"/>
  </numFmts>
  <fonts count="22" x14ac:knownFonts="1">
    <font>
      <sz val="10"/>
      <name val="Arial"/>
    </font>
    <font>
      <sz val="10"/>
      <name val="Arial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indexed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0"/>
      <color rgb="FF222222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8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95">
    <xf numFmtId="0" fontId="0" fillId="0" borderId="0" xfId="0"/>
    <xf numFmtId="165" fontId="8" fillId="2" borderId="1" xfId="2" applyFont="1" applyFill="1" applyBorder="1" applyAlignment="1">
      <alignment horizontal="center" vertical="center"/>
    </xf>
    <xf numFmtId="165" fontId="8" fillId="2" borderId="2" xfId="2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5" fontId="8" fillId="2" borderId="3" xfId="2" applyFont="1" applyFill="1" applyBorder="1" applyAlignment="1">
      <alignment horizontal="center" vertical="center"/>
    </xf>
    <xf numFmtId="165" fontId="8" fillId="2" borderId="0" xfId="2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165" fontId="8" fillId="2" borderId="4" xfId="2" applyFont="1" applyFill="1" applyBorder="1" applyAlignment="1">
      <alignment horizontal="center" vertical="center"/>
    </xf>
    <xf numFmtId="165" fontId="8" fillId="2" borderId="5" xfId="2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67" fontId="9" fillId="0" borderId="6" xfId="2" quotePrefix="1" applyNumberFormat="1" applyFont="1" applyFill="1" applyBorder="1" applyAlignment="1">
      <alignment horizontal="center"/>
    </xf>
    <xf numFmtId="167" fontId="9" fillId="0" borderId="6" xfId="2" quotePrefix="1" applyNumberFormat="1" applyFont="1" applyBorder="1" applyAlignment="1">
      <alignment horizontal="center"/>
    </xf>
    <xf numFmtId="0" fontId="9" fillId="0" borderId="6" xfId="0" applyFont="1" applyFill="1" applyBorder="1"/>
    <xf numFmtId="164" fontId="9" fillId="0" borderId="6" xfId="0" applyNumberFormat="1" applyFont="1" applyFill="1" applyBorder="1"/>
    <xf numFmtId="1" fontId="9" fillId="0" borderId="0" xfId="0" applyNumberFormat="1" applyFont="1"/>
    <xf numFmtId="0" fontId="9" fillId="0" borderId="0" xfId="0" applyFont="1"/>
    <xf numFmtId="167" fontId="9" fillId="3" borderId="6" xfId="2" quotePrefix="1" applyNumberFormat="1" applyFont="1" applyFill="1" applyBorder="1" applyAlignment="1">
      <alignment horizontal="center"/>
    </xf>
    <xf numFmtId="164" fontId="10" fillId="0" borderId="6" xfId="0" applyNumberFormat="1" applyFont="1" applyFill="1" applyBorder="1"/>
    <xf numFmtId="165" fontId="19" fillId="0" borderId="6" xfId="2" applyFont="1" applyBorder="1"/>
    <xf numFmtId="0" fontId="19" fillId="0" borderId="6" xfId="0" applyFont="1" applyBorder="1"/>
    <xf numFmtId="0" fontId="9" fillId="0" borderId="6" xfId="0" applyFont="1" applyBorder="1"/>
    <xf numFmtId="1" fontId="19" fillId="0" borderId="0" xfId="0" applyNumberFormat="1" applyFont="1"/>
    <xf numFmtId="0" fontId="19" fillId="0" borderId="0" xfId="0" applyFont="1"/>
    <xf numFmtId="0" fontId="10" fillId="0" borderId="0" xfId="0" applyFont="1" applyFill="1" applyBorder="1"/>
    <xf numFmtId="164" fontId="9" fillId="3" borderId="6" xfId="0" applyNumberFormat="1" applyFont="1" applyFill="1" applyBorder="1"/>
    <xf numFmtId="1" fontId="9" fillId="0" borderId="0" xfId="0" applyNumberFormat="1" applyFont="1" applyFill="1"/>
    <xf numFmtId="0" fontId="9" fillId="0" borderId="0" xfId="0" applyFont="1" applyFill="1"/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65" fontId="9" fillId="0" borderId="0" xfId="2" applyFont="1" applyBorder="1"/>
    <xf numFmtId="0" fontId="9" fillId="0" borderId="0" xfId="0" quotePrefix="1" applyFont="1" applyBorder="1" applyAlignment="1">
      <alignment horizontal="center"/>
    </xf>
    <xf numFmtId="0" fontId="9" fillId="0" borderId="0" xfId="0" applyFont="1" applyBorder="1"/>
    <xf numFmtId="164" fontId="11" fillId="0" borderId="0" xfId="0" applyNumberFormat="1" applyFont="1" applyBorder="1"/>
    <xf numFmtId="164" fontId="9" fillId="0" borderId="0" xfId="0" applyNumberFormat="1" applyFont="1" applyBorder="1"/>
    <xf numFmtId="164" fontId="11" fillId="0" borderId="0" xfId="0" applyNumberFormat="1" applyFont="1"/>
    <xf numFmtId="164" fontId="9" fillId="0" borderId="0" xfId="0" applyNumberFormat="1" applyFont="1"/>
    <xf numFmtId="165" fontId="9" fillId="0" borderId="0" xfId="2" applyFont="1"/>
    <xf numFmtId="164" fontId="19" fillId="0" borderId="6" xfId="0" applyNumberFormat="1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2" fillId="0" borderId="0" xfId="0" applyFont="1"/>
    <xf numFmtId="0" fontId="12" fillId="0" borderId="0" xfId="0" applyFont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14" fillId="0" borderId="0" xfId="0" applyFont="1"/>
    <xf numFmtId="0" fontId="4" fillId="0" borderId="0" xfId="0" applyFont="1"/>
    <xf numFmtId="44" fontId="4" fillId="0" borderId="0" xfId="7" applyFont="1"/>
    <xf numFmtId="0" fontId="16" fillId="0" borderId="0" xfId="0" applyFont="1"/>
    <xf numFmtId="44" fontId="14" fillId="0" borderId="0" xfId="7" applyFont="1"/>
    <xf numFmtId="0" fontId="4" fillId="0" borderId="0" xfId="0" applyFont="1" applyAlignment="1">
      <alignment wrapText="1"/>
    </xf>
    <xf numFmtId="44" fontId="4" fillId="0" borderId="0" xfId="0" applyNumberFormat="1" applyFont="1"/>
    <xf numFmtId="169" fontId="4" fillId="0" borderId="0" xfId="0" applyNumberFormat="1" applyFont="1"/>
    <xf numFmtId="10" fontId="4" fillId="0" borderId="0" xfId="0" applyNumberFormat="1" applyFont="1"/>
    <xf numFmtId="44" fontId="4" fillId="0" borderId="5" xfId="7" applyFont="1" applyBorder="1"/>
    <xf numFmtId="0" fontId="4" fillId="0" borderId="0" xfId="0" applyFont="1" applyAlignment="1">
      <alignment horizontal="right"/>
    </xf>
    <xf numFmtId="44" fontId="4" fillId="0" borderId="8" xfId="7" applyFont="1" applyBorder="1"/>
    <xf numFmtId="0" fontId="20" fillId="0" borderId="0" xfId="0" applyFont="1"/>
    <xf numFmtId="0" fontId="8" fillId="2" borderId="9" xfId="0" applyFont="1" applyFill="1" applyBorder="1"/>
    <xf numFmtId="0" fontId="8" fillId="2" borderId="10" xfId="0" quotePrefix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164" fontId="8" fillId="2" borderId="10" xfId="0" applyNumberFormat="1" applyFont="1" applyFill="1" applyBorder="1" applyAlignment="1">
      <alignment horizontal="left"/>
    </xf>
    <xf numFmtId="164" fontId="19" fillId="0" borderId="6" xfId="0" applyNumberFormat="1" applyFont="1" applyBorder="1"/>
    <xf numFmtId="0" fontId="21" fillId="0" borderId="6" xfId="0" applyFont="1" applyBorder="1" applyAlignment="1">
      <alignment horizontal="center"/>
    </xf>
    <xf numFmtId="0" fontId="17" fillId="0" borderId="6" xfId="0" applyFont="1" applyBorder="1"/>
    <xf numFmtId="164" fontId="9" fillId="0" borderId="6" xfId="0" applyNumberFormat="1" applyFont="1" applyBorder="1"/>
    <xf numFmtId="164" fontId="9" fillId="0" borderId="6" xfId="0" applyNumberFormat="1" applyFont="1" applyFill="1" applyBorder="1" applyAlignment="1">
      <alignment vertical="top"/>
    </xf>
    <xf numFmtId="165" fontId="9" fillId="0" borderId="6" xfId="2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9" fillId="0" borderId="6" xfId="0" applyFont="1" applyFill="1" applyBorder="1" applyAlignment="1">
      <alignment vertical="top"/>
    </xf>
    <xf numFmtId="164" fontId="9" fillId="0" borderId="6" xfId="0" applyNumberFormat="1" applyFont="1" applyBorder="1" applyAlignment="1">
      <alignment vertical="top"/>
    </xf>
    <xf numFmtId="1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18" fillId="0" borderId="0" xfId="0" applyFont="1"/>
    <xf numFmtId="166" fontId="9" fillId="0" borderId="0" xfId="6" applyFont="1"/>
    <xf numFmtId="164" fontId="8" fillId="0" borderId="6" xfId="0" applyNumberFormat="1" applyFont="1" applyFill="1" applyBorder="1" applyAlignment="1">
      <alignment vertical="top"/>
    </xf>
    <xf numFmtId="0" fontId="4" fillId="0" borderId="6" xfId="0" applyFont="1" applyBorder="1"/>
    <xf numFmtId="0" fontId="4" fillId="0" borderId="6" xfId="0" applyFont="1" applyBorder="1" applyAlignment="1"/>
    <xf numFmtId="164" fontId="11" fillId="0" borderId="0" xfId="0" applyNumberFormat="1" applyFont="1" applyFill="1"/>
    <xf numFmtId="164" fontId="9" fillId="0" borderId="0" xfId="0" applyNumberFormat="1" applyFont="1" applyFill="1"/>
    <xf numFmtId="0" fontId="8" fillId="0" borderId="0" xfId="0" applyFont="1"/>
    <xf numFmtId="164" fontId="12" fillId="2" borderId="2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5" xfId="0" applyNumberFormat="1" applyFont="1" applyFill="1" applyBorder="1" applyAlignment="1">
      <alignment horizontal="center" vertical="center"/>
    </xf>
    <xf numFmtId="0" fontId="9" fillId="4" borderId="0" xfId="0" applyFont="1" applyFill="1" applyBorder="1"/>
  </cellXfs>
  <cellStyles count="8">
    <cellStyle name="Euro" xfId="1" xr:uid="{00000000-0005-0000-0000-000000000000}"/>
    <cellStyle name="Komma" xfId="2" builtinId="3"/>
    <cellStyle name="Komma 2" xfId="3" xr:uid="{00000000-0005-0000-0000-000002000000}"/>
    <cellStyle name="Komma 3" xfId="4" xr:uid="{00000000-0005-0000-0000-000003000000}"/>
    <cellStyle name="Standaard" xfId="0" builtinId="0"/>
    <cellStyle name="Standaard 2" xfId="5" xr:uid="{00000000-0005-0000-0000-000005000000}"/>
    <cellStyle name="Valuta" xfId="6" builtinId="4"/>
    <cellStyle name="Valuta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8"/>
  <sheetViews>
    <sheetView tabSelected="1" topLeftCell="Q1" zoomScaleNormal="100" workbookViewId="0">
      <selection activeCell="Y3" sqref="Y3:Y5"/>
    </sheetView>
  </sheetViews>
  <sheetFormatPr defaultColWidth="9.08984375" defaultRowHeight="12.5" x14ac:dyDescent="0.25"/>
  <cols>
    <col min="1" max="1" width="11.6328125" style="41" customWidth="1"/>
    <col min="2" max="2" width="8.6328125" style="20" customWidth="1"/>
    <col min="3" max="3" width="54" style="20" bestFit="1" customWidth="1"/>
    <col min="4" max="4" width="27.54296875" style="20" bestFit="1" customWidth="1"/>
    <col min="5" max="5" width="8.453125" style="20" bestFit="1" customWidth="1"/>
    <col min="6" max="6" width="7.90625" style="20" bestFit="1" customWidth="1"/>
    <col min="7" max="9" width="15.453125" style="39" hidden="1" customWidth="1"/>
    <col min="10" max="10" width="16" style="39" bestFit="1" customWidth="1"/>
    <col min="11" max="11" width="15.453125" style="40" customWidth="1"/>
    <col min="12" max="12" width="16" style="40" bestFit="1" customWidth="1"/>
    <col min="13" max="13" width="15.453125" style="40" customWidth="1"/>
    <col min="14" max="14" width="16.6328125" style="40" customWidth="1"/>
    <col min="15" max="15" width="5.36328125" style="19" customWidth="1"/>
    <col min="16" max="17" width="48.54296875" style="19" bestFit="1" customWidth="1"/>
    <col min="18" max="18" width="9.08984375" style="20"/>
    <col min="19" max="19" width="13.54296875" bestFit="1" customWidth="1"/>
    <col min="20" max="20" width="11.36328125" style="51" customWidth="1"/>
    <col min="21" max="21" width="9.453125" bestFit="1" customWidth="1"/>
    <col min="22" max="22" width="18.453125" customWidth="1"/>
    <col min="23" max="23" width="22.81640625" customWidth="1"/>
    <col min="24" max="24" width="17.453125" customWidth="1"/>
    <col min="25" max="16384" width="9.08984375" style="20"/>
  </cols>
  <sheetData>
    <row r="1" spans="1:25" ht="11.5" x14ac:dyDescent="0.25">
      <c r="A1" s="34"/>
      <c r="B1" s="35"/>
      <c r="C1" s="36"/>
      <c r="D1" s="36"/>
      <c r="E1" s="36"/>
      <c r="F1" s="36"/>
      <c r="G1" s="37"/>
      <c r="H1" s="37"/>
      <c r="I1" s="37"/>
      <c r="J1" s="37"/>
      <c r="K1" s="38"/>
      <c r="L1" s="38"/>
      <c r="M1" s="38"/>
      <c r="N1" s="38"/>
      <c r="Q1" s="84"/>
      <c r="S1" s="49"/>
      <c r="T1" s="50"/>
      <c r="U1" s="49"/>
      <c r="V1" s="49"/>
      <c r="W1" s="49"/>
      <c r="X1" s="49"/>
    </row>
    <row r="2" spans="1:25" ht="11.5" x14ac:dyDescent="0.25">
      <c r="A2" s="1" t="s">
        <v>18</v>
      </c>
      <c r="B2" s="2" t="s">
        <v>12</v>
      </c>
      <c r="C2" s="3" t="s">
        <v>11</v>
      </c>
      <c r="D2" s="3" t="s">
        <v>23</v>
      </c>
      <c r="E2" s="3" t="s">
        <v>25</v>
      </c>
      <c r="F2" s="3" t="s">
        <v>24</v>
      </c>
      <c r="G2" s="4" t="s">
        <v>22</v>
      </c>
      <c r="H2" s="4" t="s">
        <v>22</v>
      </c>
      <c r="I2" s="4" t="s">
        <v>22</v>
      </c>
      <c r="J2" s="4" t="s">
        <v>22</v>
      </c>
      <c r="K2" s="4" t="s">
        <v>10</v>
      </c>
      <c r="L2" s="4" t="s">
        <v>22</v>
      </c>
      <c r="M2" s="4" t="s">
        <v>10</v>
      </c>
      <c r="N2" s="4" t="s">
        <v>17</v>
      </c>
      <c r="Q2" s="84"/>
      <c r="S2" s="49"/>
      <c r="T2" s="50"/>
      <c r="U2" s="49"/>
      <c r="V2" s="49"/>
      <c r="W2" s="49"/>
      <c r="X2" s="49"/>
    </row>
    <row r="3" spans="1:25" ht="12" customHeight="1" x14ac:dyDescent="0.25">
      <c r="A3" s="5" t="s">
        <v>19</v>
      </c>
      <c r="B3" s="6" t="s">
        <v>13</v>
      </c>
      <c r="C3" s="7"/>
      <c r="D3" s="7"/>
      <c r="E3" s="7"/>
      <c r="F3" s="7"/>
      <c r="G3" s="8" t="s">
        <v>80</v>
      </c>
      <c r="H3" s="8" t="s">
        <v>82</v>
      </c>
      <c r="I3" s="8" t="s">
        <v>86</v>
      </c>
      <c r="J3" s="8" t="s">
        <v>119</v>
      </c>
      <c r="K3" s="8" t="s">
        <v>119</v>
      </c>
      <c r="L3" s="8" t="s">
        <v>121</v>
      </c>
      <c r="M3" s="8" t="s">
        <v>121</v>
      </c>
      <c r="N3" s="8" t="s">
        <v>9</v>
      </c>
      <c r="Q3" s="84"/>
      <c r="S3" s="91"/>
      <c r="T3" s="91"/>
      <c r="U3" s="91"/>
      <c r="V3" s="91"/>
      <c r="W3" s="91" t="s">
        <v>186</v>
      </c>
      <c r="X3" s="91"/>
      <c r="Y3" s="94"/>
    </row>
    <row r="4" spans="1:25" ht="12" customHeight="1" x14ac:dyDescent="0.25">
      <c r="A4" s="9"/>
      <c r="B4" s="10"/>
      <c r="C4" s="11"/>
      <c r="D4" s="11"/>
      <c r="E4" s="11"/>
      <c r="F4" s="11"/>
      <c r="G4" s="12" t="s">
        <v>81</v>
      </c>
      <c r="H4" s="12" t="s">
        <v>83</v>
      </c>
      <c r="I4" s="12" t="s">
        <v>87</v>
      </c>
      <c r="J4" s="12" t="s">
        <v>120</v>
      </c>
      <c r="K4" s="13"/>
      <c r="L4" s="12" t="s">
        <v>123</v>
      </c>
      <c r="M4" s="12" t="s">
        <v>122</v>
      </c>
      <c r="N4" s="14" t="s">
        <v>121</v>
      </c>
      <c r="S4" s="92"/>
      <c r="T4" s="92" t="s">
        <v>187</v>
      </c>
      <c r="U4" s="92"/>
      <c r="V4" s="92"/>
      <c r="W4" s="92" t="s">
        <v>188</v>
      </c>
      <c r="X4" s="92" t="s">
        <v>189</v>
      </c>
      <c r="Y4" s="94"/>
    </row>
    <row r="5" spans="1:25" ht="12" customHeight="1" x14ac:dyDescent="0.25">
      <c r="C5" s="83"/>
      <c r="L5" s="40" t="s">
        <v>128</v>
      </c>
      <c r="M5" s="40" t="s">
        <v>171</v>
      </c>
      <c r="P5" s="19" t="s">
        <v>152</v>
      </c>
      <c r="Q5" s="19" t="s">
        <v>173</v>
      </c>
      <c r="S5" s="93" t="s">
        <v>190</v>
      </c>
      <c r="T5" s="93" t="s">
        <v>191</v>
      </c>
      <c r="U5" s="93" t="s">
        <v>192</v>
      </c>
      <c r="V5" s="93" t="s">
        <v>193</v>
      </c>
      <c r="W5" s="93" t="s">
        <v>194</v>
      </c>
      <c r="X5" s="93" t="s">
        <v>195</v>
      </c>
      <c r="Y5" s="94"/>
    </row>
    <row r="6" spans="1:25" ht="11.5" x14ac:dyDescent="0.25">
      <c r="A6" s="15">
        <v>6422015</v>
      </c>
      <c r="B6" s="16">
        <v>630035</v>
      </c>
      <c r="C6" s="17" t="s">
        <v>15</v>
      </c>
      <c r="D6" s="17" t="s">
        <v>73</v>
      </c>
      <c r="E6" s="17" t="s">
        <v>74</v>
      </c>
      <c r="F6" s="17" t="s">
        <v>26</v>
      </c>
      <c r="G6" s="18">
        <v>0</v>
      </c>
      <c r="H6" s="18">
        <f>ROUND(G6/131.5*140.3,0)</f>
        <v>0</v>
      </c>
      <c r="I6" s="18">
        <f>ROUND(H6/140.3*150.8,0)</f>
        <v>0</v>
      </c>
      <c r="J6" s="18"/>
      <c r="K6" s="18">
        <f>55000*1.21</f>
        <v>66550</v>
      </c>
      <c r="L6" s="85">
        <f>ROUND(J6/110.4*124,0)</f>
        <v>0</v>
      </c>
      <c r="M6" s="85">
        <f>ROUND(K6/105.2*122.3,0)</f>
        <v>77368</v>
      </c>
      <c r="N6" s="18">
        <f>L6+M6</f>
        <v>77368</v>
      </c>
      <c r="O6" s="19">
        <v>1</v>
      </c>
      <c r="Q6" s="19" t="s">
        <v>170</v>
      </c>
      <c r="S6" s="43"/>
      <c r="T6" s="43"/>
      <c r="U6" s="43"/>
      <c r="V6" s="43"/>
      <c r="W6" s="43"/>
      <c r="X6" s="43"/>
    </row>
    <row r="7" spans="1:25" ht="11.5" x14ac:dyDescent="0.25">
      <c r="A7" s="15">
        <v>6630310</v>
      </c>
      <c r="B7" s="16">
        <v>636044</v>
      </c>
      <c r="C7" s="17" t="s">
        <v>4</v>
      </c>
      <c r="D7" s="17" t="s">
        <v>68</v>
      </c>
      <c r="E7" s="17" t="s">
        <v>69</v>
      </c>
      <c r="F7" s="17" t="s">
        <v>26</v>
      </c>
      <c r="G7" s="18">
        <v>156395</v>
      </c>
      <c r="H7" s="18">
        <f t="shared" ref="H7:H14" si="0">ROUND(G7/131.5*140.3,0)</f>
        <v>166861</v>
      </c>
      <c r="I7" s="18">
        <f t="shared" ref="I7:I24" si="1">ROUND(H7/140.3*150.8,0)</f>
        <v>179349</v>
      </c>
      <c r="J7" s="18">
        <v>690000</v>
      </c>
      <c r="K7" s="18"/>
      <c r="L7" s="85">
        <f t="shared" ref="L7:L27" si="2">ROUND(J7/110.4*124,0)</f>
        <v>775000</v>
      </c>
      <c r="M7" s="74"/>
      <c r="N7" s="18">
        <f t="shared" ref="N7:N39" si="3">L7+M7</f>
        <v>775000</v>
      </c>
      <c r="O7" s="19">
        <v>1</v>
      </c>
      <c r="P7" s="19" t="s">
        <v>136</v>
      </c>
      <c r="S7" s="43" t="s">
        <v>92</v>
      </c>
      <c r="T7" s="43" t="s">
        <v>92</v>
      </c>
      <c r="U7" s="43" t="s">
        <v>92</v>
      </c>
      <c r="V7" s="43" t="s">
        <v>93</v>
      </c>
      <c r="W7" s="43" t="s">
        <v>93</v>
      </c>
      <c r="X7" s="43" t="s">
        <v>93</v>
      </c>
    </row>
    <row r="8" spans="1:25" ht="11.5" x14ac:dyDescent="0.25">
      <c r="A8" s="15">
        <v>6541010</v>
      </c>
      <c r="B8" s="16">
        <v>633014</v>
      </c>
      <c r="C8" s="17" t="s">
        <v>32</v>
      </c>
      <c r="D8" s="17" t="s">
        <v>178</v>
      </c>
      <c r="E8" s="17" t="s">
        <v>64</v>
      </c>
      <c r="F8" s="17" t="s">
        <v>26</v>
      </c>
      <c r="G8" s="18">
        <v>1017140</v>
      </c>
      <c r="H8" s="18">
        <f t="shared" si="0"/>
        <v>1085207</v>
      </c>
      <c r="I8" s="18">
        <f t="shared" si="1"/>
        <v>1166423</v>
      </c>
      <c r="J8" s="18">
        <v>1800000</v>
      </c>
      <c r="K8" s="18"/>
      <c r="L8" s="85">
        <f t="shared" si="2"/>
        <v>2021739</v>
      </c>
      <c r="M8" s="74"/>
      <c r="N8" s="18">
        <f t="shared" si="3"/>
        <v>2021739</v>
      </c>
      <c r="O8" s="19">
        <v>1</v>
      </c>
      <c r="P8" s="19" t="s">
        <v>135</v>
      </c>
      <c r="S8" s="43" t="s">
        <v>92</v>
      </c>
      <c r="T8" s="43" t="s">
        <v>92</v>
      </c>
      <c r="U8" s="43" t="s">
        <v>92</v>
      </c>
      <c r="V8" s="43" t="s">
        <v>92</v>
      </c>
      <c r="W8" s="43" t="s">
        <v>93</v>
      </c>
      <c r="X8" s="43" t="s">
        <v>93</v>
      </c>
    </row>
    <row r="9" spans="1:25" ht="11.5" x14ac:dyDescent="0.25">
      <c r="A9" s="15">
        <v>6820112</v>
      </c>
      <c r="B9" s="15">
        <v>603014</v>
      </c>
      <c r="C9" s="17" t="s">
        <v>31</v>
      </c>
      <c r="D9" s="17" t="s">
        <v>175</v>
      </c>
      <c r="E9" s="17" t="s">
        <v>39</v>
      </c>
      <c r="F9" s="17" t="s">
        <v>28</v>
      </c>
      <c r="G9" s="18">
        <v>44348</v>
      </c>
      <c r="H9" s="18">
        <f t="shared" si="0"/>
        <v>47316</v>
      </c>
      <c r="I9" s="18">
        <f t="shared" si="1"/>
        <v>50857</v>
      </c>
      <c r="J9" s="18">
        <v>135000</v>
      </c>
      <c r="K9" s="18"/>
      <c r="L9" s="85">
        <f t="shared" si="2"/>
        <v>151630</v>
      </c>
      <c r="M9" s="74"/>
      <c r="N9" s="18">
        <f t="shared" si="3"/>
        <v>151630</v>
      </c>
      <c r="O9" s="19">
        <v>1</v>
      </c>
      <c r="P9" s="19" t="s">
        <v>134</v>
      </c>
      <c r="S9" s="43" t="s">
        <v>92</v>
      </c>
      <c r="T9" s="43" t="s">
        <v>92</v>
      </c>
      <c r="U9" s="43" t="s">
        <v>92</v>
      </c>
      <c r="V9" s="43" t="s">
        <v>92</v>
      </c>
      <c r="W9" s="43" t="s">
        <v>93</v>
      </c>
      <c r="X9" s="43" t="s">
        <v>93</v>
      </c>
    </row>
    <row r="10" spans="1:25" ht="11.5" x14ac:dyDescent="0.25">
      <c r="A10" s="15">
        <v>6530210</v>
      </c>
      <c r="B10" s="16">
        <v>630038</v>
      </c>
      <c r="C10" s="17" t="s">
        <v>8</v>
      </c>
      <c r="D10" s="17" t="s">
        <v>41</v>
      </c>
      <c r="E10" s="17" t="s">
        <v>42</v>
      </c>
      <c r="F10" s="17" t="s">
        <v>28</v>
      </c>
      <c r="G10" s="18">
        <v>2256508</v>
      </c>
      <c r="H10" s="18">
        <f t="shared" si="0"/>
        <v>2407514</v>
      </c>
      <c r="I10" s="18">
        <f t="shared" si="1"/>
        <v>2587691</v>
      </c>
      <c r="J10" s="18">
        <v>3070000</v>
      </c>
      <c r="K10" s="18">
        <f>150000*1.21</f>
        <v>181500</v>
      </c>
      <c r="L10" s="85">
        <f t="shared" si="2"/>
        <v>3448188</v>
      </c>
      <c r="M10" s="85">
        <f>ROUND(K10/105.2*122.3,0)</f>
        <v>211002</v>
      </c>
      <c r="N10" s="18">
        <f t="shared" si="3"/>
        <v>3659190</v>
      </c>
      <c r="O10" s="19">
        <v>1</v>
      </c>
      <c r="P10" s="19" t="s">
        <v>133</v>
      </c>
      <c r="Q10" s="19" t="s">
        <v>170</v>
      </c>
      <c r="S10" s="43" t="s">
        <v>92</v>
      </c>
      <c r="T10" s="43" t="s">
        <v>94</v>
      </c>
      <c r="U10" s="43" t="s">
        <v>92</v>
      </c>
      <c r="V10" s="43" t="s">
        <v>94</v>
      </c>
      <c r="W10" s="43" t="s">
        <v>93</v>
      </c>
      <c r="X10" s="43" t="s">
        <v>93</v>
      </c>
    </row>
    <row r="11" spans="1:25" ht="11.5" x14ac:dyDescent="0.25">
      <c r="A11" s="15">
        <v>6622021</v>
      </c>
      <c r="B11" s="16">
        <v>641013</v>
      </c>
      <c r="C11" s="17" t="s">
        <v>139</v>
      </c>
      <c r="D11" s="17" t="s">
        <v>131</v>
      </c>
      <c r="E11" s="17" t="s">
        <v>38</v>
      </c>
      <c r="F11" s="17" t="s">
        <v>28</v>
      </c>
      <c r="G11" s="18">
        <v>33719</v>
      </c>
      <c r="H11" s="18">
        <f t="shared" si="0"/>
        <v>35975</v>
      </c>
      <c r="I11" s="18">
        <f t="shared" si="1"/>
        <v>38667</v>
      </c>
      <c r="J11" s="18">
        <v>65000</v>
      </c>
      <c r="K11" s="18"/>
      <c r="L11" s="85">
        <f>ROUND(J11/110.4*124,0)</f>
        <v>73007</v>
      </c>
      <c r="M11" s="74"/>
      <c r="N11" s="18">
        <f t="shared" si="3"/>
        <v>73007</v>
      </c>
      <c r="P11" s="19" t="s">
        <v>132</v>
      </c>
      <c r="S11" s="44" t="s">
        <v>92</v>
      </c>
      <c r="T11" s="44" t="s">
        <v>92</v>
      </c>
      <c r="U11" s="44" t="s">
        <v>92</v>
      </c>
      <c r="V11" s="44" t="s">
        <v>92</v>
      </c>
      <c r="W11" s="43" t="s">
        <v>93</v>
      </c>
      <c r="X11" s="43" t="s">
        <v>93</v>
      </c>
    </row>
    <row r="12" spans="1:25" ht="11.5" x14ac:dyDescent="0.25">
      <c r="A12" s="15">
        <v>5640140</v>
      </c>
      <c r="B12" s="16">
        <v>604047</v>
      </c>
      <c r="C12" s="17" t="s">
        <v>6</v>
      </c>
      <c r="D12" s="17" t="s">
        <v>36</v>
      </c>
      <c r="E12" s="17" t="s">
        <v>37</v>
      </c>
      <c r="F12" s="17" t="s">
        <v>28</v>
      </c>
      <c r="G12" s="18">
        <v>6736945</v>
      </c>
      <c r="H12" s="18">
        <f t="shared" si="0"/>
        <v>7187782</v>
      </c>
      <c r="I12" s="18">
        <f t="shared" si="1"/>
        <v>7725713</v>
      </c>
      <c r="J12" s="18">
        <v>6100000</v>
      </c>
      <c r="K12" s="18">
        <f>790000*1.21</f>
        <v>955900</v>
      </c>
      <c r="L12" s="85">
        <f t="shared" si="2"/>
        <v>6851449</v>
      </c>
      <c r="M12" s="85">
        <f>ROUND(K12/105.2*122.3,0)</f>
        <v>1111279</v>
      </c>
      <c r="N12" s="18">
        <f t="shared" si="3"/>
        <v>7962728</v>
      </c>
      <c r="O12" s="19">
        <v>1</v>
      </c>
      <c r="P12" s="19" t="s">
        <v>130</v>
      </c>
      <c r="Q12" s="19" t="s">
        <v>170</v>
      </c>
      <c r="S12" s="43" t="s">
        <v>94</v>
      </c>
      <c r="T12" s="43" t="s">
        <v>94</v>
      </c>
      <c r="U12" s="43" t="s">
        <v>92</v>
      </c>
      <c r="V12" s="43" t="s">
        <v>94</v>
      </c>
      <c r="W12" s="43" t="s">
        <v>93</v>
      </c>
      <c r="X12" s="43" t="s">
        <v>93</v>
      </c>
    </row>
    <row r="13" spans="1:25" ht="11.5" x14ac:dyDescent="0.25">
      <c r="A13" s="15">
        <v>6530110</v>
      </c>
      <c r="B13" s="16">
        <v>630033</v>
      </c>
      <c r="C13" s="17" t="s">
        <v>7</v>
      </c>
      <c r="D13" s="17" t="s">
        <v>62</v>
      </c>
      <c r="E13" s="17" t="s">
        <v>63</v>
      </c>
      <c r="F13" s="17" t="s">
        <v>28</v>
      </c>
      <c r="G13" s="18">
        <v>2881890</v>
      </c>
      <c r="H13" s="18">
        <f t="shared" si="0"/>
        <v>3074747</v>
      </c>
      <c r="I13" s="18">
        <f t="shared" si="1"/>
        <v>3304860</v>
      </c>
      <c r="J13" s="18">
        <v>3700000</v>
      </c>
      <c r="K13" s="18">
        <f>95000*1.21</f>
        <v>114950</v>
      </c>
      <c r="L13" s="85">
        <f t="shared" si="2"/>
        <v>4155797</v>
      </c>
      <c r="M13" s="85">
        <f>ROUND(K13/105.2*122.3,0)</f>
        <v>133635</v>
      </c>
      <c r="N13" s="18">
        <f t="shared" si="3"/>
        <v>4289432</v>
      </c>
      <c r="O13" s="19">
        <v>1</v>
      </c>
      <c r="P13" s="19" t="s">
        <v>129</v>
      </c>
      <c r="Q13" s="19" t="s">
        <v>170</v>
      </c>
      <c r="S13" s="43" t="s">
        <v>92</v>
      </c>
      <c r="T13" s="43" t="s">
        <v>94</v>
      </c>
      <c r="U13" s="43" t="s">
        <v>92</v>
      </c>
      <c r="V13" s="43" t="s">
        <v>92</v>
      </c>
      <c r="W13" s="43" t="s">
        <v>93</v>
      </c>
      <c r="X13" s="43" t="s">
        <v>93</v>
      </c>
    </row>
    <row r="14" spans="1:25" ht="11.5" x14ac:dyDescent="0.25">
      <c r="A14" s="15">
        <v>6820110</v>
      </c>
      <c r="B14" s="15">
        <v>603014</v>
      </c>
      <c r="C14" s="17" t="s">
        <v>33</v>
      </c>
      <c r="D14" s="17" t="s">
        <v>34</v>
      </c>
      <c r="E14" s="17" t="s">
        <v>40</v>
      </c>
      <c r="F14" s="17" t="s">
        <v>28</v>
      </c>
      <c r="G14" s="18">
        <v>234402</v>
      </c>
      <c r="H14" s="18">
        <f t="shared" si="0"/>
        <v>250088</v>
      </c>
      <c r="I14" s="18">
        <f t="shared" si="1"/>
        <v>268804</v>
      </c>
      <c r="J14" s="18">
        <v>285000</v>
      </c>
      <c r="K14" s="18"/>
      <c r="L14" s="85">
        <f t="shared" si="2"/>
        <v>320109</v>
      </c>
      <c r="M14" s="74"/>
      <c r="N14" s="18">
        <f t="shared" si="3"/>
        <v>320109</v>
      </c>
      <c r="O14" s="19">
        <v>1</v>
      </c>
      <c r="P14" s="19" t="s">
        <v>127</v>
      </c>
      <c r="S14" s="43" t="s">
        <v>93</v>
      </c>
      <c r="T14" s="43" t="s">
        <v>92</v>
      </c>
      <c r="U14" s="43" t="s">
        <v>92</v>
      </c>
      <c r="V14" s="43" t="s">
        <v>92</v>
      </c>
      <c r="W14" s="43" t="s">
        <v>93</v>
      </c>
      <c r="X14" s="43" t="s">
        <v>93</v>
      </c>
    </row>
    <row r="15" spans="1:25" ht="11.5" x14ac:dyDescent="0.25">
      <c r="A15" s="15">
        <v>6630011</v>
      </c>
      <c r="B15" s="16">
        <v>636043</v>
      </c>
      <c r="C15" s="17" t="s">
        <v>126</v>
      </c>
      <c r="D15" s="17" t="s">
        <v>44</v>
      </c>
      <c r="E15" s="17" t="s">
        <v>45</v>
      </c>
      <c r="F15" s="17" t="s">
        <v>28</v>
      </c>
      <c r="G15" s="18">
        <v>0</v>
      </c>
      <c r="H15" s="18">
        <v>3200000</v>
      </c>
      <c r="I15" s="18">
        <f t="shared" si="1"/>
        <v>3439487</v>
      </c>
      <c r="J15" s="18">
        <v>3450000</v>
      </c>
      <c r="K15" s="18">
        <f>90000*1.21</f>
        <v>108900</v>
      </c>
      <c r="L15" s="85">
        <f t="shared" si="2"/>
        <v>3875000</v>
      </c>
      <c r="M15" s="85">
        <f>ROUND(K15/105.2*122.3,0)</f>
        <v>126601</v>
      </c>
      <c r="N15" s="18">
        <f t="shared" si="3"/>
        <v>4001601</v>
      </c>
      <c r="O15" s="19">
        <v>1</v>
      </c>
      <c r="P15" s="19" t="s">
        <v>125</v>
      </c>
      <c r="Q15" s="19" t="s">
        <v>170</v>
      </c>
      <c r="S15" s="43" t="s">
        <v>93</v>
      </c>
      <c r="T15" s="43" t="s">
        <v>94</v>
      </c>
      <c r="U15" s="43" t="s">
        <v>92</v>
      </c>
      <c r="V15" s="43" t="s">
        <v>94</v>
      </c>
      <c r="W15" s="43" t="s">
        <v>93</v>
      </c>
      <c r="X15" s="43" t="s">
        <v>93</v>
      </c>
    </row>
    <row r="16" spans="1:25" ht="11.5" x14ac:dyDescent="0.25">
      <c r="A16" s="15">
        <v>6722010</v>
      </c>
      <c r="B16" s="16">
        <v>647001</v>
      </c>
      <c r="C16" s="17" t="s">
        <v>5</v>
      </c>
      <c r="D16" s="17" t="s">
        <v>70</v>
      </c>
      <c r="E16" s="17" t="s">
        <v>71</v>
      </c>
      <c r="F16" s="17" t="s">
        <v>28</v>
      </c>
      <c r="G16" s="18">
        <v>67809</v>
      </c>
      <c r="H16" s="18">
        <f t="shared" ref="H16:H23" si="4">ROUND(G16/131.5*140.3,0)</f>
        <v>72347</v>
      </c>
      <c r="I16" s="18">
        <f t="shared" si="1"/>
        <v>77761</v>
      </c>
      <c r="J16" s="18">
        <v>100000</v>
      </c>
      <c r="K16" s="18">
        <f>25000*1.21</f>
        <v>30250</v>
      </c>
      <c r="L16" s="85">
        <f t="shared" si="2"/>
        <v>112319</v>
      </c>
      <c r="M16" s="85">
        <f>ROUND(K16/105.2*122.3,0)</f>
        <v>35167</v>
      </c>
      <c r="N16" s="18">
        <f t="shared" si="3"/>
        <v>147486</v>
      </c>
      <c r="O16" s="19">
        <v>1</v>
      </c>
      <c r="P16" s="19" t="s">
        <v>137</v>
      </c>
      <c r="Q16" s="19" t="s">
        <v>170</v>
      </c>
      <c r="S16" s="43" t="s">
        <v>93</v>
      </c>
      <c r="T16" s="43" t="s">
        <v>92</v>
      </c>
      <c r="U16" s="43" t="s">
        <v>92</v>
      </c>
      <c r="V16" s="43" t="s">
        <v>92</v>
      </c>
      <c r="W16" s="43" t="s">
        <v>93</v>
      </c>
      <c r="X16" s="43" t="s">
        <v>93</v>
      </c>
    </row>
    <row r="17" spans="1:24" ht="11.5" x14ac:dyDescent="0.25">
      <c r="A17" s="15">
        <v>6622021</v>
      </c>
      <c r="B17" s="16">
        <v>641013</v>
      </c>
      <c r="C17" s="17" t="s">
        <v>140</v>
      </c>
      <c r="D17" s="17" t="s">
        <v>131</v>
      </c>
      <c r="E17" s="17" t="s">
        <v>38</v>
      </c>
      <c r="F17" s="17" t="s">
        <v>28</v>
      </c>
      <c r="G17" s="18">
        <v>57949</v>
      </c>
      <c r="H17" s="18">
        <f t="shared" si="4"/>
        <v>61827</v>
      </c>
      <c r="I17" s="18">
        <f t="shared" si="1"/>
        <v>66454</v>
      </c>
      <c r="J17" s="18">
        <v>65000</v>
      </c>
      <c r="K17" s="18"/>
      <c r="L17" s="85">
        <f t="shared" si="2"/>
        <v>73007</v>
      </c>
      <c r="M17" s="74"/>
      <c r="N17" s="18">
        <f t="shared" si="3"/>
        <v>73007</v>
      </c>
      <c r="P17" s="19" t="s">
        <v>138</v>
      </c>
      <c r="S17" s="44" t="s">
        <v>93</v>
      </c>
      <c r="T17" s="44" t="s">
        <v>92</v>
      </c>
      <c r="U17" s="44"/>
      <c r="V17" s="44"/>
      <c r="W17" s="43" t="s">
        <v>93</v>
      </c>
      <c r="X17" s="43" t="s">
        <v>93</v>
      </c>
    </row>
    <row r="18" spans="1:24" ht="11.5" x14ac:dyDescent="0.25">
      <c r="A18" s="15">
        <v>6820112</v>
      </c>
      <c r="B18" s="15">
        <v>603014</v>
      </c>
      <c r="C18" s="17" t="s">
        <v>31</v>
      </c>
      <c r="D18" s="17" t="s">
        <v>176</v>
      </c>
      <c r="E18" s="17" t="s">
        <v>35</v>
      </c>
      <c r="F18" s="17" t="s">
        <v>28</v>
      </c>
      <c r="G18" s="18">
        <v>55470</v>
      </c>
      <c r="H18" s="18">
        <f t="shared" si="4"/>
        <v>59182</v>
      </c>
      <c r="I18" s="18">
        <f t="shared" si="1"/>
        <v>63611</v>
      </c>
      <c r="J18" s="18">
        <v>115000</v>
      </c>
      <c r="K18" s="18"/>
      <c r="L18" s="85">
        <f t="shared" si="2"/>
        <v>129167</v>
      </c>
      <c r="M18" s="74"/>
      <c r="N18" s="18">
        <f t="shared" si="3"/>
        <v>129167</v>
      </c>
      <c r="O18" s="19">
        <v>1</v>
      </c>
      <c r="P18" s="19" t="s">
        <v>141</v>
      </c>
      <c r="S18" s="43" t="s">
        <v>93</v>
      </c>
      <c r="T18" s="43" t="s">
        <v>92</v>
      </c>
      <c r="U18" s="43" t="s">
        <v>92</v>
      </c>
      <c r="V18" s="43" t="s">
        <v>92</v>
      </c>
      <c r="W18" s="43" t="s">
        <v>93</v>
      </c>
      <c r="X18" s="43" t="s">
        <v>93</v>
      </c>
    </row>
    <row r="19" spans="1:24" ht="12" x14ac:dyDescent="0.3">
      <c r="A19" s="15">
        <v>5640320</v>
      </c>
      <c r="B19" s="21">
        <v>604050</v>
      </c>
      <c r="C19" s="17" t="s">
        <v>143</v>
      </c>
      <c r="D19" s="17" t="s">
        <v>131</v>
      </c>
      <c r="E19" s="17" t="s">
        <v>38</v>
      </c>
      <c r="F19" s="17" t="s">
        <v>28</v>
      </c>
      <c r="G19" s="18">
        <v>1389816</v>
      </c>
      <c r="H19" s="18">
        <f t="shared" si="4"/>
        <v>1482823</v>
      </c>
      <c r="I19" s="18">
        <f t="shared" si="1"/>
        <v>1593797</v>
      </c>
      <c r="J19" s="18">
        <v>1310000</v>
      </c>
      <c r="K19" s="22"/>
      <c r="L19" s="85">
        <f t="shared" si="2"/>
        <v>1471377</v>
      </c>
      <c r="M19" s="74"/>
      <c r="N19" s="18">
        <f t="shared" si="3"/>
        <v>1471377</v>
      </c>
      <c r="O19" s="19">
        <v>1</v>
      </c>
      <c r="P19" s="19" t="s">
        <v>142</v>
      </c>
      <c r="S19" s="43" t="s">
        <v>93</v>
      </c>
      <c r="T19" s="43" t="s">
        <v>94</v>
      </c>
      <c r="U19" s="43" t="s">
        <v>92</v>
      </c>
      <c r="V19" s="43" t="s">
        <v>94</v>
      </c>
      <c r="W19" s="43" t="s">
        <v>93</v>
      </c>
      <c r="X19" s="43" t="s">
        <v>93</v>
      </c>
    </row>
    <row r="20" spans="1:24" ht="11.5" x14ac:dyDescent="0.25">
      <c r="A20" s="15">
        <v>6580210</v>
      </c>
      <c r="B20" s="16">
        <v>631020</v>
      </c>
      <c r="C20" s="17" t="s">
        <v>20</v>
      </c>
      <c r="D20" s="17" t="s">
        <v>67</v>
      </c>
      <c r="E20" s="17" t="s">
        <v>38</v>
      </c>
      <c r="F20" s="17" t="s">
        <v>28</v>
      </c>
      <c r="G20" s="18">
        <v>5842424</v>
      </c>
      <c r="H20" s="18">
        <f t="shared" si="4"/>
        <v>6233400</v>
      </c>
      <c r="I20" s="18">
        <f t="shared" si="1"/>
        <v>6699905</v>
      </c>
      <c r="J20" s="18">
        <v>6900000</v>
      </c>
      <c r="K20" s="18"/>
      <c r="L20" s="85">
        <f t="shared" si="2"/>
        <v>7750000</v>
      </c>
      <c r="M20" s="74"/>
      <c r="N20" s="18">
        <f t="shared" si="3"/>
        <v>7750000</v>
      </c>
      <c r="O20" s="19">
        <v>1</v>
      </c>
      <c r="P20" s="19" t="s">
        <v>144</v>
      </c>
      <c r="S20" s="43" t="s">
        <v>95</v>
      </c>
      <c r="T20" s="43" t="s">
        <v>94</v>
      </c>
      <c r="U20" s="43" t="s">
        <v>92</v>
      </c>
      <c r="V20" s="43" t="s">
        <v>94</v>
      </c>
      <c r="W20" s="43" t="s">
        <v>93</v>
      </c>
      <c r="X20" s="43" t="s">
        <v>93</v>
      </c>
    </row>
    <row r="21" spans="1:24" ht="11.5" x14ac:dyDescent="0.25">
      <c r="A21" s="15">
        <v>6541010</v>
      </c>
      <c r="B21" s="16">
        <v>633014</v>
      </c>
      <c r="C21" s="17" t="s">
        <v>43</v>
      </c>
      <c r="D21" s="17" t="s">
        <v>65</v>
      </c>
      <c r="E21" s="17" t="s">
        <v>66</v>
      </c>
      <c r="F21" s="17" t="s">
        <v>28</v>
      </c>
      <c r="G21" s="18">
        <v>91359</v>
      </c>
      <c r="H21" s="18">
        <f t="shared" si="4"/>
        <v>97473</v>
      </c>
      <c r="I21" s="18">
        <f t="shared" si="1"/>
        <v>104768</v>
      </c>
      <c r="J21" s="18">
        <v>160000</v>
      </c>
      <c r="K21" s="18"/>
      <c r="L21" s="85">
        <f t="shared" si="2"/>
        <v>179710</v>
      </c>
      <c r="M21" s="74"/>
      <c r="N21" s="18">
        <f t="shared" si="3"/>
        <v>179710</v>
      </c>
      <c r="O21" s="19">
        <v>1</v>
      </c>
      <c r="P21" s="19" t="s">
        <v>145</v>
      </c>
      <c r="S21" s="43" t="s">
        <v>92</v>
      </c>
      <c r="T21" s="43" t="s">
        <v>92</v>
      </c>
      <c r="U21" s="43" t="s">
        <v>92</v>
      </c>
      <c r="V21" s="43" t="s">
        <v>92</v>
      </c>
      <c r="W21" s="43" t="s">
        <v>93</v>
      </c>
      <c r="X21" s="43" t="s">
        <v>93</v>
      </c>
    </row>
    <row r="22" spans="1:24" ht="11.5" x14ac:dyDescent="0.25">
      <c r="A22" s="15">
        <v>6822510</v>
      </c>
      <c r="B22" s="16">
        <v>653025</v>
      </c>
      <c r="C22" s="17" t="s">
        <v>21</v>
      </c>
      <c r="D22" s="17" t="s">
        <v>147</v>
      </c>
      <c r="E22" s="17" t="s">
        <v>77</v>
      </c>
      <c r="F22" s="17" t="s">
        <v>30</v>
      </c>
      <c r="G22" s="18">
        <v>20343</v>
      </c>
      <c r="H22" s="18">
        <f t="shared" si="4"/>
        <v>21704</v>
      </c>
      <c r="I22" s="18">
        <f t="shared" si="1"/>
        <v>23328</v>
      </c>
      <c r="J22" s="18">
        <v>30000</v>
      </c>
      <c r="K22" s="18"/>
      <c r="L22" s="85">
        <f t="shared" si="2"/>
        <v>33696</v>
      </c>
      <c r="M22" s="74"/>
      <c r="N22" s="18">
        <f t="shared" si="3"/>
        <v>33696</v>
      </c>
      <c r="O22" s="19">
        <v>1</v>
      </c>
      <c r="P22" s="19" t="s">
        <v>146</v>
      </c>
      <c r="S22" s="43" t="s">
        <v>92</v>
      </c>
      <c r="T22" s="43" t="s">
        <v>92</v>
      </c>
      <c r="U22" s="43" t="s">
        <v>92</v>
      </c>
      <c r="V22" s="43" t="s">
        <v>92</v>
      </c>
      <c r="W22" s="43" t="s">
        <v>93</v>
      </c>
      <c r="X22" s="43" t="s">
        <v>93</v>
      </c>
    </row>
    <row r="23" spans="1:24" ht="11.5" x14ac:dyDescent="0.25">
      <c r="A23" s="15">
        <v>6422015</v>
      </c>
      <c r="B23" s="16">
        <v>630035</v>
      </c>
      <c r="C23" s="17" t="s">
        <v>14</v>
      </c>
      <c r="D23" s="17" t="s">
        <v>75</v>
      </c>
      <c r="E23" s="17" t="s">
        <v>76</v>
      </c>
      <c r="F23" s="17" t="s">
        <v>27</v>
      </c>
      <c r="G23" s="18">
        <v>0</v>
      </c>
      <c r="H23" s="18">
        <f t="shared" si="4"/>
        <v>0</v>
      </c>
      <c r="I23" s="18">
        <f t="shared" si="1"/>
        <v>0</v>
      </c>
      <c r="J23" s="18"/>
      <c r="K23" s="18">
        <f>50000*1.21</f>
        <v>60500</v>
      </c>
      <c r="L23" s="85">
        <f t="shared" si="2"/>
        <v>0</v>
      </c>
      <c r="M23" s="85">
        <f>ROUND(K23/105.2*122.3,0)</f>
        <v>70334</v>
      </c>
      <c r="N23" s="18">
        <f t="shared" si="3"/>
        <v>70334</v>
      </c>
      <c r="O23" s="19">
        <v>1</v>
      </c>
      <c r="Q23" s="19" t="s">
        <v>170</v>
      </c>
      <c r="S23" s="45"/>
      <c r="T23" s="45"/>
      <c r="U23" s="45"/>
      <c r="V23" s="45"/>
      <c r="W23" s="45"/>
      <c r="X23" s="45"/>
    </row>
    <row r="24" spans="1:24" s="27" customFormat="1" ht="11.5" x14ac:dyDescent="0.25">
      <c r="A24" s="23"/>
      <c r="B24" s="24"/>
      <c r="C24" s="17" t="s">
        <v>90</v>
      </c>
      <c r="D24" s="17" t="s">
        <v>151</v>
      </c>
      <c r="E24" s="17" t="s">
        <v>150</v>
      </c>
      <c r="F24" s="17" t="s">
        <v>28</v>
      </c>
      <c r="G24" s="42"/>
      <c r="H24" s="18">
        <v>50000</v>
      </c>
      <c r="I24" s="18">
        <f t="shared" si="1"/>
        <v>53742</v>
      </c>
      <c r="J24" s="18">
        <v>160000</v>
      </c>
      <c r="K24" s="18"/>
      <c r="L24" s="85">
        <f t="shared" si="2"/>
        <v>179710</v>
      </c>
      <c r="M24" s="74"/>
      <c r="N24" s="18">
        <f t="shared" si="3"/>
        <v>179710</v>
      </c>
      <c r="O24" s="26"/>
      <c r="P24" s="19" t="s">
        <v>153</v>
      </c>
      <c r="Q24" s="19"/>
      <c r="R24" s="20"/>
      <c r="S24" s="43" t="s">
        <v>93</v>
      </c>
      <c r="T24" s="43" t="s">
        <v>93</v>
      </c>
      <c r="U24" s="43" t="s">
        <v>93</v>
      </c>
      <c r="V24" s="43" t="s">
        <v>93</v>
      </c>
      <c r="W24" s="43" t="s">
        <v>93</v>
      </c>
      <c r="X24" s="43" t="s">
        <v>93</v>
      </c>
    </row>
    <row r="25" spans="1:24" s="27" customFormat="1" ht="11.5" x14ac:dyDescent="0.25">
      <c r="A25" s="23"/>
      <c r="B25" s="24"/>
      <c r="C25" s="17" t="s">
        <v>91</v>
      </c>
      <c r="D25" s="17" t="s">
        <v>149</v>
      </c>
      <c r="E25" s="17" t="s">
        <v>42</v>
      </c>
      <c r="F25" s="17" t="s">
        <v>28</v>
      </c>
      <c r="G25" s="42"/>
      <c r="H25" s="18">
        <v>0</v>
      </c>
      <c r="I25" s="18">
        <v>300000</v>
      </c>
      <c r="J25" s="18">
        <v>400000</v>
      </c>
      <c r="K25" s="18"/>
      <c r="L25" s="85">
        <f t="shared" si="2"/>
        <v>449275</v>
      </c>
      <c r="M25" s="74"/>
      <c r="N25" s="18">
        <f t="shared" si="3"/>
        <v>449275</v>
      </c>
      <c r="O25" s="26"/>
      <c r="P25" s="19" t="s">
        <v>148</v>
      </c>
      <c r="Q25" s="19"/>
      <c r="R25" s="20"/>
      <c r="S25" s="43" t="s">
        <v>93</v>
      </c>
      <c r="T25" s="43" t="s">
        <v>93</v>
      </c>
      <c r="U25" s="43" t="s">
        <v>93</v>
      </c>
      <c r="V25" s="43" t="s">
        <v>93</v>
      </c>
      <c r="W25" s="43" t="s">
        <v>93</v>
      </c>
      <c r="X25" s="43" t="s">
        <v>93</v>
      </c>
    </row>
    <row r="26" spans="1:24" s="27" customFormat="1" ht="11.5" x14ac:dyDescent="0.25">
      <c r="A26" s="23"/>
      <c r="B26" s="24"/>
      <c r="C26" s="17" t="s">
        <v>172</v>
      </c>
      <c r="D26" s="17" t="s">
        <v>154</v>
      </c>
      <c r="E26" s="17" t="s">
        <v>155</v>
      </c>
      <c r="F26" s="17" t="s">
        <v>26</v>
      </c>
      <c r="G26" s="42"/>
      <c r="H26" s="18">
        <v>30000</v>
      </c>
      <c r="I26" s="18">
        <f>ROUND(H26/140.3*150.8,0)</f>
        <v>32245</v>
      </c>
      <c r="J26" s="18">
        <v>50000</v>
      </c>
      <c r="K26" s="18"/>
      <c r="L26" s="85">
        <f t="shared" si="2"/>
        <v>56159</v>
      </c>
      <c r="M26" s="74"/>
      <c r="N26" s="18">
        <f t="shared" si="3"/>
        <v>56159</v>
      </c>
      <c r="O26" s="26"/>
      <c r="P26" s="19" t="s">
        <v>156</v>
      </c>
      <c r="Q26" s="19"/>
      <c r="R26" s="20"/>
      <c r="S26" s="43" t="s">
        <v>93</v>
      </c>
      <c r="T26" s="43" t="s">
        <v>93</v>
      </c>
      <c r="U26" s="43" t="s">
        <v>93</v>
      </c>
      <c r="V26" s="43" t="s">
        <v>93</v>
      </c>
      <c r="W26" s="43" t="s">
        <v>95</v>
      </c>
      <c r="X26" s="43" t="s">
        <v>93</v>
      </c>
    </row>
    <row r="27" spans="1:24" s="27" customFormat="1" ht="11.5" x14ac:dyDescent="0.25">
      <c r="A27" s="23"/>
      <c r="B27" s="24"/>
      <c r="C27" s="17" t="s">
        <v>85</v>
      </c>
      <c r="D27" s="17" t="s">
        <v>88</v>
      </c>
      <c r="E27" s="17" t="s">
        <v>89</v>
      </c>
      <c r="F27" s="17" t="s">
        <v>27</v>
      </c>
      <c r="G27" s="42"/>
      <c r="H27" s="18">
        <v>1500000</v>
      </c>
      <c r="I27" s="18">
        <f>ROUND(H27/140.3*150.8,0)</f>
        <v>1612259</v>
      </c>
      <c r="J27" s="18">
        <v>1150000</v>
      </c>
      <c r="K27" s="18"/>
      <c r="L27" s="85">
        <f t="shared" si="2"/>
        <v>1291667</v>
      </c>
      <c r="M27" s="74"/>
      <c r="N27" s="18">
        <f t="shared" si="3"/>
        <v>1291667</v>
      </c>
      <c r="O27" s="26"/>
      <c r="P27" s="19" t="s">
        <v>158</v>
      </c>
      <c r="Q27" s="19"/>
      <c r="R27" s="20"/>
      <c r="S27" s="43" t="s">
        <v>93</v>
      </c>
      <c r="T27" s="43" t="s">
        <v>93</v>
      </c>
      <c r="U27" s="43" t="s">
        <v>93</v>
      </c>
      <c r="V27" s="43" t="s">
        <v>93</v>
      </c>
      <c r="W27" s="43" t="s">
        <v>93</v>
      </c>
      <c r="X27" s="43" t="s">
        <v>93</v>
      </c>
    </row>
    <row r="28" spans="1:24" s="27" customFormat="1" ht="11.5" x14ac:dyDescent="0.25">
      <c r="A28" s="23"/>
      <c r="B28" s="24"/>
      <c r="C28" s="17" t="s">
        <v>84</v>
      </c>
      <c r="D28" s="17" t="s">
        <v>114</v>
      </c>
      <c r="E28" s="17" t="s">
        <v>115</v>
      </c>
      <c r="F28" s="17" t="s">
        <v>30</v>
      </c>
      <c r="G28" s="42"/>
      <c r="H28" s="42">
        <v>400000</v>
      </c>
      <c r="I28" s="73">
        <v>387500</v>
      </c>
      <c r="J28" s="18">
        <f>ROUND(I28/150.8*159.8,0)</f>
        <v>410627</v>
      </c>
      <c r="K28" s="18"/>
      <c r="L28" s="74">
        <v>447116</v>
      </c>
      <c r="M28" s="74"/>
      <c r="N28" s="18">
        <f t="shared" si="3"/>
        <v>447116</v>
      </c>
      <c r="O28" s="26"/>
      <c r="P28" s="19" t="s">
        <v>169</v>
      </c>
      <c r="Q28" s="19"/>
      <c r="R28" s="20"/>
      <c r="S28" s="43"/>
      <c r="T28" s="43"/>
      <c r="U28" s="71"/>
      <c r="V28" s="71"/>
      <c r="W28" s="71"/>
      <c r="X28" s="71"/>
    </row>
    <row r="29" spans="1:24" s="27" customFormat="1" x14ac:dyDescent="0.25">
      <c r="A29" s="23"/>
      <c r="B29" s="24"/>
      <c r="C29" s="25" t="s">
        <v>116</v>
      </c>
      <c r="D29" s="25" t="s">
        <v>117</v>
      </c>
      <c r="E29" s="25" t="s">
        <v>118</v>
      </c>
      <c r="F29" s="25" t="s">
        <v>27</v>
      </c>
      <c r="G29" s="70"/>
      <c r="H29" s="70"/>
      <c r="I29" s="73">
        <v>157500</v>
      </c>
      <c r="J29" s="18">
        <f>ROUND(I29/158.3*159.8,0)</f>
        <v>158992</v>
      </c>
      <c r="K29" s="73"/>
      <c r="L29" s="74">
        <v>173120</v>
      </c>
      <c r="M29" s="74"/>
      <c r="N29" s="18">
        <f t="shared" si="3"/>
        <v>173120</v>
      </c>
      <c r="O29" s="26"/>
      <c r="P29" s="19" t="s">
        <v>169</v>
      </c>
      <c r="Q29" s="19"/>
      <c r="R29" s="20"/>
      <c r="S29" s="86"/>
      <c r="T29" s="87"/>
      <c r="U29" s="72"/>
      <c r="V29" s="72"/>
      <c r="W29" s="72"/>
      <c r="X29" s="72"/>
    </row>
    <row r="30" spans="1:24" ht="12" x14ac:dyDescent="0.3">
      <c r="A30" s="15">
        <v>6423010</v>
      </c>
      <c r="B30" s="16">
        <v>627017</v>
      </c>
      <c r="C30" s="17" t="s">
        <v>1</v>
      </c>
      <c r="D30" s="17" t="s">
        <v>49</v>
      </c>
      <c r="E30" s="17" t="s">
        <v>59</v>
      </c>
      <c r="F30" s="17" t="s">
        <v>26</v>
      </c>
      <c r="G30" s="18">
        <v>1488722</v>
      </c>
      <c r="H30" s="18">
        <f t="shared" ref="H30:H36" si="5">ROUND(G30/131.5*140.3,0)</f>
        <v>1588348</v>
      </c>
      <c r="I30" s="18">
        <f t="shared" ref="I30:I36" si="6">ROUND(H30/140.3*150.8,0)</f>
        <v>1707219</v>
      </c>
      <c r="J30" s="18">
        <v>2310000</v>
      </c>
      <c r="K30" s="18">
        <f>270000*1.21</f>
        <v>326700</v>
      </c>
      <c r="L30" s="85">
        <f t="shared" ref="L30:L37" si="7">ROUND(J30/110.4*124,0)</f>
        <v>2594565</v>
      </c>
      <c r="M30" s="85">
        <f t="shared" ref="M30:M38" si="8">ROUND(K30/105.2*122.3,0)</f>
        <v>379804</v>
      </c>
      <c r="N30" s="18">
        <f t="shared" si="3"/>
        <v>2974369</v>
      </c>
      <c r="O30" s="19">
        <v>2</v>
      </c>
      <c r="P30" s="19" t="s">
        <v>159</v>
      </c>
      <c r="Q30" s="19" t="s">
        <v>170</v>
      </c>
      <c r="R30" s="28"/>
      <c r="S30" s="46"/>
      <c r="T30" s="43"/>
      <c r="U30" s="43"/>
      <c r="V30" s="43"/>
      <c r="W30" s="43"/>
      <c r="X30" s="43"/>
    </row>
    <row r="31" spans="1:24" ht="11.5" x14ac:dyDescent="0.25">
      <c r="A31" s="15">
        <v>6423010</v>
      </c>
      <c r="B31" s="16">
        <v>627017</v>
      </c>
      <c r="C31" s="17" t="s">
        <v>16</v>
      </c>
      <c r="D31" s="17" t="s">
        <v>50</v>
      </c>
      <c r="E31" s="17" t="s">
        <v>61</v>
      </c>
      <c r="F31" s="17" t="s">
        <v>29</v>
      </c>
      <c r="G31" s="18">
        <v>2130908</v>
      </c>
      <c r="H31" s="18">
        <f t="shared" si="5"/>
        <v>2273509</v>
      </c>
      <c r="I31" s="18">
        <f t="shared" si="6"/>
        <v>2443658</v>
      </c>
      <c r="J31" s="18">
        <v>2400000</v>
      </c>
      <c r="K31" s="18">
        <f>235000*1.21</f>
        <v>284350</v>
      </c>
      <c r="L31" s="85">
        <f t="shared" si="7"/>
        <v>2695652</v>
      </c>
      <c r="M31" s="85">
        <f t="shared" si="8"/>
        <v>330570</v>
      </c>
      <c r="N31" s="18">
        <f t="shared" si="3"/>
        <v>3026222</v>
      </c>
      <c r="O31" s="19">
        <v>2</v>
      </c>
      <c r="P31" s="19" t="s">
        <v>160</v>
      </c>
      <c r="Q31" s="19" t="s">
        <v>170</v>
      </c>
      <c r="S31" s="43"/>
      <c r="T31" s="43"/>
      <c r="U31" s="43"/>
      <c r="V31" s="43"/>
      <c r="W31" s="43"/>
      <c r="X31" s="43"/>
    </row>
    <row r="32" spans="1:24" ht="11.5" x14ac:dyDescent="0.25">
      <c r="A32" s="15">
        <v>6423010</v>
      </c>
      <c r="B32" s="16">
        <v>627017</v>
      </c>
      <c r="C32" s="17" t="s">
        <v>161</v>
      </c>
      <c r="D32" s="17" t="s">
        <v>162</v>
      </c>
      <c r="E32" s="17" t="s">
        <v>56</v>
      </c>
      <c r="F32" s="17" t="s">
        <v>28</v>
      </c>
      <c r="G32" s="18">
        <v>4920851</v>
      </c>
      <c r="H32" s="18">
        <f t="shared" si="5"/>
        <v>5250155</v>
      </c>
      <c r="I32" s="18">
        <f t="shared" si="6"/>
        <v>5643075</v>
      </c>
      <c r="J32" s="18">
        <v>7350000</v>
      </c>
      <c r="K32" s="29">
        <f>770000*1.21</f>
        <v>931700</v>
      </c>
      <c r="L32" s="85">
        <f t="shared" si="7"/>
        <v>8255435</v>
      </c>
      <c r="M32" s="85">
        <f t="shared" si="8"/>
        <v>1083146</v>
      </c>
      <c r="N32" s="18">
        <f t="shared" si="3"/>
        <v>9338581</v>
      </c>
      <c r="O32" s="19">
        <v>2</v>
      </c>
      <c r="P32" s="19" t="s">
        <v>163</v>
      </c>
      <c r="Q32" s="19" t="s">
        <v>170</v>
      </c>
      <c r="S32" s="43" t="s">
        <v>95</v>
      </c>
      <c r="T32" s="43"/>
      <c r="U32" s="43"/>
      <c r="V32" s="43"/>
      <c r="W32" s="43"/>
      <c r="X32" s="43"/>
    </row>
    <row r="33" spans="1:24" ht="11.5" x14ac:dyDescent="0.25">
      <c r="A33" s="15">
        <v>6433010</v>
      </c>
      <c r="B33" s="16">
        <v>627012</v>
      </c>
      <c r="C33" s="17" t="s">
        <v>3</v>
      </c>
      <c r="D33" s="17" t="s">
        <v>51</v>
      </c>
      <c r="E33" s="17" t="s">
        <v>55</v>
      </c>
      <c r="F33" s="17" t="s">
        <v>28</v>
      </c>
      <c r="G33" s="18">
        <v>3206352</v>
      </c>
      <c r="H33" s="18">
        <f t="shared" si="5"/>
        <v>3420922</v>
      </c>
      <c r="I33" s="18">
        <f t="shared" si="6"/>
        <v>3676943</v>
      </c>
      <c r="J33" s="18">
        <v>6700000</v>
      </c>
      <c r="K33" s="18">
        <f>850000*1.21</f>
        <v>1028500</v>
      </c>
      <c r="L33" s="85">
        <f t="shared" si="7"/>
        <v>7525362</v>
      </c>
      <c r="M33" s="85">
        <f t="shared" si="8"/>
        <v>1195680</v>
      </c>
      <c r="N33" s="18">
        <f t="shared" si="3"/>
        <v>8721042</v>
      </c>
      <c r="O33" s="19">
        <v>2</v>
      </c>
      <c r="P33" s="19" t="s">
        <v>164</v>
      </c>
      <c r="Q33" s="19" t="s">
        <v>170</v>
      </c>
      <c r="S33" s="43"/>
      <c r="T33" s="43"/>
      <c r="U33" s="43"/>
      <c r="V33" s="43"/>
      <c r="W33" s="43"/>
      <c r="X33" s="43"/>
    </row>
    <row r="34" spans="1:24" ht="11.5" x14ac:dyDescent="0.25">
      <c r="A34" s="15">
        <v>6421010</v>
      </c>
      <c r="B34" s="16">
        <v>627017</v>
      </c>
      <c r="C34" s="17" t="s">
        <v>0</v>
      </c>
      <c r="D34" s="17" t="s">
        <v>46</v>
      </c>
      <c r="E34" s="17" t="s">
        <v>57</v>
      </c>
      <c r="F34" s="17" t="s">
        <v>28</v>
      </c>
      <c r="G34" s="18">
        <v>2271608</v>
      </c>
      <c r="H34" s="18">
        <f t="shared" si="5"/>
        <v>2423624</v>
      </c>
      <c r="I34" s="18">
        <f t="shared" si="6"/>
        <v>2605007</v>
      </c>
      <c r="J34" s="18">
        <v>4100000</v>
      </c>
      <c r="K34" s="18">
        <f>635000*1.21</f>
        <v>768350</v>
      </c>
      <c r="L34" s="85">
        <f t="shared" si="7"/>
        <v>4605072</v>
      </c>
      <c r="M34" s="85">
        <f t="shared" si="8"/>
        <v>893243</v>
      </c>
      <c r="N34" s="18">
        <f t="shared" si="3"/>
        <v>5498315</v>
      </c>
      <c r="O34" s="19">
        <v>2</v>
      </c>
      <c r="P34" s="19" t="s">
        <v>165</v>
      </c>
      <c r="Q34" s="19" t="s">
        <v>170</v>
      </c>
      <c r="S34" s="43"/>
      <c r="T34" s="43"/>
      <c r="U34" s="43"/>
      <c r="V34" s="43"/>
      <c r="W34" s="43"/>
      <c r="X34" s="43"/>
    </row>
    <row r="35" spans="1:24" ht="12" x14ac:dyDescent="0.3">
      <c r="A35" s="15">
        <v>6423010</v>
      </c>
      <c r="B35" s="16">
        <v>627017</v>
      </c>
      <c r="C35" s="17" t="s">
        <v>2</v>
      </c>
      <c r="D35" s="17" t="s">
        <v>47</v>
      </c>
      <c r="E35" s="17" t="s">
        <v>58</v>
      </c>
      <c r="F35" s="17" t="s">
        <v>30</v>
      </c>
      <c r="G35" s="18">
        <v>2216164</v>
      </c>
      <c r="H35" s="18">
        <f t="shared" si="5"/>
        <v>2364470</v>
      </c>
      <c r="I35" s="18">
        <f t="shared" si="6"/>
        <v>2541426</v>
      </c>
      <c r="J35" s="18">
        <v>2550000</v>
      </c>
      <c r="K35" s="18">
        <f>300000*1.21</f>
        <v>363000</v>
      </c>
      <c r="L35" s="85">
        <f t="shared" si="7"/>
        <v>2864130</v>
      </c>
      <c r="M35" s="85">
        <f t="shared" si="8"/>
        <v>422005</v>
      </c>
      <c r="N35" s="18">
        <f t="shared" si="3"/>
        <v>3286135</v>
      </c>
      <c r="O35" s="19">
        <v>2</v>
      </c>
      <c r="P35" s="19" t="s">
        <v>166</v>
      </c>
      <c r="Q35" s="19" t="s">
        <v>170</v>
      </c>
      <c r="R35" s="28"/>
      <c r="S35" s="46" t="s">
        <v>95</v>
      </c>
      <c r="T35" s="43"/>
      <c r="U35" s="43"/>
      <c r="V35" s="43"/>
      <c r="W35" s="43"/>
      <c r="X35" s="43"/>
    </row>
    <row r="36" spans="1:24" ht="11.5" x14ac:dyDescent="0.25">
      <c r="A36" s="15">
        <v>6423010</v>
      </c>
      <c r="B36" s="16">
        <v>627017</v>
      </c>
      <c r="C36" s="17" t="s">
        <v>72</v>
      </c>
      <c r="D36" s="17" t="s">
        <v>48</v>
      </c>
      <c r="E36" s="17" t="s">
        <v>60</v>
      </c>
      <c r="F36" s="17" t="s">
        <v>27</v>
      </c>
      <c r="G36" s="18">
        <v>1833386</v>
      </c>
      <c r="H36" s="18">
        <f t="shared" si="5"/>
        <v>1956076</v>
      </c>
      <c r="I36" s="18">
        <f t="shared" si="6"/>
        <v>2102468</v>
      </c>
      <c r="J36" s="18">
        <v>2600000</v>
      </c>
      <c r="K36" s="18">
        <f>355000*1.21</f>
        <v>429550</v>
      </c>
      <c r="L36" s="85">
        <f t="shared" si="7"/>
        <v>2920290</v>
      </c>
      <c r="M36" s="85">
        <f t="shared" si="8"/>
        <v>499372</v>
      </c>
      <c r="N36" s="18">
        <f t="shared" si="3"/>
        <v>3419662</v>
      </c>
      <c r="O36" s="19">
        <v>2</v>
      </c>
      <c r="P36" s="19" t="s">
        <v>167</v>
      </c>
      <c r="Q36" s="19" t="s">
        <v>170</v>
      </c>
      <c r="S36" s="43"/>
      <c r="T36" s="43"/>
      <c r="U36" s="43"/>
      <c r="V36" s="43"/>
      <c r="W36" s="43"/>
      <c r="X36" s="43"/>
    </row>
    <row r="37" spans="1:24" s="31" customFormat="1" ht="11.5" x14ac:dyDescent="0.25">
      <c r="A37" s="15">
        <v>6443010</v>
      </c>
      <c r="B37" s="16">
        <v>627018</v>
      </c>
      <c r="C37" s="25" t="s">
        <v>78</v>
      </c>
      <c r="D37" s="17" t="s">
        <v>177</v>
      </c>
      <c r="E37" s="17" t="s">
        <v>52</v>
      </c>
      <c r="F37" s="17" t="s">
        <v>28</v>
      </c>
      <c r="G37" s="18">
        <v>6193573</v>
      </c>
      <c r="H37" s="18">
        <f>ROUND(G37/131.5*140.3,0)</f>
        <v>6608048</v>
      </c>
      <c r="I37" s="18">
        <f>ROUND(H37/140.3*150.8,0)</f>
        <v>7102592</v>
      </c>
      <c r="J37" s="40">
        <v>12400000</v>
      </c>
      <c r="K37" s="18">
        <f>1420000*1.21</f>
        <v>1718200</v>
      </c>
      <c r="L37" s="85">
        <f t="shared" si="7"/>
        <v>13927536</v>
      </c>
      <c r="M37" s="85">
        <f t="shared" si="8"/>
        <v>1997489</v>
      </c>
      <c r="N37" s="18">
        <f t="shared" si="3"/>
        <v>15925025</v>
      </c>
      <c r="O37" s="30">
        <v>3</v>
      </c>
      <c r="P37" s="19" t="s">
        <v>168</v>
      </c>
      <c r="Q37" s="19" t="s">
        <v>170</v>
      </c>
      <c r="S37" s="44"/>
      <c r="T37" s="44"/>
      <c r="U37" s="44"/>
      <c r="V37" s="44"/>
      <c r="W37" s="44"/>
      <c r="X37" s="44"/>
    </row>
    <row r="38" spans="1:24" ht="11.5" x14ac:dyDescent="0.25">
      <c r="A38" s="15">
        <v>6443010</v>
      </c>
      <c r="B38" s="16">
        <v>627018</v>
      </c>
      <c r="C38" s="25" t="s">
        <v>79</v>
      </c>
      <c r="D38" s="17" t="s">
        <v>54</v>
      </c>
      <c r="E38" s="17" t="s">
        <v>53</v>
      </c>
      <c r="F38" s="17" t="s">
        <v>28</v>
      </c>
      <c r="G38" s="18">
        <v>18986576</v>
      </c>
      <c r="H38" s="18">
        <f>ROUND(G38/131.5*140.3,0)</f>
        <v>20257161</v>
      </c>
      <c r="I38" s="18">
        <f>ROUND(H38/140.3*150.8,0)</f>
        <v>21773199</v>
      </c>
      <c r="J38" s="18">
        <v>28450000</v>
      </c>
      <c r="K38" s="18">
        <f>2065000*1.21</f>
        <v>2498650</v>
      </c>
      <c r="L38" s="85">
        <f>ROUND(J38/110.4*124,0)</f>
        <v>31954710</v>
      </c>
      <c r="M38" s="85">
        <f t="shared" si="8"/>
        <v>2904799</v>
      </c>
      <c r="N38" s="18">
        <f t="shared" si="3"/>
        <v>34859509</v>
      </c>
      <c r="O38" s="19">
        <v>3</v>
      </c>
      <c r="P38" s="19" t="s">
        <v>157</v>
      </c>
      <c r="Q38" s="19" t="s">
        <v>170</v>
      </c>
      <c r="S38" s="43"/>
      <c r="T38" s="43"/>
      <c r="U38" s="43"/>
      <c r="V38" s="43"/>
      <c r="W38" s="43"/>
      <c r="X38" s="43"/>
    </row>
    <row r="39" spans="1:24" s="81" customFormat="1" ht="34.5" x14ac:dyDescent="0.25">
      <c r="A39" s="75"/>
      <c r="B39" s="76"/>
      <c r="C39" s="77" t="s">
        <v>179</v>
      </c>
      <c r="D39" s="78" t="s">
        <v>113</v>
      </c>
      <c r="E39" s="78" t="s">
        <v>89</v>
      </c>
      <c r="F39" s="78" t="s">
        <v>27</v>
      </c>
      <c r="G39" s="79"/>
      <c r="H39" s="79"/>
      <c r="I39" s="79"/>
      <c r="J39" s="79">
        <v>1000000</v>
      </c>
      <c r="K39" s="79"/>
      <c r="L39" s="74">
        <v>1088861</v>
      </c>
      <c r="M39" s="74"/>
      <c r="N39" s="18">
        <f t="shared" si="3"/>
        <v>1088861</v>
      </c>
      <c r="O39" s="80"/>
      <c r="P39" s="19" t="s">
        <v>169</v>
      </c>
      <c r="Q39" s="80"/>
      <c r="S39" s="82"/>
      <c r="T39" s="82"/>
      <c r="U39" s="82"/>
      <c r="V39" s="82"/>
      <c r="W39" s="82"/>
      <c r="X39" s="82"/>
    </row>
    <row r="40" spans="1:24" s="33" customFormat="1" ht="12" thickBot="1" x14ac:dyDescent="0.3">
      <c r="A40" s="66"/>
      <c r="B40" s="67"/>
      <c r="C40" s="66" t="s">
        <v>180</v>
      </c>
      <c r="D40" s="68"/>
      <c r="E40" s="68"/>
      <c r="F40" s="68"/>
      <c r="G40" s="69"/>
      <c r="H40" s="69"/>
      <c r="I40" s="69"/>
      <c r="J40" s="69">
        <f>SUM(J6:J39)</f>
        <v>100164619</v>
      </c>
      <c r="K40" s="69">
        <f>SUM(K6:K39)</f>
        <v>9867550</v>
      </c>
      <c r="L40" s="69">
        <f>SUM(L6:L39)</f>
        <v>112449855</v>
      </c>
      <c r="M40" s="69">
        <f>SUM(M6:M39)</f>
        <v>11471494</v>
      </c>
      <c r="N40" s="69">
        <f>SUM(N6:N39)</f>
        <v>123921349</v>
      </c>
      <c r="O40" s="32"/>
      <c r="P40" s="32"/>
      <c r="Q40" s="32"/>
      <c r="S40" s="47"/>
      <c r="T40" s="48"/>
      <c r="U40" s="47"/>
      <c r="V40" s="47"/>
      <c r="W40" s="47"/>
      <c r="X40" s="47"/>
    </row>
    <row r="41" spans="1:24" x14ac:dyDescent="0.25">
      <c r="D41" s="31" t="s">
        <v>174</v>
      </c>
      <c r="E41" s="31"/>
      <c r="F41" s="31"/>
      <c r="G41" s="88"/>
      <c r="H41" s="88"/>
      <c r="I41" s="88"/>
      <c r="J41" s="88"/>
      <c r="K41" s="89">
        <v>132450</v>
      </c>
    </row>
    <row r="42" spans="1:24" x14ac:dyDescent="0.25">
      <c r="K42" s="40">
        <f>K40+K41</f>
        <v>10000000</v>
      </c>
    </row>
    <row r="44" spans="1:24" x14ac:dyDescent="0.25">
      <c r="C44" s="90" t="s">
        <v>181</v>
      </c>
      <c r="D44" s="31"/>
      <c r="E44" s="31"/>
      <c r="F44" s="31"/>
      <c r="G44" s="88"/>
      <c r="H44" s="88"/>
      <c r="I44" s="88"/>
      <c r="J44" s="88"/>
    </row>
    <row r="45" spans="1:24" x14ac:dyDescent="0.25">
      <c r="D45" s="31"/>
      <c r="E45" s="31"/>
      <c r="F45" s="31"/>
      <c r="G45" s="88"/>
      <c r="H45" s="88"/>
      <c r="I45" s="88"/>
      <c r="J45" s="88"/>
    </row>
    <row r="46" spans="1:24" x14ac:dyDescent="0.25">
      <c r="A46" s="15">
        <v>6530210</v>
      </c>
      <c r="B46" s="16">
        <v>630038</v>
      </c>
      <c r="C46" s="17" t="s">
        <v>8</v>
      </c>
      <c r="D46" s="17" t="s">
        <v>41</v>
      </c>
      <c r="E46" s="17" t="s">
        <v>42</v>
      </c>
      <c r="F46" s="17" t="s">
        <v>28</v>
      </c>
      <c r="G46" s="18">
        <v>2256508</v>
      </c>
      <c r="H46" s="18">
        <f t="shared" ref="H46" si="9">ROUND(G46/131.5*140.3,0)</f>
        <v>2407514</v>
      </c>
      <c r="I46" s="18">
        <f t="shared" ref="I46" si="10">ROUND(H46/140.3*150.8,0)</f>
        <v>2587691</v>
      </c>
      <c r="J46" s="18">
        <v>3070000</v>
      </c>
      <c r="K46" s="18">
        <f>150000*1.21</f>
        <v>181500</v>
      </c>
      <c r="L46" s="85">
        <f t="shared" ref="L46" si="11">ROUND(J46/110.4*124,0)</f>
        <v>3448188</v>
      </c>
      <c r="M46" s="85">
        <f>ROUND(K46/105.2*122.3,0)</f>
        <v>211002</v>
      </c>
      <c r="N46" s="18">
        <f t="shared" ref="N46" si="12">L46+M46</f>
        <v>3659190</v>
      </c>
      <c r="P46" s="19" t="s">
        <v>182</v>
      </c>
    </row>
    <row r="47" spans="1:24" x14ac:dyDescent="0.25">
      <c r="A47" s="15"/>
      <c r="B47" s="16"/>
      <c r="C47" s="17" t="s">
        <v>184</v>
      </c>
      <c r="D47" s="17" t="s">
        <v>185</v>
      </c>
      <c r="E47" s="17"/>
      <c r="F47" s="17"/>
      <c r="G47" s="18"/>
      <c r="H47" s="18"/>
      <c r="I47" s="18"/>
      <c r="J47" s="18">
        <v>15000000</v>
      </c>
      <c r="K47" s="18"/>
      <c r="L47" s="85"/>
      <c r="M47" s="85"/>
      <c r="N47" s="18"/>
      <c r="P47" s="19" t="s">
        <v>183</v>
      </c>
    </row>
    <row r="48" spans="1:24" x14ac:dyDescent="0.25">
      <c r="D48" s="31"/>
      <c r="E48" s="31"/>
      <c r="F48" s="31"/>
      <c r="G48" s="88"/>
      <c r="H48" s="88"/>
      <c r="I48" s="88"/>
      <c r="J48" s="88"/>
    </row>
  </sheetData>
  <autoFilter ref="A5:Q40" xr:uid="{00000000-0009-0000-0000-000000000000}"/>
  <phoneticPr fontId="3" type="noConversion"/>
  <pageMargins left="0.59055118110236227" right="0.59055118110236227" top="1.5748031496062993" bottom="0.98425196850393704" header="0.51181102362204722" footer="0.70866141732283472"/>
  <pageSetup paperSize="9" fitToHeight="3" orientation="landscape" r:id="rId1"/>
  <headerFooter alignWithMargins="0">
    <oddFooter>&amp;L&amp;F &amp;A&amp;C&amp;P&amp;R&amp;D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6"/>
  <sheetViews>
    <sheetView zoomScaleNormal="100" workbookViewId="0">
      <selection activeCell="E4" sqref="E4"/>
    </sheetView>
  </sheetViews>
  <sheetFormatPr defaultColWidth="9.08984375" defaultRowHeight="12.5" x14ac:dyDescent="0.25"/>
  <cols>
    <col min="1" max="1" width="2" style="54" bestFit="1" customWidth="1"/>
    <col min="2" max="2" width="47" style="54" bestFit="1" customWidth="1"/>
    <col min="3" max="3" width="19" style="54" bestFit="1" customWidth="1"/>
    <col min="4" max="4" width="4.453125" style="54" customWidth="1"/>
    <col min="5" max="5" width="19" style="54" customWidth="1"/>
    <col min="6" max="6" width="9.08984375" style="54"/>
    <col min="7" max="7" width="9.6328125" style="54" customWidth="1"/>
    <col min="8" max="8" width="14" style="54" bestFit="1" customWidth="1"/>
    <col min="9" max="10" width="9.08984375" style="54"/>
    <col min="11" max="11" width="10" style="54" bestFit="1" customWidth="1"/>
    <col min="12" max="16384" width="9.08984375" style="54"/>
  </cols>
  <sheetData>
    <row r="1" spans="1:8" ht="13" x14ac:dyDescent="0.3">
      <c r="A1" s="52"/>
      <c r="B1" s="53" t="s">
        <v>111</v>
      </c>
      <c r="C1" s="53"/>
      <c r="D1" s="53"/>
      <c r="E1" s="53"/>
      <c r="H1" s="55"/>
    </row>
    <row r="2" spans="1:8" ht="13" x14ac:dyDescent="0.3">
      <c r="A2" s="52"/>
      <c r="B2" s="56" t="s">
        <v>96</v>
      </c>
      <c r="C2" s="53" t="s">
        <v>97</v>
      </c>
      <c r="D2" s="53"/>
      <c r="E2" s="53" t="s">
        <v>112</v>
      </c>
      <c r="F2" s="53" t="s">
        <v>98</v>
      </c>
      <c r="G2" s="53" t="s">
        <v>99</v>
      </c>
      <c r="H2" s="57" t="s">
        <v>100</v>
      </c>
    </row>
    <row r="3" spans="1:8" x14ac:dyDescent="0.25">
      <c r="A3" s="52">
        <v>1</v>
      </c>
      <c r="B3" s="54" t="s">
        <v>101</v>
      </c>
      <c r="C3" s="59" t="e">
        <f>specificatie!#REF!</f>
        <v>#REF!</v>
      </c>
      <c r="D3" s="59" t="s">
        <v>110</v>
      </c>
      <c r="E3" s="59">
        <v>103169333</v>
      </c>
      <c r="F3" s="60">
        <v>0.875</v>
      </c>
      <c r="G3" s="61">
        <v>0.25</v>
      </c>
      <c r="H3" s="55" t="e">
        <f t="shared" ref="H3:H8" si="0">ROUND((C3-E3)*F3/1000*G3,2)</f>
        <v>#REF!</v>
      </c>
    </row>
    <row r="4" spans="1:8" x14ac:dyDescent="0.25">
      <c r="A4" s="52">
        <v>2</v>
      </c>
      <c r="B4" s="65" t="s">
        <v>108</v>
      </c>
      <c r="C4" s="59" t="e">
        <f>C3</f>
        <v>#REF!</v>
      </c>
      <c r="D4" s="59" t="s">
        <v>110</v>
      </c>
      <c r="E4" s="59">
        <f>E3</f>
        <v>103169333</v>
      </c>
      <c r="F4" s="60">
        <v>0.8</v>
      </c>
      <c r="G4" s="61">
        <v>0.15</v>
      </c>
      <c r="H4" s="55" t="e">
        <f t="shared" si="0"/>
        <v>#REF!</v>
      </c>
    </row>
    <row r="5" spans="1:8" x14ac:dyDescent="0.25">
      <c r="A5" s="52">
        <v>3</v>
      </c>
      <c r="B5" s="54" t="s">
        <v>102</v>
      </c>
      <c r="C5" s="59" t="e">
        <f>C4</f>
        <v>#REF!</v>
      </c>
      <c r="D5" s="59" t="s">
        <v>110</v>
      </c>
      <c r="E5" s="59">
        <f>E4</f>
        <v>103169333</v>
      </c>
      <c r="F5" s="60">
        <v>0.875</v>
      </c>
      <c r="G5" s="61">
        <v>0.2</v>
      </c>
      <c r="H5" s="55" t="e">
        <f t="shared" si="0"/>
        <v>#REF!</v>
      </c>
    </row>
    <row r="6" spans="1:8" ht="25" x14ac:dyDescent="0.25">
      <c r="A6" s="52">
        <v>4</v>
      </c>
      <c r="B6" s="58" t="s">
        <v>107</v>
      </c>
      <c r="C6" s="59" t="e">
        <f>C5</f>
        <v>#REF!</v>
      </c>
      <c r="D6" s="59" t="s">
        <v>110</v>
      </c>
      <c r="E6" s="59">
        <f>E5</f>
        <v>103169333</v>
      </c>
      <c r="F6" s="60">
        <v>0.90500000000000003</v>
      </c>
      <c r="G6" s="61">
        <v>0.2</v>
      </c>
      <c r="H6" s="55" t="e">
        <f t="shared" si="0"/>
        <v>#REF!</v>
      </c>
    </row>
    <row r="7" spans="1:8" ht="25" x14ac:dyDescent="0.25">
      <c r="A7" s="52">
        <v>4</v>
      </c>
      <c r="B7" s="58" t="s">
        <v>103</v>
      </c>
      <c r="C7" s="59" t="e">
        <f>C6</f>
        <v>#REF!</v>
      </c>
      <c r="D7" s="59" t="s">
        <v>110</v>
      </c>
      <c r="E7" s="59">
        <f>E6</f>
        <v>103169333</v>
      </c>
      <c r="F7" s="60">
        <v>0.90500000000000003</v>
      </c>
      <c r="G7" s="61">
        <v>0.1</v>
      </c>
      <c r="H7" s="55" t="e">
        <f t="shared" si="0"/>
        <v>#REF!</v>
      </c>
    </row>
    <row r="8" spans="1:8" ht="25" x14ac:dyDescent="0.25">
      <c r="A8" s="52">
        <v>5</v>
      </c>
      <c r="B8" s="58" t="s">
        <v>109</v>
      </c>
      <c r="C8" s="59" t="e">
        <f>C7</f>
        <v>#REF!</v>
      </c>
      <c r="D8" s="59" t="s">
        <v>110</v>
      </c>
      <c r="E8" s="59">
        <f>E7</f>
        <v>103169333</v>
      </c>
      <c r="F8" s="60">
        <v>0.90500000000000003</v>
      </c>
      <c r="G8" s="61">
        <v>0.1</v>
      </c>
      <c r="H8" s="62" t="e">
        <f t="shared" si="0"/>
        <v>#REF!</v>
      </c>
    </row>
    <row r="9" spans="1:8" x14ac:dyDescent="0.25">
      <c r="G9" s="61"/>
      <c r="H9" s="55" t="e">
        <f>SUM(H3:H8)</f>
        <v>#REF!</v>
      </c>
    </row>
    <row r="10" spans="1:8" x14ac:dyDescent="0.25">
      <c r="G10" s="63" t="s">
        <v>104</v>
      </c>
      <c r="H10" s="55">
        <v>0</v>
      </c>
    </row>
    <row r="11" spans="1:8" x14ac:dyDescent="0.25">
      <c r="G11" s="63" t="s">
        <v>105</v>
      </c>
      <c r="H11" s="55" t="e">
        <f>(H9+H10)*21%</f>
        <v>#REF!</v>
      </c>
    </row>
    <row r="12" spans="1:8" ht="13" thickBot="1" x14ac:dyDescent="0.3">
      <c r="G12" s="63" t="s">
        <v>106</v>
      </c>
      <c r="H12" s="64" t="e">
        <f>SUM(H9:H11)</f>
        <v>#REF!</v>
      </c>
    </row>
    <row r="13" spans="1:8" ht="13" thickTop="1" x14ac:dyDescent="0.25"/>
    <row r="14" spans="1:8" ht="13" x14ac:dyDescent="0.3">
      <c r="A14" s="52"/>
      <c r="B14" s="53" t="s">
        <v>124</v>
      </c>
      <c r="C14" s="53"/>
      <c r="D14" s="53"/>
      <c r="E14" s="53"/>
      <c r="H14" s="55"/>
    </row>
    <row r="15" spans="1:8" ht="13" x14ac:dyDescent="0.3">
      <c r="A15" s="52"/>
      <c r="B15" s="56" t="s">
        <v>96</v>
      </c>
      <c r="C15" s="53" t="s">
        <v>97</v>
      </c>
      <c r="D15" s="53"/>
      <c r="E15" s="53"/>
      <c r="F15" s="53" t="s">
        <v>98</v>
      </c>
      <c r="G15" s="53" t="s">
        <v>99</v>
      </c>
      <c r="H15" s="57" t="s">
        <v>100</v>
      </c>
    </row>
    <row r="16" spans="1:8" x14ac:dyDescent="0.25">
      <c r="A16" s="52">
        <v>1</v>
      </c>
      <c r="B16" s="54" t="s">
        <v>101</v>
      </c>
      <c r="C16" s="59" t="e">
        <f>C3</f>
        <v>#REF!</v>
      </c>
      <c r="D16" s="59"/>
      <c r="E16" s="59"/>
      <c r="F16" s="60">
        <v>0.875</v>
      </c>
      <c r="G16" s="61">
        <v>0.25</v>
      </c>
      <c r="H16" s="55" t="e">
        <f t="shared" ref="H16:H21" si="1">ROUND(C16*F16/1000*G16,2)</f>
        <v>#REF!</v>
      </c>
    </row>
    <row r="17" spans="1:11" x14ac:dyDescent="0.25">
      <c r="A17" s="52">
        <v>2</v>
      </c>
      <c r="B17" s="65" t="s">
        <v>108</v>
      </c>
      <c r="C17" s="59" t="e">
        <f>C16</f>
        <v>#REF!</v>
      </c>
      <c r="D17" s="59"/>
      <c r="E17" s="59"/>
      <c r="F17" s="60">
        <v>0.8</v>
      </c>
      <c r="G17" s="61">
        <v>0.15</v>
      </c>
      <c r="H17" s="55" t="e">
        <f t="shared" si="1"/>
        <v>#REF!</v>
      </c>
    </row>
    <row r="18" spans="1:11" x14ac:dyDescent="0.25">
      <c r="A18" s="52">
        <v>3</v>
      </c>
      <c r="B18" s="54" t="s">
        <v>102</v>
      </c>
      <c r="C18" s="59" t="e">
        <f>C17</f>
        <v>#REF!</v>
      </c>
      <c r="D18" s="59"/>
      <c r="E18" s="59"/>
      <c r="F18" s="60">
        <v>0.875</v>
      </c>
      <c r="G18" s="61">
        <v>0.2</v>
      </c>
      <c r="H18" s="55" t="e">
        <f t="shared" si="1"/>
        <v>#REF!</v>
      </c>
    </row>
    <row r="19" spans="1:11" ht="25" x14ac:dyDescent="0.25">
      <c r="A19" s="52">
        <v>4</v>
      </c>
      <c r="B19" s="58" t="s">
        <v>107</v>
      </c>
      <c r="C19" s="59" t="e">
        <f>C18</f>
        <v>#REF!</v>
      </c>
      <c r="D19" s="59"/>
      <c r="E19" s="59"/>
      <c r="F19" s="60">
        <v>0.90500000000000003</v>
      </c>
      <c r="G19" s="61">
        <v>0.2</v>
      </c>
      <c r="H19" s="55" t="e">
        <f t="shared" si="1"/>
        <v>#REF!</v>
      </c>
    </row>
    <row r="20" spans="1:11" ht="25" x14ac:dyDescent="0.25">
      <c r="A20" s="52">
        <v>4</v>
      </c>
      <c r="B20" s="58" t="s">
        <v>103</v>
      </c>
      <c r="C20" s="59" t="e">
        <f>C19</f>
        <v>#REF!</v>
      </c>
      <c r="D20" s="59"/>
      <c r="E20" s="59"/>
      <c r="F20" s="60">
        <v>0.90500000000000003</v>
      </c>
      <c r="G20" s="61">
        <v>0.1</v>
      </c>
      <c r="H20" s="55" t="e">
        <f t="shared" si="1"/>
        <v>#REF!</v>
      </c>
    </row>
    <row r="21" spans="1:11" ht="25" x14ac:dyDescent="0.25">
      <c r="A21" s="52">
        <v>5</v>
      </c>
      <c r="B21" s="58" t="s">
        <v>109</v>
      </c>
      <c r="C21" s="59" t="e">
        <f>C20</f>
        <v>#REF!</v>
      </c>
      <c r="D21" s="59"/>
      <c r="E21" s="59"/>
      <c r="F21" s="60">
        <v>0.90500000000000003</v>
      </c>
      <c r="G21" s="61">
        <v>0.1</v>
      </c>
      <c r="H21" s="62" t="e">
        <f t="shared" si="1"/>
        <v>#REF!</v>
      </c>
    </row>
    <row r="22" spans="1:11" x14ac:dyDescent="0.25">
      <c r="G22" s="61"/>
      <c r="H22" s="55" t="e">
        <f>SUM(H16:H21)</f>
        <v>#REF!</v>
      </c>
      <c r="K22" s="54" t="e">
        <f>ROUND(H22/C16*1000,5)</f>
        <v>#REF!</v>
      </c>
    </row>
    <row r="23" spans="1:11" x14ac:dyDescent="0.25">
      <c r="G23" s="63" t="s">
        <v>104</v>
      </c>
      <c r="H23" s="55">
        <v>7.5</v>
      </c>
    </row>
    <row r="24" spans="1:11" x14ac:dyDescent="0.25">
      <c r="G24" s="63" t="s">
        <v>105</v>
      </c>
      <c r="H24" s="55" t="e">
        <f>(H22+H23)*21%</f>
        <v>#REF!</v>
      </c>
    </row>
    <row r="25" spans="1:11" ht="13" thickBot="1" x14ac:dyDescent="0.3">
      <c r="G25" s="63" t="s">
        <v>106</v>
      </c>
      <c r="H25" s="64" t="e">
        <f>SUM(H22:H24)</f>
        <v>#REF!</v>
      </c>
    </row>
    <row r="26" spans="1:11" ht="13" thickTop="1" x14ac:dyDescent="0.25"/>
  </sheetData>
  <pageMargins left="0.51181102362204722" right="0.51181102362204722" top="1.7322834645669292" bottom="0.94488188976377963" header="0.31496062992125984" footer="0.31496062992125984"/>
  <pageSetup paperSize="9" orientation="landscape" r:id="rId1"/>
  <headerFooter>
    <oddFooter>&amp;L&amp;F &amp;A&amp;C&amp;P&amp;R&amp;D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469db5ee-8874-45f8-9d4a-db8ac0f878e8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09F84F62-C616-4FCE-9922-D3F5D502D29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specificatie</vt:lpstr>
      <vt:lpstr>premieberekening</vt:lpstr>
      <vt:lpstr>premieberekening!Afdrukbereik</vt:lpstr>
    </vt:vector>
  </TitlesOfParts>
  <Company>Gemeente Druten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Mark Hardy</cp:lastModifiedBy>
  <cp:lastPrinted>2021-01-29T13:46:01Z</cp:lastPrinted>
  <dcterms:created xsi:type="dcterms:W3CDTF">2001-02-19T09:01:54Z</dcterms:created>
  <dcterms:modified xsi:type="dcterms:W3CDTF">2023-10-12T12:17:55Z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469db5ee-8874-45f8-9d4a-db8ac0f878e8</vt:lpwstr>
  </property>
  <property fmtid="{D5CDD505-2E9C-101B-9397-08002B2CF9AE}" pid="3" name="AonClassification">
    <vt:lpwstr>ADC_class_200</vt:lpwstr>
  </property>
</Properties>
</file>