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https://ingenionnl.sharepoint.com/sites/SP-Projecten/Shared Documents/KOE/EA MFP (2023)/Gepubliceerd/"/>
    </mc:Choice>
  </mc:AlternateContent>
  <xr:revisionPtr revIDLastSave="0" documentId="8_{B39DAA5E-8907-48EF-A6FE-6F6AB33E3813}" xr6:coauthVersionLast="47" xr6:coauthVersionMax="47" xr10:uidLastSave="{00000000-0000-0000-0000-000000000000}"/>
  <bookViews>
    <workbookView xWindow="-28920" yWindow="-60" windowWidth="29040" windowHeight="15720" xr2:uid="{5388CAA8-65CB-4AAB-BEFF-7D99F3197186}"/>
  </bookViews>
  <sheets>
    <sheet name="Toelichting" sheetId="2" r:id="rId1"/>
    <sheet name="Consent" sheetId="1" r:id="rId2"/>
    <sheet name="KOE" sheetId="3" r:id="rId3"/>
    <sheet name="VCO" sheetId="4" r:id="rId4"/>
    <sheet name="Poolster" sheetId="5" r:id="rId5"/>
  </sheets>
  <definedNames>
    <definedName name="_xlnm.Print_Area" localSheetId="1">'Consent'!$A$1:$N$86</definedName>
    <definedName name="_xlnm.Print_Area" localSheetId="2">KOE!$A$1:$N$74</definedName>
    <definedName name="_xlnm.Print_Area" localSheetId="4">Poolster!$A$1:$N$57</definedName>
    <definedName name="_xlnm.Print_Area" localSheetId="0">Toelichting!$A$1:$C$9</definedName>
    <definedName name="_xlnm.Print_Area" localSheetId="3">VCO!$A$1:$N$63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7" i="3" l="1"/>
  <c r="M7" i="3" s="1"/>
  <c r="Q7" i="3" s="1"/>
  <c r="K7" i="3"/>
  <c r="N7" i="3" s="1"/>
  <c r="R7" i="3" s="1"/>
  <c r="L7" i="3"/>
  <c r="O7" i="3"/>
  <c r="P7" i="3"/>
  <c r="S7" i="3"/>
  <c r="T7" i="3"/>
  <c r="K3" i="5"/>
  <c r="K4" i="5"/>
  <c r="K5" i="5"/>
  <c r="K6" i="5"/>
  <c r="K7" i="5"/>
  <c r="K8" i="5"/>
  <c r="K9" i="5"/>
  <c r="K10" i="5"/>
  <c r="K11" i="5"/>
  <c r="K12" i="5"/>
  <c r="K13" i="5"/>
  <c r="J3" i="5"/>
  <c r="J4" i="5"/>
  <c r="J5" i="5"/>
  <c r="J6" i="5"/>
  <c r="J7" i="5"/>
  <c r="J8" i="5"/>
  <c r="J9" i="5"/>
  <c r="J10" i="5"/>
  <c r="J11" i="5"/>
  <c r="J12" i="5"/>
  <c r="J13" i="5"/>
  <c r="K3" i="4"/>
  <c r="K5" i="4"/>
  <c r="K6" i="4"/>
  <c r="K7" i="4"/>
  <c r="K8" i="4"/>
  <c r="K9" i="4"/>
  <c r="N9" i="4" s="1"/>
  <c r="R9" i="4" s="1"/>
  <c r="K10" i="4"/>
  <c r="P10" i="4" s="1"/>
  <c r="T10" i="4" s="1"/>
  <c r="K11" i="4"/>
  <c r="K12" i="4"/>
  <c r="P12" i="4" s="1"/>
  <c r="T12" i="4" s="1"/>
  <c r="K13" i="4"/>
  <c r="K14" i="4"/>
  <c r="K15" i="4"/>
  <c r="K16" i="4"/>
  <c r="K17" i="4"/>
  <c r="K18" i="4"/>
  <c r="K19" i="4"/>
  <c r="J3" i="4"/>
  <c r="J5" i="4"/>
  <c r="J6" i="4"/>
  <c r="J7" i="4"/>
  <c r="J8" i="4"/>
  <c r="J9" i="4"/>
  <c r="J10" i="4"/>
  <c r="J11" i="4"/>
  <c r="J12" i="4"/>
  <c r="J13" i="4"/>
  <c r="J14" i="4"/>
  <c r="J15" i="4"/>
  <c r="J16" i="4"/>
  <c r="J17" i="4"/>
  <c r="J18" i="4"/>
  <c r="J19" i="4"/>
  <c r="R13" i="4"/>
  <c r="N13" i="4"/>
  <c r="M13" i="4"/>
  <c r="Q13" i="4" s="1"/>
  <c r="L13" i="4"/>
  <c r="P13" i="4" s="1"/>
  <c r="T13" i="4" s="1"/>
  <c r="T17" i="4"/>
  <c r="S17" i="4"/>
  <c r="P17" i="4"/>
  <c r="O17" i="4"/>
  <c r="L17" i="4"/>
  <c r="T16" i="4"/>
  <c r="S16" i="4"/>
  <c r="P16" i="4"/>
  <c r="O16" i="4"/>
  <c r="N16" i="4"/>
  <c r="R16" i="4" s="1"/>
  <c r="L16" i="4"/>
  <c r="M16" i="4" s="1"/>
  <c r="Q16" i="4" s="1"/>
  <c r="T15" i="4"/>
  <c r="S15" i="4"/>
  <c r="P15" i="4"/>
  <c r="O15" i="4"/>
  <c r="M15" i="4"/>
  <c r="Q15" i="4" s="1"/>
  <c r="L15" i="4"/>
  <c r="N15" i="4" s="1"/>
  <c r="R15" i="4" s="1"/>
  <c r="T14" i="4"/>
  <c r="S14" i="4"/>
  <c r="P14" i="4"/>
  <c r="O14" i="4"/>
  <c r="N14" i="4"/>
  <c r="R14" i="4" s="1"/>
  <c r="L14" i="4"/>
  <c r="M14" i="4" s="1"/>
  <c r="Q14" i="4" s="1"/>
  <c r="Q12" i="4"/>
  <c r="O12" i="4"/>
  <c r="S12" i="4" s="1"/>
  <c r="N12" i="4"/>
  <c r="R12" i="4" s="1"/>
  <c r="M12" i="4"/>
  <c r="L12" i="4"/>
  <c r="T11" i="4"/>
  <c r="S11" i="4"/>
  <c r="P11" i="4"/>
  <c r="O11" i="4"/>
  <c r="M11" i="4"/>
  <c r="Q11" i="4" s="1"/>
  <c r="L11" i="4"/>
  <c r="N11" i="4" s="1"/>
  <c r="R11" i="4" s="1"/>
  <c r="R10" i="4"/>
  <c r="Q10" i="4"/>
  <c r="N10" i="4"/>
  <c r="M10" i="4"/>
  <c r="L10" i="4"/>
  <c r="O10" i="4" s="1"/>
  <c r="S10" i="4" s="1"/>
  <c r="T9" i="4"/>
  <c r="S9" i="4"/>
  <c r="P9" i="4"/>
  <c r="O9" i="4"/>
  <c r="L9" i="4"/>
  <c r="M9" i="4" s="1"/>
  <c r="Q9" i="4" s="1"/>
  <c r="T8" i="4"/>
  <c r="S8" i="4"/>
  <c r="P8" i="4"/>
  <c r="O8" i="4"/>
  <c r="M8" i="4"/>
  <c r="Q8" i="4" s="1"/>
  <c r="L8" i="4"/>
  <c r="N8" i="4" s="1"/>
  <c r="R8" i="4" s="1"/>
  <c r="T7" i="4"/>
  <c r="S7" i="4"/>
  <c r="P7" i="4"/>
  <c r="O7" i="4"/>
  <c r="N7" i="4"/>
  <c r="R7" i="4" s="1"/>
  <c r="L7" i="4"/>
  <c r="M7" i="4" s="1"/>
  <c r="Q7" i="4" s="1"/>
  <c r="T6" i="4"/>
  <c r="S6" i="4"/>
  <c r="P6" i="4"/>
  <c r="O6" i="4"/>
  <c r="N6" i="4"/>
  <c r="R6" i="4" s="1"/>
  <c r="M6" i="4"/>
  <c r="Q6" i="4" s="1"/>
  <c r="L6" i="4"/>
  <c r="T5" i="4"/>
  <c r="S5" i="4"/>
  <c r="P5" i="4"/>
  <c r="O5" i="4"/>
  <c r="L5" i="4"/>
  <c r="M5" i="4" s="1"/>
  <c r="Q5" i="4" s="1"/>
  <c r="K3" i="3"/>
  <c r="K4" i="3"/>
  <c r="K5" i="3"/>
  <c r="K6" i="3"/>
  <c r="K8" i="3"/>
  <c r="K9" i="3"/>
  <c r="K10" i="3"/>
  <c r="K11" i="3"/>
  <c r="K12" i="3"/>
  <c r="K13" i="3"/>
  <c r="K14" i="3"/>
  <c r="K15" i="3"/>
  <c r="K16" i="3"/>
  <c r="K17" i="3"/>
  <c r="K18" i="3"/>
  <c r="K19" i="3"/>
  <c r="K20" i="3"/>
  <c r="K21" i="3"/>
  <c r="K22" i="3"/>
  <c r="K23" i="3"/>
  <c r="K24" i="3"/>
  <c r="K25" i="3"/>
  <c r="K26" i="3"/>
  <c r="K27" i="3"/>
  <c r="K28" i="3"/>
  <c r="K29" i="3"/>
  <c r="K30" i="3"/>
  <c r="J3" i="3"/>
  <c r="J4" i="3"/>
  <c r="J5" i="3"/>
  <c r="J6" i="3"/>
  <c r="J8" i="3"/>
  <c r="J9" i="3"/>
  <c r="J10" i="3"/>
  <c r="J11" i="3"/>
  <c r="J12" i="3"/>
  <c r="J13" i="3"/>
  <c r="J14" i="3"/>
  <c r="J15" i="3"/>
  <c r="J16" i="3"/>
  <c r="J17" i="3"/>
  <c r="J18" i="3"/>
  <c r="J19" i="3"/>
  <c r="J20" i="3"/>
  <c r="J21" i="3"/>
  <c r="J22" i="3"/>
  <c r="J23" i="3"/>
  <c r="J24" i="3"/>
  <c r="J25" i="3"/>
  <c r="J26" i="3"/>
  <c r="J27" i="3"/>
  <c r="J28" i="3"/>
  <c r="M28" i="3" s="1"/>
  <c r="Q28" i="3" s="1"/>
  <c r="J29" i="3"/>
  <c r="J30" i="3"/>
  <c r="T29" i="3"/>
  <c r="S29" i="3"/>
  <c r="P29" i="3"/>
  <c r="O29" i="3"/>
  <c r="L29" i="3"/>
  <c r="N29" i="3" s="1"/>
  <c r="R29" i="3" s="1"/>
  <c r="T11" i="3"/>
  <c r="S11" i="3"/>
  <c r="P11" i="3"/>
  <c r="O11" i="3"/>
  <c r="L11" i="3"/>
  <c r="L27" i="3"/>
  <c r="L28" i="3"/>
  <c r="N28" i="3" s="1"/>
  <c r="R28" i="3" s="1"/>
  <c r="L30" i="3"/>
  <c r="T28" i="3"/>
  <c r="S28" i="3"/>
  <c r="P28" i="3"/>
  <c r="O28" i="3"/>
  <c r="L18" i="3"/>
  <c r="M18" i="3" s="1"/>
  <c r="Q18" i="3" s="1"/>
  <c r="O18" i="3"/>
  <c r="P18" i="3"/>
  <c r="S18" i="3"/>
  <c r="T18" i="3"/>
  <c r="L16" i="3"/>
  <c r="N16" i="3" s="1"/>
  <c r="R16" i="3" s="1"/>
  <c r="M16" i="3"/>
  <c r="Q16" i="3" s="1"/>
  <c r="O16" i="3"/>
  <c r="P16" i="3"/>
  <c r="S16" i="3"/>
  <c r="T16" i="3"/>
  <c r="L26" i="3"/>
  <c r="M26" i="3" s="1"/>
  <c r="Q26" i="3" s="1"/>
  <c r="O26" i="3"/>
  <c r="P26" i="3"/>
  <c r="S26" i="3"/>
  <c r="T26" i="3"/>
  <c r="L3" i="3"/>
  <c r="N3" i="3" s="1"/>
  <c r="R3" i="3" s="1"/>
  <c r="O3" i="3"/>
  <c r="P3" i="3"/>
  <c r="S3" i="3"/>
  <c r="T3" i="3"/>
  <c r="M11" i="3" l="1"/>
  <c r="Q11" i="3" s="1"/>
  <c r="N11" i="3"/>
  <c r="R11" i="3" s="1"/>
  <c r="M3" i="3"/>
  <c r="Q3" i="3" s="1"/>
  <c r="N26" i="3"/>
  <c r="R26" i="3" s="1"/>
  <c r="N18" i="3"/>
  <c r="R18" i="3" s="1"/>
  <c r="M29" i="3"/>
  <c r="Q29" i="3" s="1"/>
  <c r="N17" i="4"/>
  <c r="R17" i="4" s="1"/>
  <c r="O13" i="4"/>
  <c r="S13" i="4" s="1"/>
  <c r="N5" i="4"/>
  <c r="R5" i="4" s="1"/>
  <c r="M17" i="4"/>
  <c r="Q17" i="4" s="1"/>
  <c r="J3" i="1"/>
  <c r="K3" i="1"/>
  <c r="L3" i="1"/>
  <c r="O3" i="1"/>
  <c r="P3" i="1"/>
  <c r="S3" i="1"/>
  <c r="T3" i="1"/>
  <c r="M3" i="1" l="1"/>
  <c r="Q3" i="1" s="1"/>
  <c r="N3" i="1"/>
  <c r="R3" i="1" s="1"/>
  <c r="L5" i="3"/>
  <c r="M5" i="3" s="1"/>
  <c r="Q5" i="3" s="1"/>
  <c r="O5" i="3"/>
  <c r="P5" i="3"/>
  <c r="S5" i="3"/>
  <c r="T5" i="3"/>
  <c r="H51" i="5"/>
  <c r="H50" i="5"/>
  <c r="K17" i="5"/>
  <c r="I17" i="5"/>
  <c r="H14" i="5"/>
  <c r="F14" i="5"/>
  <c r="G45" i="5" s="1"/>
  <c r="T13" i="5"/>
  <c r="S13" i="5"/>
  <c r="P13" i="5"/>
  <c r="O13" i="5"/>
  <c r="L13" i="5"/>
  <c r="M13" i="5"/>
  <c r="Q13" i="5" s="1"/>
  <c r="N13" i="5"/>
  <c r="R13" i="5" s="1"/>
  <c r="T12" i="5"/>
  <c r="S12" i="5"/>
  <c r="P12" i="5"/>
  <c r="O12" i="5"/>
  <c r="M12" i="5"/>
  <c r="Q12" i="5" s="1"/>
  <c r="L12" i="5"/>
  <c r="N12" i="5"/>
  <c r="R12" i="5" s="1"/>
  <c r="R11" i="5"/>
  <c r="Q11" i="5"/>
  <c r="N11" i="5"/>
  <c r="M11" i="5"/>
  <c r="L11" i="5"/>
  <c r="O11" i="5"/>
  <c r="S11" i="5" s="1"/>
  <c r="P11" i="5"/>
  <c r="T11" i="5" s="1"/>
  <c r="P10" i="5"/>
  <c r="T10" i="5" s="1"/>
  <c r="O10" i="5"/>
  <c r="S10" i="5" s="1"/>
  <c r="M10" i="5"/>
  <c r="Q10" i="5" s="1"/>
  <c r="L10" i="5"/>
  <c r="N10" i="5"/>
  <c r="R10" i="5" s="1"/>
  <c r="T9" i="5"/>
  <c r="S9" i="5"/>
  <c r="P9" i="5"/>
  <c r="O9" i="5"/>
  <c r="L9" i="5"/>
  <c r="M9" i="5"/>
  <c r="Q9" i="5" s="1"/>
  <c r="N9" i="5"/>
  <c r="R9" i="5" s="1"/>
  <c r="P8" i="5"/>
  <c r="T8" i="5" s="1"/>
  <c r="O8" i="5"/>
  <c r="S8" i="5" s="1"/>
  <c r="M8" i="5"/>
  <c r="Q8" i="5" s="1"/>
  <c r="L8" i="5"/>
  <c r="N8" i="5"/>
  <c r="R8" i="5" s="1"/>
  <c r="T7" i="5"/>
  <c r="S7" i="5"/>
  <c r="P7" i="5"/>
  <c r="O7" i="5"/>
  <c r="L7" i="5"/>
  <c r="M7" i="5"/>
  <c r="Q7" i="5" s="1"/>
  <c r="N7" i="5"/>
  <c r="R7" i="5" s="1"/>
  <c r="P6" i="5"/>
  <c r="T6" i="5" s="1"/>
  <c r="O6" i="5"/>
  <c r="S6" i="5" s="1"/>
  <c r="M6" i="5"/>
  <c r="Q6" i="5" s="1"/>
  <c r="L6" i="5"/>
  <c r="N6" i="5"/>
  <c r="R6" i="5" s="1"/>
  <c r="N5" i="5"/>
  <c r="R5" i="5" s="1"/>
  <c r="M5" i="5"/>
  <c r="Q5" i="5" s="1"/>
  <c r="L5" i="5"/>
  <c r="O5" i="5"/>
  <c r="S5" i="5" s="1"/>
  <c r="P5" i="5"/>
  <c r="T5" i="5" s="1"/>
  <c r="T4" i="5"/>
  <c r="S4" i="5"/>
  <c r="P4" i="5"/>
  <c r="O4" i="5"/>
  <c r="M4" i="5"/>
  <c r="Q4" i="5" s="1"/>
  <c r="L4" i="5"/>
  <c r="N4" i="5"/>
  <c r="R4" i="5" s="1"/>
  <c r="T3" i="5"/>
  <c r="S3" i="5"/>
  <c r="P3" i="5"/>
  <c r="O3" i="5"/>
  <c r="L3" i="5"/>
  <c r="I14" i="5"/>
  <c r="H57" i="4"/>
  <c r="H56" i="4"/>
  <c r="K23" i="4"/>
  <c r="I23" i="4"/>
  <c r="H20" i="4"/>
  <c r="F20" i="4"/>
  <c r="G51" i="4" s="1"/>
  <c r="E20" i="4"/>
  <c r="D50" i="4" s="1"/>
  <c r="T19" i="4"/>
  <c r="S19" i="4"/>
  <c r="P19" i="4"/>
  <c r="O19" i="4"/>
  <c r="L19" i="4"/>
  <c r="M19" i="4" s="1"/>
  <c r="Q19" i="4" s="1"/>
  <c r="N19" i="4"/>
  <c r="R19" i="4" s="1"/>
  <c r="T18" i="4"/>
  <c r="S18" i="4"/>
  <c r="P18" i="4"/>
  <c r="O18" i="4"/>
  <c r="L18" i="4"/>
  <c r="M18" i="4" s="1"/>
  <c r="Q18" i="4" s="1"/>
  <c r="N18" i="4"/>
  <c r="R18" i="4" s="1"/>
  <c r="T4" i="4"/>
  <c r="S4" i="4"/>
  <c r="L4" i="4"/>
  <c r="T3" i="4"/>
  <c r="S3" i="4"/>
  <c r="P3" i="4"/>
  <c r="O3" i="4"/>
  <c r="L3" i="4"/>
  <c r="M3" i="4" s="1"/>
  <c r="J20" i="4"/>
  <c r="I20" i="4"/>
  <c r="H68" i="3"/>
  <c r="H67" i="3"/>
  <c r="K34" i="3"/>
  <c r="I34" i="3"/>
  <c r="H31" i="3"/>
  <c r="F31" i="3"/>
  <c r="G62" i="3" s="1"/>
  <c r="E31" i="3"/>
  <c r="D61" i="3" s="1"/>
  <c r="T30" i="3"/>
  <c r="S30" i="3"/>
  <c r="P30" i="3"/>
  <c r="O30" i="3"/>
  <c r="M30" i="3"/>
  <c r="Q30" i="3" s="1"/>
  <c r="N30" i="3"/>
  <c r="R30" i="3" s="1"/>
  <c r="T27" i="3"/>
  <c r="S27" i="3"/>
  <c r="P27" i="3"/>
  <c r="O27" i="3"/>
  <c r="M27" i="3"/>
  <c r="Q27" i="3" s="1"/>
  <c r="N27" i="3"/>
  <c r="R27" i="3" s="1"/>
  <c r="T25" i="3"/>
  <c r="S25" i="3"/>
  <c r="P25" i="3"/>
  <c r="O25" i="3"/>
  <c r="L25" i="3"/>
  <c r="M25" i="3" s="1"/>
  <c r="Q25" i="3" s="1"/>
  <c r="L24" i="3"/>
  <c r="M24" i="3" s="1"/>
  <c r="Q24" i="3" s="1"/>
  <c r="N24" i="3"/>
  <c r="R24" i="3" s="1"/>
  <c r="L23" i="3"/>
  <c r="N23" i="3" s="1"/>
  <c r="R23" i="3" s="1"/>
  <c r="O23" i="3"/>
  <c r="S23" i="3" s="1"/>
  <c r="P23" i="3"/>
  <c r="T23" i="3" s="1"/>
  <c r="L22" i="3"/>
  <c r="M22" i="3" s="1"/>
  <c r="Q22" i="3" s="1"/>
  <c r="N22" i="3"/>
  <c r="R22" i="3" s="1"/>
  <c r="Q21" i="3"/>
  <c r="M21" i="3"/>
  <c r="L21" i="3"/>
  <c r="P21" i="3" s="1"/>
  <c r="T21" i="3" s="1"/>
  <c r="N21" i="3"/>
  <c r="R21" i="3" s="1"/>
  <c r="L20" i="3"/>
  <c r="M20" i="3" s="1"/>
  <c r="Q20" i="3" s="1"/>
  <c r="N20" i="3"/>
  <c r="R20" i="3" s="1"/>
  <c r="T19" i="3"/>
  <c r="S19" i="3"/>
  <c r="P19" i="3"/>
  <c r="O19" i="3"/>
  <c r="L19" i="3"/>
  <c r="M19" i="3" s="1"/>
  <c r="Q19" i="3" s="1"/>
  <c r="N19" i="3"/>
  <c r="R19" i="3" s="1"/>
  <c r="T17" i="3"/>
  <c r="S17" i="3"/>
  <c r="P17" i="3"/>
  <c r="O17" i="3"/>
  <c r="L17" i="3"/>
  <c r="M17" i="3" s="1"/>
  <c r="Q17" i="3" s="1"/>
  <c r="R15" i="3"/>
  <c r="Q15" i="3"/>
  <c r="N15" i="3"/>
  <c r="M15" i="3"/>
  <c r="L15" i="3"/>
  <c r="O15" i="3" s="1"/>
  <c r="S15" i="3" s="1"/>
  <c r="L14" i="3"/>
  <c r="M14" i="3" s="1"/>
  <c r="Q14" i="3" s="1"/>
  <c r="N14" i="3"/>
  <c r="R14" i="3" s="1"/>
  <c r="T13" i="3"/>
  <c r="S13" i="3"/>
  <c r="P13" i="3"/>
  <c r="O13" i="3"/>
  <c r="L13" i="3"/>
  <c r="M13" i="3" s="1"/>
  <c r="Q13" i="3" s="1"/>
  <c r="T12" i="3"/>
  <c r="S12" i="3"/>
  <c r="P12" i="3"/>
  <c r="O12" i="3"/>
  <c r="L12" i="3"/>
  <c r="M12" i="3" s="1"/>
  <c r="Q12" i="3" s="1"/>
  <c r="T10" i="3"/>
  <c r="S10" i="3"/>
  <c r="P10" i="3"/>
  <c r="O10" i="3"/>
  <c r="L10" i="3"/>
  <c r="M10" i="3" s="1"/>
  <c r="Q10" i="3" s="1"/>
  <c r="T9" i="3"/>
  <c r="S9" i="3"/>
  <c r="P9" i="3"/>
  <c r="O9" i="3"/>
  <c r="L9" i="3"/>
  <c r="M9" i="3" s="1"/>
  <c r="Q9" i="3" s="1"/>
  <c r="R8" i="3"/>
  <c r="Q8" i="3"/>
  <c r="N8" i="3"/>
  <c r="M8" i="3"/>
  <c r="L8" i="3"/>
  <c r="O8" i="3" s="1"/>
  <c r="S8" i="3" s="1"/>
  <c r="P6" i="3"/>
  <c r="T6" i="3" s="1"/>
  <c r="O6" i="3"/>
  <c r="S6" i="3" s="1"/>
  <c r="L6" i="3"/>
  <c r="M6" i="3" s="1"/>
  <c r="Q6" i="3" s="1"/>
  <c r="N6" i="3"/>
  <c r="R6" i="3" s="1"/>
  <c r="T4" i="3"/>
  <c r="S4" i="3"/>
  <c r="P4" i="3"/>
  <c r="O4" i="3"/>
  <c r="L4" i="3"/>
  <c r="M4" i="3" s="1"/>
  <c r="Q4" i="3" s="1"/>
  <c r="J31" i="3"/>
  <c r="I31" i="3"/>
  <c r="K4" i="1"/>
  <c r="K6" i="1"/>
  <c r="K9" i="1"/>
  <c r="K10" i="1"/>
  <c r="K11" i="1"/>
  <c r="K12" i="1"/>
  <c r="K14" i="1"/>
  <c r="K17" i="1"/>
  <c r="K19" i="1"/>
  <c r="K22" i="1"/>
  <c r="K25" i="1"/>
  <c r="K26" i="1"/>
  <c r="K27" i="1"/>
  <c r="K28" i="1"/>
  <c r="K30" i="1"/>
  <c r="K33" i="1"/>
  <c r="K34" i="1"/>
  <c r="K35" i="1"/>
  <c r="N35" i="1" s="1"/>
  <c r="R35" i="1" s="1"/>
  <c r="K36" i="1"/>
  <c r="K38" i="1"/>
  <c r="K41" i="1"/>
  <c r="J10" i="1"/>
  <c r="J11" i="1"/>
  <c r="J18" i="1"/>
  <c r="J19" i="1"/>
  <c r="J26" i="1"/>
  <c r="J27" i="1"/>
  <c r="J32" i="1"/>
  <c r="J33" i="1"/>
  <c r="J40" i="1"/>
  <c r="J41" i="1"/>
  <c r="J4" i="1"/>
  <c r="T4" i="1"/>
  <c r="T5" i="1"/>
  <c r="T7" i="1"/>
  <c r="T8" i="1"/>
  <c r="T9" i="1"/>
  <c r="T10" i="1"/>
  <c r="T11" i="1"/>
  <c r="T13" i="1"/>
  <c r="T14" i="1"/>
  <c r="T15" i="1"/>
  <c r="T16" i="1"/>
  <c r="T17" i="1"/>
  <c r="T19" i="1"/>
  <c r="T20" i="1"/>
  <c r="T22" i="1"/>
  <c r="T24" i="1"/>
  <c r="T25" i="1"/>
  <c r="T27" i="1"/>
  <c r="T28" i="1"/>
  <c r="T29" i="1"/>
  <c r="T30" i="1"/>
  <c r="T32" i="1"/>
  <c r="T34" i="1"/>
  <c r="T35" i="1"/>
  <c r="T38" i="1"/>
  <c r="T39" i="1"/>
  <c r="T40" i="1"/>
  <c r="T41" i="1"/>
  <c r="T42" i="1"/>
  <c r="S4" i="1"/>
  <c r="S5" i="1"/>
  <c r="S7" i="1"/>
  <c r="S8" i="1"/>
  <c r="S9" i="1"/>
  <c r="S10" i="1"/>
  <c r="S11" i="1"/>
  <c r="S13" i="1"/>
  <c r="S14" i="1"/>
  <c r="S15" i="1"/>
  <c r="S16" i="1"/>
  <c r="S17" i="1"/>
  <c r="S19" i="1"/>
  <c r="S20" i="1"/>
  <c r="S22" i="1"/>
  <c r="S24" i="1"/>
  <c r="S25" i="1"/>
  <c r="S27" i="1"/>
  <c r="S28" i="1"/>
  <c r="S29" i="1"/>
  <c r="S30" i="1"/>
  <c r="S32" i="1"/>
  <c r="S34" i="1"/>
  <c r="S35" i="1"/>
  <c r="S38" i="1"/>
  <c r="S39" i="1"/>
  <c r="S40" i="1"/>
  <c r="S41" i="1"/>
  <c r="S42" i="1"/>
  <c r="R6" i="1"/>
  <c r="R12" i="1"/>
  <c r="R18" i="1"/>
  <c r="R21" i="1"/>
  <c r="R23" i="1"/>
  <c r="R26" i="1"/>
  <c r="R31" i="1"/>
  <c r="R33" i="1"/>
  <c r="R36" i="1"/>
  <c r="R37" i="1"/>
  <c r="Q6" i="1"/>
  <c r="Q12" i="1"/>
  <c r="Q18" i="1"/>
  <c r="Q21" i="1"/>
  <c r="Q23" i="1"/>
  <c r="Q26" i="1"/>
  <c r="Q31" i="1"/>
  <c r="Q33" i="1"/>
  <c r="Q36" i="1"/>
  <c r="Q37" i="1"/>
  <c r="P4" i="1"/>
  <c r="P5" i="1"/>
  <c r="P7" i="1"/>
  <c r="P8" i="1"/>
  <c r="P9" i="1"/>
  <c r="P10" i="1"/>
  <c r="P11" i="1"/>
  <c r="P13" i="1"/>
  <c r="P14" i="1"/>
  <c r="P15" i="1"/>
  <c r="P16" i="1"/>
  <c r="P17" i="1"/>
  <c r="P19" i="1"/>
  <c r="P20" i="1"/>
  <c r="P22" i="1"/>
  <c r="P24" i="1"/>
  <c r="P25" i="1"/>
  <c r="P27" i="1"/>
  <c r="P28" i="1"/>
  <c r="P29" i="1"/>
  <c r="P30" i="1"/>
  <c r="P32" i="1"/>
  <c r="P34" i="1"/>
  <c r="P35" i="1"/>
  <c r="P38" i="1"/>
  <c r="P39" i="1"/>
  <c r="P40" i="1"/>
  <c r="P41" i="1"/>
  <c r="P42" i="1"/>
  <c r="O4" i="1"/>
  <c r="O5" i="1"/>
  <c r="O7" i="1"/>
  <c r="O8" i="1"/>
  <c r="O9" i="1"/>
  <c r="O10" i="1"/>
  <c r="O11" i="1"/>
  <c r="O13" i="1"/>
  <c r="O14" i="1"/>
  <c r="O15" i="1"/>
  <c r="O16" i="1"/>
  <c r="O17" i="1"/>
  <c r="O19" i="1"/>
  <c r="O20" i="1"/>
  <c r="O22" i="1"/>
  <c r="O24" i="1"/>
  <c r="O25" i="1"/>
  <c r="O27" i="1"/>
  <c r="O28" i="1"/>
  <c r="O29" i="1"/>
  <c r="O30" i="1"/>
  <c r="O32" i="1"/>
  <c r="O34" i="1"/>
  <c r="O35" i="1"/>
  <c r="O38" i="1"/>
  <c r="O39" i="1"/>
  <c r="O40" i="1"/>
  <c r="O41" i="1"/>
  <c r="O42" i="1"/>
  <c r="N6" i="1"/>
  <c r="N12" i="1"/>
  <c r="N18" i="1"/>
  <c r="N21" i="1"/>
  <c r="N23" i="1"/>
  <c r="N26" i="1"/>
  <c r="N31" i="1"/>
  <c r="N33" i="1"/>
  <c r="N36" i="1"/>
  <c r="N37" i="1"/>
  <c r="M6" i="1"/>
  <c r="M12" i="1"/>
  <c r="M18" i="1"/>
  <c r="M21" i="1"/>
  <c r="M23" i="1"/>
  <c r="M26" i="1"/>
  <c r="M31" i="1"/>
  <c r="M33" i="1"/>
  <c r="M36" i="1"/>
  <c r="M37" i="1"/>
  <c r="K5" i="1"/>
  <c r="K7" i="1"/>
  <c r="K8" i="1"/>
  <c r="K13" i="1"/>
  <c r="K15" i="1"/>
  <c r="K16" i="1"/>
  <c r="K18" i="1"/>
  <c r="K20" i="1"/>
  <c r="K21" i="1"/>
  <c r="K23" i="1"/>
  <c r="K24" i="1"/>
  <c r="K29" i="1"/>
  <c r="K31" i="1"/>
  <c r="K32" i="1"/>
  <c r="K37" i="1"/>
  <c r="K39" i="1"/>
  <c r="K40" i="1"/>
  <c r="J5" i="1"/>
  <c r="J6" i="1"/>
  <c r="J7" i="1"/>
  <c r="J8" i="1"/>
  <c r="J9" i="1"/>
  <c r="J12" i="1"/>
  <c r="J13" i="1"/>
  <c r="J14" i="1"/>
  <c r="J15" i="1"/>
  <c r="J16" i="1"/>
  <c r="J17" i="1"/>
  <c r="J20" i="1"/>
  <c r="J21" i="1"/>
  <c r="J22" i="1"/>
  <c r="J23" i="1"/>
  <c r="J24" i="1"/>
  <c r="J25" i="1"/>
  <c r="J28" i="1"/>
  <c r="J29" i="1"/>
  <c r="J30" i="1"/>
  <c r="J31" i="1"/>
  <c r="J34" i="1"/>
  <c r="J35" i="1"/>
  <c r="M35" i="1" s="1"/>
  <c r="Q35" i="1" s="1"/>
  <c r="J36" i="1"/>
  <c r="J37" i="1"/>
  <c r="J38" i="1"/>
  <c r="J39" i="1"/>
  <c r="K42" i="1"/>
  <c r="J42" i="1"/>
  <c r="L11" i="1"/>
  <c r="L12" i="1"/>
  <c r="L13" i="1"/>
  <c r="L14" i="1"/>
  <c r="L15" i="1"/>
  <c r="L16" i="1"/>
  <c r="L17" i="1"/>
  <c r="L18" i="1"/>
  <c r="L19" i="1"/>
  <c r="L20" i="1"/>
  <c r="L4" i="1"/>
  <c r="L5" i="1"/>
  <c r="L6" i="1"/>
  <c r="L7" i="1"/>
  <c r="L8" i="1"/>
  <c r="L9" i="1"/>
  <c r="L10" i="1"/>
  <c r="L21" i="1"/>
  <c r="L22" i="1"/>
  <c r="L23" i="1"/>
  <c r="L24" i="1"/>
  <c r="L25" i="1"/>
  <c r="L26" i="1"/>
  <c r="L27" i="1"/>
  <c r="L28" i="1"/>
  <c r="L29" i="1"/>
  <c r="L30" i="1"/>
  <c r="L31" i="1"/>
  <c r="L32" i="1"/>
  <c r="L33" i="1"/>
  <c r="L34" i="1"/>
  <c r="L36" i="1"/>
  <c r="L37" i="1"/>
  <c r="L38" i="1"/>
  <c r="L39" i="1"/>
  <c r="L40" i="1"/>
  <c r="L41" i="1"/>
  <c r="L42" i="1"/>
  <c r="N9" i="3" l="1"/>
  <c r="R9" i="3" s="1"/>
  <c r="N25" i="3"/>
  <c r="R25" i="3" s="1"/>
  <c r="N13" i="3"/>
  <c r="R13" i="3" s="1"/>
  <c r="P15" i="3"/>
  <c r="T15" i="3" s="1"/>
  <c r="T31" i="3" s="1"/>
  <c r="N10" i="3"/>
  <c r="R10" i="3" s="1"/>
  <c r="P22" i="3"/>
  <c r="T22" i="3" s="1"/>
  <c r="O24" i="3"/>
  <c r="S24" i="3" s="1"/>
  <c r="P8" i="3"/>
  <c r="T8" i="3" s="1"/>
  <c r="O21" i="3"/>
  <c r="S21" i="3" s="1"/>
  <c r="P24" i="3"/>
  <c r="T24" i="3" s="1"/>
  <c r="N5" i="3"/>
  <c r="R5" i="3" s="1"/>
  <c r="O22" i="3"/>
  <c r="S22" i="3" s="1"/>
  <c r="O14" i="3"/>
  <c r="S14" i="3" s="1"/>
  <c r="O20" i="3"/>
  <c r="S20" i="3" s="1"/>
  <c r="S31" i="3" s="1"/>
  <c r="M23" i="3"/>
  <c r="Q23" i="3" s="1"/>
  <c r="N12" i="3"/>
  <c r="R12" i="3" s="1"/>
  <c r="P14" i="3"/>
  <c r="T14" i="3" s="1"/>
  <c r="N17" i="3"/>
  <c r="R17" i="3" s="1"/>
  <c r="P20" i="3"/>
  <c r="T20" i="3" s="1"/>
  <c r="P21" i="1"/>
  <c r="T21" i="1" s="1"/>
  <c r="P31" i="1"/>
  <c r="T31" i="1" s="1"/>
  <c r="P6" i="1"/>
  <c r="T6" i="1" s="1"/>
  <c r="M42" i="1"/>
  <c r="Q42" i="1" s="1"/>
  <c r="N42" i="1"/>
  <c r="R42" i="1" s="1"/>
  <c r="O31" i="1"/>
  <c r="S31" i="1" s="1"/>
  <c r="O23" i="1"/>
  <c r="S23" i="1" s="1"/>
  <c r="P18" i="1"/>
  <c r="T18" i="1" s="1"/>
  <c r="P37" i="1"/>
  <c r="T37" i="1" s="1"/>
  <c r="O21" i="1"/>
  <c r="S21" i="1" s="1"/>
  <c r="P26" i="1"/>
  <c r="T26" i="1" s="1"/>
  <c r="P12" i="1"/>
  <c r="T12" i="1" s="1"/>
  <c r="P23" i="1"/>
  <c r="T23" i="1" s="1"/>
  <c r="O26" i="1"/>
  <c r="S26" i="1" s="1"/>
  <c r="O12" i="1"/>
  <c r="S12" i="1" s="1"/>
  <c r="P33" i="1"/>
  <c r="T33" i="1" s="1"/>
  <c r="P36" i="1"/>
  <c r="T36" i="1" s="1"/>
  <c r="N24" i="1"/>
  <c r="R24" i="1" s="1"/>
  <c r="O18" i="1"/>
  <c r="S18" i="1" s="1"/>
  <c r="O37" i="1"/>
  <c r="S37" i="1" s="1"/>
  <c r="N30" i="1"/>
  <c r="R30" i="1" s="1"/>
  <c r="O36" i="1"/>
  <c r="S36" i="1" s="1"/>
  <c r="O6" i="1"/>
  <c r="S6" i="1" s="1"/>
  <c r="O33" i="1"/>
  <c r="S33" i="1" s="1"/>
  <c r="E62" i="3"/>
  <c r="J14" i="5"/>
  <c r="E45" i="5"/>
  <c r="P14" i="5"/>
  <c r="T14" i="5"/>
  <c r="T20" i="4"/>
  <c r="P20" i="4"/>
  <c r="S20" i="4"/>
  <c r="N3" i="4"/>
  <c r="N20" i="4" s="1"/>
  <c r="D66" i="3"/>
  <c r="E66" i="3"/>
  <c r="E61" i="3"/>
  <c r="F61" i="3"/>
  <c r="M31" i="3"/>
  <c r="F65" i="3"/>
  <c r="O14" i="5"/>
  <c r="S14" i="5"/>
  <c r="E14" i="5"/>
  <c r="D45" i="5"/>
  <c r="M3" i="5"/>
  <c r="F45" i="5"/>
  <c r="O20" i="4"/>
  <c r="M20" i="4"/>
  <c r="Q3" i="4"/>
  <c r="Q20" i="4" s="1"/>
  <c r="E50" i="4"/>
  <c r="D55" i="4"/>
  <c r="F50" i="4"/>
  <c r="E55" i="4"/>
  <c r="K20" i="4"/>
  <c r="G50" i="4"/>
  <c r="F55" i="4"/>
  <c r="D51" i="4"/>
  <c r="E54" i="4"/>
  <c r="D54" i="4"/>
  <c r="E51" i="4"/>
  <c r="F54" i="4"/>
  <c r="G55" i="4"/>
  <c r="F51" i="4"/>
  <c r="G54" i="4"/>
  <c r="Q31" i="3"/>
  <c r="G61" i="3"/>
  <c r="F66" i="3"/>
  <c r="D65" i="3"/>
  <c r="G66" i="3"/>
  <c r="D62" i="3"/>
  <c r="E65" i="3"/>
  <c r="F62" i="3"/>
  <c r="G65" i="3"/>
  <c r="M4" i="1"/>
  <c r="Q4" i="1" s="1"/>
  <c r="M17" i="1"/>
  <c r="Q17" i="1" s="1"/>
  <c r="M9" i="1"/>
  <c r="Q9" i="1" s="1"/>
  <c r="N17" i="1"/>
  <c r="R17" i="1" s="1"/>
  <c r="N9" i="1"/>
  <c r="R9" i="1" s="1"/>
  <c r="N40" i="1"/>
  <c r="R40" i="1" s="1"/>
  <c r="M5" i="1"/>
  <c r="Q5" i="1" s="1"/>
  <c r="N16" i="1"/>
  <c r="R16" i="1" s="1"/>
  <c r="M13" i="1"/>
  <c r="Q13" i="1" s="1"/>
  <c r="N25" i="1"/>
  <c r="R25" i="1" s="1"/>
  <c r="M38" i="1"/>
  <c r="Q38" i="1" s="1"/>
  <c r="M28" i="1"/>
  <c r="Q28" i="1" s="1"/>
  <c r="M20" i="1"/>
  <c r="Q20" i="1" s="1"/>
  <c r="M27" i="1"/>
  <c r="Q27" i="1" s="1"/>
  <c r="M19" i="1"/>
  <c r="Q19" i="1" s="1"/>
  <c r="M11" i="1"/>
  <c r="Q11" i="1" s="1"/>
  <c r="N41" i="1"/>
  <c r="R41" i="1" s="1"/>
  <c r="N27" i="1"/>
  <c r="R27" i="1" s="1"/>
  <c r="N19" i="1"/>
  <c r="R19" i="1" s="1"/>
  <c r="N11" i="1"/>
  <c r="R11" i="1" s="1"/>
  <c r="N32" i="1"/>
  <c r="R32" i="1" s="1"/>
  <c r="N10" i="1"/>
  <c r="R10" i="1" s="1"/>
  <c r="M32" i="1"/>
  <c r="Q32" i="1" s="1"/>
  <c r="M41" i="1"/>
  <c r="Q41" i="1" s="1"/>
  <c r="M30" i="1"/>
  <c r="Q30" i="1" s="1"/>
  <c r="M24" i="1"/>
  <c r="Q24" i="1" s="1"/>
  <c r="M16" i="1"/>
  <c r="Q16" i="1" s="1"/>
  <c r="M8" i="1"/>
  <c r="Q8" i="1" s="1"/>
  <c r="N8" i="1"/>
  <c r="R8" i="1" s="1"/>
  <c r="M40" i="1"/>
  <c r="Q40" i="1" s="1"/>
  <c r="M39" i="1"/>
  <c r="Q39" i="1" s="1"/>
  <c r="M29" i="1"/>
  <c r="Q29" i="1" s="1"/>
  <c r="M15" i="1"/>
  <c r="Q15" i="1" s="1"/>
  <c r="M7" i="1"/>
  <c r="Q7" i="1" s="1"/>
  <c r="N29" i="1"/>
  <c r="R29" i="1" s="1"/>
  <c r="N15" i="1"/>
  <c r="R15" i="1" s="1"/>
  <c r="N7" i="1"/>
  <c r="R7" i="1" s="1"/>
  <c r="M25" i="1"/>
  <c r="Q25" i="1" s="1"/>
  <c r="M22" i="1"/>
  <c r="Q22" i="1" s="1"/>
  <c r="M14" i="1"/>
  <c r="Q14" i="1" s="1"/>
  <c r="N22" i="1"/>
  <c r="R22" i="1" s="1"/>
  <c r="N14" i="1"/>
  <c r="R14" i="1" s="1"/>
  <c r="M10" i="1"/>
  <c r="Q10" i="1" s="1"/>
  <c r="N13" i="1"/>
  <c r="R13" i="1" s="1"/>
  <c r="N5" i="1"/>
  <c r="R5" i="1" s="1"/>
  <c r="N39" i="1"/>
  <c r="R39" i="1" s="1"/>
  <c r="N28" i="1"/>
  <c r="R28" i="1" s="1"/>
  <c r="N20" i="1"/>
  <c r="R20" i="1" s="1"/>
  <c r="N4" i="1"/>
  <c r="R4" i="1" s="1"/>
  <c r="M34" i="1"/>
  <c r="Q34" i="1" s="1"/>
  <c r="N34" i="1"/>
  <c r="R34" i="1" s="1"/>
  <c r="N38" i="1"/>
  <c r="R38" i="1" s="1"/>
  <c r="I43" i="1"/>
  <c r="H43" i="1"/>
  <c r="J43" i="1"/>
  <c r="K43" i="1"/>
  <c r="P31" i="3" l="1"/>
  <c r="O31" i="3"/>
  <c r="I35" i="3" s="1"/>
  <c r="D63" i="3" s="1"/>
  <c r="R3" i="4"/>
  <c r="R20" i="4" s="1"/>
  <c r="L24" i="4" s="1"/>
  <c r="E53" i="4" s="1"/>
  <c r="J24" i="4"/>
  <c r="G52" i="4" s="1"/>
  <c r="K24" i="4"/>
  <c r="D53" i="4" s="1"/>
  <c r="J35" i="3"/>
  <c r="F63" i="3" s="1"/>
  <c r="H45" i="5"/>
  <c r="H50" i="4"/>
  <c r="I24" i="4"/>
  <c r="D52" i="4" s="1"/>
  <c r="H54" i="4"/>
  <c r="H55" i="4"/>
  <c r="H51" i="4"/>
  <c r="H66" i="3"/>
  <c r="H61" i="3"/>
  <c r="H62" i="3"/>
  <c r="H65" i="3"/>
  <c r="D44" i="5"/>
  <c r="F44" i="5"/>
  <c r="G48" i="5"/>
  <c r="F48" i="5"/>
  <c r="E48" i="5"/>
  <c r="G49" i="5"/>
  <c r="D48" i="5"/>
  <c r="F49" i="5"/>
  <c r="G44" i="5"/>
  <c r="D49" i="5"/>
  <c r="E44" i="5"/>
  <c r="E49" i="5"/>
  <c r="Q3" i="5"/>
  <c r="Q14" i="5" s="1"/>
  <c r="J18" i="5" s="1"/>
  <c r="M14" i="5"/>
  <c r="I18" i="5" s="1"/>
  <c r="D46" i="5" s="1"/>
  <c r="N3" i="5"/>
  <c r="K14" i="5"/>
  <c r="N4" i="3"/>
  <c r="K31" i="3"/>
  <c r="N43" i="1"/>
  <c r="M43" i="1"/>
  <c r="F43" i="1"/>
  <c r="F53" i="4" l="1"/>
  <c r="G53" i="4"/>
  <c r="E52" i="4"/>
  <c r="F52" i="4"/>
  <c r="H52" i="4" s="1"/>
  <c r="G63" i="3"/>
  <c r="E63" i="3"/>
  <c r="H48" i="5"/>
  <c r="H49" i="5"/>
  <c r="H44" i="5"/>
  <c r="G46" i="5"/>
  <c r="F46" i="5"/>
  <c r="E46" i="5"/>
  <c r="N14" i="5"/>
  <c r="K18" i="5" s="1"/>
  <c r="D47" i="5" s="1"/>
  <c r="R3" i="5"/>
  <c r="R14" i="5" s="1"/>
  <c r="L18" i="5" s="1"/>
  <c r="R4" i="3"/>
  <c r="R31" i="3" s="1"/>
  <c r="L35" i="3" s="1"/>
  <c r="N31" i="3"/>
  <c r="K35" i="3" s="1"/>
  <c r="D64" i="3" s="1"/>
  <c r="G74" i="1"/>
  <c r="F74" i="1"/>
  <c r="E43" i="1"/>
  <c r="E73" i="1" s="1"/>
  <c r="H46" i="5" l="1"/>
  <c r="H53" i="4"/>
  <c r="G59" i="4" s="1"/>
  <c r="H63" i="3"/>
  <c r="E78" i="1"/>
  <c r="D78" i="1"/>
  <c r="F78" i="1"/>
  <c r="G78" i="1"/>
  <c r="E47" i="5"/>
  <c r="G47" i="5"/>
  <c r="F47" i="5"/>
  <c r="E64" i="3"/>
  <c r="F64" i="3"/>
  <c r="G64" i="3"/>
  <c r="G77" i="1"/>
  <c r="F77" i="1"/>
  <c r="E77" i="1"/>
  <c r="D77" i="1"/>
  <c r="G73" i="1"/>
  <c r="F73" i="1"/>
  <c r="H78" i="1" l="1"/>
  <c r="H47" i="5"/>
  <c r="G53" i="5" s="1"/>
  <c r="H64" i="3"/>
  <c r="G70" i="3" s="1"/>
  <c r="H77" i="1"/>
  <c r="K46" i="1" l="1"/>
  <c r="I46" i="1"/>
  <c r="H79" i="1" l="1"/>
  <c r="H80" i="1"/>
  <c r="R43" i="1" l="1"/>
  <c r="Q43" i="1"/>
  <c r="S43" i="1" l="1"/>
  <c r="J47" i="1" s="1"/>
  <c r="T43" i="1"/>
  <c r="L47" i="1" s="1"/>
  <c r="O43" i="1"/>
  <c r="I47" i="1" s="1"/>
  <c r="P43" i="1"/>
  <c r="K47" i="1" s="1"/>
  <c r="E75" i="1" l="1"/>
  <c r="F75" i="1"/>
  <c r="G75" i="1"/>
  <c r="E76" i="1"/>
  <c r="F76" i="1"/>
  <c r="G76" i="1"/>
  <c r="E74" i="1"/>
  <c r="D74" i="1"/>
  <c r="H74" i="1" l="1"/>
  <c r="D75" i="1"/>
  <c r="D76" i="1"/>
  <c r="D73" i="1"/>
  <c r="H73" i="1" s="1"/>
  <c r="H76" i="1" l="1"/>
  <c r="H75" i="1" l="1"/>
  <c r="G82" i="1" s="1"/>
</calcChain>
</file>

<file path=xl/sharedStrings.xml><?xml version="1.0" encoding="utf-8"?>
<sst xmlns="http://schemas.openxmlformats.org/spreadsheetml/2006/main" count="790" uniqueCount="364">
  <si>
    <t>Adres</t>
  </si>
  <si>
    <t>Plaats</t>
  </si>
  <si>
    <t>Zw/w p/m</t>
  </si>
  <si>
    <t>kleur p/m</t>
  </si>
  <si>
    <t>Datum in gebruikname</t>
  </si>
  <si>
    <t>Zw/w p/j</t>
  </si>
  <si>
    <t>Kleur p/j</t>
  </si>
  <si>
    <t>Aantal maanden</t>
  </si>
  <si>
    <t>Afdrukprijs kleur</t>
  </si>
  <si>
    <t>Eenmalige implementatiekosten (uitrol)</t>
  </si>
  <si>
    <t>Eenmalige implementatiekosten (instructie en training)</t>
  </si>
  <si>
    <t xml:space="preserve"> (optioneel, telt niet mee in totaalprijs)</t>
  </si>
  <si>
    <t>Totaalprijs</t>
  </si>
  <si>
    <t>Verwijzing</t>
  </si>
  <si>
    <t>Toelichting</t>
  </si>
  <si>
    <t>Algemeen</t>
  </si>
  <si>
    <r>
      <t xml:space="preserve">Deze werkmap bevat meerdere tabbladen, berekeningen en functies. Indien u gebruik wenst te maken van de gegevens uit deze werkmap raden wij u aan te werken met een kopie. De bladen zijn niet beveiligd om u in gelegenheid te stellen uw eigen berekeningen in een kopie te hanteren. </t>
    </r>
    <r>
      <rPr>
        <b/>
        <u/>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Inschrijving._x000D_</t>
    </r>
    <r>
      <rPr>
        <u/>
        <sz val="11"/>
        <color theme="1"/>
        <rFont val="Calibri"/>
        <family val="2"/>
        <scheme val="minor"/>
      </rPr>
      <t xml:space="preserve">
</t>
    </r>
  </si>
  <si>
    <t xml:space="preserve">Uitsluitend de roze en groen gekleurde cellen onderaan de werkbladen dienen te worden ingevuld. Aan de hand van formules wordt onderin het werkblad de totaalprijs zichtbaar. Deze totaalprijs wordt gebruikt voor de beoordeling op prijs.
</t>
  </si>
  <si>
    <t xml:space="preserve">De opgegeven MFP's dienen volledig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Overeenkomst met onmiddellijke ingang te ontbinden.
</t>
  </si>
  <si>
    <t>Invulcellen prijzen</t>
  </si>
  <si>
    <t>Eerste 48 maanden</t>
  </si>
  <si>
    <t>Afdrukprijs zwart/wit</t>
  </si>
  <si>
    <t>Aantal afdrukken</t>
  </si>
  <si>
    <t>Model 1
(eis M1 t/m M27)</t>
  </si>
  <si>
    <t>Model 2
(eis M1 t/m M27)</t>
  </si>
  <si>
    <t>Aantal zw/w afdrukken per optiejaar M1</t>
  </si>
  <si>
    <t>Aantal kleur afdrukken per optiejaar M1</t>
  </si>
  <si>
    <t>Aantal zw/w afdrukken per optiejaar M2</t>
  </si>
  <si>
    <t>Aantal kleur afdrukken per optiejaar M2</t>
  </si>
  <si>
    <t xml:space="preserve">Onderaan het tabblad "Prijzenblad" staan enkele voetnoten vermeld. Deze verschaffen de Inschrijver extra informatie over de op te geven prijzen. Elke Inschrijver wordt geadviseerd hier grondig kennis van te nemen.
</t>
  </si>
  <si>
    <t>Totaal model 2: Leaseprijs alle machines</t>
  </si>
  <si>
    <t>Totaal model 1: Leaseprijs alle machines</t>
  </si>
  <si>
    <t>Afdrukken kleur</t>
  </si>
  <si>
    <t>Subtotaal</t>
  </si>
  <si>
    <t>Omschrijving</t>
  </si>
  <si>
    <t>kleur per optiejaar</t>
  </si>
  <si>
    <t>Meerprijs perforatie unit (2-gaats) model 1 per MFP per maand</t>
  </si>
  <si>
    <t>Meerprijs perforatie unit (2-gaats) model 2 per MFP per maand</t>
  </si>
  <si>
    <t>Meerprijs niet/vouw finisher (bookletmaker³) model 1 per MFP per maand</t>
  </si>
  <si>
    <t>Meerprijs niet/vouw finisher (bookletmaker³) model 2 per MFP per maand</t>
  </si>
  <si>
    <t>Meerprijs externe finisher bij model 1 per MFP per maand</t>
  </si>
  <si>
    <t>Meerprijs externe finisher bij model 2 per MFP per maand</t>
  </si>
  <si>
    <t>Bulklade bij model 1 in plaats van lade 3 + 4 per MFP per maand</t>
  </si>
  <si>
    <t>Bulklade bij model 2 in plaats van lade 3 + 4 per MFP per maand</t>
  </si>
  <si>
    <t>Totale implementatiekosten (éénmalig)</t>
  </si>
  <si>
    <t>Uitrol</t>
  </si>
  <si>
    <t>Instructie en training</t>
  </si>
  <si>
    <t>Voor alle Locaties (dus alle MFP's), later op factuur te specificeren per Locatie</t>
  </si>
  <si>
    <t xml:space="preserve">einnddatum nieuwe overeenkomst </t>
  </si>
  <si>
    <t xml:space="preserve"> 1.632 </t>
  </si>
  <si>
    <t>Afdrukprijs per Afdruk voor zwart/wit en kleur Model 1 en 2</t>
  </si>
  <si>
    <t>Model 1 en 2</t>
  </si>
  <si>
    <t>Afdrukkosten zwart/wit model 1 en 2</t>
  </si>
  <si>
    <t xml:space="preserve">De groene cellen van alle tabbladen dienen te worden ingevuld. Bovenin ieder tabblad kan het merk + type/model worden aangegeven. Alleen een bedrag (in cijfers) mag worden ingevuld. Een negatief bedrag is niet toegestaan. De opgegeven prijzen dienen reëel en waar te maken zijn.
</t>
  </si>
  <si>
    <t>Postcode</t>
  </si>
  <si>
    <t>Het Palet</t>
  </si>
  <si>
    <t>Optiejaar 2</t>
  </si>
  <si>
    <t>Optiejaar 3</t>
  </si>
  <si>
    <t>Optiejaar 1</t>
  </si>
  <si>
    <t>Bestuurskantoor</t>
  </si>
  <si>
    <t>Naam /model</t>
  </si>
  <si>
    <t xml:space="preserve">De licht roze cellen op alle tabbladen dienen te worden ingevuld. Alleen een bedrag (in cijfers) mag worden ingevuld. Een negatief bedrag is niet toegestaan. De opgegeven prijzen dienen reëel en waar te maken zijn. Deze bedragen worden niet meegerekend in de Totaalprijs. Viadere kan te zijner tijd besluiten of zij gebruik wenst te maken van de hier opgegeven opties. De prijs is net als de huurprijzen vast gedurende de looptijd van de Overeenkomst.
</t>
  </si>
  <si>
    <t>De vaste huurprijs (hardware)</t>
  </si>
  <si>
    <t>Deze prijs kan volgens het bepaalde in de Overeenkomst worden geïndexeerd, i.t.t. de overige prijzen</t>
  </si>
  <si>
    <t xml:space="preserve">De aantallen en keuze van de MFP per Locatie kunnen na de gunning nog worden aangepast. Deze inventarisatie is gebaseerd op het verbruik en behoefte van 2022.
</t>
  </si>
  <si>
    <t># zw/w afdrukken M1 tot 1-6-2028</t>
  </si>
  <si>
    <t># kleur afdrukken M1 tot 1-6-2028</t>
  </si>
  <si>
    <t># zw/w afdrukken M2 tot 1-6-20282</t>
  </si>
  <si>
    <t># kleur afdrukken M2 tot 1-6-20283</t>
  </si>
  <si>
    <t>De Bothoven</t>
  </si>
  <si>
    <t>Reudinkstraat 15</t>
  </si>
  <si>
    <t>7511 ZG</t>
  </si>
  <si>
    <t>Enschede</t>
  </si>
  <si>
    <t>De Broekheurne</t>
  </si>
  <si>
    <t>De Posten 147</t>
  </si>
  <si>
    <t>7544 LR</t>
  </si>
  <si>
    <t>De Esmarke</t>
  </si>
  <si>
    <t>Esmarkelaan 201</t>
  </si>
  <si>
    <t>7534 JZ</t>
  </si>
  <si>
    <t>De Imenhof</t>
  </si>
  <si>
    <t>Markeweg 37</t>
  </si>
  <si>
    <t>7582 BZ</t>
  </si>
  <si>
    <t>Losser</t>
  </si>
  <si>
    <t>De Linde De Essen</t>
  </si>
  <si>
    <t>Oosterikweg 1</t>
  </si>
  <si>
    <t>7577 PL</t>
  </si>
  <si>
    <t>Oldenzaal</t>
  </si>
  <si>
    <t>De Linde De Thij</t>
  </si>
  <si>
    <t>Zandhorstlaan 99</t>
  </si>
  <si>
    <t>7576 VR</t>
  </si>
  <si>
    <t>De Saller</t>
  </si>
  <si>
    <t>Keizerskroon 7</t>
  </si>
  <si>
    <t>7581 TX</t>
  </si>
  <si>
    <t>De Spinner</t>
  </si>
  <si>
    <t>Spinnerstraat 29</t>
  </si>
  <si>
    <t>7545 TP</t>
  </si>
  <si>
    <t>De Sterrenborgh</t>
  </si>
  <si>
    <t>Runenberghoek 5</t>
  </si>
  <si>
    <t>7546 EG</t>
  </si>
  <si>
    <t>De Uitvinding</t>
  </si>
  <si>
    <t>Velveweg 52</t>
  </si>
  <si>
    <t>7533 XK</t>
  </si>
  <si>
    <t>De Wielerbaan</t>
  </si>
  <si>
    <t>Batshoek 5</t>
  </si>
  <si>
    <t>7546 LC</t>
  </si>
  <si>
    <t>De Zuidsprong</t>
  </si>
  <si>
    <t>Het Lang 78</t>
  </si>
  <si>
    <t>7544 XC</t>
  </si>
  <si>
    <t>Clematisstraat 39</t>
  </si>
  <si>
    <t>7591 XJ</t>
  </si>
  <si>
    <t>Denekamp</t>
  </si>
  <si>
    <t>Europa</t>
  </si>
  <si>
    <t>Belgiëlaan 75</t>
  </si>
  <si>
    <t>7543 ZJ</t>
  </si>
  <si>
    <t>Harry Bannink</t>
  </si>
  <si>
    <t>Het Bijvank 111</t>
  </si>
  <si>
    <t>7544 DA</t>
  </si>
  <si>
    <t>Het Kompas</t>
  </si>
  <si>
    <t>Prins Hendrikstraat 1</t>
  </si>
  <si>
    <t>7586 BG</t>
  </si>
  <si>
    <t>Overdinkel</t>
  </si>
  <si>
    <t>Gerard Terborghstraat 9</t>
  </si>
  <si>
    <t>7545 BV</t>
  </si>
  <si>
    <t>Het Pontem</t>
  </si>
  <si>
    <t>Fleringenbrink 2</t>
  </si>
  <si>
    <t>7544 XN</t>
  </si>
  <si>
    <t>Het Pontem College</t>
  </si>
  <si>
    <t>Poolmansweg 245</t>
  </si>
  <si>
    <t>7545 LR</t>
  </si>
  <si>
    <t>Het Stroink</t>
  </si>
  <si>
    <t>Het Stroink 66</t>
  </si>
  <si>
    <t>7542 GT</t>
  </si>
  <si>
    <t>Het Vastert</t>
  </si>
  <si>
    <t>Vastertlanden 167</t>
  </si>
  <si>
    <t>7542 LR</t>
  </si>
  <si>
    <t>Het Wooldrik</t>
  </si>
  <si>
    <t>Celsiusstraat 10</t>
  </si>
  <si>
    <t>7535 DK</t>
  </si>
  <si>
    <t>Het Zeggelt</t>
  </si>
  <si>
    <t>Dr. Benthemstraat 14</t>
  </si>
  <si>
    <t>7514 CM</t>
  </si>
  <si>
    <t>Het Zeggelt Meeuwenstr.</t>
  </si>
  <si>
    <t>Meeuwenstraat 4</t>
  </si>
  <si>
    <t>7523 XV</t>
  </si>
  <si>
    <t>Int. School Twente PC</t>
  </si>
  <si>
    <t>Joh. ter Horststraat 32</t>
  </si>
  <si>
    <t>7513 ZH</t>
  </si>
  <si>
    <t>Dr. Benthemstraat 54</t>
  </si>
  <si>
    <t>La Res</t>
  </si>
  <si>
    <t>Rozenstraat 98</t>
  </si>
  <si>
    <t>7514ZR</t>
  </si>
  <si>
    <t>Lonneker</t>
  </si>
  <si>
    <t>Dorpsstraat 104</t>
  </si>
  <si>
    <t>7524 CK</t>
  </si>
  <si>
    <t>Molenbeek Boekelo</t>
  </si>
  <si>
    <t>Boekelerschoolpad 1</t>
  </si>
  <si>
    <t>7548 AH</t>
  </si>
  <si>
    <t>Boekelo</t>
  </si>
  <si>
    <t>Molenbeek Usselo</t>
  </si>
  <si>
    <t>Lammerinkweg 10</t>
  </si>
  <si>
    <t>7546 RD</t>
  </si>
  <si>
    <t>Park Stokhorst</t>
  </si>
  <si>
    <t>Hoge Boekelerweg 135</t>
  </si>
  <si>
    <t>7531 EC</t>
  </si>
  <si>
    <t>Prinseschool</t>
  </si>
  <si>
    <t>7513 AL</t>
  </si>
  <si>
    <t>Daalweg 32</t>
  </si>
  <si>
    <t>7541 AN</t>
  </si>
  <si>
    <t>Staringstraat 15</t>
  </si>
  <si>
    <t>7514 DE</t>
  </si>
  <si>
    <t>Roombeek</t>
  </si>
  <si>
    <t>Bosuilstraat 3</t>
  </si>
  <si>
    <t>7523 BJ</t>
  </si>
  <si>
    <t>Twekkelerveld</t>
  </si>
  <si>
    <t>Schietbaanweg 30</t>
  </si>
  <si>
    <t>7521 DB</t>
  </si>
  <si>
    <t>Wereldwijs Noord</t>
  </si>
  <si>
    <t>Bultsweg 170</t>
  </si>
  <si>
    <t>Wereldwijs Zuid</t>
  </si>
  <si>
    <t>Ouverturestraat 70</t>
  </si>
  <si>
    <t>7534 CP</t>
  </si>
  <si>
    <t>Willem Wilmink</t>
  </si>
  <si>
    <t>H. Smeltweg 44</t>
  </si>
  <si>
    <t>7541 XL</t>
  </si>
  <si>
    <t>School/ Locatie</t>
  </si>
  <si>
    <t>Prinsestraat 10-10a (1)</t>
  </si>
  <si>
    <t>Prinsestraat 10-10a (2)</t>
  </si>
  <si>
    <t>Licentie en maintenance kosten voor software</t>
  </si>
  <si>
    <t>zw/w per optiejaar</t>
  </si>
  <si>
    <t>Alfonsus</t>
  </si>
  <si>
    <t>Pastoor Geertmanstraat 10</t>
  </si>
  <si>
    <t>7535 BZ</t>
  </si>
  <si>
    <t>Ariënsschool</t>
  </si>
  <si>
    <t>Park de Kotten 320</t>
  </si>
  <si>
    <t>7522 EN</t>
  </si>
  <si>
    <t>Bomans</t>
  </si>
  <si>
    <t>Veldhoflanden 92</t>
  </si>
  <si>
    <t>7542 LX</t>
  </si>
  <si>
    <t>Bonifatius</t>
  </si>
  <si>
    <t>Zaanstraat 10</t>
  </si>
  <si>
    <t>7523 HC</t>
  </si>
  <si>
    <t>Schateiland</t>
  </si>
  <si>
    <t>Esmarkelaan 207</t>
  </si>
  <si>
    <t>De Jonge Helden</t>
  </si>
  <si>
    <t>Ravenhorsthoek 38</t>
  </si>
  <si>
    <t>7546 EA</t>
  </si>
  <si>
    <t>De Kubus</t>
  </si>
  <si>
    <t>Velveweg 50</t>
  </si>
  <si>
    <t>Marcellinus</t>
  </si>
  <si>
    <t>Saffierstraat 30</t>
  </si>
  <si>
    <t>7548 CD</t>
  </si>
  <si>
    <t>De Regenboog</t>
  </si>
  <si>
    <t>Het Stroink 60</t>
  </si>
  <si>
    <t>De Triangel</t>
  </si>
  <si>
    <t>Gerard Terborghstraat 1</t>
  </si>
  <si>
    <t>De Troubadour</t>
  </si>
  <si>
    <t>Sonatestraat 44a</t>
  </si>
  <si>
    <t>7534 XC</t>
  </si>
  <si>
    <t>De Windroos</t>
  </si>
  <si>
    <t>Het Bijvank 107</t>
  </si>
  <si>
    <t>Liduina</t>
  </si>
  <si>
    <t>Scholten Reimerstraat 8</t>
  </si>
  <si>
    <t>7524 CS</t>
  </si>
  <si>
    <t>Menkotoren</t>
  </si>
  <si>
    <t>Rijnstraat 15</t>
  </si>
  <si>
    <t>7523 GD</t>
  </si>
  <si>
    <t>Paulus</t>
  </si>
  <si>
    <t>Regulusstraat 8</t>
  </si>
  <si>
    <t>7521 DX</t>
  </si>
  <si>
    <t>Paus Joannes</t>
  </si>
  <si>
    <t>Floraparkstraat 155</t>
  </si>
  <si>
    <t>7531 XG</t>
  </si>
  <si>
    <t>Sint Jan</t>
  </si>
  <si>
    <t>Haaksbergerstraat 255</t>
  </si>
  <si>
    <t>7545 GH</t>
  </si>
  <si>
    <t>St. Gerardus</t>
  </si>
  <si>
    <t>Kerkstraat 155</t>
  </si>
  <si>
    <t>7532 AS</t>
  </si>
  <si>
    <t>Taalschool De Globe</t>
  </si>
  <si>
    <t>Getfertweg 191a</t>
  </si>
  <si>
    <r>
      <rPr>
        <vertAlign val="superscript"/>
        <sz val="10"/>
        <color theme="1"/>
        <rFont val="Calibri"/>
        <family val="2"/>
      </rPr>
      <t>1</t>
    </r>
    <r>
      <rPr>
        <sz val="10"/>
        <color theme="1"/>
        <rFont val="Calibri"/>
        <family val="2"/>
      </rPr>
      <t xml:space="preserve"> De opgegeven prijzen dienen te voldoen aan de eisen zoals gesteld in de Uitnodiging tot Inschrijving.</t>
    </r>
  </si>
  <si>
    <r>
      <rPr>
        <vertAlign val="superscript"/>
        <sz val="10"/>
        <color theme="1"/>
        <rFont val="Calibri"/>
        <family val="2"/>
      </rPr>
      <t xml:space="preserve">3 </t>
    </r>
    <r>
      <rPr>
        <sz val="10"/>
        <color theme="1"/>
        <rFont val="Calibri"/>
        <family val="2"/>
      </rPr>
      <t>Het betreft een functie waarbij een A4 vel gevouwen wordt en een nietje in de rug van gevouwen boekje wordt geplaatst. De opgegeven prijs is de meerprijs ten opzichte van de standaardfinisher die is uitgevraagd in de Uitnodiging tot Inschrijving.</t>
    </r>
  </si>
  <si>
    <t>Moutlaan 31</t>
  </si>
  <si>
    <t>7523 MC</t>
  </si>
  <si>
    <t>Meindert Hobbemastraat 37</t>
  </si>
  <si>
    <t>7545 CJ</t>
  </si>
  <si>
    <t>Esmarkelaan 5</t>
  </si>
  <si>
    <t>7534 JK</t>
  </si>
  <si>
    <t>Schateiland (dep.)</t>
  </si>
  <si>
    <t>Keppelerdijk 2</t>
  </si>
  <si>
    <t>7535 PE </t>
  </si>
  <si>
    <t>Pastoor Geertmanstraat 10 (a)</t>
  </si>
  <si>
    <t>Gerard Terborghstraat 1 (a)</t>
  </si>
  <si>
    <t>Kerkstraat 155 (a)</t>
  </si>
  <si>
    <t>Dr. Benthemstraat 54 (a)</t>
  </si>
  <si>
    <t>IKC Het Sterrenpalet</t>
  </si>
  <si>
    <t>Prins Bernhardstraat 6</t>
  </si>
  <si>
    <t>7151 DB</t>
  </si>
  <si>
    <t>Eibergen</t>
  </si>
  <si>
    <t>Klaashofweg 16</t>
  </si>
  <si>
    <t>7151 DT</t>
  </si>
  <si>
    <t>CBS Kisveld</t>
  </si>
  <si>
    <t>Hondelinkweg 2</t>
  </si>
  <si>
    <t>7161 HG</t>
  </si>
  <si>
    <t>Neede</t>
  </si>
  <si>
    <t>Kindcentrum Meester Snel</t>
  </si>
  <si>
    <t>Kloosterstraat 13</t>
  </si>
  <si>
    <t>7581 GE</t>
  </si>
  <si>
    <t>Brede School Overdinkel</t>
  </si>
  <si>
    <t>Ds. Pasmastraat 2</t>
  </si>
  <si>
    <t>7586 CZ</t>
  </si>
  <si>
    <t>CBS Op den Akker</t>
  </si>
  <si>
    <t>de Akker 2</t>
  </si>
  <si>
    <t>7481 GB</t>
  </si>
  <si>
    <t>Haaksbergen</t>
  </si>
  <si>
    <t>CBS Mecklenburg</t>
  </si>
  <si>
    <t>De Posten 145</t>
  </si>
  <si>
    <t>CBS Drakensteyn</t>
  </si>
  <si>
    <t>Vastertlanden 169</t>
  </si>
  <si>
    <t>CBS Prins Maurits</t>
  </si>
  <si>
    <t>Geessinkbrink 1</t>
  </si>
  <si>
    <t>7544 CW</t>
  </si>
  <si>
    <t>CBS Anna van Buren</t>
  </si>
  <si>
    <t>Bosuilstraat 7</t>
  </si>
  <si>
    <t>CBS Willem van Oranje</t>
  </si>
  <si>
    <t>Ravenhorsthoek 34</t>
  </si>
  <si>
    <t>CBS De Koning</t>
  </si>
  <si>
    <t>Tomatenstraat 27</t>
  </si>
  <si>
    <t>7545 WP</t>
  </si>
  <si>
    <t>CBS Ouverture</t>
  </si>
  <si>
    <t>Ouverturestraat 68</t>
  </si>
  <si>
    <t>CBS de Zevenster</t>
  </si>
  <si>
    <t>Zevensterstraat 3</t>
  </si>
  <si>
    <t>7521 GN</t>
  </si>
  <si>
    <t>CBS De Kiem</t>
  </si>
  <si>
    <t>7541 BP</t>
  </si>
  <si>
    <t>VCO Bestuurscentrum</t>
  </si>
  <si>
    <t>7513 AB</t>
  </si>
  <si>
    <t>M.H. Tromplaan 4-6</t>
  </si>
  <si>
    <t>J.P. Coenstraat 9</t>
  </si>
  <si>
    <t>Bosuilstraat 5</t>
  </si>
  <si>
    <t>CBS Anna van Buren (dep.)</t>
  </si>
  <si>
    <t>onbekend</t>
  </si>
  <si>
    <t>Julianaschool</t>
  </si>
  <si>
    <t>Dorpsstraat 32</t>
  </si>
  <si>
    <t>7218 AH</t>
  </si>
  <si>
    <t>Almen</t>
  </si>
  <si>
    <t>Villa 60</t>
  </si>
  <si>
    <t>Schoolstraat 60</t>
  </si>
  <si>
    <t>7211 BD</t>
  </si>
  <si>
    <t>Eefde</t>
  </si>
  <si>
    <t>Dr. J. v.d. Hoevenschool</t>
  </si>
  <si>
    <t>Du Tourweg 1</t>
  </si>
  <si>
    <t>7214 AJ</t>
  </si>
  <si>
    <t>Epse</t>
  </si>
  <si>
    <t>J.A. de Vullerschool</t>
  </si>
  <si>
    <t>Veldhofstraat 1</t>
  </si>
  <si>
    <t>7213 AJ</t>
  </si>
  <si>
    <t>Gorssel</t>
  </si>
  <si>
    <t>Beatrixschool</t>
  </si>
  <si>
    <t>Hulstweg 8</t>
  </si>
  <si>
    <t>7217 SZ</t>
  </si>
  <si>
    <t>Harfsen</t>
  </si>
  <si>
    <t>Meester G. Propschool</t>
  </si>
  <si>
    <t>Burgemeester Leenstraat 11</t>
  </si>
  <si>
    <t>7242 AA</t>
  </si>
  <si>
    <t>Lochem</t>
  </si>
  <si>
    <t>De Vennegötte</t>
  </si>
  <si>
    <t>Pearsonplein 23</t>
  </si>
  <si>
    <t>7242 JA</t>
  </si>
  <si>
    <t>De Branink</t>
  </si>
  <si>
    <t>Verwoldseweg 14</t>
  </si>
  <si>
    <t>7245 AH</t>
  </si>
  <si>
    <t>Laren gld</t>
  </si>
  <si>
    <t>Nettelhorst</t>
  </si>
  <si>
    <t>Bolksbeekweg 4</t>
  </si>
  <si>
    <t>7241 PH</t>
  </si>
  <si>
    <t>De Barchschole</t>
  </si>
  <si>
    <t>Beukenlaan 24</t>
  </si>
  <si>
    <t>7244 BB</t>
  </si>
  <si>
    <t>Barchem</t>
  </si>
  <si>
    <t>Hoofdkantoor</t>
  </si>
  <si>
    <t>Graanweg 1D</t>
  </si>
  <si>
    <t>7242 AT</t>
  </si>
  <si>
    <t>7532 XJ</t>
  </si>
  <si>
    <t>Dr. M.L. Kingschool</t>
  </si>
  <si>
    <r>
      <rPr>
        <vertAlign val="superscript"/>
        <sz val="10"/>
        <color theme="1"/>
        <rFont val="Calibri"/>
        <family val="2"/>
      </rPr>
      <t xml:space="preserve">2 </t>
    </r>
    <r>
      <rPr>
        <sz val="10"/>
        <color theme="1"/>
        <rFont val="Calibri"/>
        <family val="2"/>
      </rPr>
      <t xml:space="preserve">Het gaat hierbij om een verhuizing tussen Locaties van de Opdrachtgever bovenop het aantal verhuizingen genoemd </t>
    </r>
    <r>
      <rPr>
        <b/>
        <u/>
        <sz val="10"/>
        <color rgb="FFFF0000"/>
        <rFont val="Calibri"/>
        <family val="2"/>
      </rPr>
      <t>(2 stuks)</t>
    </r>
    <r>
      <rPr>
        <sz val="10"/>
        <color rgb="FFFF0000"/>
        <rFont val="Calibri"/>
        <family val="2"/>
      </rPr>
      <t xml:space="preserve"> </t>
    </r>
    <r>
      <rPr>
        <sz val="10"/>
        <color theme="1"/>
        <rFont val="Calibri"/>
        <family val="2"/>
      </rPr>
      <t xml:space="preserve">in de Uitnodiging tot Inschrijving. Het apparaat wordt ontkoppeld verplaatst en opnieuw aangesloten, gereed voor gebruik. </t>
    </r>
  </si>
  <si>
    <r>
      <rPr>
        <vertAlign val="superscript"/>
        <sz val="10"/>
        <color theme="1"/>
        <rFont val="Calibri"/>
        <family val="2"/>
      </rPr>
      <t xml:space="preserve">2 </t>
    </r>
    <r>
      <rPr>
        <sz val="10"/>
        <color theme="1"/>
        <rFont val="Calibri"/>
        <family val="2"/>
      </rPr>
      <t xml:space="preserve">Het gaat hierbij om een verhuizing tussen Locaties van de Opdrachtgever bovenop het aantal verhuizingen genoemd </t>
    </r>
    <r>
      <rPr>
        <b/>
        <u/>
        <sz val="10"/>
        <color rgb="FFFF0000"/>
        <rFont val="Calibri"/>
        <family val="2"/>
      </rPr>
      <t>(3 stuks)</t>
    </r>
    <r>
      <rPr>
        <sz val="10"/>
        <color rgb="FFFF0000"/>
        <rFont val="Calibri"/>
        <family val="2"/>
      </rPr>
      <t xml:space="preserve"> </t>
    </r>
    <r>
      <rPr>
        <sz val="10"/>
        <color theme="1"/>
        <rFont val="Calibri"/>
        <family val="2"/>
      </rPr>
      <t xml:space="preserve">in de Uitnodiging tot Inschrijving. Het apparaat wordt ontkoppeld verplaatst en opnieuw aangesloten, gereed voor gebruik. </t>
    </r>
  </si>
  <si>
    <r>
      <rPr>
        <vertAlign val="superscript"/>
        <sz val="10"/>
        <color theme="1"/>
        <rFont val="Calibri"/>
        <family val="2"/>
      </rPr>
      <t xml:space="preserve">2 </t>
    </r>
    <r>
      <rPr>
        <sz val="10"/>
        <color theme="1"/>
        <rFont val="Calibri"/>
        <family val="2"/>
      </rPr>
      <t xml:space="preserve">Het gaat hierbij om een verhuizing tussen Locaties van de Opdrachtgever bovenop het aantal verhuizingen genoemd </t>
    </r>
    <r>
      <rPr>
        <b/>
        <u/>
        <sz val="10"/>
        <color rgb="FFFF0000"/>
        <rFont val="Calibri"/>
        <family val="2"/>
      </rPr>
      <t>(4 stuks)</t>
    </r>
    <r>
      <rPr>
        <sz val="10"/>
        <color rgb="FFFF0000"/>
        <rFont val="Calibri"/>
        <family val="2"/>
      </rPr>
      <t xml:space="preserve"> </t>
    </r>
    <r>
      <rPr>
        <sz val="10"/>
        <color theme="1"/>
        <rFont val="Calibri"/>
        <family val="2"/>
      </rPr>
      <t xml:space="preserve">in de Uitnodiging tot Inschrijving. Het apparaat wordt ontkoppeld verplaatst en opnieuw aangesloten, gereed voor gebruik. </t>
    </r>
  </si>
  <si>
    <r>
      <rPr>
        <vertAlign val="superscript"/>
        <sz val="10"/>
        <color theme="1"/>
        <rFont val="Calibri"/>
        <family val="2"/>
      </rPr>
      <t xml:space="preserve">2 </t>
    </r>
    <r>
      <rPr>
        <sz val="10"/>
        <color theme="1"/>
        <rFont val="Calibri"/>
        <family val="2"/>
      </rPr>
      <t xml:space="preserve">Het gaat hierbij om een verhuizing tussen Locaties van de Opdrachtgever bovenop het aantal verhuizingen genoemd </t>
    </r>
    <r>
      <rPr>
        <b/>
        <u/>
        <sz val="10"/>
        <color rgb="FFFF0000"/>
        <rFont val="Calibri"/>
        <family val="2"/>
      </rPr>
      <t>(7 stuks)</t>
    </r>
    <r>
      <rPr>
        <sz val="10"/>
        <color rgb="FFFF0000"/>
        <rFont val="Calibri"/>
        <family val="2"/>
      </rPr>
      <t xml:space="preserve"> </t>
    </r>
    <r>
      <rPr>
        <sz val="10"/>
        <color theme="1"/>
        <rFont val="Calibri"/>
        <family val="2"/>
      </rPr>
      <t xml:space="preserve">in de Uitnodiging tot Inschrijving. Het apparaat wordt ontkoppeld verplaatst en opnieuw aangesloten, gereed voor gebruik. </t>
    </r>
  </si>
  <si>
    <t>Meerprijs verhuizing² van een MFP (bovenop Eis C9) per keer</t>
  </si>
  <si>
    <t>Ariënsschool (dep.)</t>
  </si>
  <si>
    <t>Maatmanweg 15</t>
  </si>
  <si>
    <t>7522 AN</t>
  </si>
  <si>
    <t>De Triangel (dep.)</t>
  </si>
  <si>
    <t>Taalschool De Globe (dep.)</t>
  </si>
  <si>
    <t>Software per model 1 en 2 per maand (Eis S1 t/m S20)</t>
  </si>
  <si>
    <t xml:space="preserve"> PMS per model 1 en 2 per maand (Eis S1 t/m S20)</t>
  </si>
  <si>
    <r>
      <t xml:space="preserve"> Huurprijs</t>
    </r>
    <r>
      <rPr>
        <vertAlign val="superscript"/>
        <sz val="11"/>
        <color theme="1"/>
        <rFont val="Calibri"/>
        <family val="2"/>
        <scheme val="minor"/>
      </rPr>
      <t>1</t>
    </r>
    <r>
      <rPr>
        <sz val="11"/>
        <color theme="1"/>
        <rFont val="Calibri"/>
        <family val="2"/>
        <scheme val="minor"/>
      </rPr>
      <t xml:space="preserve"> per MFP model 1 per maand </t>
    </r>
  </si>
  <si>
    <r>
      <t>Huurprijs</t>
    </r>
    <r>
      <rPr>
        <vertAlign val="superscript"/>
        <sz val="11"/>
        <color theme="1"/>
        <rFont val="Calibri"/>
        <family val="2"/>
        <scheme val="minor"/>
      </rPr>
      <t>1</t>
    </r>
    <r>
      <rPr>
        <sz val="11"/>
        <color theme="1"/>
        <rFont val="Calibri"/>
        <family val="2"/>
        <scheme val="minor"/>
      </rPr>
      <t xml:space="preserve"> per MFP model 2 per maand </t>
    </r>
  </si>
  <si>
    <r>
      <rPr>
        <b/>
        <sz val="11"/>
        <color rgb="FFFF0000"/>
        <rFont val="Calibri"/>
        <family val="2"/>
        <scheme val="minor"/>
      </rPr>
      <t>Opties</t>
    </r>
    <r>
      <rPr>
        <b/>
        <sz val="11"/>
        <color theme="1"/>
        <rFont val="Calibri"/>
        <family val="2"/>
        <scheme val="minor"/>
      </rPr>
      <t xml:space="preserve"> model 1 en 2</t>
    </r>
  </si>
  <si>
    <r>
      <t>Meerprijs verhuizing</t>
    </r>
    <r>
      <rPr>
        <vertAlign val="superscript"/>
        <sz val="11"/>
        <rFont val="Calibri"/>
        <family val="2"/>
        <scheme val="minor"/>
      </rPr>
      <t>3</t>
    </r>
    <r>
      <rPr>
        <sz val="11"/>
        <rFont val="Calibri"/>
        <family val="2"/>
        <scheme val="minor"/>
      </rPr>
      <t xml:space="preserve"> van een MFP per keer </t>
    </r>
  </si>
  <si>
    <r>
      <t>De opgegeven prijzen zijn in overeenstemming met het gestelde in de Uitnodiging to</t>
    </r>
    <r>
      <rPr>
        <sz val="11"/>
        <rFont val="Calibri"/>
        <family val="2"/>
        <scheme val="minor"/>
      </rPr>
      <t xml:space="preserve">t Inschrijving </t>
    </r>
    <r>
      <rPr>
        <sz val="11"/>
        <color theme="1"/>
        <rFont val="Calibri"/>
        <family val="2"/>
        <scheme val="minor"/>
      </rPr>
      <t xml:space="preserve">en de bijlagen (waaronder maar niet beperkt tot het Programma van Eisen). 
</t>
    </r>
  </si>
  <si>
    <t>7512 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</si>
</sst>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 * #,##0_ ;_ * \-#,##0_ ;_ * &quot;-&quot;??_ ;_ @_ "/>
    <numFmt numFmtId="165" formatCode="_ &quot;€&quot;\ * #,##0.0000_ ;_ &quot;€&quot;\ * \-#,##0.0000_ ;_ &quot;€&quot;\ * &quot;-&quot;??_ ;_ @_ "/>
    <numFmt numFmtId="166" formatCode="_ [$€-413]\ * #,##0.00_ ;_ [$€-413]\ * \-#,##0.00_ ;_ [$€-413]\ * &quot;-&quot;??_ ;_ @_ "/>
    <numFmt numFmtId="167" formatCode="_ [$€-2]\ * #,##0.00_ ;_ [$€-2]\ * \-#,##0.00_ ;_ [$€-2]\ * &quot;-&quot;??_ ;_ @_ "/>
    <numFmt numFmtId="168" formatCode="&quot;zw/w tot&quot;\ d/m/yyyy"/>
    <numFmt numFmtId="169" formatCode="&quot;kleur tot&quot;\ d/m/yyyy"/>
    <numFmt numFmtId="170" formatCode="&quot;# zw/w afdrukken M1 tot&quot;\ d/m/yyyy"/>
  </numFmts>
  <fonts count="28" x14ac:knownFonts="1">
    <font>
      <sz val="11"/>
      <color theme="1"/>
      <name val="Calibri Light"/>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Light"/>
      <family val="2"/>
    </font>
    <font>
      <sz val="8"/>
      <name val="Calibri Light"/>
      <family val="2"/>
    </font>
    <font>
      <b/>
      <sz val="11"/>
      <color theme="1"/>
      <name val="Calibri Light"/>
      <family val="2"/>
    </font>
    <font>
      <sz val="11"/>
      <name val="Calibri"/>
      <family val="2"/>
      <scheme val="minor"/>
    </font>
    <font>
      <sz val="16"/>
      <color theme="1"/>
      <name val="Calibri"/>
      <family val="2"/>
      <scheme val="minor"/>
    </font>
    <font>
      <b/>
      <u/>
      <sz val="11"/>
      <color theme="1"/>
      <name val="Calibri"/>
      <family val="2"/>
      <scheme val="minor"/>
    </font>
    <font>
      <u/>
      <sz val="11"/>
      <color theme="1"/>
      <name val="Calibri"/>
      <family val="2"/>
      <scheme val="minor"/>
    </font>
    <font>
      <b/>
      <sz val="16"/>
      <name val="Calibri"/>
      <family val="2"/>
      <scheme val="minor"/>
    </font>
    <font>
      <sz val="14"/>
      <color rgb="FFFF0000"/>
      <name val="Calibri Light"/>
      <family val="2"/>
    </font>
    <font>
      <sz val="10"/>
      <color theme="1"/>
      <name val="Calibri"/>
      <family val="2"/>
    </font>
    <font>
      <sz val="11"/>
      <color theme="1"/>
      <name val="Calibri"/>
      <family val="2"/>
    </font>
    <font>
      <sz val="18"/>
      <color theme="1"/>
      <name val="Calibri"/>
      <family val="2"/>
    </font>
    <font>
      <b/>
      <sz val="18"/>
      <name val="Calibri"/>
      <family val="2"/>
    </font>
    <font>
      <vertAlign val="superscript"/>
      <sz val="10"/>
      <color theme="1"/>
      <name val="Calibri"/>
      <family val="2"/>
    </font>
    <font>
      <sz val="10"/>
      <color rgb="FFFF0000"/>
      <name val="Calibri"/>
      <family val="2"/>
    </font>
    <font>
      <b/>
      <sz val="11"/>
      <color theme="0"/>
      <name val="Calibri"/>
      <family val="2"/>
      <scheme val="minor"/>
    </font>
    <font>
      <sz val="11"/>
      <color rgb="FFFF0000"/>
      <name val="Calibri"/>
      <family val="2"/>
      <scheme val="minor"/>
    </font>
    <font>
      <b/>
      <sz val="11"/>
      <color theme="1"/>
      <name val="Calibri"/>
      <family val="2"/>
      <scheme val="minor"/>
    </font>
    <font>
      <b/>
      <u/>
      <sz val="10"/>
      <color rgb="FFFF0000"/>
      <name val="Calibri"/>
      <family val="2"/>
    </font>
    <font>
      <b/>
      <sz val="11"/>
      <color rgb="FFFF0000"/>
      <name val="Calibri"/>
      <family val="2"/>
      <scheme val="minor"/>
    </font>
    <font>
      <vertAlign val="superscript"/>
      <sz val="11"/>
      <color theme="1"/>
      <name val="Calibri"/>
      <family val="2"/>
      <scheme val="minor"/>
    </font>
    <font>
      <vertAlign val="superscript"/>
      <sz val="11"/>
      <name val="Calibri"/>
      <family val="2"/>
      <scheme val="minor"/>
    </font>
    <font>
      <b/>
      <sz val="11"/>
      <name val="Calibri"/>
      <family val="2"/>
      <scheme val="minor"/>
    </font>
  </fonts>
  <fills count="10">
    <fill>
      <patternFill patternType="none"/>
    </fill>
    <fill>
      <patternFill patternType="gray125"/>
    </fill>
    <fill>
      <patternFill patternType="solid">
        <fgColor theme="7" tint="0.79998168889431442"/>
        <bgColor indexed="64"/>
      </patternFill>
    </fill>
    <fill>
      <patternFill patternType="solid">
        <fgColor theme="2" tint="-4.9989318521683403E-2"/>
        <bgColor indexed="64"/>
      </patternFill>
    </fill>
    <fill>
      <patternFill patternType="solid">
        <fgColor rgb="FF00FF99"/>
        <bgColor indexed="64"/>
      </patternFill>
    </fill>
    <fill>
      <patternFill patternType="solid">
        <fgColor rgb="FFFFC000"/>
        <bgColor theme="4"/>
      </patternFill>
    </fill>
    <fill>
      <patternFill patternType="solid">
        <fgColor rgb="FFFFC000"/>
        <bgColor indexed="64"/>
      </patternFill>
    </fill>
    <fill>
      <patternFill patternType="solid">
        <fgColor theme="5"/>
        <bgColor indexed="64"/>
      </patternFill>
    </fill>
    <fill>
      <patternFill patternType="solid">
        <fgColor rgb="FFFFCCFF"/>
        <bgColor indexed="64"/>
      </patternFill>
    </fill>
    <fill>
      <patternFill patternType="solid">
        <fgColor theme="3"/>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thin">
        <color theme="5" tint="0.39997558519241921"/>
      </top>
      <bottom style="thin">
        <color theme="5" tint="0.3999755851924192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133">
    <xf numFmtId="0" fontId="0" fillId="0" borderId="0" xfId="0"/>
    <xf numFmtId="0" fontId="0" fillId="0" borderId="0" xfId="0" applyAlignment="1">
      <alignment horizontal="right"/>
    </xf>
    <xf numFmtId="0" fontId="9" fillId="0" borderId="1" xfId="0" applyFont="1" applyBorder="1" applyAlignment="1">
      <alignment vertical="center"/>
    </xf>
    <xf numFmtId="44" fontId="9" fillId="0" borderId="1" xfId="2" applyFont="1" applyFill="1" applyBorder="1" applyAlignment="1" applyProtection="1">
      <alignment vertical="center" wrapText="1"/>
      <protection locked="0"/>
    </xf>
    <xf numFmtId="0" fontId="7" fillId="0" borderId="0" xfId="0" applyFont="1" applyAlignment="1">
      <alignment horizontal="right"/>
    </xf>
    <xf numFmtId="0" fontId="0" fillId="0" borderId="0" xfId="0" applyAlignment="1">
      <alignment horizontal="center" vertical="center"/>
    </xf>
    <xf numFmtId="166" fontId="9" fillId="4" borderId="1" xfId="2" applyNumberFormat="1" applyFont="1" applyFill="1" applyBorder="1" applyAlignment="1" applyProtection="1">
      <alignment horizontal="left" vertical="center"/>
      <protection locked="0"/>
    </xf>
    <xf numFmtId="0" fontId="7" fillId="0" borderId="0" xfId="0" applyFont="1" applyAlignment="1">
      <alignment horizontal="right" vertical="center"/>
    </xf>
    <xf numFmtId="0" fontId="13" fillId="0" borderId="0" xfId="0" applyFont="1"/>
    <xf numFmtId="0" fontId="12" fillId="7" borderId="1" xfId="0" applyFont="1" applyFill="1" applyBorder="1"/>
    <xf numFmtId="44" fontId="9" fillId="8" borderId="1" xfId="2" applyFont="1" applyFill="1" applyBorder="1" applyAlignment="1" applyProtection="1">
      <alignment vertical="center" wrapText="1"/>
      <protection locked="0"/>
    </xf>
    <xf numFmtId="0" fontId="15" fillId="0" borderId="0" xfId="0" applyFont="1"/>
    <xf numFmtId="167" fontId="15" fillId="0" borderId="0" xfId="0" applyNumberFormat="1" applyFont="1" applyProtection="1">
      <protection hidden="1"/>
    </xf>
    <xf numFmtId="164" fontId="15" fillId="0" borderId="0" xfId="1" applyNumberFormat="1" applyFont="1" applyAlignment="1" applyProtection="1">
      <alignment vertical="center"/>
      <protection hidden="1"/>
    </xf>
    <xf numFmtId="44" fontId="16" fillId="0" borderId="0" xfId="0" applyNumberFormat="1" applyFont="1" applyAlignment="1" applyProtection="1">
      <alignment horizontal="center"/>
      <protection hidden="1"/>
    </xf>
    <xf numFmtId="0" fontId="15" fillId="0" borderId="0" xfId="0" applyFont="1" applyAlignment="1" applyProtection="1">
      <alignment horizontal="center"/>
      <protection hidden="1"/>
    </xf>
    <xf numFmtId="0" fontId="17" fillId="6" borderId="14" xfId="0" applyFont="1" applyFill="1" applyBorder="1" applyAlignment="1" applyProtection="1">
      <alignment horizontal="center" vertical="center"/>
      <protection hidden="1"/>
    </xf>
    <xf numFmtId="0" fontId="14" fillId="0" borderId="0" xfId="0" applyFont="1" applyAlignment="1" applyProtection="1">
      <alignment horizontal="left"/>
      <protection hidden="1"/>
    </xf>
    <xf numFmtId="0" fontId="15" fillId="0" borderId="0" xfId="0" applyFont="1" applyAlignment="1" applyProtection="1">
      <alignment horizontal="left" wrapText="1"/>
      <protection hidden="1"/>
    </xf>
    <xf numFmtId="0" fontId="14" fillId="0" borderId="0" xfId="0" applyFont="1" applyProtection="1">
      <protection hidden="1"/>
    </xf>
    <xf numFmtId="0" fontId="15" fillId="0" borderId="0" xfId="0" applyFont="1" applyProtection="1">
      <protection hidden="1"/>
    </xf>
    <xf numFmtId="44" fontId="15" fillId="0" borderId="0" xfId="0" applyNumberFormat="1" applyFont="1"/>
    <xf numFmtId="9" fontId="15" fillId="0" borderId="0" xfId="3" applyFont="1"/>
    <xf numFmtId="0" fontId="4" fillId="0" borderId="0" xfId="0" applyFont="1"/>
    <xf numFmtId="0" fontId="22" fillId="7" borderId="15" xfId="0" applyFont="1" applyFill="1" applyBorder="1" applyAlignment="1">
      <alignment horizontal="right" vertical="center" wrapText="1"/>
    </xf>
    <xf numFmtId="0" fontId="4" fillId="4" borderId="1" xfId="0" applyFont="1" applyFill="1" applyBorder="1" applyAlignment="1">
      <alignment horizontal="center" vertical="center"/>
    </xf>
    <xf numFmtId="0" fontId="21" fillId="0" borderId="0" xfId="0" applyFont="1"/>
    <xf numFmtId="170" fontId="4" fillId="0" borderId="0" xfId="0" applyNumberFormat="1" applyFont="1" applyAlignment="1">
      <alignment wrapText="1"/>
    </xf>
    <xf numFmtId="0" fontId="4" fillId="0" borderId="0" xfId="0" applyFont="1" applyAlignment="1">
      <alignment horizontal="right"/>
    </xf>
    <xf numFmtId="14" fontId="4" fillId="0" borderId="0" xfId="0" applyNumberFormat="1" applyFont="1"/>
    <xf numFmtId="0" fontId="4" fillId="0" borderId="0" xfId="0" applyFont="1" applyAlignment="1">
      <alignment horizontal="left" vertical="center" wrapText="1"/>
    </xf>
    <xf numFmtId="0" fontId="4" fillId="0" borderId="0" xfId="0" applyFont="1" applyAlignment="1">
      <alignment horizontal="left" wrapText="1"/>
    </xf>
    <xf numFmtId="0" fontId="4" fillId="0" borderId="0" xfId="0" applyFont="1" applyAlignment="1">
      <alignment horizontal="center" wrapText="1"/>
    </xf>
    <xf numFmtId="170" fontId="4" fillId="0" borderId="0" xfId="0" applyNumberFormat="1" applyFont="1" applyAlignment="1">
      <alignment horizontal="center" wrapText="1"/>
    </xf>
    <xf numFmtId="0" fontId="22" fillId="0" borderId="0" xfId="0" applyFont="1" applyAlignment="1">
      <alignment horizontal="center" wrapText="1"/>
    </xf>
    <xf numFmtId="0" fontId="4" fillId="0" borderId="0" xfId="0" applyFont="1" applyAlignment="1">
      <alignment horizontal="left" vertical="center"/>
    </xf>
    <xf numFmtId="164" fontId="4" fillId="0" borderId="0" xfId="1" applyNumberFormat="1"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14" fontId="4" fillId="0" borderId="0" xfId="0" applyNumberFormat="1" applyFont="1" applyAlignment="1">
      <alignment horizontal="center" vertical="center"/>
    </xf>
    <xf numFmtId="164" fontId="4" fillId="0" borderId="0" xfId="1" applyNumberFormat="1" applyFont="1" applyAlignment="1">
      <alignment horizontal="center" vertical="center"/>
    </xf>
    <xf numFmtId="164" fontId="4" fillId="0" borderId="0" xfId="1" applyNumberFormat="1" applyFont="1" applyAlignment="1">
      <alignment horizontal="center" vertical="center" wrapText="1"/>
    </xf>
    <xf numFmtId="164" fontId="4" fillId="0" borderId="0" xfId="1" applyNumberFormat="1" applyFont="1" applyAlignment="1">
      <alignment horizontal="right" vertical="center"/>
    </xf>
    <xf numFmtId="164" fontId="4" fillId="0" borderId="0" xfId="1" applyNumberFormat="1" applyFont="1" applyAlignment="1">
      <alignment horizontal="left" vertical="center"/>
    </xf>
    <xf numFmtId="164" fontId="4" fillId="0" borderId="0" xfId="0" applyNumberFormat="1" applyFont="1" applyAlignment="1">
      <alignment horizontal="center" vertical="center"/>
    </xf>
    <xf numFmtId="164" fontId="4" fillId="0" borderId="0" xfId="0" applyNumberFormat="1" applyFont="1" applyAlignment="1">
      <alignment horizontal="right" vertical="center"/>
    </xf>
    <xf numFmtId="0" fontId="22" fillId="0" borderId="0" xfId="0" applyFont="1" applyAlignment="1">
      <alignment horizontal="right" vertical="center"/>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44" fontId="20" fillId="7" borderId="2" xfId="2" applyFont="1" applyFill="1" applyBorder="1" applyAlignment="1" applyProtection="1">
      <alignment horizontal="center" vertical="center"/>
      <protection hidden="1"/>
    </xf>
    <xf numFmtId="0" fontId="4" fillId="0" borderId="0" xfId="0" applyFont="1" applyAlignment="1">
      <alignment vertical="center" wrapText="1"/>
    </xf>
    <xf numFmtId="0" fontId="4" fillId="0" borderId="0" xfId="0" applyFont="1" applyAlignment="1">
      <alignment horizontal="right" vertical="center"/>
    </xf>
    <xf numFmtId="166" fontId="8" fillId="4" borderId="1" xfId="3" applyNumberFormat="1" applyFont="1" applyFill="1" applyBorder="1" applyAlignment="1" applyProtection="1">
      <alignment horizontal="center" vertical="center"/>
      <protection locked="0"/>
    </xf>
    <xf numFmtId="168" fontId="20" fillId="7" borderId="3" xfId="0" applyNumberFormat="1" applyFont="1" applyFill="1" applyBorder="1" applyAlignment="1" applyProtection="1">
      <alignment horizontal="center" vertical="center" wrapText="1"/>
      <protection hidden="1"/>
    </xf>
    <xf numFmtId="0" fontId="20" fillId="7" borderId="3" xfId="0" applyFont="1" applyFill="1" applyBorder="1" applyAlignment="1" applyProtection="1">
      <alignment horizontal="center" vertical="center" wrapText="1"/>
      <protection hidden="1"/>
    </xf>
    <xf numFmtId="169" fontId="20" fillId="7" borderId="3" xfId="0" applyNumberFormat="1" applyFont="1" applyFill="1" applyBorder="1" applyAlignment="1" applyProtection="1">
      <alignment horizontal="center" vertical="center" wrapText="1"/>
      <protection hidden="1"/>
    </xf>
    <xf numFmtId="0" fontId="20" fillId="7" borderId="4" xfId="0" applyFont="1" applyFill="1" applyBorder="1" applyAlignment="1" applyProtection="1">
      <alignment horizontal="center" vertical="center" wrapText="1"/>
      <protection hidden="1"/>
    </xf>
    <xf numFmtId="164" fontId="22" fillId="2" borderId="1" xfId="0" applyNumberFormat="1" applyFont="1" applyFill="1" applyBorder="1" applyAlignment="1" applyProtection="1">
      <alignment vertical="center"/>
      <protection hidden="1"/>
    </xf>
    <xf numFmtId="166" fontId="8" fillId="0" borderId="0" xfId="3" applyNumberFormat="1" applyFont="1" applyFill="1" applyBorder="1" applyAlignment="1" applyProtection="1">
      <alignment horizontal="center" vertical="center"/>
      <protection locked="0"/>
    </xf>
    <xf numFmtId="164" fontId="22" fillId="2" borderId="0" xfId="0" applyNumberFormat="1" applyFont="1" applyFill="1" applyAlignment="1" applyProtection="1">
      <alignment vertical="center"/>
      <protection hidden="1"/>
    </xf>
    <xf numFmtId="0" fontId="8" fillId="0" borderId="0" xfId="0" applyFont="1" applyAlignment="1">
      <alignment vertical="center"/>
    </xf>
    <xf numFmtId="44" fontId="8" fillId="4" borderId="1" xfId="2" applyFont="1" applyFill="1" applyBorder="1" applyAlignment="1" applyProtection="1">
      <alignment horizontal="center" vertical="center"/>
      <protection locked="0"/>
    </xf>
    <xf numFmtId="44" fontId="8" fillId="0" borderId="0" xfId="2" applyFont="1" applyFill="1" applyBorder="1" applyAlignment="1" applyProtection="1">
      <alignment horizontal="center" vertical="center"/>
      <protection locked="0"/>
    </xf>
    <xf numFmtId="165" fontId="8" fillId="4" borderId="1" xfId="2" applyNumberFormat="1" applyFont="1" applyFill="1" applyBorder="1" applyAlignment="1" applyProtection="1">
      <alignment horizontal="center" vertical="center"/>
      <protection locked="0"/>
    </xf>
    <xf numFmtId="44" fontId="4" fillId="0" borderId="0" xfId="2" applyFont="1" applyFill="1" applyBorder="1" applyAlignment="1" applyProtection="1">
      <alignment vertical="center"/>
      <protection locked="0"/>
    </xf>
    <xf numFmtId="165" fontId="8" fillId="0" borderId="0" xfId="2" applyNumberFormat="1" applyFont="1" applyFill="1" applyBorder="1" applyAlignment="1" applyProtection="1">
      <alignment horizontal="center" vertical="center"/>
      <protection locked="0"/>
    </xf>
    <xf numFmtId="166" fontId="8" fillId="8" borderId="4" xfId="2" applyNumberFormat="1" applyFont="1" applyFill="1" applyBorder="1" applyAlignment="1" applyProtection="1">
      <alignment horizontal="center" vertical="center"/>
      <protection locked="0"/>
    </xf>
    <xf numFmtId="164" fontId="21" fillId="0" borderId="0" xfId="1" applyNumberFormat="1" applyFont="1" applyAlignment="1" applyProtection="1">
      <alignment vertical="center"/>
      <protection hidden="1"/>
    </xf>
    <xf numFmtId="166" fontId="8" fillId="8" borderId="1" xfId="2" applyNumberFormat="1" applyFont="1" applyFill="1" applyBorder="1" applyAlignment="1" applyProtection="1">
      <alignment horizontal="center" vertical="center"/>
      <protection locked="0"/>
    </xf>
    <xf numFmtId="166" fontId="8" fillId="0" borderId="0" xfId="2" applyNumberFormat="1" applyFont="1" applyFill="1" applyBorder="1" applyAlignment="1" applyProtection="1">
      <alignment horizontal="center" vertical="center"/>
      <protection locked="0"/>
    </xf>
    <xf numFmtId="164" fontId="4" fillId="0" borderId="0" xfId="1" applyNumberFormat="1" applyFont="1" applyAlignment="1" applyProtection="1">
      <alignment vertical="center"/>
      <protection hidden="1"/>
    </xf>
    <xf numFmtId="0" fontId="4" fillId="6" borderId="6" xfId="0" applyFont="1" applyFill="1" applyBorder="1" applyAlignment="1">
      <alignment horizontal="right" vertical="center"/>
    </xf>
    <xf numFmtId="0" fontId="27" fillId="5" borderId="7" xfId="0" applyFont="1" applyFill="1" applyBorder="1" applyAlignment="1">
      <alignment horizontal="right" vertical="center"/>
    </xf>
    <xf numFmtId="0" fontId="27" fillId="5" borderId="7" xfId="0" applyFont="1" applyFill="1" applyBorder="1" applyAlignment="1">
      <alignment horizontal="center" vertical="center" wrapText="1"/>
    </xf>
    <xf numFmtId="0" fontId="27" fillId="5" borderId="7" xfId="0" applyFont="1" applyFill="1" applyBorder="1" applyAlignment="1">
      <alignment horizontal="center" vertical="center"/>
    </xf>
    <xf numFmtId="164" fontId="27" fillId="5" borderId="8" xfId="1" applyNumberFormat="1" applyFont="1" applyFill="1" applyBorder="1" applyAlignment="1">
      <alignment horizontal="center" vertical="center"/>
    </xf>
    <xf numFmtId="0" fontId="4" fillId="3" borderId="9" xfId="0" applyFont="1" applyFill="1" applyBorder="1" applyAlignment="1">
      <alignment vertical="center"/>
    </xf>
    <xf numFmtId="0" fontId="4" fillId="3" borderId="5" xfId="0" applyFont="1" applyFill="1" applyBorder="1" applyAlignment="1">
      <alignment horizontal="right" vertical="center"/>
    </xf>
    <xf numFmtId="44" fontId="4" fillId="3" borderId="5" xfId="2" applyFont="1" applyFill="1" applyBorder="1" applyAlignment="1">
      <alignment horizontal="center" vertical="center"/>
    </xf>
    <xf numFmtId="44" fontId="22" fillId="3" borderId="10" xfId="2" applyFont="1" applyFill="1" applyBorder="1" applyAlignment="1">
      <alignment vertical="center"/>
    </xf>
    <xf numFmtId="0" fontId="4" fillId="0" borderId="9" xfId="0" applyFont="1" applyBorder="1" applyAlignment="1">
      <alignment vertical="center"/>
    </xf>
    <xf numFmtId="0" fontId="4" fillId="0" borderId="5" xfId="0" applyFont="1" applyBorder="1" applyAlignment="1">
      <alignment horizontal="right" vertical="center"/>
    </xf>
    <xf numFmtId="44" fontId="4" fillId="0" borderId="5" xfId="2" applyFont="1" applyFill="1" applyBorder="1" applyAlignment="1">
      <alignment horizontal="center" vertical="center"/>
    </xf>
    <xf numFmtId="44" fontId="22" fillId="0" borderId="10" xfId="2" applyFont="1" applyFill="1" applyBorder="1" applyAlignment="1">
      <alignment vertical="center"/>
    </xf>
    <xf numFmtId="0" fontId="21" fillId="3" borderId="9" xfId="0" applyFont="1" applyFill="1" applyBorder="1" applyAlignment="1">
      <alignment vertical="center"/>
    </xf>
    <xf numFmtId="0" fontId="21" fillId="0" borderId="9" xfId="0" applyFont="1" applyBorder="1" applyAlignment="1">
      <alignment vertical="center"/>
    </xf>
    <xf numFmtId="0" fontId="21" fillId="0" borderId="0" xfId="0" applyFont="1" applyAlignment="1">
      <alignment vertical="center"/>
    </xf>
    <xf numFmtId="44" fontId="4" fillId="9" borderId="5" xfId="2" applyFont="1" applyFill="1" applyBorder="1" applyAlignment="1">
      <alignment horizontal="center" vertical="center"/>
    </xf>
    <xf numFmtId="0" fontId="8" fillId="0" borderId="11" xfId="0" applyFont="1" applyBorder="1" applyAlignment="1">
      <alignment vertical="center"/>
    </xf>
    <xf numFmtId="0" fontId="8" fillId="0" borderId="12" xfId="0" applyFont="1" applyBorder="1" applyAlignment="1">
      <alignment horizontal="right" vertical="center"/>
    </xf>
    <xf numFmtId="44" fontId="4" fillId="9" borderId="12" xfId="0" applyNumberFormat="1" applyFont="1" applyFill="1" applyBorder="1" applyAlignment="1">
      <alignment horizontal="center" vertical="center"/>
    </xf>
    <xf numFmtId="44" fontId="22" fillId="0" borderId="13" xfId="2" applyFont="1" applyFill="1" applyBorder="1" applyAlignment="1">
      <alignment vertical="center"/>
    </xf>
    <xf numFmtId="167" fontId="4" fillId="0" borderId="0" xfId="0" applyNumberFormat="1" applyFont="1" applyAlignment="1" applyProtection="1">
      <alignment vertical="center"/>
      <protection hidden="1"/>
    </xf>
    <xf numFmtId="44" fontId="4" fillId="0" borderId="0" xfId="0" applyNumberFormat="1" applyFont="1" applyAlignment="1" applyProtection="1">
      <alignment horizontal="center" vertical="center"/>
      <protection hidden="1"/>
    </xf>
    <xf numFmtId="0" fontId="8" fillId="0" borderId="0" xfId="0" applyFont="1"/>
    <xf numFmtId="167" fontId="4" fillId="0" borderId="0" xfId="0" applyNumberFormat="1" applyFont="1" applyProtection="1">
      <protection hidden="1"/>
    </xf>
    <xf numFmtId="44" fontId="4" fillId="0" borderId="0" xfId="0" applyNumberFormat="1" applyFont="1" applyAlignment="1" applyProtection="1">
      <alignment horizontal="center"/>
      <protection hidden="1"/>
    </xf>
    <xf numFmtId="164" fontId="4" fillId="0" borderId="0" xfId="1" applyNumberFormat="1" applyFont="1"/>
    <xf numFmtId="164" fontId="4" fillId="0" borderId="0" xfId="1" applyNumberFormat="1" applyFont="1" applyAlignment="1">
      <alignment horizontal="center"/>
    </xf>
    <xf numFmtId="164" fontId="4" fillId="0" borderId="0" xfId="0" applyNumberFormat="1" applyFont="1" applyAlignment="1">
      <alignment horizontal="center"/>
    </xf>
    <xf numFmtId="0" fontId="22" fillId="0" borderId="0" xfId="0" applyFont="1" applyAlignment="1">
      <alignment horizontal="right"/>
    </xf>
    <xf numFmtId="0" fontId="22" fillId="0" borderId="1" xfId="0" applyFont="1" applyBorder="1" applyAlignment="1">
      <alignment horizontal="center" wrapText="1"/>
    </xf>
    <xf numFmtId="0" fontId="22" fillId="0" borderId="1" xfId="0" applyFont="1" applyBorder="1" applyAlignment="1">
      <alignment horizontal="center"/>
    </xf>
    <xf numFmtId="0" fontId="4" fillId="0" borderId="0" xfId="0" applyFont="1" applyAlignment="1">
      <alignment wrapText="1"/>
    </xf>
    <xf numFmtId="166" fontId="8" fillId="4" borderId="1" xfId="3" applyNumberFormat="1" applyFont="1" applyFill="1" applyBorder="1" applyAlignment="1" applyProtection="1">
      <alignment horizontal="center"/>
      <protection locked="0"/>
    </xf>
    <xf numFmtId="44" fontId="8" fillId="4" borderId="1" xfId="2" applyFont="1" applyFill="1" applyBorder="1" applyAlignment="1" applyProtection="1">
      <alignment horizontal="center"/>
      <protection locked="0"/>
    </xf>
    <xf numFmtId="44" fontId="8" fillId="0" borderId="0" xfId="2" applyFont="1" applyFill="1" applyBorder="1" applyAlignment="1" applyProtection="1">
      <alignment horizontal="center"/>
      <protection locked="0"/>
    </xf>
    <xf numFmtId="165" fontId="8" fillId="4" borderId="1" xfId="2" applyNumberFormat="1" applyFont="1" applyFill="1" applyBorder="1" applyAlignment="1" applyProtection="1">
      <alignment horizontal="center"/>
      <protection locked="0"/>
    </xf>
    <xf numFmtId="44" fontId="4" fillId="0" borderId="0" xfId="2" applyFont="1" applyFill="1" applyBorder="1" applyProtection="1">
      <protection locked="0"/>
    </xf>
    <xf numFmtId="165" fontId="8" fillId="0" borderId="0" xfId="2" applyNumberFormat="1" applyFont="1" applyFill="1" applyBorder="1" applyAlignment="1" applyProtection="1">
      <alignment horizontal="center"/>
      <protection locked="0"/>
    </xf>
    <xf numFmtId="166" fontId="8" fillId="8" borderId="4" xfId="2" applyNumberFormat="1" applyFont="1" applyFill="1" applyBorder="1" applyAlignment="1" applyProtection="1">
      <alignment horizontal="center"/>
      <protection locked="0"/>
    </xf>
    <xf numFmtId="164" fontId="21" fillId="0" borderId="0" xfId="1" applyNumberFormat="1" applyFont="1" applyProtection="1">
      <protection hidden="1"/>
    </xf>
    <xf numFmtId="166" fontId="8" fillId="8" borderId="1" xfId="2" applyNumberFormat="1" applyFont="1" applyFill="1" applyBorder="1" applyAlignment="1" applyProtection="1">
      <alignment horizontal="center"/>
      <protection locked="0"/>
    </xf>
    <xf numFmtId="166" fontId="8" fillId="0" borderId="0" xfId="2" applyNumberFormat="1" applyFont="1" applyFill="1" applyBorder="1" applyAlignment="1" applyProtection="1">
      <alignment horizontal="center"/>
      <protection locked="0"/>
    </xf>
    <xf numFmtId="164" fontId="4" fillId="0" borderId="0" xfId="1" applyNumberFormat="1" applyFont="1" applyProtection="1">
      <protection hidden="1"/>
    </xf>
    <xf numFmtId="0" fontId="4" fillId="6" borderId="6" xfId="0" applyFont="1" applyFill="1" applyBorder="1" applyAlignment="1">
      <alignment horizontal="right"/>
    </xf>
    <xf numFmtId="0" fontId="4" fillId="3" borderId="9" xfId="0" applyFont="1" applyFill="1" applyBorder="1"/>
    <xf numFmtId="0" fontId="4" fillId="0" borderId="9" xfId="0" applyFont="1" applyBorder="1"/>
    <xf numFmtId="0" fontId="21" fillId="3" borderId="9" xfId="0" applyFont="1" applyFill="1" applyBorder="1"/>
    <xf numFmtId="0" fontId="21" fillId="0" borderId="9" xfId="0" applyFont="1" applyBorder="1"/>
    <xf numFmtId="0" fontId="8" fillId="0" borderId="11" xfId="0" applyFont="1" applyBorder="1"/>
    <xf numFmtId="0" fontId="4" fillId="0" borderId="0" xfId="0" applyFont="1" applyAlignment="1">
      <alignment horizontal="left"/>
    </xf>
    <xf numFmtId="0" fontId="4" fillId="0" borderId="1" xfId="0" applyFont="1" applyBorder="1" applyAlignment="1">
      <alignment wrapText="1"/>
    </xf>
    <xf numFmtId="0" fontId="4" fillId="0" borderId="1" xfId="0" applyFont="1" applyBorder="1" applyAlignment="1">
      <alignment vertical="top" wrapText="1"/>
    </xf>
    <xf numFmtId="0" fontId="3" fillId="0" borderId="0" xfId="0" applyFont="1" applyAlignment="1">
      <alignment vertical="center"/>
    </xf>
    <xf numFmtId="0" fontId="3" fillId="0" borderId="0" xfId="0" applyFont="1" applyAlignment="1">
      <alignment horizontal="center" vertical="center"/>
    </xf>
    <xf numFmtId="164" fontId="3" fillId="0" borderId="0" xfId="0" applyNumberFormat="1" applyFont="1" applyAlignment="1">
      <alignment horizontal="right" vertical="center"/>
    </xf>
    <xf numFmtId="164" fontId="3" fillId="0" borderId="0" xfId="0" applyNumberFormat="1" applyFont="1" applyAlignment="1">
      <alignment horizontal="center" vertical="center"/>
    </xf>
    <xf numFmtId="0" fontId="2" fillId="0" borderId="0" xfId="0" applyFont="1" applyAlignment="1">
      <alignment vertical="center"/>
    </xf>
    <xf numFmtId="44" fontId="17" fillId="6" borderId="16" xfId="2" applyFont="1" applyFill="1" applyBorder="1" applyAlignment="1" applyProtection="1">
      <alignment horizontal="center" vertical="center"/>
      <protection hidden="1"/>
    </xf>
    <xf numFmtId="44" fontId="17" fillId="6" borderId="17" xfId="2" applyFont="1" applyFill="1" applyBorder="1" applyAlignment="1" applyProtection="1">
      <alignment horizontal="center" vertical="center"/>
      <protection hidden="1"/>
    </xf>
    <xf numFmtId="0" fontId="4" fillId="0" borderId="0" xfId="0" applyFont="1" applyAlignment="1">
      <alignment horizontal="right" vertical="center"/>
    </xf>
    <xf numFmtId="0" fontId="4" fillId="0" borderId="0" xfId="0" applyFont="1" applyAlignment="1">
      <alignment horizontal="right"/>
    </xf>
  </cellXfs>
  <cellStyles count="4">
    <cellStyle name="Komma" xfId="1" builtinId="3"/>
    <cellStyle name="Procent" xfId="3" builtinId="5"/>
    <cellStyle name="Standaard" xfId="0" builtinId="0"/>
    <cellStyle name="Valuta" xfId="2" builtinId="4"/>
  </cellStyles>
  <dxfs count="174">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bottom"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sz val="1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sz val="1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sz val="1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sz val="1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sz val="1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sz val="1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sz val="1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strike val="0"/>
        <outline val="0"/>
        <shadow val="0"/>
        <u val="none"/>
        <sz val="11"/>
        <name val="Calibri"/>
        <family val="2"/>
        <scheme val="minor"/>
      </font>
    </dxf>
    <dxf>
      <font>
        <b val="0"/>
        <i val="0"/>
        <strike val="0"/>
        <condense val="0"/>
        <extend val="0"/>
        <outline val="0"/>
        <shadow val="0"/>
        <u val="none"/>
        <vertAlign val="baseline"/>
        <sz val="11"/>
        <color theme="1"/>
        <name val="Calibri"/>
        <family val="2"/>
        <scheme val="minor"/>
      </font>
    </dxf>
    <dxf>
      <font>
        <strike val="0"/>
        <outline val="0"/>
        <shadow val="0"/>
        <u val="none"/>
        <sz val="1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164" formatCode="_ * #,##0_ ;_ * \-#,##0_ ;_ * &quot;-&quot;??_ ;_ @_ "/>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164" formatCode="_ * #,##0_ ;_ * \-#,##0_ ;_ * &quot;-&quot;??_ ;_ @_ "/>
      <alignment horizontal="left" vertical="center" textRotation="0" wrapText="0" indent="0" justifyLastLine="0" shrinkToFit="0" readingOrder="0"/>
    </dxf>
    <dxf>
      <font>
        <strike val="0"/>
        <outline val="0"/>
        <shadow val="0"/>
        <u val="none"/>
        <sz val="11"/>
        <name val="Calibri"/>
        <family val="2"/>
        <scheme val="minor"/>
      </font>
    </dxf>
    <dxf>
      <font>
        <strike val="0"/>
        <outline val="0"/>
        <shadow val="0"/>
        <u val="none"/>
        <sz val="11"/>
        <name val="Calibri"/>
        <family val="2"/>
        <scheme val="minor"/>
      </font>
    </dxf>
    <dxf>
      <font>
        <strike val="0"/>
        <outline val="0"/>
        <shadow val="0"/>
        <u val="none"/>
        <vertAlign val="baseline"/>
        <sz val="11"/>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sz val="1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sz val="1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sz val="1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sz val="1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sz val="1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sz val="1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sz val="1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vertical="center" textRotation="0" indent="0" justifyLastLine="0" shrinkToFit="0" readingOrder="0"/>
    </dxf>
    <dxf>
      <font>
        <strike val="0"/>
        <outline val="0"/>
        <shadow val="0"/>
        <u val="none"/>
        <sz val="11"/>
        <name val="Calibri"/>
        <family val="2"/>
        <scheme val="minor"/>
      </font>
      <alignment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vertical="center" textRotation="0" indent="0" justifyLastLine="0" shrinkToFit="0" readingOrder="0"/>
    </dxf>
    <dxf>
      <font>
        <strike val="0"/>
        <outline val="0"/>
        <shadow val="0"/>
        <u val="none"/>
        <sz val="11"/>
        <name val="Calibri"/>
        <family val="2"/>
        <scheme val="minor"/>
      </font>
      <alignment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left" vertical="center" textRotation="0" wrapText="0" indent="0" justifyLastLine="0" shrinkToFit="0" readingOrder="0"/>
    </dxf>
    <dxf>
      <font>
        <strike val="0"/>
        <outline val="0"/>
        <shadow val="0"/>
        <u val="none"/>
        <sz val="11"/>
        <name val="Calibri"/>
        <family val="2"/>
        <scheme val="minor"/>
      </font>
    </dxf>
    <dxf>
      <font>
        <strike val="0"/>
        <outline val="0"/>
        <shadow val="0"/>
        <u val="none"/>
        <sz val="11"/>
        <name val="Calibri"/>
        <family val="2"/>
        <scheme val="minor"/>
      </font>
    </dxf>
    <dxf>
      <font>
        <strike val="0"/>
        <outline val="0"/>
        <shadow val="0"/>
        <u val="none"/>
        <vertAlign val="baseline"/>
        <sz val="11"/>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color theme="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color theme="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vertical="center" textRotation="0" indent="0" justifyLastLine="0" shrinkToFit="0" readingOrder="0"/>
    </dxf>
    <dxf>
      <font>
        <strike val="0"/>
        <outline val="0"/>
        <shadow val="0"/>
        <u val="none"/>
        <vertAlign val="baseline"/>
        <sz val="11"/>
        <color theme="1"/>
        <name val="Calibri"/>
        <family val="2"/>
        <scheme val="minor"/>
      </font>
      <alignment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vertical="center" textRotation="0" indent="0" justifyLastLine="0" shrinkToFit="0" readingOrder="0"/>
    </dxf>
    <dxf>
      <font>
        <strike val="0"/>
        <outline val="0"/>
        <shadow val="0"/>
        <u val="none"/>
        <vertAlign val="baseline"/>
        <sz val="11"/>
        <color theme="1"/>
        <name val="Calibri"/>
        <family val="2"/>
        <scheme val="minor"/>
      </font>
      <alignment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left" vertical="center" textRotation="0" wrapText="0" indent="0" justifyLastLine="0" shrinkToFit="0" readingOrder="0"/>
    </dxf>
    <dxf>
      <font>
        <strike val="0"/>
        <outline val="0"/>
        <shadow val="0"/>
        <u val="none"/>
        <sz val="1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vertAlign val="baseline"/>
        <sz val="1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vertAlign val="baseline"/>
        <sz val="1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vertAlign val="baseline"/>
        <sz val="1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vertAlign val="baseline"/>
        <sz val="1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dxf>
    <dxf>
      <font>
        <strike val="0"/>
        <outline val="0"/>
        <shadow val="0"/>
        <u val="none"/>
        <vertAlign val="baseline"/>
        <sz val="11"/>
        <name val="Calibri"/>
        <family val="2"/>
        <scheme val="minor"/>
      </font>
      <alignment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dxf>
    <dxf>
      <font>
        <strike val="0"/>
        <outline val="0"/>
        <shadow val="0"/>
        <u val="none"/>
        <vertAlign val="baseline"/>
        <sz val="11"/>
        <name val="Calibri"/>
        <family val="2"/>
        <scheme val="minor"/>
      </font>
      <alignment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left" vertical="center" textRotation="0" wrapText="0" indent="0" justifyLastLine="0" shrinkToFit="0" readingOrder="0"/>
    </dxf>
    <dxf>
      <font>
        <strike val="0"/>
        <outline val="0"/>
        <shadow val="0"/>
        <u val="none"/>
        <sz val="11"/>
        <name val="Calibri"/>
        <family val="2"/>
        <scheme val="minor"/>
      </font>
    </dxf>
    <dxf>
      <font>
        <strike val="0"/>
        <outline val="0"/>
        <shadow val="0"/>
        <u val="none"/>
        <sz val="11"/>
        <name val="Calibri"/>
        <family val="2"/>
        <scheme val="minor"/>
      </font>
    </dxf>
    <dxf>
      <font>
        <strike val="0"/>
        <outline val="0"/>
        <shadow val="0"/>
        <u val="none"/>
        <vertAlign val="baseline"/>
        <sz val="11"/>
        <color theme="1"/>
        <name val="Calibri"/>
        <family val="2"/>
        <scheme val="minor"/>
      </font>
      <fill>
        <patternFill patternType="none">
          <fgColor indexed="64"/>
          <bgColor auto="1"/>
        </patternFill>
      </fill>
      <alignment horizontal="left" vertical="center" textRotation="0" wrapText="1" indent="0" justifyLastLine="0" shrinkToFit="0" readingOrder="0"/>
    </dxf>
  </dxfs>
  <tableStyles count="0" defaultTableStyle="TableStyleMedium2" defaultPivotStyle="PivotStyleLight16"/>
  <colors>
    <mruColors>
      <color rgb="FFFFCCFF"/>
      <color rgb="FFFFEFFF"/>
      <color rgb="FF00FF99"/>
      <color rgb="FFCE1884"/>
      <color rgb="FFCDFFEB"/>
      <color rgb="FFCDFFEC"/>
      <color rgb="FFA7FFDB"/>
      <color rgb="FFEFF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501831-FC0E-48D9-979B-EBA9A87B5908}" name="Consent" displayName="Consent" ref="A2:T43" totalsRowCount="1" headerRowDxfId="173" dataDxfId="172" totalsRowDxfId="171">
  <autoFilter ref="A2:T42" xr:uid="{CADFCF0A-E35B-45F3-B540-F38A4A7BEFF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23" xr3:uid="{1F14B62E-B6C3-45D3-8D5E-F0FC43CF901A}" name="School/ Locatie" dataDxfId="170" totalsRowDxfId="169" dataCellStyle="Komma"/>
    <tableColumn id="3" xr3:uid="{ACBDCDE2-B427-4672-AD6B-BA3973BFCBA2}" name="Adres" dataDxfId="168" totalsRowDxfId="167" dataCellStyle="Komma"/>
    <tableColumn id="5" xr3:uid="{DA3E7444-5F60-4F02-82DE-934A5CBC2D96}" name="Postcode" dataDxfId="166" totalsRowDxfId="165"/>
    <tableColumn id="6" xr3:uid="{625FF3B3-5EA3-4758-9668-4F079A0F2C14}" name="Plaats" dataDxfId="164" totalsRowDxfId="163"/>
    <tableColumn id="10" xr3:uid="{04727A6C-FCA0-438E-AF4E-2ACAADBF3B6A}" name="Model 1_x000a_(eis M1 t/m M27)" totalsRowFunction="sum" dataDxfId="162" totalsRowDxfId="161"/>
    <tableColumn id="14" xr3:uid="{BECC558B-3A02-4B2C-9F26-125C30EA087A}" name="Model 2_x000a_(eis M1 t/m M27)" totalsRowFunction="sum" dataDxfId="160" totalsRowDxfId="159"/>
    <tableColumn id="11" xr3:uid="{A7A382A9-D7D8-4B7F-9C82-4B7CE941AB69}" name="Datum in gebruikname" dataDxfId="158" totalsRowDxfId="157"/>
    <tableColumn id="8" xr3:uid="{0340CAB5-FB04-4E6C-9414-97DF5857A5DE}" name="Zw/w p/j" totalsRowFunction="sum" dataDxfId="156" totalsRowDxfId="155" dataCellStyle="Komma"/>
    <tableColumn id="7" xr3:uid="{E1CFDB08-1088-4470-8F44-BF837186B8DE}" name="Kleur p/j" totalsRowFunction="sum" dataDxfId="154" totalsRowDxfId="153" dataCellStyle="Komma"/>
    <tableColumn id="12" xr3:uid="{9216B3BD-27C0-49CC-91CF-7D28552ED699}" name="Zw/w p/m" totalsRowFunction="sum" dataDxfId="152" totalsRowDxfId="151" dataCellStyle="Komma">
      <calculatedColumnFormula>Consent[[#This Row],[Zw/w p/j]]/12</calculatedColumnFormula>
    </tableColumn>
    <tableColumn id="13" xr3:uid="{D4A116E2-14C4-4703-B53D-5E4E3F2DFAC8}" name="kleur p/m" totalsRowFunction="sum" dataDxfId="150" totalsRowDxfId="149" dataCellStyle="Komma">
      <calculatedColumnFormula>Consent[[#This Row],[Kleur p/j]]/12</calculatedColumnFormula>
    </tableColumn>
    <tableColumn id="9" xr3:uid="{C0CBDF7B-46B3-437F-A22F-DFAEF488CA67}" name="Aantal maanden" totalsRowLabel=" 1.632 " dataDxfId="148" totalsRowDxfId="147" dataCellStyle="Komma">
      <calculatedColumnFormula>INT(_xlfn.DAYS($O$1,Consent[[#This Row],[Datum in gebruikname]])/30.41)</calculatedColumnFormula>
    </tableColumn>
    <tableColumn id="15" xr3:uid="{824BA721-DD73-4063-B594-2FFB51E088EF}" name="# zw/w afdrukken M1 tot 1-6-2028" totalsRowFunction="sum" dataDxfId="146" totalsRowDxfId="145" dataCellStyle="Komma">
      <calculatedColumnFormula>IF(Consent[[#This Row],[Model 1
(eis M1 t/m M27)]]="","",Consent[[#This Row],[Zw/w p/m]]*Consent[[#This Row],[Aantal maanden]])</calculatedColumnFormula>
    </tableColumn>
    <tableColumn id="16" xr3:uid="{CADE8F89-1940-4F71-9C42-BCC1A769E490}" name="# kleur afdrukken M1 tot 1-6-2028" totalsRowFunction="sum" dataDxfId="144" totalsRowDxfId="143" dataCellStyle="Komma">
      <calculatedColumnFormula>IF(Consent[[#This Row],[Model 1
(eis M1 t/m M27)]]="","",Consent[[#This Row],[kleur p/m]]*Consent[[#This Row],[Aantal maanden]])</calculatedColumnFormula>
    </tableColumn>
    <tableColumn id="17" xr3:uid="{7C0AE6C0-2647-4491-8709-73C5D3CE0F47}" name="# zw/w afdrukken M2 tot 1-6-20282" totalsRowFunction="sum" dataDxfId="142" totalsRowDxfId="141" dataCellStyle="Komma">
      <calculatedColumnFormula>IF(Consent[[#This Row],[Model 2
(eis M1 t/m M27)]]="","",Consent[[#This Row],[Zw/w p/m]]*Consent[[#This Row],[Aantal maanden]])</calculatedColumnFormula>
    </tableColumn>
    <tableColumn id="18" xr3:uid="{2ADEA285-604B-40A5-A99C-2A8E0E7C5A54}" name="# kleur afdrukken M2 tot 1-6-20283" totalsRowFunction="sum" dataDxfId="140" totalsRowDxfId="139" dataCellStyle="Komma">
      <calculatedColumnFormula>IF(Consent[[#This Row],[Model 2
(eis M1 t/m M27)]]="","",Consent[[#This Row],[kleur p/m]]*Consent[[#This Row],[Aantal maanden]])</calculatedColumnFormula>
    </tableColumn>
    <tableColumn id="21" xr3:uid="{6EF3A3D9-43E8-4657-876C-976FB83E02FD}" name="Aantal zw/w afdrukken per optiejaar M1" totalsRowFunction="sum" dataDxfId="138" totalsRowDxfId="137" dataCellStyle="Komma">
      <calculatedColumnFormula>IF(Consent[[#This Row],[Model 1
(eis M1 t/m M27)]]="","",Consent[[#This Row],['# zw/w afdrukken M1 tot 1-6-2028]]/4)</calculatedColumnFormula>
    </tableColumn>
    <tableColumn id="22" xr3:uid="{D4E65E12-2523-486E-8C91-DFECDA45B9BD}" name="Aantal kleur afdrukken per optiejaar M1" totalsRowFunction="sum" dataDxfId="136" totalsRowDxfId="135" dataCellStyle="Komma">
      <calculatedColumnFormula>IF(Consent[[#This Row],[Model 1
(eis M1 t/m M27)]]="","",Consent[[#This Row],['# kleur afdrukken M1 tot 1-6-2028]]/4)</calculatedColumnFormula>
    </tableColumn>
    <tableColumn id="25" xr3:uid="{E40EDA3E-D19B-45A8-AFC7-BBFD1A735148}" name="Aantal zw/w afdrukken per optiejaar M2" totalsRowFunction="sum" dataDxfId="134" totalsRowDxfId="133" dataCellStyle="Komma">
      <calculatedColumnFormula>IF(Consent[[#This Row],[Model 2
(eis M1 t/m M27)]]="","",Consent[[#This Row],['# zw/w afdrukken M2 tot 1-6-20282]]/4)</calculatedColumnFormula>
    </tableColumn>
    <tableColumn id="26" xr3:uid="{011E1BDF-BDD0-4097-AA37-BC4FDF25BB8A}" name="Aantal kleur afdrukken per optiejaar M2" totalsRowFunction="sum" dataDxfId="132" totalsRowDxfId="131" dataCellStyle="Komma">
      <calculatedColumnFormula>IF(Consent[[#This Row],[Model 2
(eis M1 t/m M27)]]="","",Consent[[#This Row],['# kleur afdrukken M2 tot 1-6-20283]]/4)</calculatedColumnFormula>
    </tableColumn>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96008A7-44EF-4BC2-98DD-8D0DF1382145}" name="KOE" displayName="KOE" ref="A2:T31" totalsRowCount="1" headerRowDxfId="130" dataDxfId="129" totalsRowDxfId="128">
  <autoFilter ref="A2:T30" xr:uid="{CADFCF0A-E35B-45F3-B540-F38A4A7BEFF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23" xr3:uid="{CFE7B3CA-A4DB-41D6-8008-FA957B4C09AC}" name="School/ Locatie" dataDxfId="127" totalsRowDxfId="126" dataCellStyle="Komma"/>
    <tableColumn id="3" xr3:uid="{13354C20-C6C7-4A6F-9CB0-6D735BB38DA2}" name="Adres" dataDxfId="125" totalsRowDxfId="124" dataCellStyle="Komma"/>
    <tableColumn id="5" xr3:uid="{41727450-9FB6-41CA-AB90-F127D9D0EE84}" name="Postcode" dataDxfId="123" totalsRowDxfId="122"/>
    <tableColumn id="6" xr3:uid="{EEE31EC2-7B49-4A11-B271-BD39CD53EDC8}" name="Plaats" dataDxfId="121" totalsRowDxfId="120"/>
    <tableColumn id="10" xr3:uid="{8B728D03-6800-458A-9534-A9A7FE2B5C5C}" name="Model 1_x000a_(eis M1 t/m M27)" totalsRowFunction="sum" dataDxfId="119" totalsRowDxfId="118"/>
    <tableColumn id="14" xr3:uid="{EFC8F131-4CB1-42A7-A529-49CD8102235E}" name="Model 2_x000a_(eis M1 t/m M27)" totalsRowFunction="sum" dataDxfId="117" totalsRowDxfId="116"/>
    <tableColumn id="11" xr3:uid="{4F5EE7E3-15CE-4296-A6F2-1EF504C05EC9}" name="Datum in gebruikname" dataDxfId="115" totalsRowDxfId="114"/>
    <tableColumn id="8" xr3:uid="{2489581F-0788-4587-8E9D-FDE3E0EB065D}" name="Zw/w p/j" totalsRowFunction="sum" dataDxfId="113" totalsRowDxfId="112" dataCellStyle="Komma"/>
    <tableColumn id="7" xr3:uid="{6B806D64-012A-4BEE-AF55-0412E00439EB}" name="Kleur p/j" totalsRowFunction="sum" dataDxfId="111" totalsRowDxfId="110" dataCellStyle="Komma"/>
    <tableColumn id="12" xr3:uid="{88B4D6B4-6C68-4F8B-BF37-F40A322AE8DA}" name="Zw/w p/m" totalsRowFunction="sum" dataDxfId="109" totalsRowDxfId="108" dataCellStyle="Komma">
      <calculatedColumnFormula>KOE[[#This Row],[Zw/w p/j]]/12</calculatedColumnFormula>
    </tableColumn>
    <tableColumn id="13" xr3:uid="{77AEFFB4-967F-4AB4-A6B1-DC7EB22F36CF}" name="kleur p/m" totalsRowFunction="sum" dataDxfId="107" totalsRowDxfId="106" dataCellStyle="Komma">
      <calculatedColumnFormula>KOE[[#This Row],[Kleur p/j]]/12</calculatedColumnFormula>
    </tableColumn>
    <tableColumn id="9" xr3:uid="{0AEAA040-9C24-40C6-BDEC-E4D2903A8B9F}" name="Aantal maanden" totalsRowLabel=" 1.632 " dataDxfId="105" totalsRowDxfId="104" dataCellStyle="Komma">
      <calculatedColumnFormula>INT(_xlfn.DAYS($O$1,KOE[[#This Row],[Datum in gebruikname]])/30.41)</calculatedColumnFormula>
    </tableColumn>
    <tableColumn id="15" xr3:uid="{0D5BD917-89F2-4AAE-8FB9-F12B980E2D7A}" name="# zw/w afdrukken M1 tot 1-6-2028" totalsRowFunction="sum" dataDxfId="103" totalsRowDxfId="102" dataCellStyle="Komma">
      <calculatedColumnFormula>IF(KOE[[#This Row],[Model 1
(eis M1 t/m M27)]]="","",KOE[[#This Row],[Zw/w p/m]]*KOE[[#This Row],[Aantal maanden]])</calculatedColumnFormula>
    </tableColumn>
    <tableColumn id="16" xr3:uid="{FF5241C0-8C94-4F26-B2A1-71FB3BC6E201}" name="# kleur afdrukken M1 tot 1-6-2028" totalsRowFunction="sum" dataDxfId="101" totalsRowDxfId="100" dataCellStyle="Komma">
      <calculatedColumnFormula>IF(KOE[[#This Row],[Model 1
(eis M1 t/m M27)]]="","",KOE[[#This Row],[kleur p/m]]*KOE[[#This Row],[Aantal maanden]])</calculatedColumnFormula>
    </tableColumn>
    <tableColumn id="17" xr3:uid="{74AF6E5F-90BD-4EE6-BE81-8B73F0F169AF}" name="# zw/w afdrukken M2 tot 1-6-20282" totalsRowFunction="sum" dataDxfId="99" totalsRowDxfId="98" dataCellStyle="Komma">
      <calculatedColumnFormula>IF(KOE[[#This Row],[Model 2
(eis M1 t/m M27)]]="","",KOE[[#This Row],[Zw/w p/m]]*KOE[[#This Row],[Aantal maanden]])</calculatedColumnFormula>
    </tableColumn>
    <tableColumn id="18" xr3:uid="{D60D1503-5433-441D-951A-98A3F7958A32}" name="# kleur afdrukken M2 tot 1-6-20283" totalsRowFunction="sum" dataDxfId="97" totalsRowDxfId="96" dataCellStyle="Komma">
      <calculatedColumnFormula>IF(KOE[[#This Row],[Model 2
(eis M1 t/m M27)]]="","",KOE[[#This Row],[kleur p/m]]*KOE[[#This Row],[Aantal maanden]])</calculatedColumnFormula>
    </tableColumn>
    <tableColumn id="21" xr3:uid="{B8435A14-C2A7-4E66-9795-8A0696B125D3}" name="Aantal zw/w afdrukken per optiejaar M1" totalsRowFunction="sum" dataDxfId="95" totalsRowDxfId="94" dataCellStyle="Komma">
      <calculatedColumnFormula>IF(KOE[[#This Row],[Model 1
(eis M1 t/m M27)]]="","",KOE[[#This Row],['# zw/w afdrukken M1 tot 1-6-2028]]/4)</calculatedColumnFormula>
    </tableColumn>
    <tableColumn id="22" xr3:uid="{A1A28695-50C4-4495-BAF2-0185C40B4251}" name="Aantal kleur afdrukken per optiejaar M1" totalsRowFunction="sum" dataDxfId="93" totalsRowDxfId="92" dataCellStyle="Komma">
      <calculatedColumnFormula>IF(KOE[[#This Row],[Model 1
(eis M1 t/m M27)]]="","",KOE[[#This Row],['# kleur afdrukken M1 tot 1-6-2028]]/4)</calculatedColumnFormula>
    </tableColumn>
    <tableColumn id="25" xr3:uid="{DA079E2F-D1F5-4195-B3A5-79F32869D039}" name="Aantal zw/w afdrukken per optiejaar M2" totalsRowFunction="sum" dataDxfId="91" totalsRowDxfId="90" dataCellStyle="Komma">
      <calculatedColumnFormula>IF(KOE[[#This Row],[Model 2
(eis M1 t/m M27)]]="","",KOE[[#This Row],['# zw/w afdrukken M2 tot 1-6-20282]]/4)</calculatedColumnFormula>
    </tableColumn>
    <tableColumn id="26" xr3:uid="{B12875FC-7B4C-4E6D-8BF5-F8CA807F1337}" name="Aantal kleur afdrukken per optiejaar M2" totalsRowFunction="sum" dataDxfId="89" totalsRowDxfId="88" dataCellStyle="Komma">
      <calculatedColumnFormula>IF(KOE[[#This Row],[Model 2
(eis M1 t/m M27)]]="","",KOE[[#This Row],['# kleur afdrukken M2 tot 1-6-20283]]/4)</calculatedColumnFormula>
    </tableColumn>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20840B3-F737-45DF-9CF6-CA0AC6E0CC41}" name="VCO" displayName="VCO" ref="A2:T20" totalsRowCount="1" headerRowDxfId="87" dataDxfId="86" totalsRowDxfId="85">
  <autoFilter ref="A2:T19" xr:uid="{CADFCF0A-E35B-45F3-B540-F38A4A7BEFF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23" xr3:uid="{3CF6952C-DF0A-4D6F-8469-1CFD9714186B}" name="School/ Locatie" dataDxfId="84" totalsRowDxfId="83" dataCellStyle="Komma"/>
    <tableColumn id="3" xr3:uid="{7EF7B897-00D2-4B25-A7D3-A3394B06C6C4}" name="Adres" dataDxfId="82" totalsRowDxfId="81" dataCellStyle="Komma"/>
    <tableColumn id="5" xr3:uid="{F31F297E-BA0B-4DDA-ADE4-1DDD5AC17511}" name="Postcode" dataDxfId="80" totalsRowDxfId="79"/>
    <tableColumn id="6" xr3:uid="{975DE669-D551-48E0-B971-DD7D36190DC9}" name="Plaats" dataDxfId="78" totalsRowDxfId="77"/>
    <tableColumn id="10" xr3:uid="{6B445D57-1DFD-4EAA-BCDC-97E845C6B948}" name="Model 1_x000a_(eis M1 t/m M27)" totalsRowFunction="sum" dataDxfId="76" totalsRowDxfId="75"/>
    <tableColumn id="14" xr3:uid="{704778CC-3476-4D67-9346-D0BB24367935}" name="Model 2_x000a_(eis M1 t/m M27)" totalsRowFunction="sum" dataDxfId="74" totalsRowDxfId="73"/>
    <tableColumn id="11" xr3:uid="{C259F13E-F022-4BC3-8F9B-D10349C1D1CF}" name="Datum in gebruikname" dataDxfId="72" totalsRowDxfId="71"/>
    <tableColumn id="8" xr3:uid="{D598BC6F-CDFD-4F69-B170-0A22CCE4E31B}" name="Zw/w p/j" totalsRowFunction="sum" dataDxfId="70" totalsRowDxfId="69" dataCellStyle="Komma"/>
    <tableColumn id="7" xr3:uid="{37E35168-FAC0-4074-ABA2-BC1ABA845CD3}" name="Kleur p/j" totalsRowFunction="sum" dataDxfId="68" totalsRowDxfId="67" dataCellStyle="Komma"/>
    <tableColumn id="12" xr3:uid="{6F394808-C9CA-425B-AA65-255317FB49E2}" name="Zw/w p/m" totalsRowFunction="sum" dataDxfId="66" totalsRowDxfId="65" dataCellStyle="Komma">
      <calculatedColumnFormula>VCO[[#This Row],[Zw/w p/j]]/12</calculatedColumnFormula>
    </tableColumn>
    <tableColumn id="13" xr3:uid="{FA457DC4-3720-47AF-8B25-5A8B00D12942}" name="kleur p/m" totalsRowFunction="sum" dataDxfId="64" totalsRowDxfId="63" dataCellStyle="Komma">
      <calculatedColumnFormula>VCO[[#This Row],[Kleur p/j]]/12</calculatedColumnFormula>
    </tableColumn>
    <tableColumn id="9" xr3:uid="{55B18DAE-AC08-4FDA-B152-C74F03A77578}" name="Aantal maanden" totalsRowLabel=" 1.632 " dataDxfId="62" totalsRowDxfId="61" dataCellStyle="Komma">
      <calculatedColumnFormula>INT(_xlfn.DAYS($O$1,VCO[[#This Row],[Datum in gebruikname]])/30.41)</calculatedColumnFormula>
    </tableColumn>
    <tableColumn id="15" xr3:uid="{35A289EC-C1B2-486A-B896-7DA0A4AEAC1E}" name="# zw/w afdrukken M1 tot 1-6-2028" totalsRowFunction="sum" dataDxfId="60" totalsRowDxfId="59" dataCellStyle="Komma">
      <calculatedColumnFormula>IF(VCO[[#This Row],[Model 1
(eis M1 t/m M27)]]="","",VCO[[#This Row],[Zw/w p/m]]*VCO[[#This Row],[Aantal maanden]])</calculatedColumnFormula>
    </tableColumn>
    <tableColumn id="16" xr3:uid="{8D950D07-06E2-4F0F-9F7B-074DB993E4E2}" name="# kleur afdrukken M1 tot 1-6-2028" totalsRowFunction="sum" dataDxfId="58" totalsRowDxfId="57" dataCellStyle="Komma">
      <calculatedColumnFormula>IF(VCO[[#This Row],[Model 1
(eis M1 t/m M27)]]="","",VCO[[#This Row],[kleur p/m]]*VCO[[#This Row],[Aantal maanden]])</calculatedColumnFormula>
    </tableColumn>
    <tableColumn id="17" xr3:uid="{E259E904-1BDF-4711-A30D-29C53D3A8357}" name="# zw/w afdrukken M2 tot 1-6-20282" totalsRowFunction="sum" dataDxfId="56" totalsRowDxfId="55" dataCellStyle="Komma">
      <calculatedColumnFormula>IF(VCO[[#This Row],[Model 2
(eis M1 t/m M27)]]="","",VCO[[#This Row],[Zw/w p/m]]*VCO[[#This Row],[Aantal maanden]])</calculatedColumnFormula>
    </tableColumn>
    <tableColumn id="18" xr3:uid="{BD2BB91A-1FAE-40CB-8FF9-E1680B76F7BA}" name="# kleur afdrukken M2 tot 1-6-20283" totalsRowFunction="sum" dataDxfId="54" totalsRowDxfId="53" dataCellStyle="Komma">
      <calculatedColumnFormula>IF(VCO[[#This Row],[Model 2
(eis M1 t/m M27)]]="","",VCO[[#This Row],[kleur p/m]]*VCO[[#This Row],[Aantal maanden]])</calculatedColumnFormula>
    </tableColumn>
    <tableColumn id="21" xr3:uid="{D21C64E0-96F7-496A-B7D2-77E7106FD944}" name="Aantal zw/w afdrukken per optiejaar M1" totalsRowFunction="sum" dataDxfId="52" totalsRowDxfId="51" dataCellStyle="Komma">
      <calculatedColumnFormula>IF(VCO[[#This Row],[Model 1
(eis M1 t/m M27)]]="","",VCO[[#This Row],['# zw/w afdrukken M1 tot 1-6-2028]]/4)</calculatedColumnFormula>
    </tableColumn>
    <tableColumn id="22" xr3:uid="{66B5C9D7-5810-4D3F-B318-2B619AC08A6E}" name="Aantal kleur afdrukken per optiejaar M1" totalsRowFunction="sum" dataDxfId="50" totalsRowDxfId="49" dataCellStyle="Komma">
      <calculatedColumnFormula>IF(VCO[[#This Row],[Model 1
(eis M1 t/m M27)]]="","",VCO[[#This Row],['# kleur afdrukken M1 tot 1-6-2028]]/4)</calculatedColumnFormula>
    </tableColumn>
    <tableColumn id="25" xr3:uid="{D79D6D0B-BBE3-49F2-911F-862094D9B05E}" name="Aantal zw/w afdrukken per optiejaar M2" totalsRowFunction="sum" dataDxfId="48" totalsRowDxfId="47" dataCellStyle="Komma">
      <calculatedColumnFormula>IF(VCO[[#This Row],[Model 2
(eis M1 t/m M27)]]="","",VCO[[#This Row],['# zw/w afdrukken M2 tot 1-6-20282]]/4)</calculatedColumnFormula>
    </tableColumn>
    <tableColumn id="26" xr3:uid="{2D46557F-15E7-4672-B26B-D660F9D56A4C}" name="Aantal kleur afdrukken per optiejaar M2" totalsRowFunction="sum" dataDxfId="46" totalsRowDxfId="45" dataCellStyle="Komma">
      <calculatedColumnFormula>IF(VCO[[#This Row],[Model 2
(eis M1 t/m M27)]]="","",VCO[[#This Row],['# kleur afdrukken M2 tot 1-6-20283]]/4)</calculatedColumnFormula>
    </tableColumn>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5D839AA-569A-4461-A1D9-5BD3AE83529E}" name="Poolster" displayName="Poolster" ref="A2:T14" totalsRowCount="1" headerRowDxfId="44" dataDxfId="43" totalsRowDxfId="42">
  <autoFilter ref="A2:T13" xr:uid="{CADFCF0A-E35B-45F3-B540-F38A4A7BEFF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23" xr3:uid="{18BE41CB-20B8-46B5-8606-432C90329690}" name="School/ Locatie" dataDxfId="41" totalsRowDxfId="40" dataCellStyle="Komma"/>
    <tableColumn id="3" xr3:uid="{853893DF-A369-4DD0-BF25-48C58D453E82}" name="Adres" dataDxfId="39" totalsRowDxfId="38" dataCellStyle="Komma"/>
    <tableColumn id="5" xr3:uid="{307FE28B-C621-4CF1-9503-E518C699AE70}" name="Postcode" dataDxfId="37" totalsRowDxfId="36"/>
    <tableColumn id="6" xr3:uid="{A06D140B-5F39-4BF9-800A-3C0038D733ED}" name="Plaats" dataDxfId="35" totalsRowDxfId="34"/>
    <tableColumn id="10" xr3:uid="{5BF6695C-43ED-4B1E-9CB0-DDFF358FBB2F}" name="Model 1_x000a_(eis M1 t/m M27)" totalsRowFunction="sum" dataDxfId="33" totalsRowDxfId="32"/>
    <tableColumn id="14" xr3:uid="{F4B86985-9F58-44AC-B99A-DA236DF1D179}" name="Model 2_x000a_(eis M1 t/m M27)" totalsRowFunction="sum" dataDxfId="31" totalsRowDxfId="30"/>
    <tableColumn id="11" xr3:uid="{A4F5BC18-774C-4009-835A-82FA7C206708}" name="Datum in gebruikname" dataDxfId="29" totalsRowDxfId="28"/>
    <tableColumn id="8" xr3:uid="{1F1FE042-C148-45BB-B2B8-B687C761E97E}" name="Zw/w p/j" totalsRowFunction="sum" dataDxfId="27" totalsRowDxfId="26" dataCellStyle="Komma"/>
    <tableColumn id="7" xr3:uid="{108BB036-F941-4836-9966-248AA70457B0}" name="Kleur p/j" totalsRowFunction="sum" dataDxfId="25" totalsRowDxfId="24" dataCellStyle="Komma"/>
    <tableColumn id="12" xr3:uid="{2FEEB85F-8BA1-40C0-90B0-E1B6733070FD}" name="Zw/w p/m" totalsRowFunction="sum" dataDxfId="23" totalsRowDxfId="22" dataCellStyle="Komma">
      <calculatedColumnFormula>Poolster[[#This Row],[Zw/w p/j]]/12</calculatedColumnFormula>
    </tableColumn>
    <tableColumn id="13" xr3:uid="{72C634D2-AB40-40E8-96A0-292E4036EB9D}" name="kleur p/m" totalsRowFunction="sum" dataDxfId="21" totalsRowDxfId="20" dataCellStyle="Komma">
      <calculatedColumnFormula>Poolster[[#This Row],[Kleur p/j]]/12</calculatedColumnFormula>
    </tableColumn>
    <tableColumn id="9" xr3:uid="{597E7A3B-BBEE-4D4E-8573-E3557BB60816}" name="Aantal maanden" totalsRowLabel=" 1.632 " dataDxfId="19" totalsRowDxfId="18" dataCellStyle="Komma">
      <calculatedColumnFormula>INT(_xlfn.DAYS($O$1,Poolster[[#This Row],[Datum in gebruikname]])/30.41)</calculatedColumnFormula>
    </tableColumn>
    <tableColumn id="15" xr3:uid="{528278BA-CD26-42BD-926A-295E876C5AB4}" name="# zw/w afdrukken M1 tot 1-6-2028" totalsRowFunction="sum" dataDxfId="17" totalsRowDxfId="16" dataCellStyle="Komma">
      <calculatedColumnFormula>IF(Poolster[[#This Row],[Model 1
(eis M1 t/m M27)]]="","",Poolster[[#This Row],[Zw/w p/m]]*Poolster[[#This Row],[Aantal maanden]])</calculatedColumnFormula>
    </tableColumn>
    <tableColumn id="16" xr3:uid="{1CA8C987-6564-4B83-B9D2-AA33093DA58F}" name="# kleur afdrukken M1 tot 1-6-2028" totalsRowFunction="sum" dataDxfId="15" totalsRowDxfId="14" dataCellStyle="Komma">
      <calculatedColumnFormula>IF(Poolster[[#This Row],[Model 1
(eis M1 t/m M27)]]="","",Poolster[[#This Row],[kleur p/m]]*Poolster[[#This Row],[Aantal maanden]])</calculatedColumnFormula>
    </tableColumn>
    <tableColumn id="17" xr3:uid="{A9A9C307-3CE1-49C7-8E6A-B9A05008EC20}" name="# zw/w afdrukken M2 tot 1-6-20282" totalsRowFunction="sum" dataDxfId="13" totalsRowDxfId="12" dataCellStyle="Komma">
      <calculatedColumnFormula>IF(Poolster[[#This Row],[Model 2
(eis M1 t/m M27)]]="","",Poolster[[#This Row],[Zw/w p/m]]*Poolster[[#This Row],[Aantal maanden]])</calculatedColumnFormula>
    </tableColumn>
    <tableColumn id="18" xr3:uid="{3FC5CFF3-913E-40C1-A6D7-FF71BCC13D4E}" name="# kleur afdrukken M2 tot 1-6-20283" totalsRowFunction="sum" dataDxfId="11" totalsRowDxfId="10" dataCellStyle="Komma">
      <calculatedColumnFormula>IF(Poolster[[#This Row],[Model 2
(eis M1 t/m M27)]]="","",Poolster[[#This Row],[kleur p/m]]*Poolster[[#This Row],[Aantal maanden]])</calculatedColumnFormula>
    </tableColumn>
    <tableColumn id="21" xr3:uid="{CAA3462B-67A1-42F1-B095-78E86AAC5407}" name="Aantal zw/w afdrukken per optiejaar M1" totalsRowFunction="sum" dataDxfId="9" totalsRowDxfId="8" dataCellStyle="Komma">
      <calculatedColumnFormula>IF(Poolster[[#This Row],[Model 1
(eis M1 t/m M27)]]="","",Poolster[[#This Row],['# zw/w afdrukken M1 tot 1-6-2028]]/4)</calculatedColumnFormula>
    </tableColumn>
    <tableColumn id="22" xr3:uid="{3DFC6F07-10E4-4FD6-B089-43549D5D27A6}" name="Aantal kleur afdrukken per optiejaar M1" totalsRowFunction="sum" dataDxfId="7" totalsRowDxfId="6" dataCellStyle="Komma">
      <calculatedColumnFormula>IF(Poolster[[#This Row],[Model 1
(eis M1 t/m M27)]]="","",Poolster[[#This Row],['# kleur afdrukken M1 tot 1-6-2028]]/4)</calculatedColumnFormula>
    </tableColumn>
    <tableColumn id="25" xr3:uid="{0D707807-09FF-40FB-A326-7E3236E9BDF0}" name="Aantal zw/w afdrukken per optiejaar M2" totalsRowFunction="sum" dataDxfId="5" totalsRowDxfId="4" dataCellStyle="Komma">
      <calculatedColumnFormula>IF(Poolster[[#This Row],[Model 2
(eis M1 t/m M27)]]="","",Poolster[[#This Row],['# zw/w afdrukken M2 tot 1-6-20282]]/4)</calculatedColumnFormula>
    </tableColumn>
    <tableColumn id="26" xr3:uid="{36DCD59E-B761-42D2-B980-1A796889DF08}" name="Aantal kleur afdrukken per optiejaar M2" totalsRowFunction="sum" dataDxfId="3" totalsRowDxfId="2" dataCellStyle="Komma">
      <calculatedColumnFormula>IF(Poolster[[#This Row],[Model 2
(eis M1 t/m M27)]]="","",Poolster[[#This Row],['# kleur afdrukken M2 tot 1-6-20283]]/4)</calculatedColumnFormula>
    </tableColumn>
  </tableColumns>
  <tableStyleInfo name="TableStyleMedium3" showFirstColumn="0" showLastColumn="0" showRowStripes="1" showColumnStripes="0"/>
</table>
</file>

<file path=xl/theme/theme1.xml><?xml version="1.0" encoding="utf-8"?>
<a:theme xmlns:a="http://schemas.openxmlformats.org/drawingml/2006/main" name="Kantoorthema">
  <a:themeElements>
    <a:clrScheme name="Aangepast 3">
      <a:dk1>
        <a:srgbClr val="000000"/>
      </a:dk1>
      <a:lt1>
        <a:srgbClr val="FFFFFF"/>
      </a:lt1>
      <a:dk2>
        <a:srgbClr val="7F7F7F"/>
      </a:dk2>
      <a:lt2>
        <a:srgbClr val="FFFFFF"/>
      </a:lt2>
      <a:accent1>
        <a:srgbClr val="0087C9"/>
      </a:accent1>
      <a:accent2>
        <a:srgbClr val="00A0D1"/>
      </a:accent2>
      <a:accent3>
        <a:srgbClr val="002E60"/>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F17E0-36F6-4DB4-B6A6-AAF045D904B5}">
  <sheetPr>
    <pageSetUpPr fitToPage="1"/>
  </sheetPr>
  <dimension ref="A1:D57"/>
  <sheetViews>
    <sheetView showGridLines="0" tabSelected="1" zoomScaleNormal="100" workbookViewId="0"/>
  </sheetViews>
  <sheetFormatPr defaultRowHeight="14.5" x14ac:dyDescent="0.35"/>
  <cols>
    <col min="1" max="1" width="30.453125" bestFit="1" customWidth="1"/>
    <col min="2" max="2" width="105.08984375" customWidth="1"/>
    <col min="3" max="3" width="2.1796875" customWidth="1"/>
    <col min="4" max="4" width="9.54296875" bestFit="1" customWidth="1"/>
  </cols>
  <sheetData>
    <row r="1" spans="1:4" ht="21" x14ac:dyDescent="0.5">
      <c r="A1" s="9" t="s">
        <v>13</v>
      </c>
      <c r="B1" s="9" t="s">
        <v>14</v>
      </c>
    </row>
    <row r="2" spans="1:4" ht="87" x14ac:dyDescent="0.35">
      <c r="A2" s="2" t="s">
        <v>15</v>
      </c>
      <c r="B2" s="122" t="s">
        <v>16</v>
      </c>
    </row>
    <row r="3" spans="1:4" ht="43.5" x14ac:dyDescent="0.35">
      <c r="A3" s="2" t="s">
        <v>15</v>
      </c>
      <c r="B3" s="122" t="s">
        <v>64</v>
      </c>
    </row>
    <row r="4" spans="1:4" ht="43.5" x14ac:dyDescent="0.35">
      <c r="A4" s="2" t="s">
        <v>15</v>
      </c>
      <c r="B4" s="122" t="s">
        <v>362</v>
      </c>
    </row>
    <row r="5" spans="1:4" ht="58" x14ac:dyDescent="0.35">
      <c r="A5" s="2" t="s">
        <v>15</v>
      </c>
      <c r="B5" s="122" t="s">
        <v>17</v>
      </c>
    </row>
    <row r="6" spans="1:4" ht="43.5" x14ac:dyDescent="0.35">
      <c r="A6" s="2" t="s">
        <v>15</v>
      </c>
      <c r="B6" s="123" t="s">
        <v>29</v>
      </c>
    </row>
    <row r="7" spans="1:4" ht="72.5" x14ac:dyDescent="0.35">
      <c r="A7" s="3" t="s">
        <v>15</v>
      </c>
      <c r="B7" s="122" t="s">
        <v>18</v>
      </c>
    </row>
    <row r="8" spans="1:4" ht="58" x14ac:dyDescent="0.35">
      <c r="A8" s="6" t="s">
        <v>19</v>
      </c>
      <c r="B8" s="122" t="s">
        <v>53</v>
      </c>
    </row>
    <row r="9" spans="1:4" ht="72.5" x14ac:dyDescent="0.35">
      <c r="A9" s="10" t="s">
        <v>19</v>
      </c>
      <c r="B9" s="123" t="s">
        <v>61</v>
      </c>
    </row>
    <row r="11" spans="1:4" x14ac:dyDescent="0.35">
      <c r="D11" s="7"/>
    </row>
    <row r="12" spans="1:4" x14ac:dyDescent="0.35">
      <c r="D12" s="1"/>
    </row>
    <row r="13" spans="1:4" x14ac:dyDescent="0.35">
      <c r="D13" s="1"/>
    </row>
    <row r="14" spans="1:4" x14ac:dyDescent="0.35">
      <c r="D14" s="1"/>
    </row>
    <row r="15" spans="1:4" x14ac:dyDescent="0.35">
      <c r="D15" s="1"/>
    </row>
    <row r="16" spans="1:4" x14ac:dyDescent="0.35">
      <c r="D16" s="1"/>
    </row>
    <row r="17" spans="3:4" x14ac:dyDescent="0.35">
      <c r="D17" s="1"/>
    </row>
    <row r="18" spans="3:4" x14ac:dyDescent="0.35">
      <c r="D18" s="1"/>
    </row>
    <row r="19" spans="3:4" x14ac:dyDescent="0.35">
      <c r="D19" s="1"/>
    </row>
    <row r="20" spans="3:4" x14ac:dyDescent="0.35">
      <c r="D20" s="4"/>
    </row>
    <row r="21" spans="3:4" x14ac:dyDescent="0.35">
      <c r="D21" s="4"/>
    </row>
    <row r="23" spans="3:4" x14ac:dyDescent="0.35">
      <c r="C23" s="5"/>
      <c r="D23" s="7"/>
    </row>
    <row r="24" spans="3:4" x14ac:dyDescent="0.35">
      <c r="C24" s="1"/>
      <c r="D24" s="1"/>
    </row>
    <row r="25" spans="3:4" x14ac:dyDescent="0.35">
      <c r="C25" s="1"/>
      <c r="D25" s="1"/>
    </row>
    <row r="26" spans="3:4" x14ac:dyDescent="0.35">
      <c r="C26" s="1"/>
      <c r="D26" s="1"/>
    </row>
    <row r="27" spans="3:4" x14ac:dyDescent="0.35">
      <c r="C27" s="1"/>
      <c r="D27" s="1"/>
    </row>
    <row r="28" spans="3:4" x14ac:dyDescent="0.35">
      <c r="C28" s="1"/>
      <c r="D28" s="1"/>
    </row>
    <row r="29" spans="3:4" x14ac:dyDescent="0.35">
      <c r="C29" s="1"/>
      <c r="D29" s="1"/>
    </row>
    <row r="30" spans="3:4" x14ac:dyDescent="0.35">
      <c r="C30" s="1"/>
      <c r="D30" s="1"/>
    </row>
    <row r="31" spans="3:4" x14ac:dyDescent="0.35">
      <c r="C31" s="4"/>
      <c r="D31" s="1"/>
    </row>
    <row r="32" spans="3:4" x14ac:dyDescent="0.35">
      <c r="C32" s="4"/>
      <c r="D32" s="4"/>
    </row>
    <row r="33" spans="1:4" ht="18.5" x14ac:dyDescent="0.45">
      <c r="D33" s="8"/>
    </row>
    <row r="34" spans="1:4" x14ac:dyDescent="0.35">
      <c r="A34" s="1"/>
      <c r="B34" s="5"/>
      <c r="C34" s="7"/>
      <c r="D34" s="4"/>
    </row>
    <row r="35" spans="1:4" x14ac:dyDescent="0.35">
      <c r="A35" s="1"/>
      <c r="B35" s="1"/>
      <c r="C35" s="1"/>
      <c r="D35" s="4"/>
    </row>
    <row r="36" spans="1:4" x14ac:dyDescent="0.35">
      <c r="A36" s="1"/>
      <c r="B36" s="1"/>
      <c r="C36" s="1"/>
    </row>
    <row r="37" spans="1:4" x14ac:dyDescent="0.35">
      <c r="A37" s="1"/>
      <c r="B37" s="1"/>
      <c r="C37" s="1"/>
      <c r="D37" s="7"/>
    </row>
    <row r="38" spans="1:4" x14ac:dyDescent="0.35">
      <c r="A38" s="1"/>
      <c r="B38" s="1"/>
      <c r="C38" s="1"/>
      <c r="D38" s="1"/>
    </row>
    <row r="39" spans="1:4" x14ac:dyDescent="0.35">
      <c r="A39" s="1"/>
      <c r="B39" s="1"/>
      <c r="C39" s="1"/>
      <c r="D39" s="1"/>
    </row>
    <row r="40" spans="1:4" x14ac:dyDescent="0.35">
      <c r="A40" s="1"/>
      <c r="B40" s="1"/>
      <c r="C40" s="1"/>
      <c r="D40" s="1"/>
    </row>
    <row r="41" spans="1:4" x14ac:dyDescent="0.35">
      <c r="A41" s="1"/>
      <c r="B41" s="1"/>
      <c r="C41" s="1"/>
      <c r="D41" s="1"/>
    </row>
    <row r="42" spans="1:4" x14ac:dyDescent="0.35">
      <c r="A42" s="1"/>
      <c r="B42" s="1"/>
      <c r="C42" s="1"/>
      <c r="D42" s="1"/>
    </row>
    <row r="43" spans="1:4" x14ac:dyDescent="0.35">
      <c r="A43" s="1"/>
      <c r="B43" s="1"/>
      <c r="C43" s="4"/>
      <c r="D43" s="1"/>
    </row>
    <row r="44" spans="1:4" x14ac:dyDescent="0.35">
      <c r="A44" s="1"/>
      <c r="B44" s="1"/>
      <c r="C44" s="4"/>
      <c r="D44" s="1"/>
    </row>
    <row r="45" spans="1:4" x14ac:dyDescent="0.35">
      <c r="A45" s="1"/>
      <c r="B45" s="1"/>
      <c r="C45" s="4"/>
      <c r="D45" s="1"/>
    </row>
    <row r="46" spans="1:4" ht="18.5" x14ac:dyDescent="0.45">
      <c r="D46" s="8"/>
    </row>
    <row r="47" spans="1:4" x14ac:dyDescent="0.35">
      <c r="C47" s="7"/>
    </row>
    <row r="48" spans="1:4" x14ac:dyDescent="0.35">
      <c r="C48" s="1"/>
    </row>
    <row r="49" spans="3:3" x14ac:dyDescent="0.35">
      <c r="C49" s="1"/>
    </row>
    <row r="50" spans="3:3" x14ac:dyDescent="0.35">
      <c r="C50" s="1"/>
    </row>
    <row r="51" spans="3:3" x14ac:dyDescent="0.35">
      <c r="C51" s="1"/>
    </row>
    <row r="52" spans="3:3" x14ac:dyDescent="0.35">
      <c r="C52" s="1"/>
    </row>
    <row r="53" spans="3:3" x14ac:dyDescent="0.35">
      <c r="C53" s="1"/>
    </row>
    <row r="54" spans="3:3" x14ac:dyDescent="0.35">
      <c r="C54" s="1"/>
    </row>
    <row r="55" spans="3:3" x14ac:dyDescent="0.35">
      <c r="C55" s="1"/>
    </row>
    <row r="56" spans="3:3" x14ac:dyDescent="0.35">
      <c r="C56" s="4"/>
    </row>
    <row r="57" spans="3:3" x14ac:dyDescent="0.35">
      <c r="C57" s="4"/>
    </row>
  </sheetData>
  <pageMargins left="0.23622047244094491" right="0.62992125984251968" top="0.74803149606299213" bottom="0.74803149606299213" header="0.31496062992125984" footer="0.31496062992125984"/>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0B0C6-B925-4AE0-9E83-74FE8E11F3C7}">
  <sheetPr>
    <tabColor theme="4" tint="0.79998168889431442"/>
    <pageSetUpPr fitToPage="1"/>
  </sheetPr>
  <dimension ref="A1:U87"/>
  <sheetViews>
    <sheetView showGridLines="0" zoomScale="90" zoomScaleNormal="90" workbookViewId="0">
      <pane xSplit="2" ySplit="2" topLeftCell="C3" activePane="bottomRight" state="frozen"/>
      <selection activeCell="J53" sqref="J53:L54"/>
      <selection pane="topRight" activeCell="J53" sqref="J53:L54"/>
      <selection pane="bottomLeft" activeCell="J53" sqref="J53:L54"/>
      <selection pane="bottomRight" activeCell="C3" sqref="C3"/>
    </sheetView>
  </sheetViews>
  <sheetFormatPr defaultRowHeight="14.5" x14ac:dyDescent="0.35"/>
  <cols>
    <col min="1" max="2" width="25.81640625" style="11" customWidth="1"/>
    <col min="3" max="4" width="20.81640625" style="11" customWidth="1"/>
    <col min="5" max="5" width="21.453125" style="11" customWidth="1"/>
    <col min="6" max="6" width="20.81640625" style="11" customWidth="1"/>
    <col min="7" max="7" width="20.6328125" style="11" customWidth="1"/>
    <col min="8" max="12" width="18.1796875" style="11" customWidth="1"/>
    <col min="13" max="20" width="20.6328125" style="11" customWidth="1"/>
    <col min="21" max="21" width="21.6328125" style="11" customWidth="1"/>
    <col min="22" max="23" width="19.36328125" style="11" customWidth="1"/>
    <col min="24" max="24" width="9.1796875" style="11" bestFit="1" customWidth="1"/>
    <col min="25" max="25" width="10.08984375" style="11" bestFit="1" customWidth="1"/>
    <col min="26" max="16384" width="8.7265625" style="11"/>
  </cols>
  <sheetData>
    <row r="1" spans="1:20" s="23" customFormat="1" x14ac:dyDescent="0.35">
      <c r="D1" s="24" t="s">
        <v>60</v>
      </c>
      <c r="E1" s="25"/>
      <c r="F1" s="25"/>
      <c r="G1" s="26"/>
      <c r="H1" s="26"/>
      <c r="I1" s="26">
        <v>10000</v>
      </c>
      <c r="M1" s="27"/>
      <c r="N1" s="28" t="s">
        <v>48</v>
      </c>
      <c r="O1" s="29">
        <v>46905</v>
      </c>
    </row>
    <row r="2" spans="1:20" s="30" customFormat="1" ht="29" x14ac:dyDescent="0.35">
      <c r="A2" s="30" t="s">
        <v>184</v>
      </c>
      <c r="B2" s="30" t="s">
        <v>0</v>
      </c>
      <c r="C2" s="30" t="s">
        <v>54</v>
      </c>
      <c r="D2" s="30" t="s">
        <v>1</v>
      </c>
      <c r="E2" s="31" t="s">
        <v>23</v>
      </c>
      <c r="F2" s="31" t="s">
        <v>24</v>
      </c>
      <c r="G2" s="31" t="s">
        <v>4</v>
      </c>
      <c r="H2" s="32" t="s">
        <v>5</v>
      </c>
      <c r="I2" s="32" t="s">
        <v>6</v>
      </c>
      <c r="J2" s="32" t="s">
        <v>2</v>
      </c>
      <c r="K2" s="32" t="s">
        <v>3</v>
      </c>
      <c r="L2" s="32" t="s">
        <v>7</v>
      </c>
      <c r="M2" s="33" t="s">
        <v>65</v>
      </c>
      <c r="N2" s="34" t="s">
        <v>66</v>
      </c>
      <c r="O2" s="33" t="s">
        <v>67</v>
      </c>
      <c r="P2" s="34" t="s">
        <v>68</v>
      </c>
      <c r="Q2" s="32" t="s">
        <v>25</v>
      </c>
      <c r="R2" s="32" t="s">
        <v>26</v>
      </c>
      <c r="S2" s="32" t="s">
        <v>27</v>
      </c>
      <c r="T2" s="32" t="s">
        <v>28</v>
      </c>
    </row>
    <row r="3" spans="1:20" s="37" customFormat="1" ht="16.5" customHeight="1" x14ac:dyDescent="0.35">
      <c r="A3" s="35" t="s">
        <v>59</v>
      </c>
      <c r="B3" s="36" t="s">
        <v>239</v>
      </c>
      <c r="C3" s="128" t="s">
        <v>363</v>
      </c>
      <c r="D3" s="37" t="s">
        <v>72</v>
      </c>
      <c r="E3" s="38">
        <v>1</v>
      </c>
      <c r="F3" s="38"/>
      <c r="G3" s="39">
        <v>45444</v>
      </c>
      <c r="H3" s="40">
        <v>12371</v>
      </c>
      <c r="I3" s="40">
        <v>26228</v>
      </c>
      <c r="J3" s="40">
        <f>Consent[[#This Row],[Zw/w p/j]]/12</f>
        <v>1030.9166666666667</v>
      </c>
      <c r="K3" s="40">
        <f>Consent[[#This Row],[Kleur p/j]]/12</f>
        <v>2185.6666666666665</v>
      </c>
      <c r="L3" s="41">
        <f>INT(_xlfn.DAYS($O$1,Consent[[#This Row],[Datum in gebruikname]])/30.41)</f>
        <v>48</v>
      </c>
      <c r="M3" s="41">
        <f>IF(Consent[[#This Row],[Model 1
(eis M1 t/m M27)]]="","",Consent[[#This Row],[Zw/w p/m]]*Consent[[#This Row],[Aantal maanden]])</f>
        <v>49484</v>
      </c>
      <c r="N3" s="41">
        <f>IF(Consent[[#This Row],[Model 1
(eis M1 t/m M27)]]="","",Consent[[#This Row],[kleur p/m]]*Consent[[#This Row],[Aantal maanden]])</f>
        <v>104912</v>
      </c>
      <c r="O3" s="41" t="str">
        <f>IF(Consent[[#This Row],[Model 2
(eis M1 t/m M27)]]="","",Consent[[#This Row],[Zw/w p/m]]*Consent[[#This Row],[Aantal maanden]])</f>
        <v/>
      </c>
      <c r="P3" s="41" t="str">
        <f>IF(Consent[[#This Row],[Model 2
(eis M1 t/m M27)]]="","",Consent[[#This Row],[kleur p/m]]*Consent[[#This Row],[Aantal maanden]])</f>
        <v/>
      </c>
      <c r="Q3" s="41">
        <f>IF(Consent[[#This Row],[Model 1
(eis M1 t/m M27)]]="","",Consent[[#This Row],['# zw/w afdrukken M1 tot 1-6-2028]]/4)</f>
        <v>12371</v>
      </c>
      <c r="R3" s="41">
        <f>IF(Consent[[#This Row],[Model 1
(eis M1 t/m M27)]]="","",Consent[[#This Row],['# kleur afdrukken M1 tot 1-6-2028]]/4)</f>
        <v>26228</v>
      </c>
      <c r="S3" s="41" t="str">
        <f>IF(Consent[[#This Row],[Model 2
(eis M1 t/m M27)]]="","",Consent[[#This Row],['# zw/w afdrukken M2 tot 1-6-20282]]/4)</f>
        <v/>
      </c>
      <c r="T3" s="41" t="str">
        <f>IF(Consent[[#This Row],[Model 2
(eis M1 t/m M27)]]="","",Consent[[#This Row],['# kleur afdrukken M2 tot 1-6-20283]]/4)</f>
        <v/>
      </c>
    </row>
    <row r="4" spans="1:20" s="37" customFormat="1" ht="16.5" customHeight="1" x14ac:dyDescent="0.35">
      <c r="A4" s="35" t="s">
        <v>69</v>
      </c>
      <c r="B4" s="36" t="s">
        <v>70</v>
      </c>
      <c r="C4" s="37" t="s">
        <v>71</v>
      </c>
      <c r="D4" s="37" t="s">
        <v>72</v>
      </c>
      <c r="E4" s="38">
        <v>1</v>
      </c>
      <c r="F4" s="38"/>
      <c r="G4" s="39">
        <v>45444</v>
      </c>
      <c r="H4" s="40">
        <v>44115</v>
      </c>
      <c r="I4" s="40">
        <v>55551</v>
      </c>
      <c r="J4" s="40">
        <f>Consent[[#This Row],[Zw/w p/j]]/12</f>
        <v>3676.25</v>
      </c>
      <c r="K4" s="40">
        <f>Consent[[#This Row],[Kleur p/j]]/12</f>
        <v>4629.25</v>
      </c>
      <c r="L4" s="42">
        <f>INT(_xlfn.DAYS($O$1,Consent[[#This Row],[Datum in gebruikname]])/30.41)</f>
        <v>48</v>
      </c>
      <c r="M4" s="40">
        <f>IF(Consent[[#This Row],[Model 1
(eis M1 t/m M27)]]="","",Consent[[#This Row],[Zw/w p/m]]*Consent[[#This Row],[Aantal maanden]])</f>
        <v>176460</v>
      </c>
      <c r="N4" s="40">
        <f>IF(Consent[[#This Row],[Model 1
(eis M1 t/m M27)]]="","",Consent[[#This Row],[kleur p/m]]*Consent[[#This Row],[Aantal maanden]])</f>
        <v>222204</v>
      </c>
      <c r="O4" s="40" t="str">
        <f>IF(Consent[[#This Row],[Model 2
(eis M1 t/m M27)]]="","",Consent[[#This Row],[Zw/w p/m]]*Consent[[#This Row],[Aantal maanden]])</f>
        <v/>
      </c>
      <c r="P4" s="40" t="str">
        <f>IF(Consent[[#This Row],[Model 2
(eis M1 t/m M27)]]="","",Consent[[#This Row],[kleur p/m]]*Consent[[#This Row],[Aantal maanden]])</f>
        <v/>
      </c>
      <c r="Q4" s="40">
        <f>IF(Consent[[#This Row],[Model 1
(eis M1 t/m M27)]]="","",Consent[[#This Row],['# zw/w afdrukken M1 tot 1-6-2028]]/4)</f>
        <v>44115</v>
      </c>
      <c r="R4" s="40">
        <f>IF(Consent[[#This Row],[Model 1
(eis M1 t/m M27)]]="","",Consent[[#This Row],['# kleur afdrukken M1 tot 1-6-2028]]/4)</f>
        <v>55551</v>
      </c>
      <c r="S4" s="40" t="str">
        <f>IF(Consent[[#This Row],[Model 2
(eis M1 t/m M27)]]="","",Consent[[#This Row],['# zw/w afdrukken M2 tot 1-6-20282]]/4)</f>
        <v/>
      </c>
      <c r="T4" s="40" t="str">
        <f>IF(Consent[[#This Row],[Model 2
(eis M1 t/m M27)]]="","",Consent[[#This Row],['# kleur afdrukken M2 tot 1-6-20283]]/4)</f>
        <v/>
      </c>
    </row>
    <row r="5" spans="1:20" s="37" customFormat="1" ht="16.5" customHeight="1" x14ac:dyDescent="0.35">
      <c r="A5" s="35" t="s">
        <v>73</v>
      </c>
      <c r="B5" s="36" t="s">
        <v>74</v>
      </c>
      <c r="C5" s="37" t="s">
        <v>75</v>
      </c>
      <c r="D5" s="37" t="s">
        <v>72</v>
      </c>
      <c r="E5" s="38">
        <v>1</v>
      </c>
      <c r="F5" s="38"/>
      <c r="G5" s="39">
        <v>45444</v>
      </c>
      <c r="H5" s="40">
        <v>90133</v>
      </c>
      <c r="I5" s="40">
        <v>48462</v>
      </c>
      <c r="J5" s="40">
        <f>Consent[[#This Row],[Zw/w p/j]]/12</f>
        <v>7511.083333333333</v>
      </c>
      <c r="K5" s="40">
        <f>Consent[[#This Row],[Kleur p/j]]/12</f>
        <v>4038.5</v>
      </c>
      <c r="L5" s="42">
        <f>INT(_xlfn.DAYS($O$1,Consent[[#This Row],[Datum in gebruikname]])/30.41)</f>
        <v>48</v>
      </c>
      <c r="M5" s="40">
        <f>IF(Consent[[#This Row],[Model 1
(eis M1 t/m M27)]]="","",Consent[[#This Row],[Zw/w p/m]]*Consent[[#This Row],[Aantal maanden]])</f>
        <v>360532</v>
      </c>
      <c r="N5" s="40">
        <f>IF(Consent[[#This Row],[Model 1
(eis M1 t/m M27)]]="","",Consent[[#This Row],[kleur p/m]]*Consent[[#This Row],[Aantal maanden]])</f>
        <v>193848</v>
      </c>
      <c r="O5" s="40" t="str">
        <f>IF(Consent[[#This Row],[Model 2
(eis M1 t/m M27)]]="","",Consent[[#This Row],[Zw/w p/m]]*Consent[[#This Row],[Aantal maanden]])</f>
        <v/>
      </c>
      <c r="P5" s="40" t="str">
        <f>IF(Consent[[#This Row],[Model 2
(eis M1 t/m M27)]]="","",Consent[[#This Row],[kleur p/m]]*Consent[[#This Row],[Aantal maanden]])</f>
        <v/>
      </c>
      <c r="Q5" s="40">
        <f>IF(Consent[[#This Row],[Model 1
(eis M1 t/m M27)]]="","",Consent[[#This Row],['# zw/w afdrukken M1 tot 1-6-2028]]/4)</f>
        <v>90133</v>
      </c>
      <c r="R5" s="40">
        <f>IF(Consent[[#This Row],[Model 1
(eis M1 t/m M27)]]="","",Consent[[#This Row],['# kleur afdrukken M1 tot 1-6-2028]]/4)</f>
        <v>48462</v>
      </c>
      <c r="S5" s="40" t="str">
        <f>IF(Consent[[#This Row],[Model 2
(eis M1 t/m M27)]]="","",Consent[[#This Row],['# zw/w afdrukken M2 tot 1-6-20282]]/4)</f>
        <v/>
      </c>
      <c r="T5" s="40" t="str">
        <f>IF(Consent[[#This Row],[Model 2
(eis M1 t/m M27)]]="","",Consent[[#This Row],['# kleur afdrukken M2 tot 1-6-20283]]/4)</f>
        <v/>
      </c>
    </row>
    <row r="6" spans="1:20" s="37" customFormat="1" ht="16.5" customHeight="1" x14ac:dyDescent="0.35">
      <c r="A6" s="37" t="s">
        <v>76</v>
      </c>
      <c r="B6" s="36" t="s">
        <v>77</v>
      </c>
      <c r="C6" s="37" t="s">
        <v>78</v>
      </c>
      <c r="D6" s="37" t="s">
        <v>72</v>
      </c>
      <c r="E6" s="38"/>
      <c r="F6" s="38">
        <v>1</v>
      </c>
      <c r="G6" s="39">
        <v>45444</v>
      </c>
      <c r="H6" s="40">
        <v>136825</v>
      </c>
      <c r="I6" s="40">
        <v>62149</v>
      </c>
      <c r="J6" s="40">
        <f>Consent[[#This Row],[Zw/w p/j]]/12</f>
        <v>11402.083333333334</v>
      </c>
      <c r="K6" s="40">
        <f>Consent[[#This Row],[Kleur p/j]]/12</f>
        <v>5179.083333333333</v>
      </c>
      <c r="L6" s="42">
        <f>INT(_xlfn.DAYS($O$1,Consent[[#This Row],[Datum in gebruikname]])/30.41)</f>
        <v>48</v>
      </c>
      <c r="M6" s="40" t="str">
        <f>IF(Consent[[#This Row],[Model 1
(eis M1 t/m M27)]]="","",Consent[[#This Row],[Zw/w p/m]]*Consent[[#This Row],[Aantal maanden]])</f>
        <v/>
      </c>
      <c r="N6" s="40" t="str">
        <f>IF(Consent[[#This Row],[Model 1
(eis M1 t/m M27)]]="","",Consent[[#This Row],[kleur p/m]]*Consent[[#This Row],[Aantal maanden]])</f>
        <v/>
      </c>
      <c r="O6" s="40">
        <f>IF(Consent[[#This Row],[Model 2
(eis M1 t/m M27)]]="","",Consent[[#This Row],[Zw/w p/m]]*Consent[[#This Row],[Aantal maanden]])</f>
        <v>547300</v>
      </c>
      <c r="P6" s="40">
        <f>IF(Consent[[#This Row],[Model 2
(eis M1 t/m M27)]]="","",Consent[[#This Row],[kleur p/m]]*Consent[[#This Row],[Aantal maanden]])</f>
        <v>248596</v>
      </c>
      <c r="Q6" s="40" t="str">
        <f>IF(Consent[[#This Row],[Model 1
(eis M1 t/m M27)]]="","",Consent[[#This Row],['# zw/w afdrukken M1 tot 1-6-2028]]/4)</f>
        <v/>
      </c>
      <c r="R6" s="40" t="str">
        <f>IF(Consent[[#This Row],[Model 1
(eis M1 t/m M27)]]="","",Consent[[#This Row],['# kleur afdrukken M1 tot 1-6-2028]]/4)</f>
        <v/>
      </c>
      <c r="S6" s="40">
        <f>IF(Consent[[#This Row],[Model 2
(eis M1 t/m M27)]]="","",Consent[[#This Row],['# zw/w afdrukken M2 tot 1-6-20282]]/4)</f>
        <v>136825</v>
      </c>
      <c r="T6" s="40">
        <f>IF(Consent[[#This Row],[Model 2
(eis M1 t/m M27)]]="","",Consent[[#This Row],['# kleur afdrukken M2 tot 1-6-20283]]/4)</f>
        <v>62149</v>
      </c>
    </row>
    <row r="7" spans="1:20" s="37" customFormat="1" ht="16.5" customHeight="1" x14ac:dyDescent="0.35">
      <c r="A7" s="36" t="s">
        <v>79</v>
      </c>
      <c r="B7" s="43" t="s">
        <v>80</v>
      </c>
      <c r="C7" s="37" t="s">
        <v>81</v>
      </c>
      <c r="D7" s="37" t="s">
        <v>82</v>
      </c>
      <c r="E7" s="38">
        <v>1</v>
      </c>
      <c r="F7" s="38"/>
      <c r="G7" s="39">
        <v>45444</v>
      </c>
      <c r="H7" s="40">
        <v>95164</v>
      </c>
      <c r="I7" s="40">
        <v>27376</v>
      </c>
      <c r="J7" s="40">
        <f>Consent[[#This Row],[Zw/w p/j]]/12</f>
        <v>7930.333333333333</v>
      </c>
      <c r="K7" s="40">
        <f>Consent[[#This Row],[Kleur p/j]]/12</f>
        <v>2281.3333333333335</v>
      </c>
      <c r="L7" s="40">
        <f>INT(_xlfn.DAYS($O$1,Consent[[#This Row],[Datum in gebruikname]])/30.41)</f>
        <v>48</v>
      </c>
      <c r="M7" s="40">
        <f>IF(Consent[[#This Row],[Model 1
(eis M1 t/m M27)]]="","",Consent[[#This Row],[Zw/w p/m]]*Consent[[#This Row],[Aantal maanden]])</f>
        <v>380656</v>
      </c>
      <c r="N7" s="40">
        <f>IF(Consent[[#This Row],[Model 1
(eis M1 t/m M27)]]="","",Consent[[#This Row],[kleur p/m]]*Consent[[#This Row],[Aantal maanden]])</f>
        <v>109504</v>
      </c>
      <c r="O7" s="40" t="str">
        <f>IF(Consent[[#This Row],[Model 2
(eis M1 t/m M27)]]="","",Consent[[#This Row],[Zw/w p/m]]*Consent[[#This Row],[Aantal maanden]])</f>
        <v/>
      </c>
      <c r="P7" s="40" t="str">
        <f>IF(Consent[[#This Row],[Model 2
(eis M1 t/m M27)]]="","",Consent[[#This Row],[kleur p/m]]*Consent[[#This Row],[Aantal maanden]])</f>
        <v/>
      </c>
      <c r="Q7" s="40">
        <f>IF(Consent[[#This Row],[Model 1
(eis M1 t/m M27)]]="","",Consent[[#This Row],['# zw/w afdrukken M1 tot 1-6-2028]]/4)</f>
        <v>95164</v>
      </c>
      <c r="R7" s="40">
        <f>IF(Consent[[#This Row],[Model 1
(eis M1 t/m M27)]]="","",Consent[[#This Row],['# kleur afdrukken M1 tot 1-6-2028]]/4)</f>
        <v>27376</v>
      </c>
      <c r="S7" s="40" t="str">
        <f>IF(Consent[[#This Row],[Model 2
(eis M1 t/m M27)]]="","",Consent[[#This Row],['# zw/w afdrukken M2 tot 1-6-20282]]/4)</f>
        <v/>
      </c>
      <c r="T7" s="40" t="str">
        <f>IF(Consent[[#This Row],[Model 2
(eis M1 t/m M27)]]="","",Consent[[#This Row],['# kleur afdrukken M2 tot 1-6-20283]]/4)</f>
        <v/>
      </c>
    </row>
    <row r="8" spans="1:20" s="37" customFormat="1" ht="16.5" customHeight="1" x14ac:dyDescent="0.35">
      <c r="A8" s="36" t="s">
        <v>83</v>
      </c>
      <c r="B8" s="43" t="s">
        <v>84</v>
      </c>
      <c r="C8" s="37" t="s">
        <v>85</v>
      </c>
      <c r="D8" s="37" t="s">
        <v>86</v>
      </c>
      <c r="E8" s="38">
        <v>1</v>
      </c>
      <c r="F8" s="38"/>
      <c r="G8" s="39">
        <v>45444</v>
      </c>
      <c r="H8" s="40">
        <v>260657</v>
      </c>
      <c r="I8" s="40">
        <v>120094</v>
      </c>
      <c r="J8" s="40">
        <f>Consent[[#This Row],[Zw/w p/j]]/12</f>
        <v>21721.416666666668</v>
      </c>
      <c r="K8" s="40">
        <f>Consent[[#This Row],[Kleur p/j]]/12</f>
        <v>10007.833333333334</v>
      </c>
      <c r="L8" s="40">
        <f>INT(_xlfn.DAYS($O$1,Consent[[#This Row],[Datum in gebruikname]])/30.41)</f>
        <v>48</v>
      </c>
      <c r="M8" s="40">
        <f>IF(Consent[[#This Row],[Model 1
(eis M1 t/m M27)]]="","",Consent[[#This Row],[Zw/w p/m]]*Consent[[#This Row],[Aantal maanden]])</f>
        <v>1042628</v>
      </c>
      <c r="N8" s="40">
        <f>IF(Consent[[#This Row],[Model 1
(eis M1 t/m M27)]]="","",Consent[[#This Row],[kleur p/m]]*Consent[[#This Row],[Aantal maanden]])</f>
        <v>480376</v>
      </c>
      <c r="O8" s="40" t="str">
        <f>IF(Consent[[#This Row],[Model 2
(eis M1 t/m M27)]]="","",Consent[[#This Row],[Zw/w p/m]]*Consent[[#This Row],[Aantal maanden]])</f>
        <v/>
      </c>
      <c r="P8" s="40" t="str">
        <f>IF(Consent[[#This Row],[Model 2
(eis M1 t/m M27)]]="","",Consent[[#This Row],[kleur p/m]]*Consent[[#This Row],[Aantal maanden]])</f>
        <v/>
      </c>
      <c r="Q8" s="40">
        <f>IF(Consent[[#This Row],[Model 1
(eis M1 t/m M27)]]="","",Consent[[#This Row],['# zw/w afdrukken M1 tot 1-6-2028]]/4)</f>
        <v>260657</v>
      </c>
      <c r="R8" s="40">
        <f>IF(Consent[[#This Row],[Model 1
(eis M1 t/m M27)]]="","",Consent[[#This Row],['# kleur afdrukken M1 tot 1-6-2028]]/4)</f>
        <v>120094</v>
      </c>
      <c r="S8" s="40" t="str">
        <f>IF(Consent[[#This Row],[Model 2
(eis M1 t/m M27)]]="","",Consent[[#This Row],['# zw/w afdrukken M2 tot 1-6-20282]]/4)</f>
        <v/>
      </c>
      <c r="T8" s="40" t="str">
        <f>IF(Consent[[#This Row],[Model 2
(eis M1 t/m M27)]]="","",Consent[[#This Row],['# kleur afdrukken M2 tot 1-6-20283]]/4)</f>
        <v/>
      </c>
    </row>
    <row r="9" spans="1:20" s="37" customFormat="1" ht="16.5" customHeight="1" x14ac:dyDescent="0.35">
      <c r="A9" s="36" t="s">
        <v>87</v>
      </c>
      <c r="B9" s="43" t="s">
        <v>88</v>
      </c>
      <c r="C9" s="37" t="s">
        <v>89</v>
      </c>
      <c r="D9" s="37" t="s">
        <v>86</v>
      </c>
      <c r="E9" s="38">
        <v>1</v>
      </c>
      <c r="F9" s="38"/>
      <c r="G9" s="39">
        <v>45444</v>
      </c>
      <c r="H9" s="40">
        <v>111712</v>
      </c>
      <c r="I9" s="40">
        <v>62222</v>
      </c>
      <c r="J9" s="40">
        <f>Consent[[#This Row],[Zw/w p/j]]/12</f>
        <v>9309.3333333333339</v>
      </c>
      <c r="K9" s="40">
        <f>Consent[[#This Row],[Kleur p/j]]/12</f>
        <v>5185.166666666667</v>
      </c>
      <c r="L9" s="40">
        <f>INT(_xlfn.DAYS($O$1,Consent[[#This Row],[Datum in gebruikname]])/30.41)</f>
        <v>48</v>
      </c>
      <c r="M9" s="40">
        <f>IF(Consent[[#This Row],[Model 1
(eis M1 t/m M27)]]="","",Consent[[#This Row],[Zw/w p/m]]*Consent[[#This Row],[Aantal maanden]])</f>
        <v>446848</v>
      </c>
      <c r="N9" s="40">
        <f>IF(Consent[[#This Row],[Model 1
(eis M1 t/m M27)]]="","",Consent[[#This Row],[kleur p/m]]*Consent[[#This Row],[Aantal maanden]])</f>
        <v>248888</v>
      </c>
      <c r="O9" s="40" t="str">
        <f>IF(Consent[[#This Row],[Model 2
(eis M1 t/m M27)]]="","",Consent[[#This Row],[Zw/w p/m]]*Consent[[#This Row],[Aantal maanden]])</f>
        <v/>
      </c>
      <c r="P9" s="40" t="str">
        <f>IF(Consent[[#This Row],[Model 2
(eis M1 t/m M27)]]="","",Consent[[#This Row],[kleur p/m]]*Consent[[#This Row],[Aantal maanden]])</f>
        <v/>
      </c>
      <c r="Q9" s="40">
        <f>IF(Consent[[#This Row],[Model 1
(eis M1 t/m M27)]]="","",Consent[[#This Row],['# zw/w afdrukken M1 tot 1-6-2028]]/4)</f>
        <v>111712</v>
      </c>
      <c r="R9" s="40">
        <f>IF(Consent[[#This Row],[Model 1
(eis M1 t/m M27)]]="","",Consent[[#This Row],['# kleur afdrukken M1 tot 1-6-2028]]/4)</f>
        <v>62222</v>
      </c>
      <c r="S9" s="40" t="str">
        <f>IF(Consent[[#This Row],[Model 2
(eis M1 t/m M27)]]="","",Consent[[#This Row],['# zw/w afdrukken M2 tot 1-6-20282]]/4)</f>
        <v/>
      </c>
      <c r="T9" s="40" t="str">
        <f>IF(Consent[[#This Row],[Model 2
(eis M1 t/m M27)]]="","",Consent[[#This Row],['# kleur afdrukken M2 tot 1-6-20283]]/4)</f>
        <v/>
      </c>
    </row>
    <row r="10" spans="1:20" s="37" customFormat="1" ht="16.5" customHeight="1" x14ac:dyDescent="0.35">
      <c r="A10" s="36" t="s">
        <v>90</v>
      </c>
      <c r="B10" s="43" t="s">
        <v>91</v>
      </c>
      <c r="C10" s="37" t="s">
        <v>92</v>
      </c>
      <c r="D10" s="37" t="s">
        <v>82</v>
      </c>
      <c r="E10" s="38">
        <v>1</v>
      </c>
      <c r="F10" s="38"/>
      <c r="G10" s="39">
        <v>45444</v>
      </c>
      <c r="H10" s="40">
        <v>101464</v>
      </c>
      <c r="I10" s="40">
        <v>34687</v>
      </c>
      <c r="J10" s="40">
        <f>Consent[[#This Row],[Zw/w p/j]]/12</f>
        <v>8455.3333333333339</v>
      </c>
      <c r="K10" s="40">
        <f>Consent[[#This Row],[Kleur p/j]]/12</f>
        <v>2890.5833333333335</v>
      </c>
      <c r="L10" s="40">
        <f>INT(_xlfn.DAYS($O$1,Consent[[#This Row],[Datum in gebruikname]])/30.41)</f>
        <v>48</v>
      </c>
      <c r="M10" s="40">
        <f>IF(Consent[[#This Row],[Model 1
(eis M1 t/m M27)]]="","",Consent[[#This Row],[Zw/w p/m]]*Consent[[#This Row],[Aantal maanden]])</f>
        <v>405856</v>
      </c>
      <c r="N10" s="40">
        <f>IF(Consent[[#This Row],[Model 1
(eis M1 t/m M27)]]="","",Consent[[#This Row],[kleur p/m]]*Consent[[#This Row],[Aantal maanden]])</f>
        <v>138748</v>
      </c>
      <c r="O10" s="40" t="str">
        <f>IF(Consent[[#This Row],[Model 2
(eis M1 t/m M27)]]="","",Consent[[#This Row],[Zw/w p/m]]*Consent[[#This Row],[Aantal maanden]])</f>
        <v/>
      </c>
      <c r="P10" s="40" t="str">
        <f>IF(Consent[[#This Row],[Model 2
(eis M1 t/m M27)]]="","",Consent[[#This Row],[kleur p/m]]*Consent[[#This Row],[Aantal maanden]])</f>
        <v/>
      </c>
      <c r="Q10" s="40">
        <f>IF(Consent[[#This Row],[Model 1
(eis M1 t/m M27)]]="","",Consent[[#This Row],['# zw/w afdrukken M1 tot 1-6-2028]]/4)</f>
        <v>101464</v>
      </c>
      <c r="R10" s="40">
        <f>IF(Consent[[#This Row],[Model 1
(eis M1 t/m M27)]]="","",Consent[[#This Row],['# kleur afdrukken M1 tot 1-6-2028]]/4)</f>
        <v>34687</v>
      </c>
      <c r="S10" s="40" t="str">
        <f>IF(Consent[[#This Row],[Model 2
(eis M1 t/m M27)]]="","",Consent[[#This Row],['# zw/w afdrukken M2 tot 1-6-20282]]/4)</f>
        <v/>
      </c>
      <c r="T10" s="40" t="str">
        <f>IF(Consent[[#This Row],[Model 2
(eis M1 t/m M27)]]="","",Consent[[#This Row],['# kleur afdrukken M2 tot 1-6-20283]]/4)</f>
        <v/>
      </c>
    </row>
    <row r="11" spans="1:20" s="37" customFormat="1" ht="16.5" customHeight="1" x14ac:dyDescent="0.35">
      <c r="A11" s="36" t="s">
        <v>93</v>
      </c>
      <c r="B11" s="43" t="s">
        <v>94</v>
      </c>
      <c r="C11" s="37" t="s">
        <v>95</v>
      </c>
      <c r="D11" s="37" t="s">
        <v>72</v>
      </c>
      <c r="E11" s="38">
        <v>1</v>
      </c>
      <c r="F11" s="38"/>
      <c r="G11" s="39">
        <v>45444</v>
      </c>
      <c r="H11" s="40">
        <v>74686</v>
      </c>
      <c r="I11" s="40">
        <v>53544</v>
      </c>
      <c r="J11" s="40">
        <f>Consent[[#This Row],[Zw/w p/j]]/12</f>
        <v>6223.833333333333</v>
      </c>
      <c r="K11" s="40">
        <f>Consent[[#This Row],[Kleur p/j]]/12</f>
        <v>4462</v>
      </c>
      <c r="L11" s="40">
        <f>INT(_xlfn.DAYS($O$1,Consent[[#This Row],[Datum in gebruikname]])/30.41)</f>
        <v>48</v>
      </c>
      <c r="M11" s="40">
        <f>IF(Consent[[#This Row],[Model 1
(eis M1 t/m M27)]]="","",Consent[[#This Row],[Zw/w p/m]]*Consent[[#This Row],[Aantal maanden]])</f>
        <v>298744</v>
      </c>
      <c r="N11" s="40">
        <f>IF(Consent[[#This Row],[Model 1
(eis M1 t/m M27)]]="","",Consent[[#This Row],[kleur p/m]]*Consent[[#This Row],[Aantal maanden]])</f>
        <v>214176</v>
      </c>
      <c r="O11" s="40" t="str">
        <f>IF(Consent[[#This Row],[Model 2
(eis M1 t/m M27)]]="","",Consent[[#This Row],[Zw/w p/m]]*Consent[[#This Row],[Aantal maanden]])</f>
        <v/>
      </c>
      <c r="P11" s="40" t="str">
        <f>IF(Consent[[#This Row],[Model 2
(eis M1 t/m M27)]]="","",Consent[[#This Row],[kleur p/m]]*Consent[[#This Row],[Aantal maanden]])</f>
        <v/>
      </c>
      <c r="Q11" s="40">
        <f>IF(Consent[[#This Row],[Model 1
(eis M1 t/m M27)]]="","",Consent[[#This Row],['# zw/w afdrukken M1 tot 1-6-2028]]/4)</f>
        <v>74686</v>
      </c>
      <c r="R11" s="40">
        <f>IF(Consent[[#This Row],[Model 1
(eis M1 t/m M27)]]="","",Consent[[#This Row],['# kleur afdrukken M1 tot 1-6-2028]]/4)</f>
        <v>53544</v>
      </c>
      <c r="S11" s="40" t="str">
        <f>IF(Consent[[#This Row],[Model 2
(eis M1 t/m M27)]]="","",Consent[[#This Row],['# zw/w afdrukken M2 tot 1-6-20282]]/4)</f>
        <v/>
      </c>
      <c r="T11" s="40" t="str">
        <f>IF(Consent[[#This Row],[Model 2
(eis M1 t/m M27)]]="","",Consent[[#This Row],['# kleur afdrukken M2 tot 1-6-20283]]/4)</f>
        <v/>
      </c>
    </row>
    <row r="12" spans="1:20" s="37" customFormat="1" ht="16.5" customHeight="1" x14ac:dyDescent="0.35">
      <c r="A12" s="36" t="s">
        <v>96</v>
      </c>
      <c r="B12" s="43" t="s">
        <v>97</v>
      </c>
      <c r="C12" s="37" t="s">
        <v>98</v>
      </c>
      <c r="D12" s="37" t="s">
        <v>72</v>
      </c>
      <c r="E12" s="38"/>
      <c r="F12" s="38">
        <v>1</v>
      </c>
      <c r="G12" s="39">
        <v>45444</v>
      </c>
      <c r="H12" s="40">
        <v>160597</v>
      </c>
      <c r="I12" s="40">
        <v>74983</v>
      </c>
      <c r="J12" s="40">
        <f>Consent[[#This Row],[Zw/w p/j]]/12</f>
        <v>13383.083333333334</v>
      </c>
      <c r="K12" s="40">
        <f>Consent[[#This Row],[Kleur p/j]]/12</f>
        <v>6248.583333333333</v>
      </c>
      <c r="L12" s="40">
        <f>INT(_xlfn.DAYS($O$1,Consent[[#This Row],[Datum in gebruikname]])/30.41)</f>
        <v>48</v>
      </c>
      <c r="M12" s="40" t="str">
        <f>IF(Consent[[#This Row],[Model 1
(eis M1 t/m M27)]]="","",Consent[[#This Row],[Zw/w p/m]]*Consent[[#This Row],[Aantal maanden]])</f>
        <v/>
      </c>
      <c r="N12" s="40" t="str">
        <f>IF(Consent[[#This Row],[Model 1
(eis M1 t/m M27)]]="","",Consent[[#This Row],[kleur p/m]]*Consent[[#This Row],[Aantal maanden]])</f>
        <v/>
      </c>
      <c r="O12" s="40">
        <f>IF(Consent[[#This Row],[Model 2
(eis M1 t/m M27)]]="","",Consent[[#This Row],[Zw/w p/m]]*Consent[[#This Row],[Aantal maanden]])</f>
        <v>642388</v>
      </c>
      <c r="P12" s="40">
        <f>IF(Consent[[#This Row],[Model 2
(eis M1 t/m M27)]]="","",Consent[[#This Row],[kleur p/m]]*Consent[[#This Row],[Aantal maanden]])</f>
        <v>299932</v>
      </c>
      <c r="Q12" s="40" t="str">
        <f>IF(Consent[[#This Row],[Model 1
(eis M1 t/m M27)]]="","",Consent[[#This Row],['# zw/w afdrukken M1 tot 1-6-2028]]/4)</f>
        <v/>
      </c>
      <c r="R12" s="40" t="str">
        <f>IF(Consent[[#This Row],[Model 1
(eis M1 t/m M27)]]="","",Consent[[#This Row],['# kleur afdrukken M1 tot 1-6-2028]]/4)</f>
        <v/>
      </c>
      <c r="S12" s="40">
        <f>IF(Consent[[#This Row],[Model 2
(eis M1 t/m M27)]]="","",Consent[[#This Row],['# zw/w afdrukken M2 tot 1-6-20282]]/4)</f>
        <v>160597</v>
      </c>
      <c r="T12" s="40">
        <f>IF(Consent[[#This Row],[Model 2
(eis M1 t/m M27)]]="","",Consent[[#This Row],['# kleur afdrukken M2 tot 1-6-20283]]/4)</f>
        <v>74983</v>
      </c>
    </row>
    <row r="13" spans="1:20" s="37" customFormat="1" ht="16.5" customHeight="1" x14ac:dyDescent="0.35">
      <c r="A13" s="36" t="s">
        <v>99</v>
      </c>
      <c r="B13" s="43" t="s">
        <v>100</v>
      </c>
      <c r="C13" s="37" t="s">
        <v>101</v>
      </c>
      <c r="D13" s="37" t="s">
        <v>72</v>
      </c>
      <c r="E13" s="38">
        <v>1</v>
      </c>
      <c r="F13" s="38"/>
      <c r="G13" s="39">
        <v>45444</v>
      </c>
      <c r="H13" s="40">
        <v>139219</v>
      </c>
      <c r="I13" s="40">
        <v>58337</v>
      </c>
      <c r="J13" s="40">
        <f>Consent[[#This Row],[Zw/w p/j]]/12</f>
        <v>11601.583333333334</v>
      </c>
      <c r="K13" s="40">
        <f>Consent[[#This Row],[Kleur p/j]]/12</f>
        <v>4861.416666666667</v>
      </c>
      <c r="L13" s="40">
        <f>INT(_xlfn.DAYS($O$1,Consent[[#This Row],[Datum in gebruikname]])/30.41)</f>
        <v>48</v>
      </c>
      <c r="M13" s="40">
        <f>IF(Consent[[#This Row],[Model 1
(eis M1 t/m M27)]]="","",Consent[[#This Row],[Zw/w p/m]]*Consent[[#This Row],[Aantal maanden]])</f>
        <v>556876</v>
      </c>
      <c r="N13" s="40">
        <f>IF(Consent[[#This Row],[Model 1
(eis M1 t/m M27)]]="","",Consent[[#This Row],[kleur p/m]]*Consent[[#This Row],[Aantal maanden]])</f>
        <v>233348</v>
      </c>
      <c r="O13" s="40" t="str">
        <f>IF(Consent[[#This Row],[Model 2
(eis M1 t/m M27)]]="","",Consent[[#This Row],[Zw/w p/m]]*Consent[[#This Row],[Aantal maanden]])</f>
        <v/>
      </c>
      <c r="P13" s="40" t="str">
        <f>IF(Consent[[#This Row],[Model 2
(eis M1 t/m M27)]]="","",Consent[[#This Row],[kleur p/m]]*Consent[[#This Row],[Aantal maanden]])</f>
        <v/>
      </c>
      <c r="Q13" s="40">
        <f>IF(Consent[[#This Row],[Model 1
(eis M1 t/m M27)]]="","",Consent[[#This Row],['# zw/w afdrukken M1 tot 1-6-2028]]/4)</f>
        <v>139219</v>
      </c>
      <c r="R13" s="40">
        <f>IF(Consent[[#This Row],[Model 1
(eis M1 t/m M27)]]="","",Consent[[#This Row],['# kleur afdrukken M1 tot 1-6-2028]]/4)</f>
        <v>58337</v>
      </c>
      <c r="S13" s="40" t="str">
        <f>IF(Consent[[#This Row],[Model 2
(eis M1 t/m M27)]]="","",Consent[[#This Row],['# zw/w afdrukken M2 tot 1-6-20282]]/4)</f>
        <v/>
      </c>
      <c r="T13" s="40" t="str">
        <f>IF(Consent[[#This Row],[Model 2
(eis M1 t/m M27)]]="","",Consent[[#This Row],['# kleur afdrukken M2 tot 1-6-20283]]/4)</f>
        <v/>
      </c>
    </row>
    <row r="14" spans="1:20" s="37" customFormat="1" ht="16.5" customHeight="1" x14ac:dyDescent="0.35">
      <c r="A14" s="36" t="s">
        <v>102</v>
      </c>
      <c r="B14" s="43" t="s">
        <v>103</v>
      </c>
      <c r="C14" s="37" t="s">
        <v>104</v>
      </c>
      <c r="D14" s="37" t="s">
        <v>72</v>
      </c>
      <c r="E14" s="38">
        <v>1</v>
      </c>
      <c r="F14" s="38"/>
      <c r="G14" s="39">
        <v>45444</v>
      </c>
      <c r="H14" s="40">
        <v>145133</v>
      </c>
      <c r="I14" s="40">
        <v>93203</v>
      </c>
      <c r="J14" s="40">
        <f>Consent[[#This Row],[Zw/w p/j]]/12</f>
        <v>12094.416666666666</v>
      </c>
      <c r="K14" s="40">
        <f>Consent[[#This Row],[Kleur p/j]]/12</f>
        <v>7766.916666666667</v>
      </c>
      <c r="L14" s="40">
        <f>INT(_xlfn.DAYS($O$1,Consent[[#This Row],[Datum in gebruikname]])/30.41)</f>
        <v>48</v>
      </c>
      <c r="M14" s="40">
        <f>IF(Consent[[#This Row],[Model 1
(eis M1 t/m M27)]]="","",Consent[[#This Row],[Zw/w p/m]]*Consent[[#This Row],[Aantal maanden]])</f>
        <v>580532</v>
      </c>
      <c r="N14" s="40">
        <f>IF(Consent[[#This Row],[Model 1
(eis M1 t/m M27)]]="","",Consent[[#This Row],[kleur p/m]]*Consent[[#This Row],[Aantal maanden]])</f>
        <v>372812</v>
      </c>
      <c r="O14" s="40" t="str">
        <f>IF(Consent[[#This Row],[Model 2
(eis M1 t/m M27)]]="","",Consent[[#This Row],[Zw/w p/m]]*Consent[[#This Row],[Aantal maanden]])</f>
        <v/>
      </c>
      <c r="P14" s="40" t="str">
        <f>IF(Consent[[#This Row],[Model 2
(eis M1 t/m M27)]]="","",Consent[[#This Row],[kleur p/m]]*Consent[[#This Row],[Aantal maanden]])</f>
        <v/>
      </c>
      <c r="Q14" s="40">
        <f>IF(Consent[[#This Row],[Model 1
(eis M1 t/m M27)]]="","",Consent[[#This Row],['# zw/w afdrukken M1 tot 1-6-2028]]/4)</f>
        <v>145133</v>
      </c>
      <c r="R14" s="40">
        <f>IF(Consent[[#This Row],[Model 1
(eis M1 t/m M27)]]="","",Consent[[#This Row],['# kleur afdrukken M1 tot 1-6-2028]]/4)</f>
        <v>93203</v>
      </c>
      <c r="S14" s="40" t="str">
        <f>IF(Consent[[#This Row],[Model 2
(eis M1 t/m M27)]]="","",Consent[[#This Row],['# zw/w afdrukken M2 tot 1-6-20282]]/4)</f>
        <v/>
      </c>
      <c r="T14" s="40" t="str">
        <f>IF(Consent[[#This Row],[Model 2
(eis M1 t/m M27)]]="","",Consent[[#This Row],['# kleur afdrukken M2 tot 1-6-20283]]/4)</f>
        <v/>
      </c>
    </row>
    <row r="15" spans="1:20" s="37" customFormat="1" ht="16.5" customHeight="1" x14ac:dyDescent="0.35">
      <c r="A15" s="36" t="s">
        <v>105</v>
      </c>
      <c r="B15" s="43" t="s">
        <v>106</v>
      </c>
      <c r="C15" s="37" t="s">
        <v>107</v>
      </c>
      <c r="D15" s="37" t="s">
        <v>72</v>
      </c>
      <c r="E15" s="38">
        <v>1</v>
      </c>
      <c r="F15" s="38"/>
      <c r="G15" s="39">
        <v>45444</v>
      </c>
      <c r="H15" s="40">
        <v>133698</v>
      </c>
      <c r="I15" s="40">
        <v>27871</v>
      </c>
      <c r="J15" s="40">
        <f>Consent[[#This Row],[Zw/w p/j]]/12</f>
        <v>11141.5</v>
      </c>
      <c r="K15" s="40">
        <f>Consent[[#This Row],[Kleur p/j]]/12</f>
        <v>2322.5833333333335</v>
      </c>
      <c r="L15" s="40">
        <f>INT(_xlfn.DAYS($O$1,Consent[[#This Row],[Datum in gebruikname]])/30.41)</f>
        <v>48</v>
      </c>
      <c r="M15" s="40">
        <f>IF(Consent[[#This Row],[Model 1
(eis M1 t/m M27)]]="","",Consent[[#This Row],[Zw/w p/m]]*Consent[[#This Row],[Aantal maanden]])</f>
        <v>534792</v>
      </c>
      <c r="N15" s="40">
        <f>IF(Consent[[#This Row],[Model 1
(eis M1 t/m M27)]]="","",Consent[[#This Row],[kleur p/m]]*Consent[[#This Row],[Aantal maanden]])</f>
        <v>111484</v>
      </c>
      <c r="O15" s="40" t="str">
        <f>IF(Consent[[#This Row],[Model 2
(eis M1 t/m M27)]]="","",Consent[[#This Row],[Zw/w p/m]]*Consent[[#This Row],[Aantal maanden]])</f>
        <v/>
      </c>
      <c r="P15" s="40" t="str">
        <f>IF(Consent[[#This Row],[Model 2
(eis M1 t/m M27)]]="","",Consent[[#This Row],[kleur p/m]]*Consent[[#This Row],[Aantal maanden]])</f>
        <v/>
      </c>
      <c r="Q15" s="40">
        <f>IF(Consent[[#This Row],[Model 1
(eis M1 t/m M27)]]="","",Consent[[#This Row],['# zw/w afdrukken M1 tot 1-6-2028]]/4)</f>
        <v>133698</v>
      </c>
      <c r="R15" s="40">
        <f>IF(Consent[[#This Row],[Model 1
(eis M1 t/m M27)]]="","",Consent[[#This Row],['# kleur afdrukken M1 tot 1-6-2028]]/4)</f>
        <v>27871</v>
      </c>
      <c r="S15" s="40" t="str">
        <f>IF(Consent[[#This Row],[Model 2
(eis M1 t/m M27)]]="","",Consent[[#This Row],['# zw/w afdrukken M2 tot 1-6-20282]]/4)</f>
        <v/>
      </c>
      <c r="T15" s="40" t="str">
        <f>IF(Consent[[#This Row],[Model 2
(eis M1 t/m M27)]]="","",Consent[[#This Row],['# kleur afdrukken M2 tot 1-6-20283]]/4)</f>
        <v/>
      </c>
    </row>
    <row r="16" spans="1:20" s="37" customFormat="1" ht="16.5" customHeight="1" x14ac:dyDescent="0.35">
      <c r="A16" s="36" t="s">
        <v>345</v>
      </c>
      <c r="B16" s="43" t="s">
        <v>108</v>
      </c>
      <c r="C16" s="37" t="s">
        <v>109</v>
      </c>
      <c r="D16" s="37" t="s">
        <v>110</v>
      </c>
      <c r="E16" s="38">
        <v>1</v>
      </c>
      <c r="F16" s="38"/>
      <c r="G16" s="39">
        <v>45444</v>
      </c>
      <c r="H16" s="40">
        <v>137184</v>
      </c>
      <c r="I16" s="40">
        <v>72397</v>
      </c>
      <c r="J16" s="40">
        <f>Consent[[#This Row],[Zw/w p/j]]/12</f>
        <v>11432</v>
      </c>
      <c r="K16" s="40">
        <f>Consent[[#This Row],[Kleur p/j]]/12</f>
        <v>6033.083333333333</v>
      </c>
      <c r="L16" s="40">
        <f>INT(_xlfn.DAYS($O$1,Consent[[#This Row],[Datum in gebruikname]])/30.41)</f>
        <v>48</v>
      </c>
      <c r="M16" s="40">
        <f>IF(Consent[[#This Row],[Model 1
(eis M1 t/m M27)]]="","",Consent[[#This Row],[Zw/w p/m]]*Consent[[#This Row],[Aantal maanden]])</f>
        <v>548736</v>
      </c>
      <c r="N16" s="40">
        <f>IF(Consent[[#This Row],[Model 1
(eis M1 t/m M27)]]="","",Consent[[#This Row],[kleur p/m]]*Consent[[#This Row],[Aantal maanden]])</f>
        <v>289588</v>
      </c>
      <c r="O16" s="40" t="str">
        <f>IF(Consent[[#This Row],[Model 2
(eis M1 t/m M27)]]="","",Consent[[#This Row],[Zw/w p/m]]*Consent[[#This Row],[Aantal maanden]])</f>
        <v/>
      </c>
      <c r="P16" s="40" t="str">
        <f>IF(Consent[[#This Row],[Model 2
(eis M1 t/m M27)]]="","",Consent[[#This Row],[kleur p/m]]*Consent[[#This Row],[Aantal maanden]])</f>
        <v/>
      </c>
      <c r="Q16" s="40">
        <f>IF(Consent[[#This Row],[Model 1
(eis M1 t/m M27)]]="","",Consent[[#This Row],['# zw/w afdrukken M1 tot 1-6-2028]]/4)</f>
        <v>137184</v>
      </c>
      <c r="R16" s="40">
        <f>IF(Consent[[#This Row],[Model 1
(eis M1 t/m M27)]]="","",Consent[[#This Row],['# kleur afdrukken M1 tot 1-6-2028]]/4)</f>
        <v>72397</v>
      </c>
      <c r="S16" s="40" t="str">
        <f>IF(Consent[[#This Row],[Model 2
(eis M1 t/m M27)]]="","",Consent[[#This Row],['# zw/w afdrukken M2 tot 1-6-20282]]/4)</f>
        <v/>
      </c>
      <c r="T16" s="40" t="str">
        <f>IF(Consent[[#This Row],[Model 2
(eis M1 t/m M27)]]="","",Consent[[#This Row],['# kleur afdrukken M2 tot 1-6-20283]]/4)</f>
        <v/>
      </c>
    </row>
    <row r="17" spans="1:21" s="37" customFormat="1" ht="16.5" customHeight="1" x14ac:dyDescent="0.35">
      <c r="A17" s="36" t="s">
        <v>111</v>
      </c>
      <c r="B17" s="43" t="s">
        <v>112</v>
      </c>
      <c r="C17" s="37" t="s">
        <v>113</v>
      </c>
      <c r="D17" s="37" t="s">
        <v>72</v>
      </c>
      <c r="E17" s="38">
        <v>1</v>
      </c>
      <c r="F17" s="38"/>
      <c r="G17" s="39">
        <v>45444</v>
      </c>
      <c r="H17" s="40">
        <v>112155</v>
      </c>
      <c r="I17" s="40">
        <v>60286</v>
      </c>
      <c r="J17" s="40">
        <f>Consent[[#This Row],[Zw/w p/j]]/12</f>
        <v>9346.25</v>
      </c>
      <c r="K17" s="40">
        <f>Consent[[#This Row],[Kleur p/j]]/12</f>
        <v>5023.833333333333</v>
      </c>
      <c r="L17" s="40">
        <f>INT(_xlfn.DAYS($O$1,Consent[[#This Row],[Datum in gebruikname]])/30.41)</f>
        <v>48</v>
      </c>
      <c r="M17" s="40">
        <f>IF(Consent[[#This Row],[Model 1
(eis M1 t/m M27)]]="","",Consent[[#This Row],[Zw/w p/m]]*Consent[[#This Row],[Aantal maanden]])</f>
        <v>448620</v>
      </c>
      <c r="N17" s="40">
        <f>IF(Consent[[#This Row],[Model 1
(eis M1 t/m M27)]]="","",Consent[[#This Row],[kleur p/m]]*Consent[[#This Row],[Aantal maanden]])</f>
        <v>241144</v>
      </c>
      <c r="O17" s="40" t="str">
        <f>IF(Consent[[#This Row],[Model 2
(eis M1 t/m M27)]]="","",Consent[[#This Row],[Zw/w p/m]]*Consent[[#This Row],[Aantal maanden]])</f>
        <v/>
      </c>
      <c r="P17" s="40" t="str">
        <f>IF(Consent[[#This Row],[Model 2
(eis M1 t/m M27)]]="","",Consent[[#This Row],[kleur p/m]]*Consent[[#This Row],[Aantal maanden]])</f>
        <v/>
      </c>
      <c r="Q17" s="40">
        <f>IF(Consent[[#This Row],[Model 1
(eis M1 t/m M27)]]="","",Consent[[#This Row],['# zw/w afdrukken M1 tot 1-6-2028]]/4)</f>
        <v>112155</v>
      </c>
      <c r="R17" s="40">
        <f>IF(Consent[[#This Row],[Model 1
(eis M1 t/m M27)]]="","",Consent[[#This Row],['# kleur afdrukken M1 tot 1-6-2028]]/4)</f>
        <v>60286</v>
      </c>
      <c r="S17" s="40" t="str">
        <f>IF(Consent[[#This Row],[Model 2
(eis M1 t/m M27)]]="","",Consent[[#This Row],['# zw/w afdrukken M2 tot 1-6-20282]]/4)</f>
        <v/>
      </c>
      <c r="T17" s="40" t="str">
        <f>IF(Consent[[#This Row],[Model 2
(eis M1 t/m M27)]]="","",Consent[[#This Row],['# kleur afdrukken M2 tot 1-6-20283]]/4)</f>
        <v/>
      </c>
    </row>
    <row r="18" spans="1:21" s="37" customFormat="1" ht="16.5" customHeight="1" x14ac:dyDescent="0.35">
      <c r="A18" s="36" t="s">
        <v>114</v>
      </c>
      <c r="B18" s="43" t="s">
        <v>115</v>
      </c>
      <c r="C18" s="37" t="s">
        <v>116</v>
      </c>
      <c r="D18" s="37" t="s">
        <v>72</v>
      </c>
      <c r="E18" s="38"/>
      <c r="F18" s="38">
        <v>1</v>
      </c>
      <c r="G18" s="39">
        <v>45444</v>
      </c>
      <c r="H18" s="40">
        <v>98610</v>
      </c>
      <c r="I18" s="40">
        <v>102650</v>
      </c>
      <c r="J18" s="40">
        <f>Consent[[#This Row],[Zw/w p/j]]/12</f>
        <v>8217.5</v>
      </c>
      <c r="K18" s="40">
        <f>Consent[[#This Row],[Kleur p/j]]/12</f>
        <v>8554.1666666666661</v>
      </c>
      <c r="L18" s="40">
        <f>INT(_xlfn.DAYS($O$1,Consent[[#This Row],[Datum in gebruikname]])/30.41)</f>
        <v>48</v>
      </c>
      <c r="M18" s="40" t="str">
        <f>IF(Consent[[#This Row],[Model 1
(eis M1 t/m M27)]]="","",Consent[[#This Row],[Zw/w p/m]]*Consent[[#This Row],[Aantal maanden]])</f>
        <v/>
      </c>
      <c r="N18" s="40" t="str">
        <f>IF(Consent[[#This Row],[Model 1
(eis M1 t/m M27)]]="","",Consent[[#This Row],[kleur p/m]]*Consent[[#This Row],[Aantal maanden]])</f>
        <v/>
      </c>
      <c r="O18" s="40">
        <f>IF(Consent[[#This Row],[Model 2
(eis M1 t/m M27)]]="","",Consent[[#This Row],[Zw/w p/m]]*Consent[[#This Row],[Aantal maanden]])</f>
        <v>394440</v>
      </c>
      <c r="P18" s="40">
        <f>IF(Consent[[#This Row],[Model 2
(eis M1 t/m M27)]]="","",Consent[[#This Row],[kleur p/m]]*Consent[[#This Row],[Aantal maanden]])</f>
        <v>410600</v>
      </c>
      <c r="Q18" s="40" t="str">
        <f>IF(Consent[[#This Row],[Model 1
(eis M1 t/m M27)]]="","",Consent[[#This Row],['# zw/w afdrukken M1 tot 1-6-2028]]/4)</f>
        <v/>
      </c>
      <c r="R18" s="40" t="str">
        <f>IF(Consent[[#This Row],[Model 1
(eis M1 t/m M27)]]="","",Consent[[#This Row],['# kleur afdrukken M1 tot 1-6-2028]]/4)</f>
        <v/>
      </c>
      <c r="S18" s="40">
        <f>IF(Consent[[#This Row],[Model 2
(eis M1 t/m M27)]]="","",Consent[[#This Row],['# zw/w afdrukken M2 tot 1-6-20282]]/4)</f>
        <v>98610</v>
      </c>
      <c r="T18" s="40">
        <f>IF(Consent[[#This Row],[Model 2
(eis M1 t/m M27)]]="","",Consent[[#This Row],['# kleur afdrukken M2 tot 1-6-20283]]/4)</f>
        <v>102650</v>
      </c>
    </row>
    <row r="19" spans="1:21" s="35" customFormat="1" ht="16.5" customHeight="1" x14ac:dyDescent="0.35">
      <c r="A19" s="36" t="s">
        <v>117</v>
      </c>
      <c r="B19" s="43" t="s">
        <v>118</v>
      </c>
      <c r="C19" s="37" t="s">
        <v>119</v>
      </c>
      <c r="D19" s="37" t="s">
        <v>120</v>
      </c>
      <c r="E19" s="38">
        <v>1</v>
      </c>
      <c r="F19" s="38"/>
      <c r="G19" s="39">
        <v>45444</v>
      </c>
      <c r="H19" s="40">
        <v>54509</v>
      </c>
      <c r="I19" s="40">
        <v>35555</v>
      </c>
      <c r="J19" s="40">
        <f>Consent[[#This Row],[Zw/w p/j]]/12</f>
        <v>4542.416666666667</v>
      </c>
      <c r="K19" s="40">
        <f>Consent[[#This Row],[Kleur p/j]]/12</f>
        <v>2962.9166666666665</v>
      </c>
      <c r="L19" s="40">
        <f>INT(_xlfn.DAYS($O$1,Consent[[#This Row],[Datum in gebruikname]])/30.41)</f>
        <v>48</v>
      </c>
      <c r="M19" s="40">
        <f>IF(Consent[[#This Row],[Model 1
(eis M1 t/m M27)]]="","",Consent[[#This Row],[Zw/w p/m]]*Consent[[#This Row],[Aantal maanden]])</f>
        <v>218036</v>
      </c>
      <c r="N19" s="40">
        <f>IF(Consent[[#This Row],[Model 1
(eis M1 t/m M27)]]="","",Consent[[#This Row],[kleur p/m]]*Consent[[#This Row],[Aantal maanden]])</f>
        <v>142220</v>
      </c>
      <c r="O19" s="40" t="str">
        <f>IF(Consent[[#This Row],[Model 2
(eis M1 t/m M27)]]="","",Consent[[#This Row],[Zw/w p/m]]*Consent[[#This Row],[Aantal maanden]])</f>
        <v/>
      </c>
      <c r="P19" s="40" t="str">
        <f>IF(Consent[[#This Row],[Model 2
(eis M1 t/m M27)]]="","",Consent[[#This Row],[kleur p/m]]*Consent[[#This Row],[Aantal maanden]])</f>
        <v/>
      </c>
      <c r="Q19" s="40">
        <f>IF(Consent[[#This Row],[Model 1
(eis M1 t/m M27)]]="","",Consent[[#This Row],['# zw/w afdrukken M1 tot 1-6-2028]]/4)</f>
        <v>54509</v>
      </c>
      <c r="R19" s="40">
        <f>IF(Consent[[#This Row],[Model 1
(eis M1 t/m M27)]]="","",Consent[[#This Row],['# kleur afdrukken M1 tot 1-6-2028]]/4)</f>
        <v>35555</v>
      </c>
      <c r="S19" s="40" t="str">
        <f>IF(Consent[[#This Row],[Model 2
(eis M1 t/m M27)]]="","",Consent[[#This Row],['# zw/w afdrukken M2 tot 1-6-20282]]/4)</f>
        <v/>
      </c>
      <c r="T19" s="40" t="str">
        <f>IF(Consent[[#This Row],[Model 2
(eis M1 t/m M27)]]="","",Consent[[#This Row],['# kleur afdrukken M2 tot 1-6-20283]]/4)</f>
        <v/>
      </c>
    </row>
    <row r="20" spans="1:21" s="35" customFormat="1" ht="16.5" customHeight="1" x14ac:dyDescent="0.35">
      <c r="A20" s="36" t="s">
        <v>55</v>
      </c>
      <c r="B20" s="43" t="s">
        <v>121</v>
      </c>
      <c r="C20" s="37" t="s">
        <v>122</v>
      </c>
      <c r="D20" s="37" t="s">
        <v>72</v>
      </c>
      <c r="E20" s="38">
        <v>1</v>
      </c>
      <c r="F20" s="38"/>
      <c r="G20" s="39">
        <v>45444</v>
      </c>
      <c r="H20" s="40">
        <v>130723</v>
      </c>
      <c r="I20" s="40">
        <v>96616</v>
      </c>
      <c r="J20" s="40">
        <f>Consent[[#This Row],[Zw/w p/j]]/12</f>
        <v>10893.583333333334</v>
      </c>
      <c r="K20" s="40">
        <f>Consent[[#This Row],[Kleur p/j]]/12</f>
        <v>8051.333333333333</v>
      </c>
      <c r="L20" s="40">
        <f>INT(_xlfn.DAYS($O$1,Consent[[#This Row],[Datum in gebruikname]])/30.41)</f>
        <v>48</v>
      </c>
      <c r="M20" s="40">
        <f>IF(Consent[[#This Row],[Model 1
(eis M1 t/m M27)]]="","",Consent[[#This Row],[Zw/w p/m]]*Consent[[#This Row],[Aantal maanden]])</f>
        <v>522892</v>
      </c>
      <c r="N20" s="40">
        <f>IF(Consent[[#This Row],[Model 1
(eis M1 t/m M27)]]="","",Consent[[#This Row],[kleur p/m]]*Consent[[#This Row],[Aantal maanden]])</f>
        <v>386464</v>
      </c>
      <c r="O20" s="40" t="str">
        <f>IF(Consent[[#This Row],[Model 2
(eis M1 t/m M27)]]="","",Consent[[#This Row],[Zw/w p/m]]*Consent[[#This Row],[Aantal maanden]])</f>
        <v/>
      </c>
      <c r="P20" s="40" t="str">
        <f>IF(Consent[[#This Row],[Model 2
(eis M1 t/m M27)]]="","",Consent[[#This Row],[kleur p/m]]*Consent[[#This Row],[Aantal maanden]])</f>
        <v/>
      </c>
      <c r="Q20" s="40">
        <f>IF(Consent[[#This Row],[Model 1
(eis M1 t/m M27)]]="","",Consent[[#This Row],['# zw/w afdrukken M1 tot 1-6-2028]]/4)</f>
        <v>130723</v>
      </c>
      <c r="R20" s="40">
        <f>IF(Consent[[#This Row],[Model 1
(eis M1 t/m M27)]]="","",Consent[[#This Row],['# kleur afdrukken M1 tot 1-6-2028]]/4)</f>
        <v>96616</v>
      </c>
      <c r="S20" s="40" t="str">
        <f>IF(Consent[[#This Row],[Model 2
(eis M1 t/m M27)]]="","",Consent[[#This Row],['# zw/w afdrukken M2 tot 1-6-20282]]/4)</f>
        <v/>
      </c>
      <c r="T20" s="40" t="str">
        <f>IF(Consent[[#This Row],[Model 2
(eis M1 t/m M27)]]="","",Consent[[#This Row],['# kleur afdrukken M2 tot 1-6-20283]]/4)</f>
        <v/>
      </c>
    </row>
    <row r="21" spans="1:21" s="35" customFormat="1" ht="16.5" customHeight="1" x14ac:dyDescent="0.35">
      <c r="A21" s="36" t="s">
        <v>123</v>
      </c>
      <c r="B21" s="43" t="s">
        <v>124</v>
      </c>
      <c r="C21" s="37" t="s">
        <v>125</v>
      </c>
      <c r="D21" s="37" t="s">
        <v>72</v>
      </c>
      <c r="E21" s="38"/>
      <c r="F21" s="38">
        <v>1</v>
      </c>
      <c r="G21" s="39">
        <v>45444</v>
      </c>
      <c r="H21" s="40">
        <v>97585</v>
      </c>
      <c r="I21" s="40">
        <v>116666</v>
      </c>
      <c r="J21" s="40">
        <f>Consent[[#This Row],[Zw/w p/j]]/12</f>
        <v>8132.083333333333</v>
      </c>
      <c r="K21" s="40">
        <f>Consent[[#This Row],[Kleur p/j]]/12</f>
        <v>9722.1666666666661</v>
      </c>
      <c r="L21" s="40">
        <f>INT(_xlfn.DAYS($O$1,Consent[[#This Row],[Datum in gebruikname]])/30.41)</f>
        <v>48</v>
      </c>
      <c r="M21" s="40" t="str">
        <f>IF(Consent[[#This Row],[Model 1
(eis M1 t/m M27)]]="","",Consent[[#This Row],[Zw/w p/m]]*Consent[[#This Row],[Aantal maanden]])</f>
        <v/>
      </c>
      <c r="N21" s="40" t="str">
        <f>IF(Consent[[#This Row],[Model 1
(eis M1 t/m M27)]]="","",Consent[[#This Row],[kleur p/m]]*Consent[[#This Row],[Aantal maanden]])</f>
        <v/>
      </c>
      <c r="O21" s="40">
        <f>IF(Consent[[#This Row],[Model 2
(eis M1 t/m M27)]]="","",Consent[[#This Row],[Zw/w p/m]]*Consent[[#This Row],[Aantal maanden]])</f>
        <v>390340</v>
      </c>
      <c r="P21" s="40">
        <f>IF(Consent[[#This Row],[Model 2
(eis M1 t/m M27)]]="","",Consent[[#This Row],[kleur p/m]]*Consent[[#This Row],[Aantal maanden]])</f>
        <v>466664</v>
      </c>
      <c r="Q21" s="40" t="str">
        <f>IF(Consent[[#This Row],[Model 1
(eis M1 t/m M27)]]="","",Consent[[#This Row],['# zw/w afdrukken M1 tot 1-6-2028]]/4)</f>
        <v/>
      </c>
      <c r="R21" s="40" t="str">
        <f>IF(Consent[[#This Row],[Model 1
(eis M1 t/m M27)]]="","",Consent[[#This Row],['# kleur afdrukken M1 tot 1-6-2028]]/4)</f>
        <v/>
      </c>
      <c r="S21" s="40">
        <f>IF(Consent[[#This Row],[Model 2
(eis M1 t/m M27)]]="","",Consent[[#This Row],['# zw/w afdrukken M2 tot 1-6-20282]]/4)</f>
        <v>97585</v>
      </c>
      <c r="T21" s="40">
        <f>IF(Consent[[#This Row],[Model 2
(eis M1 t/m M27)]]="","",Consent[[#This Row],['# kleur afdrukken M2 tot 1-6-20283]]/4)</f>
        <v>116666</v>
      </c>
    </row>
    <row r="22" spans="1:21" s="35" customFormat="1" ht="16.5" customHeight="1" x14ac:dyDescent="0.35">
      <c r="A22" s="36" t="s">
        <v>126</v>
      </c>
      <c r="B22" s="43" t="s">
        <v>127</v>
      </c>
      <c r="C22" s="37" t="s">
        <v>128</v>
      </c>
      <c r="D22" s="37" t="s">
        <v>72</v>
      </c>
      <c r="E22" s="38">
        <v>1</v>
      </c>
      <c r="F22" s="38"/>
      <c r="G22" s="39">
        <v>45444</v>
      </c>
      <c r="H22" s="40">
        <v>69311</v>
      </c>
      <c r="I22" s="40">
        <v>80551</v>
      </c>
      <c r="J22" s="40">
        <f>Consent[[#This Row],[Zw/w p/j]]/12</f>
        <v>5775.916666666667</v>
      </c>
      <c r="K22" s="40">
        <f>Consent[[#This Row],[Kleur p/j]]/12</f>
        <v>6712.583333333333</v>
      </c>
      <c r="L22" s="40">
        <f>INT(_xlfn.DAYS($O$1,Consent[[#This Row],[Datum in gebruikname]])/30.41)</f>
        <v>48</v>
      </c>
      <c r="M22" s="40">
        <f>IF(Consent[[#This Row],[Model 1
(eis M1 t/m M27)]]="","",Consent[[#This Row],[Zw/w p/m]]*Consent[[#This Row],[Aantal maanden]])</f>
        <v>277244</v>
      </c>
      <c r="N22" s="40">
        <f>IF(Consent[[#This Row],[Model 1
(eis M1 t/m M27)]]="","",Consent[[#This Row],[kleur p/m]]*Consent[[#This Row],[Aantal maanden]])</f>
        <v>322204</v>
      </c>
      <c r="O22" s="40" t="str">
        <f>IF(Consent[[#This Row],[Model 2
(eis M1 t/m M27)]]="","",Consent[[#This Row],[Zw/w p/m]]*Consent[[#This Row],[Aantal maanden]])</f>
        <v/>
      </c>
      <c r="P22" s="40" t="str">
        <f>IF(Consent[[#This Row],[Model 2
(eis M1 t/m M27)]]="","",Consent[[#This Row],[kleur p/m]]*Consent[[#This Row],[Aantal maanden]])</f>
        <v/>
      </c>
      <c r="Q22" s="40">
        <f>IF(Consent[[#This Row],[Model 1
(eis M1 t/m M27)]]="","",Consent[[#This Row],['# zw/w afdrukken M1 tot 1-6-2028]]/4)</f>
        <v>69311</v>
      </c>
      <c r="R22" s="40">
        <f>IF(Consent[[#This Row],[Model 1
(eis M1 t/m M27)]]="","",Consent[[#This Row],['# kleur afdrukken M1 tot 1-6-2028]]/4)</f>
        <v>80551</v>
      </c>
      <c r="S22" s="40" t="str">
        <f>IF(Consent[[#This Row],[Model 2
(eis M1 t/m M27)]]="","",Consent[[#This Row],['# zw/w afdrukken M2 tot 1-6-20282]]/4)</f>
        <v/>
      </c>
      <c r="T22" s="40" t="str">
        <f>IF(Consent[[#This Row],[Model 2
(eis M1 t/m M27)]]="","",Consent[[#This Row],['# kleur afdrukken M2 tot 1-6-20283]]/4)</f>
        <v/>
      </c>
    </row>
    <row r="23" spans="1:21" s="35" customFormat="1" ht="16.5" customHeight="1" x14ac:dyDescent="0.35">
      <c r="A23" s="36" t="s">
        <v>129</v>
      </c>
      <c r="B23" s="43" t="s">
        <v>130</v>
      </c>
      <c r="C23" s="37" t="s">
        <v>131</v>
      </c>
      <c r="D23" s="37" t="s">
        <v>72</v>
      </c>
      <c r="E23" s="38"/>
      <c r="F23" s="38">
        <v>1</v>
      </c>
      <c r="G23" s="39">
        <v>45444</v>
      </c>
      <c r="H23" s="40">
        <v>87996</v>
      </c>
      <c r="I23" s="40">
        <v>61356</v>
      </c>
      <c r="J23" s="40">
        <f>Consent[[#This Row],[Zw/w p/j]]/12</f>
        <v>7333</v>
      </c>
      <c r="K23" s="40">
        <f>Consent[[#This Row],[Kleur p/j]]/12</f>
        <v>5113</v>
      </c>
      <c r="L23" s="40">
        <f>INT(_xlfn.DAYS($O$1,Consent[[#This Row],[Datum in gebruikname]])/30.41)</f>
        <v>48</v>
      </c>
      <c r="M23" s="40" t="str">
        <f>IF(Consent[[#This Row],[Model 1
(eis M1 t/m M27)]]="","",Consent[[#This Row],[Zw/w p/m]]*Consent[[#This Row],[Aantal maanden]])</f>
        <v/>
      </c>
      <c r="N23" s="40" t="str">
        <f>IF(Consent[[#This Row],[Model 1
(eis M1 t/m M27)]]="","",Consent[[#This Row],[kleur p/m]]*Consent[[#This Row],[Aantal maanden]])</f>
        <v/>
      </c>
      <c r="O23" s="40">
        <f>IF(Consent[[#This Row],[Model 2
(eis M1 t/m M27)]]="","",Consent[[#This Row],[Zw/w p/m]]*Consent[[#This Row],[Aantal maanden]])</f>
        <v>351984</v>
      </c>
      <c r="P23" s="40">
        <f>IF(Consent[[#This Row],[Model 2
(eis M1 t/m M27)]]="","",Consent[[#This Row],[kleur p/m]]*Consent[[#This Row],[Aantal maanden]])</f>
        <v>245424</v>
      </c>
      <c r="Q23" s="40" t="str">
        <f>IF(Consent[[#This Row],[Model 1
(eis M1 t/m M27)]]="","",Consent[[#This Row],['# zw/w afdrukken M1 tot 1-6-2028]]/4)</f>
        <v/>
      </c>
      <c r="R23" s="40" t="str">
        <f>IF(Consent[[#This Row],[Model 1
(eis M1 t/m M27)]]="","",Consent[[#This Row],['# kleur afdrukken M1 tot 1-6-2028]]/4)</f>
        <v/>
      </c>
      <c r="S23" s="40">
        <f>IF(Consent[[#This Row],[Model 2
(eis M1 t/m M27)]]="","",Consent[[#This Row],['# zw/w afdrukken M2 tot 1-6-20282]]/4)</f>
        <v>87996</v>
      </c>
      <c r="T23" s="40">
        <f>IF(Consent[[#This Row],[Model 2
(eis M1 t/m M27)]]="","",Consent[[#This Row],['# kleur afdrukken M2 tot 1-6-20283]]/4)</f>
        <v>61356</v>
      </c>
    </row>
    <row r="24" spans="1:21" s="35" customFormat="1" ht="16.5" customHeight="1" x14ac:dyDescent="0.35">
      <c r="A24" s="36" t="s">
        <v>132</v>
      </c>
      <c r="B24" s="43" t="s">
        <v>133</v>
      </c>
      <c r="C24" s="37" t="s">
        <v>134</v>
      </c>
      <c r="D24" s="37" t="s">
        <v>72</v>
      </c>
      <c r="E24" s="38">
        <v>1</v>
      </c>
      <c r="F24" s="38"/>
      <c r="G24" s="39">
        <v>45444</v>
      </c>
      <c r="H24" s="40">
        <v>150753</v>
      </c>
      <c r="I24" s="40">
        <v>49932</v>
      </c>
      <c r="J24" s="40">
        <f>Consent[[#This Row],[Zw/w p/j]]/12</f>
        <v>12562.75</v>
      </c>
      <c r="K24" s="40">
        <f>Consent[[#This Row],[Kleur p/j]]/12</f>
        <v>4161</v>
      </c>
      <c r="L24" s="40">
        <f>INT(_xlfn.DAYS($O$1,Consent[[#This Row],[Datum in gebruikname]])/30.41)</f>
        <v>48</v>
      </c>
      <c r="M24" s="40">
        <f>IF(Consent[[#This Row],[Model 1
(eis M1 t/m M27)]]="","",Consent[[#This Row],[Zw/w p/m]]*Consent[[#This Row],[Aantal maanden]])</f>
        <v>603012</v>
      </c>
      <c r="N24" s="40">
        <f>IF(Consent[[#This Row],[Model 1
(eis M1 t/m M27)]]="","",Consent[[#This Row],[kleur p/m]]*Consent[[#This Row],[Aantal maanden]])</f>
        <v>199728</v>
      </c>
      <c r="O24" s="40" t="str">
        <f>IF(Consent[[#This Row],[Model 2
(eis M1 t/m M27)]]="","",Consent[[#This Row],[Zw/w p/m]]*Consent[[#This Row],[Aantal maanden]])</f>
        <v/>
      </c>
      <c r="P24" s="40" t="str">
        <f>IF(Consent[[#This Row],[Model 2
(eis M1 t/m M27)]]="","",Consent[[#This Row],[kleur p/m]]*Consent[[#This Row],[Aantal maanden]])</f>
        <v/>
      </c>
      <c r="Q24" s="40">
        <f>IF(Consent[[#This Row],[Model 1
(eis M1 t/m M27)]]="","",Consent[[#This Row],['# zw/w afdrukken M1 tot 1-6-2028]]/4)</f>
        <v>150753</v>
      </c>
      <c r="R24" s="40">
        <f>IF(Consent[[#This Row],[Model 1
(eis M1 t/m M27)]]="","",Consent[[#This Row],['# kleur afdrukken M1 tot 1-6-2028]]/4)</f>
        <v>49932</v>
      </c>
      <c r="S24" s="40" t="str">
        <f>IF(Consent[[#This Row],[Model 2
(eis M1 t/m M27)]]="","",Consent[[#This Row],['# zw/w afdrukken M2 tot 1-6-20282]]/4)</f>
        <v/>
      </c>
      <c r="T24" s="40" t="str">
        <f>IF(Consent[[#This Row],[Model 2
(eis M1 t/m M27)]]="","",Consent[[#This Row],['# kleur afdrukken M2 tot 1-6-20283]]/4)</f>
        <v/>
      </c>
    </row>
    <row r="25" spans="1:21" s="35" customFormat="1" ht="16.5" customHeight="1" x14ac:dyDescent="0.35">
      <c r="A25" s="36" t="s">
        <v>135</v>
      </c>
      <c r="B25" s="43" t="s">
        <v>136</v>
      </c>
      <c r="C25" s="37" t="s">
        <v>137</v>
      </c>
      <c r="D25" s="37" t="s">
        <v>72</v>
      </c>
      <c r="E25" s="38">
        <v>1</v>
      </c>
      <c r="F25" s="38"/>
      <c r="G25" s="39">
        <v>45444</v>
      </c>
      <c r="H25" s="40">
        <v>89936</v>
      </c>
      <c r="I25" s="40">
        <v>59481</v>
      </c>
      <c r="J25" s="40">
        <f>Consent[[#This Row],[Zw/w p/j]]/12</f>
        <v>7494.666666666667</v>
      </c>
      <c r="K25" s="40">
        <f>Consent[[#This Row],[Kleur p/j]]/12</f>
        <v>4956.75</v>
      </c>
      <c r="L25" s="40">
        <f>INT(_xlfn.DAYS($O$1,Consent[[#This Row],[Datum in gebruikname]])/30.41)</f>
        <v>48</v>
      </c>
      <c r="M25" s="40">
        <f>IF(Consent[[#This Row],[Model 1
(eis M1 t/m M27)]]="","",Consent[[#This Row],[Zw/w p/m]]*Consent[[#This Row],[Aantal maanden]])</f>
        <v>359744</v>
      </c>
      <c r="N25" s="40">
        <f>IF(Consent[[#This Row],[Model 1
(eis M1 t/m M27)]]="","",Consent[[#This Row],[kleur p/m]]*Consent[[#This Row],[Aantal maanden]])</f>
        <v>237924</v>
      </c>
      <c r="O25" s="40" t="str">
        <f>IF(Consent[[#This Row],[Model 2
(eis M1 t/m M27)]]="","",Consent[[#This Row],[Zw/w p/m]]*Consent[[#This Row],[Aantal maanden]])</f>
        <v/>
      </c>
      <c r="P25" s="40" t="str">
        <f>IF(Consent[[#This Row],[Model 2
(eis M1 t/m M27)]]="","",Consent[[#This Row],[kleur p/m]]*Consent[[#This Row],[Aantal maanden]])</f>
        <v/>
      </c>
      <c r="Q25" s="40">
        <f>IF(Consent[[#This Row],[Model 1
(eis M1 t/m M27)]]="","",Consent[[#This Row],['# zw/w afdrukken M1 tot 1-6-2028]]/4)</f>
        <v>89936</v>
      </c>
      <c r="R25" s="40">
        <f>IF(Consent[[#This Row],[Model 1
(eis M1 t/m M27)]]="","",Consent[[#This Row],['# kleur afdrukken M1 tot 1-6-2028]]/4)</f>
        <v>59481</v>
      </c>
      <c r="S25" s="40" t="str">
        <f>IF(Consent[[#This Row],[Model 2
(eis M1 t/m M27)]]="","",Consent[[#This Row],['# zw/w afdrukken M2 tot 1-6-20282]]/4)</f>
        <v/>
      </c>
      <c r="T25" s="40" t="str">
        <f>IF(Consent[[#This Row],[Model 2
(eis M1 t/m M27)]]="","",Consent[[#This Row],['# kleur afdrukken M2 tot 1-6-20283]]/4)</f>
        <v/>
      </c>
    </row>
    <row r="26" spans="1:21" s="35" customFormat="1" ht="16.5" customHeight="1" x14ac:dyDescent="0.35">
      <c r="A26" s="36" t="s">
        <v>138</v>
      </c>
      <c r="B26" s="43" t="s">
        <v>139</v>
      </c>
      <c r="C26" s="37" t="s">
        <v>140</v>
      </c>
      <c r="D26" s="37" t="s">
        <v>72</v>
      </c>
      <c r="E26" s="38"/>
      <c r="F26" s="38">
        <v>1</v>
      </c>
      <c r="G26" s="39">
        <v>45444</v>
      </c>
      <c r="H26" s="40">
        <v>99943</v>
      </c>
      <c r="I26" s="40">
        <v>90015</v>
      </c>
      <c r="J26" s="40">
        <f>Consent[[#This Row],[Zw/w p/j]]/12</f>
        <v>8328.5833333333339</v>
      </c>
      <c r="K26" s="40">
        <f>Consent[[#This Row],[Kleur p/j]]/12</f>
        <v>7501.25</v>
      </c>
      <c r="L26" s="40">
        <f>INT(_xlfn.DAYS($O$1,Consent[[#This Row],[Datum in gebruikname]])/30.41)</f>
        <v>48</v>
      </c>
      <c r="M26" s="40" t="str">
        <f>IF(Consent[[#This Row],[Model 1
(eis M1 t/m M27)]]="","",Consent[[#This Row],[Zw/w p/m]]*Consent[[#This Row],[Aantal maanden]])</f>
        <v/>
      </c>
      <c r="N26" s="40" t="str">
        <f>IF(Consent[[#This Row],[Model 1
(eis M1 t/m M27)]]="","",Consent[[#This Row],[kleur p/m]]*Consent[[#This Row],[Aantal maanden]])</f>
        <v/>
      </c>
      <c r="O26" s="40">
        <f>IF(Consent[[#This Row],[Model 2
(eis M1 t/m M27)]]="","",Consent[[#This Row],[Zw/w p/m]]*Consent[[#This Row],[Aantal maanden]])</f>
        <v>399772</v>
      </c>
      <c r="P26" s="40">
        <f>IF(Consent[[#This Row],[Model 2
(eis M1 t/m M27)]]="","",Consent[[#This Row],[kleur p/m]]*Consent[[#This Row],[Aantal maanden]])</f>
        <v>360060</v>
      </c>
      <c r="Q26" s="40" t="str">
        <f>IF(Consent[[#This Row],[Model 1
(eis M1 t/m M27)]]="","",Consent[[#This Row],['# zw/w afdrukken M1 tot 1-6-2028]]/4)</f>
        <v/>
      </c>
      <c r="R26" s="40" t="str">
        <f>IF(Consent[[#This Row],[Model 1
(eis M1 t/m M27)]]="","",Consent[[#This Row],['# kleur afdrukken M1 tot 1-6-2028]]/4)</f>
        <v/>
      </c>
      <c r="S26" s="40">
        <f>IF(Consent[[#This Row],[Model 2
(eis M1 t/m M27)]]="","",Consent[[#This Row],['# zw/w afdrukken M2 tot 1-6-20282]]/4)</f>
        <v>99943</v>
      </c>
      <c r="T26" s="40">
        <f>IF(Consent[[#This Row],[Model 2
(eis M1 t/m M27)]]="","",Consent[[#This Row],['# kleur afdrukken M2 tot 1-6-20283]]/4)</f>
        <v>90015</v>
      </c>
    </row>
    <row r="27" spans="1:21" s="35" customFormat="1" ht="16.5" customHeight="1" x14ac:dyDescent="0.35">
      <c r="A27" s="36" t="s">
        <v>141</v>
      </c>
      <c r="B27" s="36" t="s">
        <v>142</v>
      </c>
      <c r="C27" s="37" t="s">
        <v>143</v>
      </c>
      <c r="D27" s="37" t="s">
        <v>72</v>
      </c>
      <c r="E27" s="38">
        <v>1</v>
      </c>
      <c r="F27" s="38"/>
      <c r="G27" s="39">
        <v>45444</v>
      </c>
      <c r="H27" s="40">
        <v>81974</v>
      </c>
      <c r="I27" s="40">
        <v>91857</v>
      </c>
      <c r="J27" s="40">
        <f>Consent[[#This Row],[Zw/w p/j]]/12</f>
        <v>6831.166666666667</v>
      </c>
      <c r="K27" s="40">
        <f>Consent[[#This Row],[Kleur p/j]]/12</f>
        <v>7654.75</v>
      </c>
      <c r="L27" s="42">
        <f>INT(_xlfn.DAYS($O$1,Consent[[#This Row],[Datum in gebruikname]])/30.41)</f>
        <v>48</v>
      </c>
      <c r="M27" s="40">
        <f>IF(Consent[[#This Row],[Model 1
(eis M1 t/m M27)]]="","",Consent[[#This Row],[Zw/w p/m]]*Consent[[#This Row],[Aantal maanden]])</f>
        <v>327896</v>
      </c>
      <c r="N27" s="40">
        <f>IF(Consent[[#This Row],[Model 1
(eis M1 t/m M27)]]="","",Consent[[#This Row],[kleur p/m]]*Consent[[#This Row],[Aantal maanden]])</f>
        <v>367428</v>
      </c>
      <c r="O27" s="40" t="str">
        <f>IF(Consent[[#This Row],[Model 2
(eis M1 t/m M27)]]="","",Consent[[#This Row],[Zw/w p/m]]*Consent[[#This Row],[Aantal maanden]])</f>
        <v/>
      </c>
      <c r="P27" s="40" t="str">
        <f>IF(Consent[[#This Row],[Model 2
(eis M1 t/m M27)]]="","",Consent[[#This Row],[kleur p/m]]*Consent[[#This Row],[Aantal maanden]])</f>
        <v/>
      </c>
      <c r="Q27" s="40">
        <f>IF(Consent[[#This Row],[Model 1
(eis M1 t/m M27)]]="","",Consent[[#This Row],['# zw/w afdrukken M1 tot 1-6-2028]]/4)</f>
        <v>81974</v>
      </c>
      <c r="R27" s="40">
        <f>IF(Consent[[#This Row],[Model 1
(eis M1 t/m M27)]]="","",Consent[[#This Row],['# kleur afdrukken M1 tot 1-6-2028]]/4)</f>
        <v>91857</v>
      </c>
      <c r="S27" s="40" t="str">
        <f>IF(Consent[[#This Row],[Model 2
(eis M1 t/m M27)]]="","",Consent[[#This Row],['# zw/w afdrukken M2 tot 1-6-20282]]/4)</f>
        <v/>
      </c>
      <c r="T27" s="40" t="str">
        <f>IF(Consent[[#This Row],[Model 2
(eis M1 t/m M27)]]="","",Consent[[#This Row],['# kleur afdrukken M2 tot 1-6-20283]]/4)</f>
        <v/>
      </c>
    </row>
    <row r="28" spans="1:21" s="35" customFormat="1" ht="16.5" customHeight="1" x14ac:dyDescent="0.35">
      <c r="A28" s="36" t="s">
        <v>144</v>
      </c>
      <c r="B28" s="36" t="s">
        <v>145</v>
      </c>
      <c r="C28" s="37" t="s">
        <v>146</v>
      </c>
      <c r="D28" s="37" t="s">
        <v>72</v>
      </c>
      <c r="E28" s="38">
        <v>1</v>
      </c>
      <c r="F28" s="38"/>
      <c r="G28" s="39">
        <v>45444</v>
      </c>
      <c r="H28" s="40">
        <v>36369</v>
      </c>
      <c r="I28" s="40">
        <v>54991</v>
      </c>
      <c r="J28" s="40">
        <f>Consent[[#This Row],[Zw/w p/j]]/12</f>
        <v>3030.75</v>
      </c>
      <c r="K28" s="40">
        <f>Consent[[#This Row],[Kleur p/j]]/12</f>
        <v>4582.583333333333</v>
      </c>
      <c r="L28" s="42">
        <f>INT(_xlfn.DAYS($O$1,Consent[[#This Row],[Datum in gebruikname]])/30.41)</f>
        <v>48</v>
      </c>
      <c r="M28" s="40">
        <f>IF(Consent[[#This Row],[Model 1
(eis M1 t/m M27)]]="","",Consent[[#This Row],[Zw/w p/m]]*Consent[[#This Row],[Aantal maanden]])</f>
        <v>145476</v>
      </c>
      <c r="N28" s="40">
        <f>IF(Consent[[#This Row],[Model 1
(eis M1 t/m M27)]]="","",Consent[[#This Row],[kleur p/m]]*Consent[[#This Row],[Aantal maanden]])</f>
        <v>219964</v>
      </c>
      <c r="O28" s="40" t="str">
        <f>IF(Consent[[#This Row],[Model 2
(eis M1 t/m M27)]]="","",Consent[[#This Row],[Zw/w p/m]]*Consent[[#This Row],[Aantal maanden]])</f>
        <v/>
      </c>
      <c r="P28" s="40" t="str">
        <f>IF(Consent[[#This Row],[Model 2
(eis M1 t/m M27)]]="","",Consent[[#This Row],[kleur p/m]]*Consent[[#This Row],[Aantal maanden]])</f>
        <v/>
      </c>
      <c r="Q28" s="40">
        <f>IF(Consent[[#This Row],[Model 1
(eis M1 t/m M27)]]="","",Consent[[#This Row],['# zw/w afdrukken M1 tot 1-6-2028]]/4)</f>
        <v>36369</v>
      </c>
      <c r="R28" s="40">
        <f>IF(Consent[[#This Row],[Model 1
(eis M1 t/m M27)]]="","",Consent[[#This Row],['# kleur afdrukken M1 tot 1-6-2028]]/4)</f>
        <v>54991</v>
      </c>
      <c r="S28" s="40" t="str">
        <f>IF(Consent[[#This Row],[Model 2
(eis M1 t/m M27)]]="","",Consent[[#This Row],['# zw/w afdrukken M2 tot 1-6-20282]]/4)</f>
        <v/>
      </c>
      <c r="T28" s="40" t="str">
        <f>IF(Consent[[#This Row],[Model 2
(eis M1 t/m M27)]]="","",Consent[[#This Row],['# kleur afdrukken M2 tot 1-6-20283]]/4)</f>
        <v/>
      </c>
    </row>
    <row r="29" spans="1:21" s="35" customFormat="1" ht="16.5" customHeight="1" x14ac:dyDescent="0.35">
      <c r="A29" s="43" t="s">
        <v>148</v>
      </c>
      <c r="B29" s="43" t="s">
        <v>149</v>
      </c>
      <c r="C29" s="37" t="s">
        <v>150</v>
      </c>
      <c r="D29" s="37" t="s">
        <v>72</v>
      </c>
      <c r="E29" s="38">
        <v>1</v>
      </c>
      <c r="F29" s="38"/>
      <c r="G29" s="39">
        <v>45444</v>
      </c>
      <c r="H29" s="40">
        <v>87393</v>
      </c>
      <c r="I29" s="40">
        <v>145156</v>
      </c>
      <c r="J29" s="40">
        <f>Consent[[#This Row],[Zw/w p/j]]/12</f>
        <v>7282.75</v>
      </c>
      <c r="K29" s="40">
        <f>Consent[[#This Row],[Kleur p/j]]/12</f>
        <v>12096.333333333334</v>
      </c>
      <c r="L29" s="42">
        <f>INT(_xlfn.DAYS($O$1,Consent[[#This Row],[Datum in gebruikname]])/30.41)</f>
        <v>48</v>
      </c>
      <c r="M29" s="40">
        <f>IF(Consent[[#This Row],[Model 1
(eis M1 t/m M27)]]="","",Consent[[#This Row],[Zw/w p/m]]*Consent[[#This Row],[Aantal maanden]])</f>
        <v>349572</v>
      </c>
      <c r="N29" s="40">
        <f>IF(Consent[[#This Row],[Model 1
(eis M1 t/m M27)]]="","",Consent[[#This Row],[kleur p/m]]*Consent[[#This Row],[Aantal maanden]])</f>
        <v>580624</v>
      </c>
      <c r="O29" s="40" t="str">
        <f>IF(Consent[[#This Row],[Model 2
(eis M1 t/m M27)]]="","",Consent[[#This Row],[Zw/w p/m]]*Consent[[#This Row],[Aantal maanden]])</f>
        <v/>
      </c>
      <c r="P29" s="40" t="str">
        <f>IF(Consent[[#This Row],[Model 2
(eis M1 t/m M27)]]="","",Consent[[#This Row],[kleur p/m]]*Consent[[#This Row],[Aantal maanden]])</f>
        <v/>
      </c>
      <c r="Q29" s="40">
        <f>IF(Consent[[#This Row],[Model 1
(eis M1 t/m M27)]]="","",Consent[[#This Row],['# zw/w afdrukken M1 tot 1-6-2028]]/4)</f>
        <v>87393</v>
      </c>
      <c r="R29" s="40">
        <f>IF(Consent[[#This Row],[Model 1
(eis M1 t/m M27)]]="","",Consent[[#This Row],['# kleur afdrukken M1 tot 1-6-2028]]/4)</f>
        <v>145156</v>
      </c>
      <c r="S29" s="40" t="str">
        <f>IF(Consent[[#This Row],[Model 2
(eis M1 t/m M27)]]="","",Consent[[#This Row],['# zw/w afdrukken M2 tot 1-6-20282]]/4)</f>
        <v/>
      </c>
      <c r="T29" s="40" t="str">
        <f>IF(Consent[[#This Row],[Model 2
(eis M1 t/m M27)]]="","",Consent[[#This Row],['# kleur afdrukken M2 tot 1-6-20283]]/4)</f>
        <v/>
      </c>
    </row>
    <row r="30" spans="1:21" s="35" customFormat="1" ht="16.5" customHeight="1" x14ac:dyDescent="0.35">
      <c r="A30" s="36" t="s">
        <v>151</v>
      </c>
      <c r="B30" s="43" t="s">
        <v>152</v>
      </c>
      <c r="C30" s="37" t="s">
        <v>153</v>
      </c>
      <c r="D30" s="37" t="s">
        <v>72</v>
      </c>
      <c r="E30" s="38">
        <v>1</v>
      </c>
      <c r="F30" s="38"/>
      <c r="G30" s="39">
        <v>45444</v>
      </c>
      <c r="H30" s="40">
        <v>107570</v>
      </c>
      <c r="I30" s="40">
        <v>80852</v>
      </c>
      <c r="J30" s="40">
        <f>Consent[[#This Row],[Zw/w p/j]]/12</f>
        <v>8964.1666666666661</v>
      </c>
      <c r="K30" s="40">
        <f>Consent[[#This Row],[Kleur p/j]]/12</f>
        <v>6737.666666666667</v>
      </c>
      <c r="L30" s="42">
        <f>INT(_xlfn.DAYS($O$1,Consent[[#This Row],[Datum in gebruikname]])/30.41)</f>
        <v>48</v>
      </c>
      <c r="M30" s="40">
        <f>IF(Consent[[#This Row],[Model 1
(eis M1 t/m M27)]]="","",Consent[[#This Row],[Zw/w p/m]]*Consent[[#This Row],[Aantal maanden]])</f>
        <v>430280</v>
      </c>
      <c r="N30" s="40">
        <f>IF(Consent[[#This Row],[Model 1
(eis M1 t/m M27)]]="","",Consent[[#This Row],[kleur p/m]]*Consent[[#This Row],[Aantal maanden]])</f>
        <v>323408</v>
      </c>
      <c r="O30" s="40" t="str">
        <f>IF(Consent[[#This Row],[Model 2
(eis M1 t/m M27)]]="","",Consent[[#This Row],[Zw/w p/m]]*Consent[[#This Row],[Aantal maanden]])</f>
        <v/>
      </c>
      <c r="P30" s="40" t="str">
        <f>IF(Consent[[#This Row],[Model 2
(eis M1 t/m M27)]]="","",Consent[[#This Row],[kleur p/m]]*Consent[[#This Row],[Aantal maanden]])</f>
        <v/>
      </c>
      <c r="Q30" s="40">
        <f>IF(Consent[[#This Row],[Model 1
(eis M1 t/m M27)]]="","",Consent[[#This Row],['# zw/w afdrukken M1 tot 1-6-2028]]/4)</f>
        <v>107570</v>
      </c>
      <c r="R30" s="40">
        <f>IF(Consent[[#This Row],[Model 1
(eis M1 t/m M27)]]="","",Consent[[#This Row],['# kleur afdrukken M1 tot 1-6-2028]]/4)</f>
        <v>80852</v>
      </c>
      <c r="S30" s="40" t="str">
        <f>IF(Consent[[#This Row],[Model 2
(eis M1 t/m M27)]]="","",Consent[[#This Row],['# zw/w afdrukken M2 tot 1-6-20282]]/4)</f>
        <v/>
      </c>
      <c r="T30" s="40" t="str">
        <f>IF(Consent[[#This Row],[Model 2
(eis M1 t/m M27)]]="","",Consent[[#This Row],['# kleur afdrukken M2 tot 1-6-20283]]/4)</f>
        <v/>
      </c>
    </row>
    <row r="31" spans="1:21" s="35" customFormat="1" ht="16.5" customHeight="1" x14ac:dyDescent="0.35">
      <c r="A31" s="36" t="s">
        <v>154</v>
      </c>
      <c r="B31" s="43" t="s">
        <v>155</v>
      </c>
      <c r="C31" s="37" t="s">
        <v>156</v>
      </c>
      <c r="D31" s="37" t="s">
        <v>157</v>
      </c>
      <c r="E31" s="38"/>
      <c r="F31" s="38">
        <v>1</v>
      </c>
      <c r="G31" s="39">
        <v>45444</v>
      </c>
      <c r="H31" s="40">
        <v>159448</v>
      </c>
      <c r="I31" s="40">
        <v>128994</v>
      </c>
      <c r="J31" s="40">
        <f>Consent[[#This Row],[Zw/w p/j]]/12</f>
        <v>13287.333333333334</v>
      </c>
      <c r="K31" s="40">
        <f>Consent[[#This Row],[Kleur p/j]]/12</f>
        <v>10749.5</v>
      </c>
      <c r="L31" s="42">
        <f>INT(_xlfn.DAYS($O$1,Consent[[#This Row],[Datum in gebruikname]])/30.41)</f>
        <v>48</v>
      </c>
      <c r="M31" s="40" t="str">
        <f>IF(Consent[[#This Row],[Model 1
(eis M1 t/m M27)]]="","",Consent[[#This Row],[Zw/w p/m]]*Consent[[#This Row],[Aantal maanden]])</f>
        <v/>
      </c>
      <c r="N31" s="40" t="str">
        <f>IF(Consent[[#This Row],[Model 1
(eis M1 t/m M27)]]="","",Consent[[#This Row],[kleur p/m]]*Consent[[#This Row],[Aantal maanden]])</f>
        <v/>
      </c>
      <c r="O31" s="40">
        <f>IF(Consent[[#This Row],[Model 2
(eis M1 t/m M27)]]="","",Consent[[#This Row],[Zw/w p/m]]*Consent[[#This Row],[Aantal maanden]])</f>
        <v>637792</v>
      </c>
      <c r="P31" s="40">
        <f>IF(Consent[[#This Row],[Model 2
(eis M1 t/m M27)]]="","",Consent[[#This Row],[kleur p/m]]*Consent[[#This Row],[Aantal maanden]])</f>
        <v>515976</v>
      </c>
      <c r="Q31" s="40" t="str">
        <f>IF(Consent[[#This Row],[Model 1
(eis M1 t/m M27)]]="","",Consent[[#This Row],['# zw/w afdrukken M1 tot 1-6-2028]]/4)</f>
        <v/>
      </c>
      <c r="R31" s="40" t="str">
        <f>IF(Consent[[#This Row],[Model 1
(eis M1 t/m M27)]]="","",Consent[[#This Row],['# kleur afdrukken M1 tot 1-6-2028]]/4)</f>
        <v/>
      </c>
      <c r="S31" s="40">
        <f>IF(Consent[[#This Row],[Model 2
(eis M1 t/m M27)]]="","",Consent[[#This Row],['# zw/w afdrukken M2 tot 1-6-20282]]/4)</f>
        <v>159448</v>
      </c>
      <c r="T31" s="40">
        <f>IF(Consent[[#This Row],[Model 2
(eis M1 t/m M27)]]="","",Consent[[#This Row],['# kleur afdrukken M2 tot 1-6-20283]]/4)</f>
        <v>128994</v>
      </c>
    </row>
    <row r="32" spans="1:21" s="35" customFormat="1" ht="16.5" customHeight="1" x14ac:dyDescent="0.35">
      <c r="A32" s="36" t="s">
        <v>158</v>
      </c>
      <c r="B32" s="43" t="s">
        <v>159</v>
      </c>
      <c r="C32" s="37" t="s">
        <v>160</v>
      </c>
      <c r="D32" s="37" t="s">
        <v>72</v>
      </c>
      <c r="E32" s="38">
        <v>1</v>
      </c>
      <c r="F32" s="38"/>
      <c r="G32" s="39">
        <v>45444</v>
      </c>
      <c r="H32" s="40">
        <v>28176</v>
      </c>
      <c r="I32" s="40">
        <v>31051</v>
      </c>
      <c r="J32" s="40">
        <f>Consent[[#This Row],[Zw/w p/j]]/12</f>
        <v>2348</v>
      </c>
      <c r="K32" s="40">
        <f>Consent[[#This Row],[Kleur p/j]]/12</f>
        <v>2587.5833333333335</v>
      </c>
      <c r="L32" s="42">
        <f>INT(_xlfn.DAYS($O$1,Consent[[#This Row],[Datum in gebruikname]])/30.41)</f>
        <v>48</v>
      </c>
      <c r="M32" s="40">
        <f>IF(Consent[[#This Row],[Model 1
(eis M1 t/m M27)]]="","",Consent[[#This Row],[Zw/w p/m]]*Consent[[#This Row],[Aantal maanden]])</f>
        <v>112704</v>
      </c>
      <c r="N32" s="40">
        <f>IF(Consent[[#This Row],[Model 1
(eis M1 t/m M27)]]="","",Consent[[#This Row],[kleur p/m]]*Consent[[#This Row],[Aantal maanden]])</f>
        <v>124204</v>
      </c>
      <c r="O32" s="40" t="str">
        <f>IF(Consent[[#This Row],[Model 2
(eis M1 t/m M27)]]="","",Consent[[#This Row],[Zw/w p/m]]*Consent[[#This Row],[Aantal maanden]])</f>
        <v/>
      </c>
      <c r="P32" s="40" t="str">
        <f>IF(Consent[[#This Row],[Model 2
(eis M1 t/m M27)]]="","",Consent[[#This Row],[kleur p/m]]*Consent[[#This Row],[Aantal maanden]])</f>
        <v/>
      </c>
      <c r="Q32" s="40">
        <f>IF(Consent[[#This Row],[Model 1
(eis M1 t/m M27)]]="","",Consent[[#This Row],['# zw/w afdrukken M1 tot 1-6-2028]]/4)</f>
        <v>28176</v>
      </c>
      <c r="R32" s="40">
        <f>IF(Consent[[#This Row],[Model 1
(eis M1 t/m M27)]]="","",Consent[[#This Row],['# kleur afdrukken M1 tot 1-6-2028]]/4)</f>
        <v>31051</v>
      </c>
      <c r="S32" s="40" t="str">
        <f>IF(Consent[[#This Row],[Model 2
(eis M1 t/m M27)]]="","",Consent[[#This Row],['# zw/w afdrukken M2 tot 1-6-20282]]/4)</f>
        <v/>
      </c>
      <c r="T32" s="40" t="str">
        <f>IF(Consent[[#This Row],[Model 2
(eis M1 t/m M27)]]="","",Consent[[#This Row],['# kleur afdrukken M2 tot 1-6-20283]]/4)</f>
        <v/>
      </c>
      <c r="U32" s="44"/>
    </row>
    <row r="33" spans="1:21" s="35" customFormat="1" ht="16.5" customHeight="1" x14ac:dyDescent="0.35">
      <c r="A33" s="36" t="s">
        <v>161</v>
      </c>
      <c r="B33" s="36" t="s">
        <v>162</v>
      </c>
      <c r="C33" s="37" t="s">
        <v>163</v>
      </c>
      <c r="D33" s="37" t="s">
        <v>72</v>
      </c>
      <c r="E33" s="38"/>
      <c r="F33" s="38">
        <v>1</v>
      </c>
      <c r="G33" s="39">
        <v>45444</v>
      </c>
      <c r="H33" s="40">
        <v>191452</v>
      </c>
      <c r="I33" s="40">
        <v>77587</v>
      </c>
      <c r="J33" s="40">
        <f>Consent[[#This Row],[Zw/w p/j]]/12</f>
        <v>15954.333333333334</v>
      </c>
      <c r="K33" s="40">
        <f>Consent[[#This Row],[Kleur p/j]]/12</f>
        <v>6465.583333333333</v>
      </c>
      <c r="L33" s="42">
        <f>INT(_xlfn.DAYS($O$1,Consent[[#This Row],[Datum in gebruikname]])/30.41)</f>
        <v>48</v>
      </c>
      <c r="M33" s="40" t="str">
        <f>IF(Consent[[#This Row],[Model 1
(eis M1 t/m M27)]]="","",Consent[[#This Row],[Zw/w p/m]]*Consent[[#This Row],[Aantal maanden]])</f>
        <v/>
      </c>
      <c r="N33" s="40" t="str">
        <f>IF(Consent[[#This Row],[Model 1
(eis M1 t/m M27)]]="","",Consent[[#This Row],[kleur p/m]]*Consent[[#This Row],[Aantal maanden]])</f>
        <v/>
      </c>
      <c r="O33" s="40">
        <f>IF(Consent[[#This Row],[Model 2
(eis M1 t/m M27)]]="","",Consent[[#This Row],[Zw/w p/m]]*Consent[[#This Row],[Aantal maanden]])</f>
        <v>765808</v>
      </c>
      <c r="P33" s="40">
        <f>IF(Consent[[#This Row],[Model 2
(eis M1 t/m M27)]]="","",Consent[[#This Row],[kleur p/m]]*Consent[[#This Row],[Aantal maanden]])</f>
        <v>310348</v>
      </c>
      <c r="Q33" s="40" t="str">
        <f>IF(Consent[[#This Row],[Model 1
(eis M1 t/m M27)]]="","",Consent[[#This Row],['# zw/w afdrukken M1 tot 1-6-2028]]/4)</f>
        <v/>
      </c>
      <c r="R33" s="40" t="str">
        <f>IF(Consent[[#This Row],[Model 1
(eis M1 t/m M27)]]="","",Consent[[#This Row],['# kleur afdrukken M1 tot 1-6-2028]]/4)</f>
        <v/>
      </c>
      <c r="S33" s="40">
        <f>IF(Consent[[#This Row],[Model 2
(eis M1 t/m M27)]]="","",Consent[[#This Row],['# zw/w afdrukken M2 tot 1-6-20282]]/4)</f>
        <v>191452</v>
      </c>
      <c r="T33" s="40">
        <f>IF(Consent[[#This Row],[Model 2
(eis M1 t/m M27)]]="","",Consent[[#This Row],['# kleur afdrukken M2 tot 1-6-20283]]/4)</f>
        <v>77587</v>
      </c>
      <c r="U33" s="37"/>
    </row>
    <row r="34" spans="1:21" s="35" customFormat="1" ht="16.5" customHeight="1" x14ac:dyDescent="0.35">
      <c r="A34" s="36" t="s">
        <v>164</v>
      </c>
      <c r="B34" s="43" t="s">
        <v>185</v>
      </c>
      <c r="C34" s="37" t="s">
        <v>165</v>
      </c>
      <c r="D34" s="37" t="s">
        <v>72</v>
      </c>
      <c r="E34" s="38">
        <v>1</v>
      </c>
      <c r="F34" s="38"/>
      <c r="G34" s="39">
        <v>45444</v>
      </c>
      <c r="H34" s="40">
        <v>135375</v>
      </c>
      <c r="I34" s="40">
        <v>187996</v>
      </c>
      <c r="J34" s="40">
        <f>Consent[[#This Row],[Zw/w p/j]]/12</f>
        <v>11281.25</v>
      </c>
      <c r="K34" s="40">
        <f>Consent[[#This Row],[Kleur p/j]]/12</f>
        <v>15666.333333333334</v>
      </c>
      <c r="L34" s="40">
        <f>INT(_xlfn.DAYS($O$1,Consent[[#This Row],[Datum in gebruikname]])/30.41)</f>
        <v>48</v>
      </c>
      <c r="M34" s="40">
        <f>IF(Consent[[#This Row],[Model 1
(eis M1 t/m M27)]]="","",Consent[[#This Row],[Zw/w p/m]]*Consent[[#This Row],[Aantal maanden]])</f>
        <v>541500</v>
      </c>
      <c r="N34" s="40">
        <f>IF(Consent[[#This Row],[Model 1
(eis M1 t/m M27)]]="","",Consent[[#This Row],[kleur p/m]]*Consent[[#This Row],[Aantal maanden]])</f>
        <v>751984</v>
      </c>
      <c r="O34" s="40" t="str">
        <f>IF(Consent[[#This Row],[Model 2
(eis M1 t/m M27)]]="","",Consent[[#This Row],[Zw/w p/m]]*Consent[[#This Row],[Aantal maanden]])</f>
        <v/>
      </c>
      <c r="P34" s="40" t="str">
        <f>IF(Consent[[#This Row],[Model 2
(eis M1 t/m M27)]]="","",Consent[[#This Row],[kleur p/m]]*Consent[[#This Row],[Aantal maanden]])</f>
        <v/>
      </c>
      <c r="Q34" s="40">
        <f>IF(Consent[[#This Row],[Model 1
(eis M1 t/m M27)]]="","",Consent[[#This Row],['# zw/w afdrukken M1 tot 1-6-2028]]/4)</f>
        <v>135375</v>
      </c>
      <c r="R34" s="40">
        <f>IF(Consent[[#This Row],[Model 1
(eis M1 t/m M27)]]="","",Consent[[#This Row],['# kleur afdrukken M1 tot 1-6-2028]]/4)</f>
        <v>187996</v>
      </c>
      <c r="S34" s="40" t="str">
        <f>IF(Consent[[#This Row],[Model 2
(eis M1 t/m M27)]]="","",Consent[[#This Row],['# zw/w afdrukken M2 tot 1-6-20282]]/4)</f>
        <v/>
      </c>
      <c r="T34" s="40" t="str">
        <f>IF(Consent[[#This Row],[Model 2
(eis M1 t/m M27)]]="","",Consent[[#This Row],['# kleur afdrukken M2 tot 1-6-20283]]/4)</f>
        <v/>
      </c>
      <c r="U34" s="37"/>
    </row>
    <row r="35" spans="1:21" s="35" customFormat="1" ht="16.5" customHeight="1" x14ac:dyDescent="0.35">
      <c r="A35" s="43" t="s">
        <v>164</v>
      </c>
      <c r="B35" s="43" t="s">
        <v>186</v>
      </c>
      <c r="C35" s="37" t="s">
        <v>165</v>
      </c>
      <c r="D35" s="37" t="s">
        <v>72</v>
      </c>
      <c r="E35" s="38">
        <v>1</v>
      </c>
      <c r="F35" s="38"/>
      <c r="G35" s="39">
        <v>45444</v>
      </c>
      <c r="H35" s="40">
        <v>74276</v>
      </c>
      <c r="I35" s="40">
        <v>87663</v>
      </c>
      <c r="J35" s="40">
        <f>Consent[[#This Row],[Zw/w p/j]]/12</f>
        <v>6189.666666666667</v>
      </c>
      <c r="K35" s="40">
        <f>Consent[[#This Row],[Kleur p/j]]/12</f>
        <v>7305.25</v>
      </c>
      <c r="L35" s="40">
        <v>48</v>
      </c>
      <c r="M35" s="40">
        <f>IF(Consent[[#This Row],[Model 1
(eis M1 t/m M27)]]="","",Consent[[#This Row],[Zw/w p/m]]*Consent[[#This Row],[Aantal maanden]])</f>
        <v>297104</v>
      </c>
      <c r="N35" s="40">
        <f>IF(Consent[[#This Row],[Model 1
(eis M1 t/m M27)]]="","",Consent[[#This Row],[kleur p/m]]*Consent[[#This Row],[Aantal maanden]])</f>
        <v>350652</v>
      </c>
      <c r="O35" s="40" t="str">
        <f>IF(Consent[[#This Row],[Model 2
(eis M1 t/m M27)]]="","",Consent[[#This Row],[Zw/w p/m]]*Consent[[#This Row],[Aantal maanden]])</f>
        <v/>
      </c>
      <c r="P35" s="40" t="str">
        <f>IF(Consent[[#This Row],[Model 2
(eis M1 t/m M27)]]="","",Consent[[#This Row],[kleur p/m]]*Consent[[#This Row],[Aantal maanden]])</f>
        <v/>
      </c>
      <c r="Q35" s="40">
        <f>IF(Consent[[#This Row],[Model 1
(eis M1 t/m M27)]]="","",Consent[[#This Row],['# zw/w afdrukken M1 tot 1-6-2028]]/4)</f>
        <v>74276</v>
      </c>
      <c r="R35" s="40">
        <f>IF(Consent[[#This Row],[Model 1
(eis M1 t/m M27)]]="","",Consent[[#This Row],['# kleur afdrukken M1 tot 1-6-2028]]/4)</f>
        <v>87663</v>
      </c>
      <c r="S35" s="40" t="str">
        <f>IF(Consent[[#This Row],[Model 2
(eis M1 t/m M27)]]="","",Consent[[#This Row],['# zw/w afdrukken M2 tot 1-6-20282]]/4)</f>
        <v/>
      </c>
      <c r="T35" s="40" t="str">
        <f>IF(Consent[[#This Row],[Model 2
(eis M1 t/m M27)]]="","",Consent[[#This Row],['# kleur afdrukken M2 tot 1-6-20283]]/4)</f>
        <v/>
      </c>
      <c r="U35" s="37"/>
    </row>
    <row r="36" spans="1:21" s="35" customFormat="1" ht="16.5" customHeight="1" x14ac:dyDescent="0.35">
      <c r="A36" s="36" t="s">
        <v>164</v>
      </c>
      <c r="B36" s="43" t="s">
        <v>166</v>
      </c>
      <c r="C36" s="37" t="s">
        <v>167</v>
      </c>
      <c r="D36" s="37" t="s">
        <v>72</v>
      </c>
      <c r="E36" s="38"/>
      <c r="F36" s="38">
        <v>1</v>
      </c>
      <c r="G36" s="39">
        <v>45444</v>
      </c>
      <c r="H36" s="40">
        <v>107250</v>
      </c>
      <c r="I36" s="40">
        <v>152706</v>
      </c>
      <c r="J36" s="40">
        <f>Consent[[#This Row],[Zw/w p/j]]/12</f>
        <v>8937.5</v>
      </c>
      <c r="K36" s="40">
        <f>Consent[[#This Row],[Kleur p/j]]/12</f>
        <v>12725.5</v>
      </c>
      <c r="L36" s="40">
        <f>INT(_xlfn.DAYS($O$1,Consent[[#This Row],[Datum in gebruikname]])/30.41)</f>
        <v>48</v>
      </c>
      <c r="M36" s="40" t="str">
        <f>IF(Consent[[#This Row],[Model 1
(eis M1 t/m M27)]]="","",Consent[[#This Row],[Zw/w p/m]]*Consent[[#This Row],[Aantal maanden]])</f>
        <v/>
      </c>
      <c r="N36" s="40" t="str">
        <f>IF(Consent[[#This Row],[Model 1
(eis M1 t/m M27)]]="","",Consent[[#This Row],[kleur p/m]]*Consent[[#This Row],[Aantal maanden]])</f>
        <v/>
      </c>
      <c r="O36" s="40">
        <f>IF(Consent[[#This Row],[Model 2
(eis M1 t/m M27)]]="","",Consent[[#This Row],[Zw/w p/m]]*Consent[[#This Row],[Aantal maanden]])</f>
        <v>429000</v>
      </c>
      <c r="P36" s="40">
        <f>IF(Consent[[#This Row],[Model 2
(eis M1 t/m M27)]]="","",Consent[[#This Row],[kleur p/m]]*Consent[[#This Row],[Aantal maanden]])</f>
        <v>610824</v>
      </c>
      <c r="Q36" s="40" t="str">
        <f>IF(Consent[[#This Row],[Model 1
(eis M1 t/m M27)]]="","",Consent[[#This Row],['# zw/w afdrukken M1 tot 1-6-2028]]/4)</f>
        <v/>
      </c>
      <c r="R36" s="40" t="str">
        <f>IF(Consent[[#This Row],[Model 1
(eis M1 t/m M27)]]="","",Consent[[#This Row],['# kleur afdrukken M1 tot 1-6-2028]]/4)</f>
        <v/>
      </c>
      <c r="S36" s="40">
        <f>IF(Consent[[#This Row],[Model 2
(eis M1 t/m M27)]]="","",Consent[[#This Row],['# zw/w afdrukken M2 tot 1-6-20282]]/4)</f>
        <v>107250</v>
      </c>
      <c r="T36" s="40">
        <f>IF(Consent[[#This Row],[Model 2
(eis M1 t/m M27)]]="","",Consent[[#This Row],['# kleur afdrukken M2 tot 1-6-20283]]/4)</f>
        <v>152706</v>
      </c>
      <c r="U36" s="37"/>
    </row>
    <row r="37" spans="1:21" s="37" customFormat="1" ht="16.5" customHeight="1" x14ac:dyDescent="0.35">
      <c r="A37" s="36" t="s">
        <v>164</v>
      </c>
      <c r="B37" s="43" t="s">
        <v>168</v>
      </c>
      <c r="C37" s="37" t="s">
        <v>169</v>
      </c>
      <c r="D37" s="37" t="s">
        <v>72</v>
      </c>
      <c r="E37" s="38"/>
      <c r="F37" s="38">
        <v>1</v>
      </c>
      <c r="G37" s="39">
        <v>45444</v>
      </c>
      <c r="H37" s="40">
        <v>129635</v>
      </c>
      <c r="I37" s="40">
        <v>154665</v>
      </c>
      <c r="J37" s="40">
        <f>Consent[[#This Row],[Zw/w p/j]]/12</f>
        <v>10802.916666666666</v>
      </c>
      <c r="K37" s="40">
        <f>Consent[[#This Row],[Kleur p/j]]/12</f>
        <v>12888.75</v>
      </c>
      <c r="L37" s="40">
        <f>INT(_xlfn.DAYS($O$1,Consent[[#This Row],[Datum in gebruikname]])/30.41)</f>
        <v>48</v>
      </c>
      <c r="M37" s="40" t="str">
        <f>IF(Consent[[#This Row],[Model 1
(eis M1 t/m M27)]]="","",Consent[[#This Row],[Zw/w p/m]]*Consent[[#This Row],[Aantal maanden]])</f>
        <v/>
      </c>
      <c r="N37" s="40" t="str">
        <f>IF(Consent[[#This Row],[Model 1
(eis M1 t/m M27)]]="","",Consent[[#This Row],[kleur p/m]]*Consent[[#This Row],[Aantal maanden]])</f>
        <v/>
      </c>
      <c r="O37" s="40">
        <f>IF(Consent[[#This Row],[Model 2
(eis M1 t/m M27)]]="","",Consent[[#This Row],[Zw/w p/m]]*Consent[[#This Row],[Aantal maanden]])</f>
        <v>518540</v>
      </c>
      <c r="P37" s="40">
        <f>IF(Consent[[#This Row],[Model 2
(eis M1 t/m M27)]]="","",Consent[[#This Row],[kleur p/m]]*Consent[[#This Row],[Aantal maanden]])</f>
        <v>618660</v>
      </c>
      <c r="Q37" s="40" t="str">
        <f>IF(Consent[[#This Row],[Model 1
(eis M1 t/m M27)]]="","",Consent[[#This Row],['# zw/w afdrukken M1 tot 1-6-2028]]/4)</f>
        <v/>
      </c>
      <c r="R37" s="40" t="str">
        <f>IF(Consent[[#This Row],[Model 1
(eis M1 t/m M27)]]="","",Consent[[#This Row],['# kleur afdrukken M1 tot 1-6-2028]]/4)</f>
        <v/>
      </c>
      <c r="S37" s="40">
        <f>IF(Consent[[#This Row],[Model 2
(eis M1 t/m M27)]]="","",Consent[[#This Row],['# zw/w afdrukken M2 tot 1-6-20282]]/4)</f>
        <v>129635</v>
      </c>
      <c r="T37" s="40">
        <f>IF(Consent[[#This Row],[Model 2
(eis M1 t/m M27)]]="","",Consent[[#This Row],['# kleur afdrukken M2 tot 1-6-20283]]/4)</f>
        <v>154665</v>
      </c>
    </row>
    <row r="38" spans="1:21" s="37" customFormat="1" ht="16.5" customHeight="1" x14ac:dyDescent="0.35">
      <c r="A38" s="36" t="s">
        <v>170</v>
      </c>
      <c r="B38" s="43" t="s">
        <v>171</v>
      </c>
      <c r="C38" s="37" t="s">
        <v>172</v>
      </c>
      <c r="D38" s="37" t="s">
        <v>72</v>
      </c>
      <c r="E38" s="38">
        <v>1</v>
      </c>
      <c r="F38" s="38"/>
      <c r="G38" s="39">
        <v>45444</v>
      </c>
      <c r="H38" s="40">
        <v>80738</v>
      </c>
      <c r="I38" s="40">
        <v>47945</v>
      </c>
      <c r="J38" s="40">
        <f>Consent[[#This Row],[Zw/w p/j]]/12</f>
        <v>6728.166666666667</v>
      </c>
      <c r="K38" s="40">
        <f>Consent[[#This Row],[Kleur p/j]]/12</f>
        <v>3995.4166666666665</v>
      </c>
      <c r="L38" s="40">
        <f>INT(_xlfn.DAYS($O$1,Consent[[#This Row],[Datum in gebruikname]])/30.41)</f>
        <v>48</v>
      </c>
      <c r="M38" s="40">
        <f>IF(Consent[[#This Row],[Model 1
(eis M1 t/m M27)]]="","",Consent[[#This Row],[Zw/w p/m]]*Consent[[#This Row],[Aantal maanden]])</f>
        <v>322952</v>
      </c>
      <c r="N38" s="40">
        <f>IF(Consent[[#This Row],[Model 1
(eis M1 t/m M27)]]="","",Consent[[#This Row],[kleur p/m]]*Consent[[#This Row],[Aantal maanden]])</f>
        <v>191780</v>
      </c>
      <c r="O38" s="40" t="str">
        <f>IF(Consent[[#This Row],[Model 2
(eis M1 t/m M27)]]="","",Consent[[#This Row],[Zw/w p/m]]*Consent[[#This Row],[Aantal maanden]])</f>
        <v/>
      </c>
      <c r="P38" s="40" t="str">
        <f>IF(Consent[[#This Row],[Model 2
(eis M1 t/m M27)]]="","",Consent[[#This Row],[kleur p/m]]*Consent[[#This Row],[Aantal maanden]])</f>
        <v/>
      </c>
      <c r="Q38" s="40">
        <f>IF(Consent[[#This Row],[Model 1
(eis M1 t/m M27)]]="","",Consent[[#This Row],['# zw/w afdrukken M1 tot 1-6-2028]]/4)</f>
        <v>80738</v>
      </c>
      <c r="R38" s="40">
        <f>IF(Consent[[#This Row],[Model 1
(eis M1 t/m M27)]]="","",Consent[[#This Row],['# kleur afdrukken M1 tot 1-6-2028]]/4)</f>
        <v>47945</v>
      </c>
      <c r="S38" s="40" t="str">
        <f>IF(Consent[[#This Row],[Model 2
(eis M1 t/m M27)]]="","",Consent[[#This Row],['# zw/w afdrukken M2 tot 1-6-20282]]/4)</f>
        <v/>
      </c>
      <c r="T38" s="40" t="str">
        <f>IF(Consent[[#This Row],[Model 2
(eis M1 t/m M27)]]="","",Consent[[#This Row],['# kleur afdrukken M2 tot 1-6-20283]]/4)</f>
        <v/>
      </c>
    </row>
    <row r="39" spans="1:21" s="37" customFormat="1" ht="16.5" customHeight="1" x14ac:dyDescent="0.35">
      <c r="A39" s="36" t="s">
        <v>173</v>
      </c>
      <c r="B39" s="43" t="s">
        <v>174</v>
      </c>
      <c r="C39" s="37" t="s">
        <v>175</v>
      </c>
      <c r="D39" s="37" t="s">
        <v>72</v>
      </c>
      <c r="E39" s="38">
        <v>1</v>
      </c>
      <c r="F39" s="38"/>
      <c r="G39" s="39">
        <v>45444</v>
      </c>
      <c r="H39" s="40">
        <v>56913</v>
      </c>
      <c r="I39" s="40">
        <v>21040</v>
      </c>
      <c r="J39" s="40">
        <f>Consent[[#This Row],[Zw/w p/j]]/12</f>
        <v>4742.75</v>
      </c>
      <c r="K39" s="40">
        <f>Consent[[#This Row],[Kleur p/j]]/12</f>
        <v>1753.3333333333333</v>
      </c>
      <c r="L39" s="40">
        <f>INT(_xlfn.DAYS($O$1,Consent[[#This Row],[Datum in gebruikname]])/30.41)</f>
        <v>48</v>
      </c>
      <c r="M39" s="40">
        <f>IF(Consent[[#This Row],[Model 1
(eis M1 t/m M27)]]="","",Consent[[#This Row],[Zw/w p/m]]*Consent[[#This Row],[Aantal maanden]])</f>
        <v>227652</v>
      </c>
      <c r="N39" s="40">
        <f>IF(Consent[[#This Row],[Model 1
(eis M1 t/m M27)]]="","",Consent[[#This Row],[kleur p/m]]*Consent[[#This Row],[Aantal maanden]])</f>
        <v>84160</v>
      </c>
      <c r="O39" s="40" t="str">
        <f>IF(Consent[[#This Row],[Model 2
(eis M1 t/m M27)]]="","",Consent[[#This Row],[Zw/w p/m]]*Consent[[#This Row],[Aantal maanden]])</f>
        <v/>
      </c>
      <c r="P39" s="40" t="str">
        <f>IF(Consent[[#This Row],[Model 2
(eis M1 t/m M27)]]="","",Consent[[#This Row],[kleur p/m]]*Consent[[#This Row],[Aantal maanden]])</f>
        <v/>
      </c>
      <c r="Q39" s="40">
        <f>IF(Consent[[#This Row],[Model 1
(eis M1 t/m M27)]]="","",Consent[[#This Row],['# zw/w afdrukken M1 tot 1-6-2028]]/4)</f>
        <v>56913</v>
      </c>
      <c r="R39" s="40">
        <f>IF(Consent[[#This Row],[Model 1
(eis M1 t/m M27)]]="","",Consent[[#This Row],['# kleur afdrukken M1 tot 1-6-2028]]/4)</f>
        <v>21040</v>
      </c>
      <c r="S39" s="40" t="str">
        <f>IF(Consent[[#This Row],[Model 2
(eis M1 t/m M27)]]="","",Consent[[#This Row],['# zw/w afdrukken M2 tot 1-6-20282]]/4)</f>
        <v/>
      </c>
      <c r="T39" s="40" t="str">
        <f>IF(Consent[[#This Row],[Model 2
(eis M1 t/m M27)]]="","",Consent[[#This Row],['# kleur afdrukken M2 tot 1-6-20283]]/4)</f>
        <v/>
      </c>
    </row>
    <row r="40" spans="1:21" s="37" customFormat="1" ht="16.5" customHeight="1" x14ac:dyDescent="0.35">
      <c r="A40" s="36" t="s">
        <v>176</v>
      </c>
      <c r="B40" s="43" t="s">
        <v>177</v>
      </c>
      <c r="C40" s="37" t="s">
        <v>344</v>
      </c>
      <c r="D40" s="37" t="s">
        <v>72</v>
      </c>
      <c r="E40" s="38">
        <v>1</v>
      </c>
      <c r="F40" s="38"/>
      <c r="G40" s="39">
        <v>45444</v>
      </c>
      <c r="H40" s="40">
        <v>44460</v>
      </c>
      <c r="I40" s="40">
        <v>55172</v>
      </c>
      <c r="J40" s="40">
        <f>Consent[[#This Row],[Zw/w p/j]]/12</f>
        <v>3705</v>
      </c>
      <c r="K40" s="40">
        <f>Consent[[#This Row],[Kleur p/j]]/12</f>
        <v>4597.666666666667</v>
      </c>
      <c r="L40" s="40">
        <f>INT(_xlfn.DAYS($O$1,Consent[[#This Row],[Datum in gebruikname]])/30.41)</f>
        <v>48</v>
      </c>
      <c r="M40" s="40">
        <f>IF(Consent[[#This Row],[Model 1
(eis M1 t/m M27)]]="","",Consent[[#This Row],[Zw/w p/m]]*Consent[[#This Row],[Aantal maanden]])</f>
        <v>177840</v>
      </c>
      <c r="N40" s="40">
        <f>IF(Consent[[#This Row],[Model 1
(eis M1 t/m M27)]]="","",Consent[[#This Row],[kleur p/m]]*Consent[[#This Row],[Aantal maanden]])</f>
        <v>220688</v>
      </c>
      <c r="O40" s="40" t="str">
        <f>IF(Consent[[#This Row],[Model 2
(eis M1 t/m M27)]]="","",Consent[[#This Row],[Zw/w p/m]]*Consent[[#This Row],[Aantal maanden]])</f>
        <v/>
      </c>
      <c r="P40" s="40" t="str">
        <f>IF(Consent[[#This Row],[Model 2
(eis M1 t/m M27)]]="","",Consent[[#This Row],[kleur p/m]]*Consent[[#This Row],[Aantal maanden]])</f>
        <v/>
      </c>
      <c r="Q40" s="40">
        <f>IF(Consent[[#This Row],[Model 1
(eis M1 t/m M27)]]="","",Consent[[#This Row],['# zw/w afdrukken M1 tot 1-6-2028]]/4)</f>
        <v>44460</v>
      </c>
      <c r="R40" s="40">
        <f>IF(Consent[[#This Row],[Model 1
(eis M1 t/m M27)]]="","",Consent[[#This Row],['# kleur afdrukken M1 tot 1-6-2028]]/4)</f>
        <v>55172</v>
      </c>
      <c r="S40" s="40" t="str">
        <f>IF(Consent[[#This Row],[Model 2
(eis M1 t/m M27)]]="","",Consent[[#This Row],['# zw/w afdrukken M2 tot 1-6-20282]]/4)</f>
        <v/>
      </c>
      <c r="T40" s="40" t="str">
        <f>IF(Consent[[#This Row],[Model 2
(eis M1 t/m M27)]]="","",Consent[[#This Row],['# kleur afdrukken M2 tot 1-6-20283]]/4)</f>
        <v/>
      </c>
    </row>
    <row r="41" spans="1:21" s="37" customFormat="1" ht="16.5" customHeight="1" x14ac:dyDescent="0.35">
      <c r="A41" s="36" t="s">
        <v>178</v>
      </c>
      <c r="B41" s="43" t="s">
        <v>179</v>
      </c>
      <c r="C41" s="37" t="s">
        <v>180</v>
      </c>
      <c r="D41" s="37" t="s">
        <v>72</v>
      </c>
      <c r="E41" s="38">
        <v>1</v>
      </c>
      <c r="F41" s="38"/>
      <c r="G41" s="39">
        <v>45444</v>
      </c>
      <c r="H41" s="40">
        <v>102167</v>
      </c>
      <c r="I41" s="40">
        <v>50195</v>
      </c>
      <c r="J41" s="40">
        <f>Consent[[#This Row],[Zw/w p/j]]/12</f>
        <v>8513.9166666666661</v>
      </c>
      <c r="K41" s="40">
        <f>Consent[[#This Row],[Kleur p/j]]/12</f>
        <v>4182.916666666667</v>
      </c>
      <c r="L41" s="40">
        <f>INT(_xlfn.DAYS($O$1,Consent[[#This Row],[Datum in gebruikname]])/30.41)</f>
        <v>48</v>
      </c>
      <c r="M41" s="40">
        <f>IF(Consent[[#This Row],[Model 1
(eis M1 t/m M27)]]="","",Consent[[#This Row],[Zw/w p/m]]*Consent[[#This Row],[Aantal maanden]])</f>
        <v>408668</v>
      </c>
      <c r="N41" s="40">
        <f>IF(Consent[[#This Row],[Model 1
(eis M1 t/m M27)]]="","",Consent[[#This Row],[kleur p/m]]*Consent[[#This Row],[Aantal maanden]])</f>
        <v>200780</v>
      </c>
      <c r="O41" s="40" t="str">
        <f>IF(Consent[[#This Row],[Model 2
(eis M1 t/m M27)]]="","",Consent[[#This Row],[Zw/w p/m]]*Consent[[#This Row],[Aantal maanden]])</f>
        <v/>
      </c>
      <c r="P41" s="40" t="str">
        <f>IF(Consent[[#This Row],[Model 2
(eis M1 t/m M27)]]="","",Consent[[#This Row],[kleur p/m]]*Consent[[#This Row],[Aantal maanden]])</f>
        <v/>
      </c>
      <c r="Q41" s="40">
        <f>IF(Consent[[#This Row],[Model 1
(eis M1 t/m M27)]]="","",Consent[[#This Row],['# zw/w afdrukken M1 tot 1-6-2028]]/4)</f>
        <v>102167</v>
      </c>
      <c r="R41" s="40">
        <f>IF(Consent[[#This Row],[Model 1
(eis M1 t/m M27)]]="","",Consent[[#This Row],['# kleur afdrukken M1 tot 1-6-2028]]/4)</f>
        <v>50195</v>
      </c>
      <c r="S41" s="40" t="str">
        <f>IF(Consent[[#This Row],[Model 2
(eis M1 t/m M27)]]="","",Consent[[#This Row],['# zw/w afdrukken M2 tot 1-6-20282]]/4)</f>
        <v/>
      </c>
      <c r="T41" s="40" t="str">
        <f>IF(Consent[[#This Row],[Model 2
(eis M1 t/m M27)]]="","",Consent[[#This Row],['# kleur afdrukken M2 tot 1-6-20283]]/4)</f>
        <v/>
      </c>
    </row>
    <row r="42" spans="1:21" s="37" customFormat="1" ht="16.5" customHeight="1" x14ac:dyDescent="0.35">
      <c r="A42" s="36" t="s">
        <v>181</v>
      </c>
      <c r="B42" s="43" t="s">
        <v>182</v>
      </c>
      <c r="C42" s="37" t="s">
        <v>183</v>
      </c>
      <c r="D42" s="37" t="s">
        <v>72</v>
      </c>
      <c r="E42" s="38">
        <v>1</v>
      </c>
      <c r="F42" s="38"/>
      <c r="G42" s="39">
        <v>45444</v>
      </c>
      <c r="H42" s="40">
        <v>82095</v>
      </c>
      <c r="I42" s="40">
        <v>37548</v>
      </c>
      <c r="J42" s="40">
        <f>Consent[[#This Row],[Zw/w p/j]]/12</f>
        <v>6841.25</v>
      </c>
      <c r="K42" s="40">
        <f>Consent[[#This Row],[Kleur p/j]]/12</f>
        <v>3129</v>
      </c>
      <c r="L42" s="40">
        <f>INT(_xlfn.DAYS($O$1,Consent[[#This Row],[Datum in gebruikname]])/30.41)</f>
        <v>48</v>
      </c>
      <c r="M42" s="40">
        <f>IF(Consent[[#This Row],[Model 1
(eis M1 t/m M27)]]="","",Consent[[#This Row],[Zw/w p/m]]*Consent[[#This Row],[Aantal maanden]])</f>
        <v>328380</v>
      </c>
      <c r="N42" s="40">
        <f>IF(Consent[[#This Row],[Model 1
(eis M1 t/m M27)]]="","",Consent[[#This Row],[kleur p/m]]*Consent[[#This Row],[Aantal maanden]])</f>
        <v>150192</v>
      </c>
      <c r="O42" s="40" t="str">
        <f>IF(Consent[[#This Row],[Model 2
(eis M1 t/m M27)]]="","",Consent[[#This Row],[Zw/w p/m]]*Consent[[#This Row],[Aantal maanden]])</f>
        <v/>
      </c>
      <c r="P42" s="40" t="str">
        <f>IF(Consent[[#This Row],[Model 2
(eis M1 t/m M27)]]="","",Consent[[#This Row],[kleur p/m]]*Consent[[#This Row],[Aantal maanden]])</f>
        <v/>
      </c>
      <c r="Q42" s="40">
        <f>IF(Consent[[#This Row],[Model 1
(eis M1 t/m M27)]]="","",Consent[[#This Row],['# zw/w afdrukken M1 tot 1-6-2028]]/4)</f>
        <v>82095</v>
      </c>
      <c r="R42" s="40">
        <f>IF(Consent[[#This Row],[Model 1
(eis M1 t/m M27)]]="","",Consent[[#This Row],['# kleur afdrukken M1 tot 1-6-2028]]/4)</f>
        <v>37548</v>
      </c>
      <c r="S42" s="40" t="str">
        <f>IF(Consent[[#This Row],[Model 2
(eis M1 t/m M27)]]="","",Consent[[#This Row],['# zw/w afdrukken M2 tot 1-6-20282]]/4)</f>
        <v/>
      </c>
      <c r="T42" s="40" t="str">
        <f>IF(Consent[[#This Row],[Model 2
(eis M1 t/m M27)]]="","",Consent[[#This Row],['# kleur afdrukken M2 tot 1-6-20283]]/4)</f>
        <v/>
      </c>
    </row>
    <row r="43" spans="1:21" s="37" customFormat="1" ht="16.5" customHeight="1" x14ac:dyDescent="0.35">
      <c r="A43" s="124"/>
      <c r="B43" s="124"/>
      <c r="C43" s="124"/>
      <c r="D43" s="124"/>
      <c r="E43" s="125">
        <f>SUBTOTAL(109,Consent[Model 1
(eis M1 t/m M27)])</f>
        <v>30</v>
      </c>
      <c r="F43" s="125">
        <f>SUBTOTAL(109,Consent[Model 2
(eis M1 t/m M27)])</f>
        <v>10</v>
      </c>
      <c r="G43" s="125"/>
      <c r="H43" s="126">
        <f>SUBTOTAL(109,Consent[Zw/w p/j])</f>
        <v>4139770</v>
      </c>
      <c r="I43" s="126">
        <f>SUBTOTAL(109,Consent[Kleur p/j])</f>
        <v>2975630</v>
      </c>
      <c r="J43" s="126">
        <f>SUBTOTAL(109,Consent[Zw/w p/m])</f>
        <v>344980.83333333337</v>
      </c>
      <c r="K43" s="126">
        <f>SUBTOTAL(109,Consent[kleur p/m])</f>
        <v>247969.16666666669</v>
      </c>
      <c r="L43" s="126" t="s">
        <v>49</v>
      </c>
      <c r="M43" s="127">
        <f>SUBTOTAL(109,Consent['# zw/w afdrukken M1 tot 1-6-2028])</f>
        <v>11481716</v>
      </c>
      <c r="N43" s="127">
        <f>SUBTOTAL(109,Consent['# kleur afdrukken M1 tot 1-6-2028])</f>
        <v>7815436</v>
      </c>
      <c r="O43" s="127">
        <f>SUBTOTAL(109,Consent['# zw/w afdrukken M2 tot 1-6-20282])</f>
        <v>5077364</v>
      </c>
      <c r="P43" s="127">
        <f>SUBTOTAL(109,Consent['# kleur afdrukken M2 tot 1-6-20283])</f>
        <v>4087084</v>
      </c>
      <c r="Q43" s="127">
        <f>SUBTOTAL(109,Consent[Aantal zw/w afdrukken per optiejaar M1])</f>
        <v>2870429</v>
      </c>
      <c r="R43" s="127">
        <f>SUBTOTAL(109,Consent[Aantal kleur afdrukken per optiejaar M1])</f>
        <v>1953859</v>
      </c>
      <c r="S43" s="127">
        <f>SUBTOTAL(109,Consent[Aantal zw/w afdrukken per optiejaar M2])</f>
        <v>1269341</v>
      </c>
      <c r="T43" s="127">
        <f>SUBTOTAL(109,Consent[Aantal kleur afdrukken per optiejaar M2])</f>
        <v>1021771</v>
      </c>
    </row>
    <row r="44" spans="1:21" s="37" customFormat="1" ht="16.5" customHeight="1" x14ac:dyDescent="0.35">
      <c r="D44" s="38"/>
      <c r="E44" s="38"/>
      <c r="F44" s="38"/>
      <c r="G44" s="38"/>
      <c r="H44" s="38"/>
      <c r="I44" s="44"/>
      <c r="J44" s="44"/>
      <c r="K44" s="44"/>
      <c r="L44" s="44"/>
      <c r="M44" s="44"/>
      <c r="N44" s="44"/>
      <c r="O44" s="44"/>
      <c r="P44" s="44"/>
      <c r="Q44" s="44"/>
      <c r="R44" s="44"/>
      <c r="S44" s="44"/>
    </row>
    <row r="45" spans="1:21" s="37" customFormat="1" ht="16.5" customHeight="1" x14ac:dyDescent="0.35">
      <c r="C45" s="46" t="s">
        <v>62</v>
      </c>
      <c r="D45" s="47" t="s">
        <v>20</v>
      </c>
      <c r="E45" s="48" t="s">
        <v>58</v>
      </c>
      <c r="F45" s="48" t="s">
        <v>56</v>
      </c>
      <c r="G45" s="48" t="s">
        <v>57</v>
      </c>
      <c r="I45" s="49" t="s">
        <v>22</v>
      </c>
      <c r="J45" s="49" t="s">
        <v>22</v>
      </c>
      <c r="K45" s="49" t="s">
        <v>22</v>
      </c>
      <c r="L45" s="49" t="s">
        <v>22</v>
      </c>
    </row>
    <row r="46" spans="1:21" s="37" customFormat="1" ht="16.5" customHeight="1" x14ac:dyDescent="0.35">
      <c r="A46" s="50"/>
      <c r="B46" s="50"/>
      <c r="C46" s="51" t="s">
        <v>358</v>
      </c>
      <c r="D46" s="52">
        <v>0</v>
      </c>
      <c r="E46" s="52">
        <v>0</v>
      </c>
      <c r="F46" s="52">
        <v>0</v>
      </c>
      <c r="G46" s="52">
        <v>0</v>
      </c>
      <c r="I46" s="53">
        <f>O1</f>
        <v>46905</v>
      </c>
      <c r="J46" s="54" t="s">
        <v>188</v>
      </c>
      <c r="K46" s="55">
        <f>O1</f>
        <v>46905</v>
      </c>
      <c r="L46" s="56" t="s">
        <v>35</v>
      </c>
    </row>
    <row r="47" spans="1:21" s="37" customFormat="1" ht="16.5" customHeight="1" x14ac:dyDescent="0.35">
      <c r="B47" s="50"/>
      <c r="C47" s="51" t="s">
        <v>359</v>
      </c>
      <c r="D47" s="52">
        <v>0</v>
      </c>
      <c r="E47" s="52">
        <v>0</v>
      </c>
      <c r="F47" s="52">
        <v>0</v>
      </c>
      <c r="G47" s="52">
        <v>0</v>
      </c>
      <c r="H47" s="46" t="s">
        <v>51</v>
      </c>
      <c r="I47" s="57">
        <f>MROUND(Consent[[#Totals],['# zw/w afdrukken M1 tot 1-6-2028]]+Consent[[#Totals],['# zw/w afdrukken M2 tot 1-6-20282]],1000)</f>
        <v>16559000</v>
      </c>
      <c r="J47" s="57">
        <f>MROUND(Consent[[#Totals],[Aantal zw/w afdrukken per optiejaar M1]]+Consent[[#Totals],[Aantal zw/w afdrukken per optiejaar M2]],1000)</f>
        <v>4140000</v>
      </c>
      <c r="K47" s="57">
        <f>MROUND(Consent[[#Totals],['# kleur afdrukken M1 tot 1-6-2028]]+Consent[[#Totals],['# kleur afdrukken M2 tot 1-6-20283]],1000)</f>
        <v>11903000</v>
      </c>
      <c r="L47" s="57">
        <f>MROUND(Consent[[#Totals],[Aantal kleur afdrukken per optiejaar M1]]+Consent[[#Totals],[Aantal kleur afdrukken per optiejaar M2]],1000)</f>
        <v>2976000</v>
      </c>
    </row>
    <row r="48" spans="1:21" s="37" customFormat="1" ht="16.5" customHeight="1" x14ac:dyDescent="0.35">
      <c r="B48" s="50"/>
      <c r="C48" s="51"/>
      <c r="D48" s="58"/>
      <c r="E48" s="58"/>
      <c r="F48" s="58"/>
      <c r="G48" s="58"/>
      <c r="H48" s="46"/>
      <c r="I48" s="59"/>
      <c r="J48" s="59"/>
      <c r="K48" s="59"/>
      <c r="L48" s="59"/>
    </row>
    <row r="49" spans="1:12" s="37" customFormat="1" ht="16.5" customHeight="1" x14ac:dyDescent="0.35">
      <c r="A49" s="51"/>
      <c r="B49" s="51"/>
      <c r="C49" s="46" t="s">
        <v>187</v>
      </c>
      <c r="D49" s="60"/>
      <c r="E49" s="60"/>
      <c r="F49" s="60"/>
      <c r="G49" s="60"/>
    </row>
    <row r="50" spans="1:12" s="37" customFormat="1" ht="16.5" customHeight="1" x14ac:dyDescent="0.35">
      <c r="A50" s="51"/>
      <c r="B50" s="51"/>
      <c r="C50" s="51" t="s">
        <v>356</v>
      </c>
      <c r="D50" s="61">
        <v>0</v>
      </c>
      <c r="E50" s="61">
        <v>0</v>
      </c>
      <c r="F50" s="61">
        <v>0</v>
      </c>
      <c r="G50" s="61">
        <v>0</v>
      </c>
      <c r="J50" s="62"/>
    </row>
    <row r="51" spans="1:12" s="37" customFormat="1" ht="16.5" customHeight="1" x14ac:dyDescent="0.35">
      <c r="A51" s="51"/>
      <c r="B51" s="51"/>
      <c r="C51" s="51" t="s">
        <v>357</v>
      </c>
      <c r="D51" s="61">
        <v>0</v>
      </c>
      <c r="E51" s="61">
        <v>0</v>
      </c>
      <c r="F51" s="61">
        <v>0</v>
      </c>
      <c r="G51" s="61">
        <v>0</v>
      </c>
      <c r="J51" s="62"/>
    </row>
    <row r="52" spans="1:12" s="37" customFormat="1" ht="16.5" customHeight="1" x14ac:dyDescent="0.35">
      <c r="A52" s="51"/>
      <c r="B52" s="51"/>
      <c r="C52" s="51"/>
      <c r="D52" s="62"/>
      <c r="E52" s="62"/>
      <c r="F52" s="62"/>
      <c r="J52" s="62"/>
    </row>
    <row r="53" spans="1:12" s="37" customFormat="1" ht="16.5" customHeight="1" x14ac:dyDescent="0.35">
      <c r="C53" s="46" t="s">
        <v>50</v>
      </c>
      <c r="D53" s="60"/>
      <c r="E53" s="60"/>
      <c r="F53" s="60"/>
      <c r="G53" s="60"/>
      <c r="I53" s="59"/>
      <c r="J53" s="59"/>
      <c r="K53" s="59"/>
      <c r="L53" s="59"/>
    </row>
    <row r="54" spans="1:12" s="37" customFormat="1" ht="16.5" customHeight="1" x14ac:dyDescent="0.35">
      <c r="C54" s="51" t="s">
        <v>21</v>
      </c>
      <c r="D54" s="63">
        <v>0</v>
      </c>
      <c r="E54" s="64" t="s">
        <v>63</v>
      </c>
      <c r="F54" s="65"/>
      <c r="G54" s="65"/>
      <c r="I54" s="59"/>
    </row>
    <row r="55" spans="1:12" s="37" customFormat="1" ht="16.5" customHeight="1" x14ac:dyDescent="0.35">
      <c r="C55" s="51" t="s">
        <v>8</v>
      </c>
      <c r="D55" s="63">
        <v>0</v>
      </c>
      <c r="E55" s="64" t="s">
        <v>63</v>
      </c>
      <c r="F55" s="65"/>
      <c r="G55" s="65"/>
    </row>
    <row r="56" spans="1:12" s="37" customFormat="1" ht="16.5" customHeight="1" x14ac:dyDescent="0.35">
      <c r="A56" s="51"/>
      <c r="B56" s="51"/>
      <c r="C56" s="51"/>
      <c r="D56" s="60"/>
      <c r="E56" s="60"/>
      <c r="F56" s="60"/>
      <c r="G56" s="60"/>
    </row>
    <row r="57" spans="1:12" s="37" customFormat="1" ht="16.5" customHeight="1" x14ac:dyDescent="0.35">
      <c r="A57" s="51"/>
      <c r="B57" s="51"/>
      <c r="C57" s="46" t="s">
        <v>44</v>
      </c>
      <c r="D57" s="62"/>
      <c r="E57" s="62"/>
      <c r="F57" s="62"/>
      <c r="G57" s="62"/>
    </row>
    <row r="58" spans="1:12" s="37" customFormat="1" ht="16.5" customHeight="1" x14ac:dyDescent="0.35">
      <c r="A58" s="131" t="s">
        <v>45</v>
      </c>
      <c r="B58" s="131"/>
      <c r="C58" s="131"/>
      <c r="D58" s="61">
        <v>0</v>
      </c>
      <c r="E58" s="64" t="s">
        <v>47</v>
      </c>
      <c r="F58" s="62"/>
      <c r="G58" s="62"/>
    </row>
    <row r="59" spans="1:12" s="37" customFormat="1" ht="16.5" customHeight="1" x14ac:dyDescent="0.35">
      <c r="A59" s="131" t="s">
        <v>46</v>
      </c>
      <c r="B59" s="131"/>
      <c r="C59" s="131"/>
      <c r="D59" s="61">
        <v>0</v>
      </c>
      <c r="E59" s="64" t="s">
        <v>47</v>
      </c>
      <c r="F59" s="62"/>
      <c r="G59" s="62"/>
    </row>
    <row r="60" spans="1:12" s="37" customFormat="1" ht="16.5" customHeight="1" x14ac:dyDescent="0.35">
      <c r="A60" s="51"/>
      <c r="B60" s="51"/>
      <c r="C60" s="51"/>
      <c r="D60" s="51"/>
      <c r="E60" s="64"/>
      <c r="F60" s="62"/>
      <c r="G60" s="62"/>
    </row>
    <row r="61" spans="1:12" s="37" customFormat="1" ht="16.5" customHeight="1" x14ac:dyDescent="0.35">
      <c r="A61" s="51"/>
      <c r="B61" s="51"/>
      <c r="C61" s="46" t="s">
        <v>360</v>
      </c>
      <c r="D61" s="47" t="s">
        <v>20</v>
      </c>
      <c r="E61" s="48" t="s">
        <v>58</v>
      </c>
      <c r="F61" s="48" t="s">
        <v>56</v>
      </c>
      <c r="G61" s="48" t="s">
        <v>57</v>
      </c>
    </row>
    <row r="62" spans="1:12" s="37" customFormat="1" ht="16.5" customHeight="1" x14ac:dyDescent="0.35">
      <c r="A62" s="131" t="s">
        <v>350</v>
      </c>
      <c r="B62" s="131"/>
      <c r="C62" s="131"/>
      <c r="D62" s="66">
        <v>0</v>
      </c>
      <c r="E62" s="66">
        <v>0</v>
      </c>
      <c r="F62" s="66">
        <v>0</v>
      </c>
      <c r="G62" s="66">
        <v>0</v>
      </c>
      <c r="H62" s="67" t="s">
        <v>11</v>
      </c>
    </row>
    <row r="63" spans="1:12" s="37" customFormat="1" ht="16.5" customHeight="1" x14ac:dyDescent="0.35">
      <c r="A63" s="131" t="s">
        <v>36</v>
      </c>
      <c r="B63" s="131"/>
      <c r="C63" s="131"/>
      <c r="D63" s="68">
        <v>0</v>
      </c>
      <c r="E63" s="68">
        <v>0</v>
      </c>
      <c r="F63" s="68">
        <v>0</v>
      </c>
      <c r="G63" s="68">
        <v>0</v>
      </c>
      <c r="H63" s="67" t="s">
        <v>11</v>
      </c>
    </row>
    <row r="64" spans="1:12" s="37" customFormat="1" ht="16.5" customHeight="1" x14ac:dyDescent="0.35">
      <c r="A64" s="131" t="s">
        <v>37</v>
      </c>
      <c r="B64" s="131"/>
      <c r="C64" s="131"/>
      <c r="D64" s="68">
        <v>0</v>
      </c>
      <c r="E64" s="68">
        <v>0</v>
      </c>
      <c r="F64" s="68">
        <v>0</v>
      </c>
      <c r="G64" s="68">
        <v>0</v>
      </c>
      <c r="H64" s="67" t="s">
        <v>11</v>
      </c>
    </row>
    <row r="65" spans="1:9" s="37" customFormat="1" ht="16.5" customHeight="1" x14ac:dyDescent="0.35">
      <c r="A65" s="131" t="s">
        <v>38</v>
      </c>
      <c r="B65" s="131"/>
      <c r="C65" s="131"/>
      <c r="D65" s="68">
        <v>0</v>
      </c>
      <c r="E65" s="68">
        <v>0</v>
      </c>
      <c r="F65" s="68">
        <v>0</v>
      </c>
      <c r="G65" s="68">
        <v>0</v>
      </c>
      <c r="H65" s="67" t="s">
        <v>11</v>
      </c>
    </row>
    <row r="66" spans="1:9" s="37" customFormat="1" ht="16.5" customHeight="1" x14ac:dyDescent="0.35">
      <c r="A66" s="131" t="s">
        <v>39</v>
      </c>
      <c r="B66" s="131"/>
      <c r="C66" s="131"/>
      <c r="D66" s="68">
        <v>0</v>
      </c>
      <c r="E66" s="68">
        <v>0</v>
      </c>
      <c r="F66" s="68">
        <v>0</v>
      </c>
      <c r="G66" s="68">
        <v>0</v>
      </c>
      <c r="H66" s="67" t="s">
        <v>11</v>
      </c>
    </row>
    <row r="67" spans="1:9" s="37" customFormat="1" ht="16.5" customHeight="1" x14ac:dyDescent="0.35">
      <c r="A67" s="131" t="s">
        <v>42</v>
      </c>
      <c r="B67" s="131" t="s">
        <v>361</v>
      </c>
      <c r="C67" s="131"/>
      <c r="D67" s="68">
        <v>0</v>
      </c>
      <c r="E67" s="68">
        <v>0</v>
      </c>
      <c r="F67" s="68">
        <v>0</v>
      </c>
      <c r="G67" s="68">
        <v>0</v>
      </c>
      <c r="H67" s="67" t="s">
        <v>11</v>
      </c>
    </row>
    <row r="68" spans="1:9" s="37" customFormat="1" ht="16.5" customHeight="1" x14ac:dyDescent="0.35">
      <c r="A68" s="131" t="s">
        <v>43</v>
      </c>
      <c r="B68" s="131" t="s">
        <v>361</v>
      </c>
      <c r="C68" s="131"/>
      <c r="D68" s="68">
        <v>0</v>
      </c>
      <c r="E68" s="68">
        <v>0</v>
      </c>
      <c r="F68" s="68">
        <v>0</v>
      </c>
      <c r="G68" s="68">
        <v>0</v>
      </c>
      <c r="H68" s="67" t="s">
        <v>11</v>
      </c>
    </row>
    <row r="69" spans="1:9" s="37" customFormat="1" ht="16.5" customHeight="1" x14ac:dyDescent="0.35">
      <c r="A69" s="131" t="s">
        <v>40</v>
      </c>
      <c r="B69" s="131" t="s">
        <v>361</v>
      </c>
      <c r="C69" s="131"/>
      <c r="D69" s="68">
        <v>0</v>
      </c>
      <c r="E69" s="68">
        <v>0</v>
      </c>
      <c r="F69" s="68">
        <v>0</v>
      </c>
      <c r="G69" s="68">
        <v>0</v>
      </c>
      <c r="H69" s="67" t="s">
        <v>11</v>
      </c>
    </row>
    <row r="70" spans="1:9" s="37" customFormat="1" ht="16.5" customHeight="1" x14ac:dyDescent="0.35">
      <c r="A70" s="131" t="s">
        <v>41</v>
      </c>
      <c r="B70" s="131" t="s">
        <v>361</v>
      </c>
      <c r="C70" s="131"/>
      <c r="D70" s="68">
        <v>0</v>
      </c>
      <c r="E70" s="68">
        <v>0</v>
      </c>
      <c r="F70" s="68">
        <v>0</v>
      </c>
      <c r="G70" s="68">
        <v>0</v>
      </c>
      <c r="H70" s="67" t="s">
        <v>11</v>
      </c>
    </row>
    <row r="71" spans="1:9" s="37" customFormat="1" ht="16.5" customHeight="1" thickBot="1" x14ac:dyDescent="0.4">
      <c r="A71" s="51"/>
      <c r="B71" s="51"/>
      <c r="C71" s="51"/>
      <c r="D71" s="69"/>
      <c r="E71" s="69"/>
      <c r="F71" s="69"/>
      <c r="G71" s="69"/>
      <c r="H71" s="70"/>
    </row>
    <row r="72" spans="1:9" s="37" customFormat="1" ht="16.5" customHeight="1" x14ac:dyDescent="0.35">
      <c r="B72" s="71"/>
      <c r="C72" s="72" t="s">
        <v>34</v>
      </c>
      <c r="D72" s="73" t="s">
        <v>20</v>
      </c>
      <c r="E72" s="74" t="s">
        <v>58</v>
      </c>
      <c r="F72" s="74" t="s">
        <v>56</v>
      </c>
      <c r="G72" s="74" t="s">
        <v>57</v>
      </c>
      <c r="H72" s="75" t="s">
        <v>33</v>
      </c>
    </row>
    <row r="73" spans="1:9" s="37" customFormat="1" ht="16.5" customHeight="1" x14ac:dyDescent="0.35">
      <c r="B73" s="76"/>
      <c r="C73" s="77" t="s">
        <v>31</v>
      </c>
      <c r="D73" s="78">
        <f>D46*Consent[[#Totals],[Model 1
(eis M1 t/m M27)]]*48</f>
        <v>0</v>
      </c>
      <c r="E73" s="78">
        <f>E46*Consent[[#Totals],[Model 1
(eis M1 t/m M27)]]*12</f>
        <v>0</v>
      </c>
      <c r="F73" s="78">
        <f>F46*Consent[[#Totals],[Model 1
(eis M1 t/m M27)]]*12</f>
        <v>0</v>
      </c>
      <c r="G73" s="78">
        <f>G46*Consent[[#Totals],[Model 1
(eis M1 t/m M27)]]*12</f>
        <v>0</v>
      </c>
      <c r="H73" s="79">
        <f>SUM('Consent'!$D73:$G73)</f>
        <v>0</v>
      </c>
    </row>
    <row r="74" spans="1:9" s="37" customFormat="1" ht="16.5" customHeight="1" x14ac:dyDescent="0.35">
      <c r="B74" s="80"/>
      <c r="C74" s="81" t="s">
        <v>30</v>
      </c>
      <c r="D74" s="82">
        <f>D47*Consent[[#Totals],[Model 2
(eis M1 t/m M27)]]*48</f>
        <v>0</v>
      </c>
      <c r="E74" s="82">
        <f>E47*Consent[[#Totals],[Model 2
(eis M1 t/m M27)]]*12</f>
        <v>0</v>
      </c>
      <c r="F74" s="82">
        <f>F47*Consent[[#Totals],[Model 2
(eis M1 t/m M27)]]*12</f>
        <v>0</v>
      </c>
      <c r="G74" s="82">
        <f>G47*Consent[[#Totals],[Model 2
(eis M1 t/m M27)]]*12</f>
        <v>0</v>
      </c>
      <c r="H74" s="83">
        <f>SUM('Consent'!$D74:$G74)</f>
        <v>0</v>
      </c>
    </row>
    <row r="75" spans="1:9" s="37" customFormat="1" ht="16.5" customHeight="1" x14ac:dyDescent="0.35">
      <c r="B75" s="84"/>
      <c r="C75" s="77" t="s">
        <v>52</v>
      </c>
      <c r="D75" s="78">
        <f>D54*I47</f>
        <v>0</v>
      </c>
      <c r="E75" s="78">
        <f>$D$54*$J$47</f>
        <v>0</v>
      </c>
      <c r="F75" s="78">
        <f t="shared" ref="F75:G75" si="0">$D$54*$J$47</f>
        <v>0</v>
      </c>
      <c r="G75" s="78">
        <f t="shared" si="0"/>
        <v>0</v>
      </c>
      <c r="H75" s="79">
        <f>SUM('Consent'!$D75:$G75)</f>
        <v>0</v>
      </c>
    </row>
    <row r="76" spans="1:9" s="37" customFormat="1" ht="16.5" customHeight="1" x14ac:dyDescent="0.35">
      <c r="B76" s="85"/>
      <c r="C76" s="81" t="s">
        <v>32</v>
      </c>
      <c r="D76" s="82">
        <f>D55*K47</f>
        <v>0</v>
      </c>
      <c r="E76" s="82">
        <f>$D$55*$L$47</f>
        <v>0</v>
      </c>
      <c r="F76" s="82">
        <f t="shared" ref="F76:G76" si="1">$D$55*$L$47</f>
        <v>0</v>
      </c>
      <c r="G76" s="82">
        <f t="shared" si="1"/>
        <v>0</v>
      </c>
      <c r="H76" s="83">
        <f>SUM('Consent'!$D76:$G76)</f>
        <v>0</v>
      </c>
    </row>
    <row r="77" spans="1:9" s="37" customFormat="1" ht="16.5" customHeight="1" x14ac:dyDescent="0.35">
      <c r="B77" s="84"/>
      <c r="C77" s="77" t="s">
        <v>356</v>
      </c>
      <c r="D77" s="78">
        <f>D50*(Consent[[#Totals],[Model 1
(eis M1 t/m M27)]]+Consent[[#Totals],[Model 2
(eis M1 t/m M27)]])*48</f>
        <v>0</v>
      </c>
      <c r="E77" s="78">
        <f>E50*(Consent[[#Totals],[Model 1
(eis M1 t/m M27)]]+Consent[[#Totals],[Model 2
(eis M1 t/m M27)]])*12</f>
        <v>0</v>
      </c>
      <c r="F77" s="78">
        <f>F50*(Consent[[#Totals],[Model 1
(eis M1 t/m M27)]]+Consent[[#Totals],[Model 2
(eis M1 t/m M27)]])*12</f>
        <v>0</v>
      </c>
      <c r="G77" s="78">
        <f>G50*(Consent[[#Totals],[Model 1
(eis M1 t/m M27)]]+Consent[[#Totals],[Model 2
(eis M1 t/m M27)]])*12</f>
        <v>0</v>
      </c>
      <c r="H77" s="79">
        <f>SUM(D77:G77)</f>
        <v>0</v>
      </c>
    </row>
    <row r="78" spans="1:9" s="37" customFormat="1" ht="16.5" customHeight="1" x14ac:dyDescent="0.35">
      <c r="B78" s="85"/>
      <c r="C78" s="81" t="s">
        <v>357</v>
      </c>
      <c r="D78" s="82">
        <f>D51*(Consent[[#Totals],[Model 1
(eis M1 t/m M27)]]+Consent[[#Totals],[Model 2
(eis M1 t/m M27)]])*48</f>
        <v>0</v>
      </c>
      <c r="E78" s="82">
        <f>E51*(Consent[[#Totals],[Model 1
(eis M1 t/m M27)]]+Consent[[#Totals],[Model 2
(eis M1 t/m M27)]])*12</f>
        <v>0</v>
      </c>
      <c r="F78" s="82">
        <f>F51*(Consent[[#Totals],[Model 1
(eis M1 t/m M27)]]+Consent[[#Totals],[Model 2
(eis M1 t/m M27)]])*12</f>
        <v>0</v>
      </c>
      <c r="G78" s="82">
        <f>G51*(Consent[[#Totals],[Model 1
(eis M1 t/m M27)]]+Consent[[#Totals],[Model 2
(eis M1 t/m M27)]])*12</f>
        <v>0</v>
      </c>
      <c r="H78" s="83">
        <f>SUM(D78:G78)</f>
        <v>0</v>
      </c>
    </row>
    <row r="79" spans="1:9" s="37" customFormat="1" ht="16.5" customHeight="1" x14ac:dyDescent="0.35">
      <c r="A79" s="86"/>
      <c r="B79" s="84"/>
      <c r="C79" s="77" t="s">
        <v>9</v>
      </c>
      <c r="D79" s="87"/>
      <c r="E79" s="87"/>
      <c r="F79" s="87"/>
      <c r="G79" s="87"/>
      <c r="H79" s="79">
        <f>D58</f>
        <v>0</v>
      </c>
      <c r="I79" s="86"/>
    </row>
    <row r="80" spans="1:9" s="37" customFormat="1" ht="16.5" customHeight="1" thickBot="1" x14ac:dyDescent="0.4">
      <c r="A80" s="60"/>
      <c r="B80" s="88"/>
      <c r="C80" s="89" t="s">
        <v>10</v>
      </c>
      <c r="D80" s="90"/>
      <c r="E80" s="90"/>
      <c r="F80" s="90"/>
      <c r="G80" s="90"/>
      <c r="H80" s="91">
        <f>D59</f>
        <v>0</v>
      </c>
    </row>
    <row r="81" spans="1:12" s="37" customFormat="1" ht="16.5" customHeight="1" thickBot="1" x14ac:dyDescent="0.4">
      <c r="A81" s="92"/>
      <c r="B81" s="70"/>
      <c r="D81" s="93"/>
      <c r="E81" s="93"/>
      <c r="F81" s="93"/>
      <c r="G81" s="93"/>
    </row>
    <row r="82" spans="1:12" ht="24" thickBot="1" x14ac:dyDescent="0.4">
      <c r="D82" s="15"/>
      <c r="F82" s="16" t="s">
        <v>12</v>
      </c>
      <c r="G82" s="129">
        <f>SUM(H73:H81)</f>
        <v>0</v>
      </c>
      <c r="H82" s="130"/>
      <c r="J82" s="21"/>
      <c r="K82" s="22"/>
      <c r="L82" s="22"/>
    </row>
    <row r="83" spans="1:12" x14ac:dyDescent="0.35">
      <c r="J83" s="21"/>
    </row>
    <row r="84" spans="1:12" ht="15" x14ac:dyDescent="0.35">
      <c r="B84" s="17" t="s">
        <v>240</v>
      </c>
      <c r="I84" s="18"/>
    </row>
    <row r="85" spans="1:12" ht="15" x14ac:dyDescent="0.35">
      <c r="B85" s="17" t="s">
        <v>349</v>
      </c>
      <c r="C85" s="18"/>
      <c r="D85" s="18"/>
      <c r="E85" s="18"/>
      <c r="F85" s="18"/>
      <c r="G85" s="18"/>
      <c r="H85" s="18"/>
      <c r="I85" s="18"/>
    </row>
    <row r="86" spans="1:12" ht="15" x14ac:dyDescent="0.35">
      <c r="B86" s="19" t="s">
        <v>241</v>
      </c>
      <c r="C86" s="18"/>
      <c r="D86" s="18"/>
      <c r="E86" s="18"/>
      <c r="F86" s="18"/>
      <c r="G86" s="18"/>
      <c r="H86" s="18"/>
      <c r="I86" s="20"/>
    </row>
    <row r="87" spans="1:12" x14ac:dyDescent="0.35">
      <c r="D87" s="20"/>
      <c r="E87" s="20"/>
      <c r="F87" s="20"/>
      <c r="G87" s="20"/>
      <c r="H87" s="20"/>
      <c r="I87" s="20"/>
    </row>
  </sheetData>
  <mergeCells count="12">
    <mergeCell ref="A58:C58"/>
    <mergeCell ref="A59:C59"/>
    <mergeCell ref="A67:C67"/>
    <mergeCell ref="A68:C68"/>
    <mergeCell ref="A69:C69"/>
    <mergeCell ref="G82:H82"/>
    <mergeCell ref="A70:C70"/>
    <mergeCell ref="A62:C62"/>
    <mergeCell ref="A63:C63"/>
    <mergeCell ref="A64:C64"/>
    <mergeCell ref="A65:C65"/>
    <mergeCell ref="A66:C66"/>
  </mergeCells>
  <phoneticPr fontId="6" type="noConversion"/>
  <pageMargins left="0.23622047244094491" right="0.23622047244094491" top="0.74803149606299213" bottom="0.74803149606299213" header="0.31496062992125984" footer="0.31496062992125984"/>
  <pageSetup paperSize="9" scale="29" orientation="landscape" r:id="rId1"/>
  <ignoredErrors>
    <ignoredError sqref="L35" calculatedColumn="1"/>
  </ignoredError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C6D7F-126A-4D7A-B35A-BC83258D6686}">
  <sheetPr>
    <tabColor theme="4" tint="0.79998168889431442"/>
    <pageSetUpPr fitToPage="1"/>
  </sheetPr>
  <dimension ref="A1:V75"/>
  <sheetViews>
    <sheetView showGridLines="0" zoomScale="90" zoomScaleNormal="90" workbookViewId="0">
      <pane xSplit="2" ySplit="2" topLeftCell="C3" activePane="bottomRight" state="frozen"/>
      <selection activeCell="J53" sqref="J53:L54"/>
      <selection pane="topRight" activeCell="J53" sqref="J53:L54"/>
      <selection pane="bottomLeft" activeCell="J53" sqref="J53:L54"/>
      <selection pane="bottomRight" activeCell="C3" sqref="C3"/>
    </sheetView>
  </sheetViews>
  <sheetFormatPr defaultRowHeight="14.5" x14ac:dyDescent="0.35"/>
  <cols>
    <col min="1" max="2" width="25.81640625" style="11" customWidth="1"/>
    <col min="3" max="4" width="20.81640625" style="11" customWidth="1"/>
    <col min="5" max="5" width="21.453125" style="11" customWidth="1"/>
    <col min="6" max="7" width="20.81640625" style="11" customWidth="1"/>
    <col min="8" max="12" width="18.1796875" style="11" customWidth="1"/>
    <col min="13" max="20" width="20.6328125" style="11" customWidth="1"/>
    <col min="21" max="22" width="21.6328125" style="11" customWidth="1"/>
    <col min="23" max="27" width="19.36328125" style="11" customWidth="1"/>
    <col min="28" max="28" width="9.1796875" style="11" bestFit="1" customWidth="1"/>
    <col min="29" max="29" width="10.08984375" style="11" bestFit="1" customWidth="1"/>
    <col min="30" max="16384" width="8.7265625" style="11"/>
  </cols>
  <sheetData>
    <row r="1" spans="1:20" s="23" customFormat="1" x14ac:dyDescent="0.35">
      <c r="D1" s="24" t="s">
        <v>60</v>
      </c>
      <c r="E1" s="25"/>
      <c r="F1" s="25"/>
      <c r="G1" s="26"/>
      <c r="H1" s="26"/>
      <c r="I1" s="26">
        <v>10000</v>
      </c>
      <c r="M1" s="27"/>
      <c r="N1" s="28" t="s">
        <v>48</v>
      </c>
      <c r="O1" s="29">
        <v>46905</v>
      </c>
    </row>
    <row r="2" spans="1:20" s="30" customFormat="1" ht="29" x14ac:dyDescent="0.35">
      <c r="A2" s="30" t="s">
        <v>184</v>
      </c>
      <c r="B2" s="30" t="s">
        <v>0</v>
      </c>
      <c r="C2" s="30" t="s">
        <v>54</v>
      </c>
      <c r="D2" s="30" t="s">
        <v>1</v>
      </c>
      <c r="E2" s="31" t="s">
        <v>23</v>
      </c>
      <c r="F2" s="31" t="s">
        <v>24</v>
      </c>
      <c r="G2" s="31" t="s">
        <v>4</v>
      </c>
      <c r="H2" s="32" t="s">
        <v>5</v>
      </c>
      <c r="I2" s="32" t="s">
        <v>6</v>
      </c>
      <c r="J2" s="32" t="s">
        <v>2</v>
      </c>
      <c r="K2" s="32" t="s">
        <v>3</v>
      </c>
      <c r="L2" s="32" t="s">
        <v>7</v>
      </c>
      <c r="M2" s="33" t="s">
        <v>65</v>
      </c>
      <c r="N2" s="34" t="s">
        <v>66</v>
      </c>
      <c r="O2" s="33" t="s">
        <v>67</v>
      </c>
      <c r="P2" s="34" t="s">
        <v>68</v>
      </c>
      <c r="Q2" s="32" t="s">
        <v>25</v>
      </c>
      <c r="R2" s="32" t="s">
        <v>26</v>
      </c>
      <c r="S2" s="32" t="s">
        <v>27</v>
      </c>
      <c r="T2" s="32" t="s">
        <v>28</v>
      </c>
    </row>
    <row r="3" spans="1:20" s="37" customFormat="1" ht="16.5" customHeight="1" x14ac:dyDescent="0.35">
      <c r="A3" s="35" t="s">
        <v>59</v>
      </c>
      <c r="B3" s="43" t="s">
        <v>242</v>
      </c>
      <c r="C3" s="30" t="s">
        <v>243</v>
      </c>
      <c r="D3" s="30" t="s">
        <v>72</v>
      </c>
      <c r="E3" s="38">
        <v>1</v>
      </c>
      <c r="F3" s="38"/>
      <c r="G3" s="39">
        <v>45444</v>
      </c>
      <c r="H3" s="41">
        <v>9410</v>
      </c>
      <c r="I3" s="41">
        <v>12372</v>
      </c>
      <c r="J3" s="41">
        <f>KOE[[#This Row],[Zw/w p/j]]/12</f>
        <v>784.16666666666663</v>
      </c>
      <c r="K3" s="41">
        <f>KOE[[#This Row],[Kleur p/j]]/12</f>
        <v>1031</v>
      </c>
      <c r="L3" s="41">
        <f>INT(_xlfn.DAYS($O$1,KOE[[#This Row],[Datum in gebruikname]])/30.41)</f>
        <v>48</v>
      </c>
      <c r="M3" s="41">
        <f>IF(KOE[[#This Row],[Model 1
(eis M1 t/m M27)]]="","",KOE[[#This Row],[Zw/w p/m]]*KOE[[#This Row],[Aantal maanden]])</f>
        <v>37640</v>
      </c>
      <c r="N3" s="41">
        <f>IF(KOE[[#This Row],[Model 1
(eis M1 t/m M27)]]="","",KOE[[#This Row],[kleur p/m]]*KOE[[#This Row],[Aantal maanden]])</f>
        <v>49488</v>
      </c>
      <c r="O3" s="41" t="str">
        <f>IF(KOE[[#This Row],[Model 2
(eis M1 t/m M27)]]="","",KOE[[#This Row],[Zw/w p/m]]*KOE[[#This Row],[Aantal maanden]])</f>
        <v/>
      </c>
      <c r="P3" s="41" t="str">
        <f>IF(KOE[[#This Row],[Model 2
(eis M1 t/m M27)]]="","",KOE[[#This Row],[kleur p/m]]*KOE[[#This Row],[Aantal maanden]])</f>
        <v/>
      </c>
      <c r="Q3" s="41">
        <f>IF(KOE[[#This Row],[Model 1
(eis M1 t/m M27)]]="","",KOE[[#This Row],['# zw/w afdrukken M1 tot 1-6-2028]]/4)</f>
        <v>9410</v>
      </c>
      <c r="R3" s="41">
        <f>IF(KOE[[#This Row],[Model 1
(eis M1 t/m M27)]]="","",KOE[[#This Row],['# kleur afdrukken M1 tot 1-6-2028]]/4)</f>
        <v>12372</v>
      </c>
      <c r="S3" s="41" t="str">
        <f>IF(KOE[[#This Row],[Model 2
(eis M1 t/m M27)]]="","",KOE[[#This Row],['# zw/w afdrukken M2 tot 1-6-20282]]/4)</f>
        <v/>
      </c>
      <c r="T3" s="41" t="str">
        <f>IF(KOE[[#This Row],[Model 2
(eis M1 t/m M27)]]="","",KOE[[#This Row],['# kleur afdrukken M2 tot 1-6-20283]]/4)</f>
        <v/>
      </c>
    </row>
    <row r="4" spans="1:20" s="37" customFormat="1" ht="16.5" customHeight="1" x14ac:dyDescent="0.35">
      <c r="A4" s="35" t="s">
        <v>189</v>
      </c>
      <c r="B4" s="36" t="s">
        <v>190</v>
      </c>
      <c r="C4" s="37" t="s">
        <v>191</v>
      </c>
      <c r="D4" s="37" t="s">
        <v>72</v>
      </c>
      <c r="E4" s="38">
        <v>1</v>
      </c>
      <c r="F4" s="38"/>
      <c r="G4" s="39">
        <v>45444</v>
      </c>
      <c r="H4" s="40">
        <v>137265</v>
      </c>
      <c r="I4" s="40">
        <v>129432</v>
      </c>
      <c r="J4" s="40">
        <f>KOE[[#This Row],[Zw/w p/j]]/12</f>
        <v>11438.75</v>
      </c>
      <c r="K4" s="40">
        <f>KOE[[#This Row],[Kleur p/j]]/12</f>
        <v>10786</v>
      </c>
      <c r="L4" s="42">
        <f>INT(_xlfn.DAYS($O$1,KOE[[#This Row],[Datum in gebruikname]])/30.41)</f>
        <v>48</v>
      </c>
      <c r="M4" s="40">
        <f>IF(KOE[[#This Row],[Model 1
(eis M1 t/m M27)]]="","",KOE[[#This Row],[Zw/w p/m]]*KOE[[#This Row],[Aantal maanden]])</f>
        <v>549060</v>
      </c>
      <c r="N4" s="40">
        <f>IF(KOE[[#This Row],[Model 1
(eis M1 t/m M27)]]="","",KOE[[#This Row],[kleur p/m]]*KOE[[#This Row],[Aantal maanden]])</f>
        <v>517728</v>
      </c>
      <c r="O4" s="40" t="str">
        <f>IF(KOE[[#This Row],[Model 2
(eis M1 t/m M27)]]="","",KOE[[#This Row],[Zw/w p/m]]*KOE[[#This Row],[Aantal maanden]])</f>
        <v/>
      </c>
      <c r="P4" s="40" t="str">
        <f>IF(KOE[[#This Row],[Model 2
(eis M1 t/m M27)]]="","",KOE[[#This Row],[kleur p/m]]*KOE[[#This Row],[Aantal maanden]])</f>
        <v/>
      </c>
      <c r="Q4" s="40">
        <f>IF(KOE[[#This Row],[Model 1
(eis M1 t/m M27)]]="","",KOE[[#This Row],['# zw/w afdrukken M1 tot 1-6-2028]]/4)</f>
        <v>137265</v>
      </c>
      <c r="R4" s="40">
        <f>IF(KOE[[#This Row],[Model 1
(eis M1 t/m M27)]]="","",KOE[[#This Row],['# kleur afdrukken M1 tot 1-6-2028]]/4)</f>
        <v>129432</v>
      </c>
      <c r="S4" s="40" t="str">
        <f>IF(KOE[[#This Row],[Model 2
(eis M1 t/m M27)]]="","",KOE[[#This Row],['# zw/w afdrukken M2 tot 1-6-20282]]/4)</f>
        <v/>
      </c>
      <c r="T4" s="40" t="str">
        <f>IF(KOE[[#This Row],[Model 2
(eis M1 t/m M27)]]="","",KOE[[#This Row],['# kleur afdrukken M2 tot 1-6-20283]]/4)</f>
        <v/>
      </c>
    </row>
    <row r="5" spans="1:20" s="37" customFormat="1" ht="16.5" customHeight="1" x14ac:dyDescent="0.35">
      <c r="A5" s="35" t="s">
        <v>189</v>
      </c>
      <c r="B5" s="36" t="s">
        <v>251</v>
      </c>
      <c r="C5" s="37" t="s">
        <v>191</v>
      </c>
      <c r="D5" s="37" t="s">
        <v>72</v>
      </c>
      <c r="E5" s="38">
        <v>1</v>
      </c>
      <c r="F5" s="38"/>
      <c r="G5" s="39">
        <v>45444</v>
      </c>
      <c r="H5" s="40">
        <v>147170</v>
      </c>
      <c r="I5" s="40">
        <v>130381</v>
      </c>
      <c r="J5" s="40">
        <f>KOE[[#This Row],[Zw/w p/j]]/12</f>
        <v>12264.166666666666</v>
      </c>
      <c r="K5" s="40">
        <f>KOE[[#This Row],[Kleur p/j]]/12</f>
        <v>10865.083333333334</v>
      </c>
      <c r="L5" s="40">
        <f>INT(_xlfn.DAYS($O$1,KOE[[#This Row],[Datum in gebruikname]])/30.41)</f>
        <v>48</v>
      </c>
      <c r="M5" s="40">
        <f>IF(KOE[[#This Row],[Model 1
(eis M1 t/m M27)]]="","",KOE[[#This Row],[Zw/w p/m]]*KOE[[#This Row],[Aantal maanden]])</f>
        <v>588680</v>
      </c>
      <c r="N5" s="40">
        <f>IF(KOE[[#This Row],[Model 1
(eis M1 t/m M27)]]="","",KOE[[#This Row],[kleur p/m]]*KOE[[#This Row],[Aantal maanden]])</f>
        <v>521524</v>
      </c>
      <c r="O5" s="40" t="str">
        <f>IF(KOE[[#This Row],[Model 2
(eis M1 t/m M27)]]="","",KOE[[#This Row],[Zw/w p/m]]*KOE[[#This Row],[Aantal maanden]])</f>
        <v/>
      </c>
      <c r="P5" s="40" t="str">
        <f>IF(KOE[[#This Row],[Model 2
(eis M1 t/m M27)]]="","",KOE[[#This Row],[kleur p/m]]*KOE[[#This Row],[Aantal maanden]])</f>
        <v/>
      </c>
      <c r="Q5" s="40">
        <f>IF(KOE[[#This Row],[Model 1
(eis M1 t/m M27)]]="","",KOE[[#This Row],['# zw/w afdrukken M1 tot 1-6-2028]]/4)</f>
        <v>147170</v>
      </c>
      <c r="R5" s="40">
        <f>IF(KOE[[#This Row],[Model 1
(eis M1 t/m M27)]]="","",KOE[[#This Row],['# kleur afdrukken M1 tot 1-6-2028]]/4)</f>
        <v>130381</v>
      </c>
      <c r="S5" s="40" t="str">
        <f>IF(KOE[[#This Row],[Model 2
(eis M1 t/m M27)]]="","",KOE[[#This Row],['# zw/w afdrukken M2 tot 1-6-20282]]/4)</f>
        <v/>
      </c>
      <c r="T5" s="40" t="str">
        <f>IF(KOE[[#This Row],[Model 2
(eis M1 t/m M27)]]="","",KOE[[#This Row],['# kleur afdrukken M2 tot 1-6-20283]]/4)</f>
        <v/>
      </c>
    </row>
    <row r="6" spans="1:20" s="37" customFormat="1" ht="16.5" customHeight="1" x14ac:dyDescent="0.35">
      <c r="A6" s="35" t="s">
        <v>192</v>
      </c>
      <c r="B6" s="36" t="s">
        <v>193</v>
      </c>
      <c r="C6" s="37" t="s">
        <v>194</v>
      </c>
      <c r="D6" s="37" t="s">
        <v>72</v>
      </c>
      <c r="E6" s="38"/>
      <c r="F6" s="38">
        <v>1</v>
      </c>
      <c r="G6" s="39">
        <v>45444</v>
      </c>
      <c r="H6" s="40">
        <v>146362</v>
      </c>
      <c r="I6" s="40">
        <v>238364</v>
      </c>
      <c r="J6" s="40">
        <f>KOE[[#This Row],[Zw/w p/j]]/12</f>
        <v>12196.833333333334</v>
      </c>
      <c r="K6" s="40">
        <f>KOE[[#This Row],[Kleur p/j]]/12</f>
        <v>19863.666666666668</v>
      </c>
      <c r="L6" s="42">
        <f>INT(_xlfn.DAYS($O$1,KOE[[#This Row],[Datum in gebruikname]])/30.41)</f>
        <v>48</v>
      </c>
      <c r="M6" s="40" t="str">
        <f>IF(KOE[[#This Row],[Model 1
(eis M1 t/m M27)]]="","",KOE[[#This Row],[Zw/w p/m]]*KOE[[#This Row],[Aantal maanden]])</f>
        <v/>
      </c>
      <c r="N6" s="40" t="str">
        <f>IF(KOE[[#This Row],[Model 1
(eis M1 t/m M27)]]="","",KOE[[#This Row],[kleur p/m]]*KOE[[#This Row],[Aantal maanden]])</f>
        <v/>
      </c>
      <c r="O6" s="40">
        <f>IF(KOE[[#This Row],[Model 2
(eis M1 t/m M27)]]="","",KOE[[#This Row],[Zw/w p/m]]*KOE[[#This Row],[Aantal maanden]])</f>
        <v>585448</v>
      </c>
      <c r="P6" s="40">
        <f>IF(KOE[[#This Row],[Model 2
(eis M1 t/m M27)]]="","",KOE[[#This Row],[kleur p/m]]*KOE[[#This Row],[Aantal maanden]])</f>
        <v>953456</v>
      </c>
      <c r="Q6" s="40" t="str">
        <f>IF(KOE[[#This Row],[Model 1
(eis M1 t/m M27)]]="","",KOE[[#This Row],['# zw/w afdrukken M1 tot 1-6-2028]]/4)</f>
        <v/>
      </c>
      <c r="R6" s="40" t="str">
        <f>IF(KOE[[#This Row],[Model 1
(eis M1 t/m M27)]]="","",KOE[[#This Row],['# kleur afdrukken M1 tot 1-6-2028]]/4)</f>
        <v/>
      </c>
      <c r="S6" s="40">
        <f>IF(KOE[[#This Row],[Model 2
(eis M1 t/m M27)]]="","",KOE[[#This Row],['# zw/w afdrukken M2 tot 1-6-20282]]/4)</f>
        <v>146362</v>
      </c>
      <c r="T6" s="40">
        <f>IF(KOE[[#This Row],[Model 2
(eis M1 t/m M27)]]="","",KOE[[#This Row],['# kleur afdrukken M2 tot 1-6-20283]]/4)</f>
        <v>238364</v>
      </c>
    </row>
    <row r="7" spans="1:20" s="37" customFormat="1" ht="16.5" customHeight="1" x14ac:dyDescent="0.35">
      <c r="A7" s="35" t="s">
        <v>351</v>
      </c>
      <c r="B7" s="43" t="s">
        <v>352</v>
      </c>
      <c r="C7" s="37" t="s">
        <v>353</v>
      </c>
      <c r="D7" s="37" t="s">
        <v>72</v>
      </c>
      <c r="E7" s="38">
        <v>1</v>
      </c>
      <c r="F7" s="38"/>
      <c r="G7" s="39">
        <v>45444</v>
      </c>
      <c r="H7" s="40">
        <v>60000</v>
      </c>
      <c r="I7" s="40">
        <v>42000</v>
      </c>
      <c r="J7" s="40">
        <f>KOE[[#This Row],[Zw/w p/j]]/12</f>
        <v>5000</v>
      </c>
      <c r="K7" s="40">
        <f>KOE[[#This Row],[Kleur p/j]]/12</f>
        <v>3500</v>
      </c>
      <c r="L7" s="40">
        <f>INT(_xlfn.DAYS($O$1,KOE[[#This Row],[Datum in gebruikname]])/30.41)</f>
        <v>48</v>
      </c>
      <c r="M7" s="40">
        <f>IF(KOE[[#This Row],[Model 1
(eis M1 t/m M27)]]="","",KOE[[#This Row],[Zw/w p/m]]*KOE[[#This Row],[Aantal maanden]])</f>
        <v>240000</v>
      </c>
      <c r="N7" s="40">
        <f>IF(KOE[[#This Row],[Model 1
(eis M1 t/m M27)]]="","",KOE[[#This Row],[kleur p/m]]*KOE[[#This Row],[Aantal maanden]])</f>
        <v>168000</v>
      </c>
      <c r="O7" s="40" t="str">
        <f>IF(KOE[[#This Row],[Model 2
(eis M1 t/m M27)]]="","",KOE[[#This Row],[Zw/w p/m]]*KOE[[#This Row],[Aantal maanden]])</f>
        <v/>
      </c>
      <c r="P7" s="40" t="str">
        <f>IF(KOE[[#This Row],[Model 2
(eis M1 t/m M27)]]="","",KOE[[#This Row],[kleur p/m]]*KOE[[#This Row],[Aantal maanden]])</f>
        <v/>
      </c>
      <c r="Q7" s="40">
        <f>IF(KOE[[#This Row],[Model 1
(eis M1 t/m M27)]]="","",KOE[[#This Row],['# zw/w afdrukken M1 tot 1-6-2028]]/4)</f>
        <v>60000</v>
      </c>
      <c r="R7" s="40">
        <f>IF(KOE[[#This Row],[Model 1
(eis M1 t/m M27)]]="","",KOE[[#This Row],['# kleur afdrukken M1 tot 1-6-2028]]/4)</f>
        <v>42000</v>
      </c>
      <c r="S7" s="40" t="str">
        <f>IF(KOE[[#This Row],[Model 2
(eis M1 t/m M27)]]="","",KOE[[#This Row],['# zw/w afdrukken M2 tot 1-6-20282]]/4)</f>
        <v/>
      </c>
      <c r="T7" s="40" t="str">
        <f>IF(KOE[[#This Row],[Model 2
(eis M1 t/m M27)]]="","",KOE[[#This Row],['# kleur afdrukken M2 tot 1-6-20283]]/4)</f>
        <v/>
      </c>
    </row>
    <row r="8" spans="1:20" s="37" customFormat="1" ht="16.5" customHeight="1" x14ac:dyDescent="0.35">
      <c r="A8" s="37" t="s">
        <v>195</v>
      </c>
      <c r="B8" s="36" t="s">
        <v>196</v>
      </c>
      <c r="C8" s="37" t="s">
        <v>197</v>
      </c>
      <c r="D8" s="37" t="s">
        <v>72</v>
      </c>
      <c r="E8" s="38"/>
      <c r="F8" s="38">
        <v>1</v>
      </c>
      <c r="G8" s="39">
        <v>45444</v>
      </c>
      <c r="H8" s="40">
        <v>88475</v>
      </c>
      <c r="I8" s="40">
        <v>118688</v>
      </c>
      <c r="J8" s="40">
        <f>KOE[[#This Row],[Zw/w p/j]]/12</f>
        <v>7372.916666666667</v>
      </c>
      <c r="K8" s="40">
        <f>KOE[[#This Row],[Kleur p/j]]/12</f>
        <v>9890.6666666666661</v>
      </c>
      <c r="L8" s="42">
        <f>INT(_xlfn.DAYS($O$1,KOE[[#This Row],[Datum in gebruikname]])/30.41)</f>
        <v>48</v>
      </c>
      <c r="M8" s="40" t="str">
        <f>IF(KOE[[#This Row],[Model 1
(eis M1 t/m M27)]]="","",KOE[[#This Row],[Zw/w p/m]]*KOE[[#This Row],[Aantal maanden]])</f>
        <v/>
      </c>
      <c r="N8" s="40" t="str">
        <f>IF(KOE[[#This Row],[Model 1
(eis M1 t/m M27)]]="","",KOE[[#This Row],[kleur p/m]]*KOE[[#This Row],[Aantal maanden]])</f>
        <v/>
      </c>
      <c r="O8" s="40">
        <f>IF(KOE[[#This Row],[Model 2
(eis M1 t/m M27)]]="","",KOE[[#This Row],[Zw/w p/m]]*KOE[[#This Row],[Aantal maanden]])</f>
        <v>353900</v>
      </c>
      <c r="P8" s="40">
        <f>IF(KOE[[#This Row],[Model 2
(eis M1 t/m M27)]]="","",KOE[[#This Row],[kleur p/m]]*KOE[[#This Row],[Aantal maanden]])</f>
        <v>474752</v>
      </c>
      <c r="Q8" s="40" t="str">
        <f>IF(KOE[[#This Row],[Model 1
(eis M1 t/m M27)]]="","",KOE[[#This Row],['# zw/w afdrukken M1 tot 1-6-2028]]/4)</f>
        <v/>
      </c>
      <c r="R8" s="40" t="str">
        <f>IF(KOE[[#This Row],[Model 1
(eis M1 t/m M27)]]="","",KOE[[#This Row],['# kleur afdrukken M1 tot 1-6-2028]]/4)</f>
        <v/>
      </c>
      <c r="S8" s="40">
        <f>IF(KOE[[#This Row],[Model 2
(eis M1 t/m M27)]]="","",KOE[[#This Row],['# zw/w afdrukken M2 tot 1-6-20282]]/4)</f>
        <v>88475</v>
      </c>
      <c r="T8" s="40">
        <f>IF(KOE[[#This Row],[Model 2
(eis M1 t/m M27)]]="","",KOE[[#This Row],['# kleur afdrukken M2 tot 1-6-20283]]/4)</f>
        <v>118688</v>
      </c>
    </row>
    <row r="9" spans="1:20" s="37" customFormat="1" ht="16.5" customHeight="1" x14ac:dyDescent="0.35">
      <c r="A9" s="37" t="s">
        <v>198</v>
      </c>
      <c r="B9" s="43" t="s">
        <v>199</v>
      </c>
      <c r="C9" s="37" t="s">
        <v>200</v>
      </c>
      <c r="D9" s="37" t="s">
        <v>72</v>
      </c>
      <c r="E9" s="38">
        <v>1</v>
      </c>
      <c r="F9" s="38"/>
      <c r="G9" s="39">
        <v>45444</v>
      </c>
      <c r="H9" s="40">
        <v>111429</v>
      </c>
      <c r="I9" s="40">
        <v>57993</v>
      </c>
      <c r="J9" s="40">
        <f>KOE[[#This Row],[Zw/w p/j]]/12</f>
        <v>9285.75</v>
      </c>
      <c r="K9" s="40">
        <f>KOE[[#This Row],[Kleur p/j]]/12</f>
        <v>4832.75</v>
      </c>
      <c r="L9" s="40">
        <f>INT(_xlfn.DAYS($O$1,KOE[[#This Row],[Datum in gebruikname]])/30.41)</f>
        <v>48</v>
      </c>
      <c r="M9" s="40">
        <f>IF(KOE[[#This Row],[Model 1
(eis M1 t/m M27)]]="","",KOE[[#This Row],[Zw/w p/m]]*KOE[[#This Row],[Aantal maanden]])</f>
        <v>445716</v>
      </c>
      <c r="N9" s="40">
        <f>IF(KOE[[#This Row],[Model 1
(eis M1 t/m M27)]]="","",KOE[[#This Row],[kleur p/m]]*KOE[[#This Row],[Aantal maanden]])</f>
        <v>231972</v>
      </c>
      <c r="O9" s="40" t="str">
        <f>IF(KOE[[#This Row],[Model 2
(eis M1 t/m M27)]]="","",KOE[[#This Row],[Zw/w p/m]]*KOE[[#This Row],[Aantal maanden]])</f>
        <v/>
      </c>
      <c r="P9" s="40" t="str">
        <f>IF(KOE[[#This Row],[Model 2
(eis M1 t/m M27)]]="","",KOE[[#This Row],[kleur p/m]]*KOE[[#This Row],[Aantal maanden]])</f>
        <v/>
      </c>
      <c r="Q9" s="40">
        <f>IF(KOE[[#This Row],[Model 1
(eis M1 t/m M27)]]="","",KOE[[#This Row],['# zw/w afdrukken M1 tot 1-6-2028]]/4)</f>
        <v>111429</v>
      </c>
      <c r="R9" s="40">
        <f>IF(KOE[[#This Row],[Model 1
(eis M1 t/m M27)]]="","",KOE[[#This Row],['# kleur afdrukken M1 tot 1-6-2028]]/4)</f>
        <v>57993</v>
      </c>
      <c r="S9" s="40" t="str">
        <f>IF(KOE[[#This Row],[Model 2
(eis M1 t/m M27)]]="","",KOE[[#This Row],['# zw/w afdrukken M2 tot 1-6-20282]]/4)</f>
        <v/>
      </c>
      <c r="T9" s="40" t="str">
        <f>IF(KOE[[#This Row],[Model 2
(eis M1 t/m M27)]]="","",KOE[[#This Row],['# kleur afdrukken M2 tot 1-6-20283]]/4)</f>
        <v/>
      </c>
    </row>
    <row r="10" spans="1:20" s="37" customFormat="1" ht="16.5" customHeight="1" x14ac:dyDescent="0.35">
      <c r="A10" s="37" t="s">
        <v>201</v>
      </c>
      <c r="B10" s="43" t="s">
        <v>202</v>
      </c>
      <c r="C10" s="37" t="s">
        <v>78</v>
      </c>
      <c r="D10" s="37" t="s">
        <v>72</v>
      </c>
      <c r="E10" s="38">
        <v>1</v>
      </c>
      <c r="F10" s="38"/>
      <c r="G10" s="39">
        <v>45444</v>
      </c>
      <c r="H10" s="40">
        <v>156807</v>
      </c>
      <c r="I10" s="40">
        <v>70775</v>
      </c>
      <c r="J10" s="40">
        <f>KOE[[#This Row],[Zw/w p/j]]/12</f>
        <v>13067.25</v>
      </c>
      <c r="K10" s="40">
        <f>KOE[[#This Row],[Kleur p/j]]/12</f>
        <v>5897.916666666667</v>
      </c>
      <c r="L10" s="40">
        <f>INT(_xlfn.DAYS($O$1,KOE[[#This Row],[Datum in gebruikname]])/30.41)</f>
        <v>48</v>
      </c>
      <c r="M10" s="40">
        <f>IF(KOE[[#This Row],[Model 1
(eis M1 t/m M27)]]="","",KOE[[#This Row],[Zw/w p/m]]*KOE[[#This Row],[Aantal maanden]])</f>
        <v>627228</v>
      </c>
      <c r="N10" s="40">
        <f>IF(KOE[[#This Row],[Model 1
(eis M1 t/m M27)]]="","",KOE[[#This Row],[kleur p/m]]*KOE[[#This Row],[Aantal maanden]])</f>
        <v>283100</v>
      </c>
      <c r="O10" s="40" t="str">
        <f>IF(KOE[[#This Row],[Model 2
(eis M1 t/m M27)]]="","",KOE[[#This Row],[Zw/w p/m]]*KOE[[#This Row],[Aantal maanden]])</f>
        <v/>
      </c>
      <c r="P10" s="40" t="str">
        <f>IF(KOE[[#This Row],[Model 2
(eis M1 t/m M27)]]="","",KOE[[#This Row],[kleur p/m]]*KOE[[#This Row],[Aantal maanden]])</f>
        <v/>
      </c>
      <c r="Q10" s="40">
        <f>IF(KOE[[#This Row],[Model 1
(eis M1 t/m M27)]]="","",KOE[[#This Row],['# zw/w afdrukken M1 tot 1-6-2028]]/4)</f>
        <v>156807</v>
      </c>
      <c r="R10" s="40">
        <f>IF(KOE[[#This Row],[Model 1
(eis M1 t/m M27)]]="","",KOE[[#This Row],['# kleur afdrukken M1 tot 1-6-2028]]/4)</f>
        <v>70775</v>
      </c>
      <c r="S10" s="40" t="str">
        <f>IF(KOE[[#This Row],[Model 2
(eis M1 t/m M27)]]="","",KOE[[#This Row],['# zw/w afdrukken M2 tot 1-6-20282]]/4)</f>
        <v/>
      </c>
      <c r="T10" s="40" t="str">
        <f>IF(KOE[[#This Row],[Model 2
(eis M1 t/m M27)]]="","",KOE[[#This Row],['# kleur afdrukken M2 tot 1-6-20283]]/4)</f>
        <v/>
      </c>
    </row>
    <row r="11" spans="1:20" s="37" customFormat="1" ht="16.5" customHeight="1" x14ac:dyDescent="0.35">
      <c r="A11" s="37" t="s">
        <v>248</v>
      </c>
      <c r="B11" s="43" t="s">
        <v>246</v>
      </c>
      <c r="C11" s="37" t="s">
        <v>247</v>
      </c>
      <c r="D11" s="37" t="s">
        <v>72</v>
      </c>
      <c r="E11" s="38">
        <v>1</v>
      </c>
      <c r="F11" s="38"/>
      <c r="G11" s="39">
        <v>45444</v>
      </c>
      <c r="H11" s="40">
        <v>159931</v>
      </c>
      <c r="I11" s="40">
        <v>59408</v>
      </c>
      <c r="J11" s="40">
        <f>KOE[[#This Row],[Zw/w p/j]]/12</f>
        <v>13327.583333333334</v>
      </c>
      <c r="K11" s="40">
        <f>KOE[[#This Row],[Kleur p/j]]/12</f>
        <v>4950.666666666667</v>
      </c>
      <c r="L11" s="40">
        <f>INT(_xlfn.DAYS($O$1,KOE[[#This Row],[Datum in gebruikname]])/30.41)</f>
        <v>48</v>
      </c>
      <c r="M11" s="40">
        <f>IF(KOE[[#This Row],[Model 1
(eis M1 t/m M27)]]="","",KOE[[#This Row],[Zw/w p/m]]*KOE[[#This Row],[Aantal maanden]])</f>
        <v>639724</v>
      </c>
      <c r="N11" s="40">
        <f>IF(KOE[[#This Row],[Model 1
(eis M1 t/m M27)]]="","",KOE[[#This Row],[kleur p/m]]*KOE[[#This Row],[Aantal maanden]])</f>
        <v>237632</v>
      </c>
      <c r="O11" s="40" t="str">
        <f>IF(KOE[[#This Row],[Model 2
(eis M1 t/m M27)]]="","",KOE[[#This Row],[Zw/w p/m]]*KOE[[#This Row],[Aantal maanden]])</f>
        <v/>
      </c>
      <c r="P11" s="40" t="str">
        <f>IF(KOE[[#This Row],[Model 2
(eis M1 t/m M27)]]="","",KOE[[#This Row],[kleur p/m]]*KOE[[#This Row],[Aantal maanden]])</f>
        <v/>
      </c>
      <c r="Q11" s="40">
        <f>IF(KOE[[#This Row],[Model 1
(eis M1 t/m M27)]]="","",KOE[[#This Row],['# zw/w afdrukken M1 tot 1-6-2028]]/4)</f>
        <v>159931</v>
      </c>
      <c r="R11" s="40">
        <f>IF(KOE[[#This Row],[Model 1
(eis M1 t/m M27)]]="","",KOE[[#This Row],['# kleur afdrukken M1 tot 1-6-2028]]/4)</f>
        <v>59408</v>
      </c>
      <c r="S11" s="40" t="str">
        <f>IF(KOE[[#This Row],[Model 2
(eis M1 t/m M27)]]="","",KOE[[#This Row],['# zw/w afdrukken M2 tot 1-6-20282]]/4)</f>
        <v/>
      </c>
      <c r="T11" s="40" t="str">
        <f>IF(KOE[[#This Row],[Model 2
(eis M1 t/m M27)]]="","",KOE[[#This Row],['# kleur afdrukken M2 tot 1-6-20283]]/4)</f>
        <v/>
      </c>
    </row>
    <row r="12" spans="1:20" s="37" customFormat="1" ht="16.5" customHeight="1" x14ac:dyDescent="0.35">
      <c r="A12" s="37" t="s">
        <v>203</v>
      </c>
      <c r="B12" s="43" t="s">
        <v>204</v>
      </c>
      <c r="C12" s="37" t="s">
        <v>205</v>
      </c>
      <c r="D12" s="37" t="s">
        <v>72</v>
      </c>
      <c r="E12" s="38">
        <v>1</v>
      </c>
      <c r="F12" s="38"/>
      <c r="G12" s="39">
        <v>45444</v>
      </c>
      <c r="H12" s="40">
        <v>102970</v>
      </c>
      <c r="I12" s="40">
        <v>128742</v>
      </c>
      <c r="J12" s="40">
        <f>KOE[[#This Row],[Zw/w p/j]]/12</f>
        <v>8580.8333333333339</v>
      </c>
      <c r="K12" s="40">
        <f>KOE[[#This Row],[Kleur p/j]]/12</f>
        <v>10728.5</v>
      </c>
      <c r="L12" s="40">
        <f>INT(_xlfn.DAYS($O$1,KOE[[#This Row],[Datum in gebruikname]])/30.41)</f>
        <v>48</v>
      </c>
      <c r="M12" s="40">
        <f>IF(KOE[[#This Row],[Model 1
(eis M1 t/m M27)]]="","",KOE[[#This Row],[Zw/w p/m]]*KOE[[#This Row],[Aantal maanden]])</f>
        <v>411880</v>
      </c>
      <c r="N12" s="40">
        <f>IF(KOE[[#This Row],[Model 1
(eis M1 t/m M27)]]="","",KOE[[#This Row],[kleur p/m]]*KOE[[#This Row],[Aantal maanden]])</f>
        <v>514968</v>
      </c>
      <c r="O12" s="40" t="str">
        <f>IF(KOE[[#This Row],[Model 2
(eis M1 t/m M27)]]="","",KOE[[#This Row],[Zw/w p/m]]*KOE[[#This Row],[Aantal maanden]])</f>
        <v/>
      </c>
      <c r="P12" s="40" t="str">
        <f>IF(KOE[[#This Row],[Model 2
(eis M1 t/m M27)]]="","",KOE[[#This Row],[kleur p/m]]*KOE[[#This Row],[Aantal maanden]])</f>
        <v/>
      </c>
      <c r="Q12" s="40">
        <f>IF(KOE[[#This Row],[Model 1
(eis M1 t/m M27)]]="","",KOE[[#This Row],['# zw/w afdrukken M1 tot 1-6-2028]]/4)</f>
        <v>102970</v>
      </c>
      <c r="R12" s="40">
        <f>IF(KOE[[#This Row],[Model 1
(eis M1 t/m M27)]]="","",KOE[[#This Row],['# kleur afdrukken M1 tot 1-6-2028]]/4)</f>
        <v>128742</v>
      </c>
      <c r="S12" s="40" t="str">
        <f>IF(KOE[[#This Row],[Model 2
(eis M1 t/m M27)]]="","",KOE[[#This Row],['# zw/w afdrukken M2 tot 1-6-20282]]/4)</f>
        <v/>
      </c>
      <c r="T12" s="40" t="str">
        <f>IF(KOE[[#This Row],[Model 2
(eis M1 t/m M27)]]="","",KOE[[#This Row],['# kleur afdrukken M2 tot 1-6-20283]]/4)</f>
        <v/>
      </c>
    </row>
    <row r="13" spans="1:20" s="37" customFormat="1" ht="16.5" customHeight="1" x14ac:dyDescent="0.35">
      <c r="A13" s="37" t="s">
        <v>206</v>
      </c>
      <c r="B13" s="43" t="s">
        <v>207</v>
      </c>
      <c r="C13" s="37" t="s">
        <v>101</v>
      </c>
      <c r="D13" s="37" t="s">
        <v>72</v>
      </c>
      <c r="E13" s="38">
        <v>1</v>
      </c>
      <c r="F13" s="38"/>
      <c r="G13" s="39">
        <v>45444</v>
      </c>
      <c r="H13" s="40">
        <v>103596</v>
      </c>
      <c r="I13" s="40">
        <v>77008</v>
      </c>
      <c r="J13" s="40">
        <f>KOE[[#This Row],[Zw/w p/j]]/12</f>
        <v>8633</v>
      </c>
      <c r="K13" s="40">
        <f>KOE[[#This Row],[Kleur p/j]]/12</f>
        <v>6417.333333333333</v>
      </c>
      <c r="L13" s="40">
        <f>INT(_xlfn.DAYS($O$1,KOE[[#This Row],[Datum in gebruikname]])/30.41)</f>
        <v>48</v>
      </c>
      <c r="M13" s="40">
        <f>IF(KOE[[#This Row],[Model 1
(eis M1 t/m M27)]]="","",KOE[[#This Row],[Zw/w p/m]]*KOE[[#This Row],[Aantal maanden]])</f>
        <v>414384</v>
      </c>
      <c r="N13" s="40">
        <f>IF(KOE[[#This Row],[Model 1
(eis M1 t/m M27)]]="","",KOE[[#This Row],[kleur p/m]]*KOE[[#This Row],[Aantal maanden]])</f>
        <v>308032</v>
      </c>
      <c r="O13" s="40" t="str">
        <f>IF(KOE[[#This Row],[Model 2
(eis M1 t/m M27)]]="","",KOE[[#This Row],[Zw/w p/m]]*KOE[[#This Row],[Aantal maanden]])</f>
        <v/>
      </c>
      <c r="P13" s="40" t="str">
        <f>IF(KOE[[#This Row],[Model 2
(eis M1 t/m M27)]]="","",KOE[[#This Row],[kleur p/m]]*KOE[[#This Row],[Aantal maanden]])</f>
        <v/>
      </c>
      <c r="Q13" s="40">
        <f>IF(KOE[[#This Row],[Model 1
(eis M1 t/m M27)]]="","",KOE[[#This Row],['# zw/w afdrukken M1 tot 1-6-2028]]/4)</f>
        <v>103596</v>
      </c>
      <c r="R13" s="40">
        <f>IF(KOE[[#This Row],[Model 1
(eis M1 t/m M27)]]="","",KOE[[#This Row],['# kleur afdrukken M1 tot 1-6-2028]]/4)</f>
        <v>77008</v>
      </c>
      <c r="S13" s="40" t="str">
        <f>IF(KOE[[#This Row],[Model 2
(eis M1 t/m M27)]]="","",KOE[[#This Row],['# zw/w afdrukken M2 tot 1-6-20282]]/4)</f>
        <v/>
      </c>
      <c r="T13" s="40" t="str">
        <f>IF(KOE[[#This Row],[Model 2
(eis M1 t/m M27)]]="","",KOE[[#This Row],['# kleur afdrukken M2 tot 1-6-20283]]/4)</f>
        <v/>
      </c>
    </row>
    <row r="14" spans="1:20" s="37" customFormat="1" ht="16.5" customHeight="1" x14ac:dyDescent="0.35">
      <c r="A14" s="37" t="s">
        <v>208</v>
      </c>
      <c r="B14" s="43" t="s">
        <v>209</v>
      </c>
      <c r="C14" s="37" t="s">
        <v>210</v>
      </c>
      <c r="D14" s="37" t="s">
        <v>72</v>
      </c>
      <c r="E14" s="38"/>
      <c r="F14" s="38">
        <v>1</v>
      </c>
      <c r="G14" s="39">
        <v>45444</v>
      </c>
      <c r="H14" s="40">
        <v>66085</v>
      </c>
      <c r="I14" s="40">
        <v>72506</v>
      </c>
      <c r="J14" s="40">
        <f>KOE[[#This Row],[Zw/w p/j]]/12</f>
        <v>5507.083333333333</v>
      </c>
      <c r="K14" s="40">
        <f>KOE[[#This Row],[Kleur p/j]]/12</f>
        <v>6042.166666666667</v>
      </c>
      <c r="L14" s="40">
        <f>INT(_xlfn.DAYS($O$1,KOE[[#This Row],[Datum in gebruikname]])/30.41)</f>
        <v>48</v>
      </c>
      <c r="M14" s="40" t="str">
        <f>IF(KOE[[#This Row],[Model 1
(eis M1 t/m M27)]]="","",KOE[[#This Row],[Zw/w p/m]]*KOE[[#This Row],[Aantal maanden]])</f>
        <v/>
      </c>
      <c r="N14" s="40" t="str">
        <f>IF(KOE[[#This Row],[Model 1
(eis M1 t/m M27)]]="","",KOE[[#This Row],[kleur p/m]]*KOE[[#This Row],[Aantal maanden]])</f>
        <v/>
      </c>
      <c r="O14" s="40">
        <f>IF(KOE[[#This Row],[Model 2
(eis M1 t/m M27)]]="","",KOE[[#This Row],[Zw/w p/m]]*KOE[[#This Row],[Aantal maanden]])</f>
        <v>264340</v>
      </c>
      <c r="P14" s="40">
        <f>IF(KOE[[#This Row],[Model 2
(eis M1 t/m M27)]]="","",KOE[[#This Row],[kleur p/m]]*KOE[[#This Row],[Aantal maanden]])</f>
        <v>290024</v>
      </c>
      <c r="Q14" s="40" t="str">
        <f>IF(KOE[[#This Row],[Model 1
(eis M1 t/m M27)]]="","",KOE[[#This Row],['# zw/w afdrukken M1 tot 1-6-2028]]/4)</f>
        <v/>
      </c>
      <c r="R14" s="40" t="str">
        <f>IF(KOE[[#This Row],[Model 1
(eis M1 t/m M27)]]="","",KOE[[#This Row],['# kleur afdrukken M1 tot 1-6-2028]]/4)</f>
        <v/>
      </c>
      <c r="S14" s="40">
        <f>IF(KOE[[#This Row],[Model 2
(eis M1 t/m M27)]]="","",KOE[[#This Row],['# zw/w afdrukken M2 tot 1-6-20282]]/4)</f>
        <v>66085</v>
      </c>
      <c r="T14" s="40">
        <f>IF(KOE[[#This Row],[Model 2
(eis M1 t/m M27)]]="","",KOE[[#This Row],['# kleur afdrukken M2 tot 1-6-20283]]/4)</f>
        <v>72506</v>
      </c>
    </row>
    <row r="15" spans="1:20" s="37" customFormat="1" ht="16.5" customHeight="1" x14ac:dyDescent="0.35">
      <c r="A15" s="37" t="s">
        <v>211</v>
      </c>
      <c r="B15" s="43" t="s">
        <v>212</v>
      </c>
      <c r="C15" s="37" t="s">
        <v>131</v>
      </c>
      <c r="D15" s="37" t="s">
        <v>72</v>
      </c>
      <c r="E15" s="38"/>
      <c r="F15" s="38">
        <v>1</v>
      </c>
      <c r="G15" s="39">
        <v>45444</v>
      </c>
      <c r="H15" s="40">
        <v>118359</v>
      </c>
      <c r="I15" s="40">
        <v>153751</v>
      </c>
      <c r="J15" s="40">
        <f>KOE[[#This Row],[Zw/w p/j]]/12</f>
        <v>9863.25</v>
      </c>
      <c r="K15" s="40">
        <f>KOE[[#This Row],[Kleur p/j]]/12</f>
        <v>12812.583333333334</v>
      </c>
      <c r="L15" s="40">
        <f>INT(_xlfn.DAYS($O$1,KOE[[#This Row],[Datum in gebruikname]])/30.41)</f>
        <v>48</v>
      </c>
      <c r="M15" s="40" t="str">
        <f>IF(KOE[[#This Row],[Model 1
(eis M1 t/m M27)]]="","",KOE[[#This Row],[Zw/w p/m]]*KOE[[#This Row],[Aantal maanden]])</f>
        <v/>
      </c>
      <c r="N15" s="40" t="str">
        <f>IF(KOE[[#This Row],[Model 1
(eis M1 t/m M27)]]="","",KOE[[#This Row],[kleur p/m]]*KOE[[#This Row],[Aantal maanden]])</f>
        <v/>
      </c>
      <c r="O15" s="40">
        <f>IF(KOE[[#This Row],[Model 2
(eis M1 t/m M27)]]="","",KOE[[#This Row],[Zw/w p/m]]*KOE[[#This Row],[Aantal maanden]])</f>
        <v>473436</v>
      </c>
      <c r="P15" s="40">
        <f>IF(KOE[[#This Row],[Model 2
(eis M1 t/m M27)]]="","",KOE[[#This Row],[kleur p/m]]*KOE[[#This Row],[Aantal maanden]])</f>
        <v>615004</v>
      </c>
      <c r="Q15" s="40" t="str">
        <f>IF(KOE[[#This Row],[Model 1
(eis M1 t/m M27)]]="","",KOE[[#This Row],['# zw/w afdrukken M1 tot 1-6-2028]]/4)</f>
        <v/>
      </c>
      <c r="R15" s="40" t="str">
        <f>IF(KOE[[#This Row],[Model 1
(eis M1 t/m M27)]]="","",KOE[[#This Row],['# kleur afdrukken M1 tot 1-6-2028]]/4)</f>
        <v/>
      </c>
      <c r="S15" s="40">
        <f>IF(KOE[[#This Row],[Model 2
(eis M1 t/m M27)]]="","",KOE[[#This Row],['# zw/w afdrukken M2 tot 1-6-20282]]/4)</f>
        <v>118359</v>
      </c>
      <c r="T15" s="40">
        <f>IF(KOE[[#This Row],[Model 2
(eis M1 t/m M27)]]="","",KOE[[#This Row],['# kleur afdrukken M2 tot 1-6-20283]]/4)</f>
        <v>153751</v>
      </c>
    </row>
    <row r="16" spans="1:20" s="37" customFormat="1" ht="16.5" customHeight="1" x14ac:dyDescent="0.35">
      <c r="A16" s="37" t="s">
        <v>213</v>
      </c>
      <c r="B16" s="43" t="s">
        <v>214</v>
      </c>
      <c r="C16" s="37" t="s">
        <v>122</v>
      </c>
      <c r="D16" s="37" t="s">
        <v>72</v>
      </c>
      <c r="E16" s="38">
        <v>1</v>
      </c>
      <c r="F16" s="38"/>
      <c r="G16" s="39">
        <v>45444</v>
      </c>
      <c r="H16" s="40">
        <v>119179</v>
      </c>
      <c r="I16" s="40">
        <v>42496</v>
      </c>
      <c r="J16" s="40">
        <f>KOE[[#This Row],[Zw/w p/j]]/12</f>
        <v>9931.5833333333339</v>
      </c>
      <c r="K16" s="40">
        <f>KOE[[#This Row],[Kleur p/j]]/12</f>
        <v>3541.3333333333335</v>
      </c>
      <c r="L16" s="40">
        <f>INT(_xlfn.DAYS($O$1,KOE[[#This Row],[Datum in gebruikname]])/30.41)</f>
        <v>48</v>
      </c>
      <c r="M16" s="40">
        <f>IF(KOE[[#This Row],[Model 1
(eis M1 t/m M27)]]="","",KOE[[#This Row],[Zw/w p/m]]*KOE[[#This Row],[Aantal maanden]])</f>
        <v>476716</v>
      </c>
      <c r="N16" s="40">
        <f>IF(KOE[[#This Row],[Model 1
(eis M1 t/m M27)]]="","",KOE[[#This Row],[kleur p/m]]*KOE[[#This Row],[Aantal maanden]])</f>
        <v>169984</v>
      </c>
      <c r="O16" s="40" t="str">
        <f>IF(KOE[[#This Row],[Model 2
(eis M1 t/m M27)]]="","",KOE[[#This Row],[Zw/w p/m]]*KOE[[#This Row],[Aantal maanden]])</f>
        <v/>
      </c>
      <c r="P16" s="40" t="str">
        <f>IF(KOE[[#This Row],[Model 2
(eis M1 t/m M27)]]="","",KOE[[#This Row],[kleur p/m]]*KOE[[#This Row],[Aantal maanden]])</f>
        <v/>
      </c>
      <c r="Q16" s="40">
        <f>IF(KOE[[#This Row],[Model 1
(eis M1 t/m M27)]]="","",KOE[[#This Row],['# zw/w afdrukken M1 tot 1-6-2028]]/4)</f>
        <v>119179</v>
      </c>
      <c r="R16" s="40">
        <f>IF(KOE[[#This Row],[Model 1
(eis M1 t/m M27)]]="","",KOE[[#This Row],['# kleur afdrukken M1 tot 1-6-2028]]/4)</f>
        <v>42496</v>
      </c>
      <c r="S16" s="40" t="str">
        <f>IF(KOE[[#This Row],[Model 2
(eis M1 t/m M27)]]="","",KOE[[#This Row],['# zw/w afdrukken M2 tot 1-6-20282]]/4)</f>
        <v/>
      </c>
      <c r="T16" s="40" t="str">
        <f>IF(KOE[[#This Row],[Model 2
(eis M1 t/m M27)]]="","",KOE[[#This Row],['# kleur afdrukken M2 tot 1-6-20283]]/4)</f>
        <v/>
      </c>
    </row>
    <row r="17" spans="1:22" s="37" customFormat="1" ht="16.5" customHeight="1" x14ac:dyDescent="0.35">
      <c r="A17" s="37" t="s">
        <v>213</v>
      </c>
      <c r="B17" s="43" t="s">
        <v>252</v>
      </c>
      <c r="C17" s="37" t="s">
        <v>122</v>
      </c>
      <c r="D17" s="37" t="s">
        <v>72</v>
      </c>
      <c r="E17" s="38">
        <v>1</v>
      </c>
      <c r="F17" s="38"/>
      <c r="G17" s="39">
        <v>45444</v>
      </c>
      <c r="H17" s="40">
        <v>163520</v>
      </c>
      <c r="I17" s="40">
        <v>70376</v>
      </c>
      <c r="J17" s="40">
        <f>KOE[[#This Row],[Zw/w p/j]]/12</f>
        <v>13626.666666666666</v>
      </c>
      <c r="K17" s="40">
        <f>KOE[[#This Row],[Kleur p/j]]/12</f>
        <v>5864.666666666667</v>
      </c>
      <c r="L17" s="40">
        <f>INT(_xlfn.DAYS($O$1,KOE[[#This Row],[Datum in gebruikname]])/30.41)</f>
        <v>48</v>
      </c>
      <c r="M17" s="40">
        <f>IF(KOE[[#This Row],[Model 1
(eis M1 t/m M27)]]="","",KOE[[#This Row],[Zw/w p/m]]*KOE[[#This Row],[Aantal maanden]])</f>
        <v>654080</v>
      </c>
      <c r="N17" s="40">
        <f>IF(KOE[[#This Row],[Model 1
(eis M1 t/m M27)]]="","",KOE[[#This Row],[kleur p/m]]*KOE[[#This Row],[Aantal maanden]])</f>
        <v>281504</v>
      </c>
      <c r="O17" s="40" t="str">
        <f>IF(KOE[[#This Row],[Model 2
(eis M1 t/m M27)]]="","",KOE[[#This Row],[Zw/w p/m]]*KOE[[#This Row],[Aantal maanden]])</f>
        <v/>
      </c>
      <c r="P17" s="40" t="str">
        <f>IF(KOE[[#This Row],[Model 2
(eis M1 t/m M27)]]="","",KOE[[#This Row],[kleur p/m]]*KOE[[#This Row],[Aantal maanden]])</f>
        <v/>
      </c>
      <c r="Q17" s="40">
        <f>IF(KOE[[#This Row],[Model 1
(eis M1 t/m M27)]]="","",KOE[[#This Row],['# zw/w afdrukken M1 tot 1-6-2028]]/4)</f>
        <v>163520</v>
      </c>
      <c r="R17" s="40">
        <f>IF(KOE[[#This Row],[Model 1
(eis M1 t/m M27)]]="","",KOE[[#This Row],['# kleur afdrukken M1 tot 1-6-2028]]/4)</f>
        <v>70376</v>
      </c>
      <c r="S17" s="40" t="str">
        <f>IF(KOE[[#This Row],[Model 2
(eis M1 t/m M27)]]="","",KOE[[#This Row],['# zw/w afdrukken M2 tot 1-6-20282]]/4)</f>
        <v/>
      </c>
      <c r="T17" s="40" t="str">
        <f>IF(KOE[[#This Row],[Model 2
(eis M1 t/m M27)]]="","",KOE[[#This Row],['# kleur afdrukken M2 tot 1-6-20283]]/4)</f>
        <v/>
      </c>
    </row>
    <row r="18" spans="1:22" s="37" customFormat="1" ht="16.5" customHeight="1" x14ac:dyDescent="0.35">
      <c r="A18" s="37" t="s">
        <v>354</v>
      </c>
      <c r="B18" s="43" t="s">
        <v>244</v>
      </c>
      <c r="C18" s="37" t="s">
        <v>245</v>
      </c>
      <c r="D18" s="37" t="s">
        <v>72</v>
      </c>
      <c r="E18" s="38">
        <v>1</v>
      </c>
      <c r="F18" s="38"/>
      <c r="G18" s="39">
        <v>45444</v>
      </c>
      <c r="H18" s="40">
        <v>73419</v>
      </c>
      <c r="I18" s="40">
        <v>41715</v>
      </c>
      <c r="J18" s="40">
        <f>KOE[[#This Row],[Zw/w p/j]]/12</f>
        <v>6118.25</v>
      </c>
      <c r="K18" s="40">
        <f>KOE[[#This Row],[Kleur p/j]]/12</f>
        <v>3476.25</v>
      </c>
      <c r="L18" s="40">
        <f>INT(_xlfn.DAYS($O$1,KOE[[#This Row],[Datum in gebruikname]])/30.41)</f>
        <v>48</v>
      </c>
      <c r="M18" s="40">
        <f>IF(KOE[[#This Row],[Model 1
(eis M1 t/m M27)]]="","",KOE[[#This Row],[Zw/w p/m]]*KOE[[#This Row],[Aantal maanden]])</f>
        <v>293676</v>
      </c>
      <c r="N18" s="40">
        <f>IF(KOE[[#This Row],[Model 1
(eis M1 t/m M27)]]="","",KOE[[#This Row],[kleur p/m]]*KOE[[#This Row],[Aantal maanden]])</f>
        <v>166860</v>
      </c>
      <c r="O18" s="40" t="str">
        <f>IF(KOE[[#This Row],[Model 2
(eis M1 t/m M27)]]="","",KOE[[#This Row],[Zw/w p/m]]*KOE[[#This Row],[Aantal maanden]])</f>
        <v/>
      </c>
      <c r="P18" s="40" t="str">
        <f>IF(KOE[[#This Row],[Model 2
(eis M1 t/m M27)]]="","",KOE[[#This Row],[kleur p/m]]*KOE[[#This Row],[Aantal maanden]])</f>
        <v/>
      </c>
      <c r="Q18" s="40">
        <f>IF(KOE[[#This Row],[Model 1
(eis M1 t/m M27)]]="","",KOE[[#This Row],['# zw/w afdrukken M1 tot 1-6-2028]]/4)</f>
        <v>73419</v>
      </c>
      <c r="R18" s="40">
        <f>IF(KOE[[#This Row],[Model 1
(eis M1 t/m M27)]]="","",KOE[[#This Row],['# kleur afdrukken M1 tot 1-6-2028]]/4)</f>
        <v>41715</v>
      </c>
      <c r="S18" s="40" t="str">
        <f>IF(KOE[[#This Row],[Model 2
(eis M1 t/m M27)]]="","",KOE[[#This Row],['# zw/w afdrukken M2 tot 1-6-20282]]/4)</f>
        <v/>
      </c>
      <c r="T18" s="40" t="str">
        <f>IF(KOE[[#This Row],[Model 2
(eis M1 t/m M27)]]="","",KOE[[#This Row],['# kleur afdrukken M2 tot 1-6-20283]]/4)</f>
        <v/>
      </c>
    </row>
    <row r="19" spans="1:22" s="37" customFormat="1" ht="16.5" customHeight="1" x14ac:dyDescent="0.35">
      <c r="A19" s="37" t="s">
        <v>215</v>
      </c>
      <c r="B19" s="43" t="s">
        <v>216</v>
      </c>
      <c r="C19" s="37" t="s">
        <v>217</v>
      </c>
      <c r="D19" s="37" t="s">
        <v>72</v>
      </c>
      <c r="E19" s="38">
        <v>1</v>
      </c>
      <c r="F19" s="38"/>
      <c r="G19" s="39">
        <v>45444</v>
      </c>
      <c r="H19" s="40">
        <v>99688</v>
      </c>
      <c r="I19" s="40">
        <v>53347</v>
      </c>
      <c r="J19" s="40">
        <f>KOE[[#This Row],[Zw/w p/j]]/12</f>
        <v>8307.3333333333339</v>
      </c>
      <c r="K19" s="40">
        <f>KOE[[#This Row],[Kleur p/j]]/12</f>
        <v>4445.583333333333</v>
      </c>
      <c r="L19" s="40">
        <f>INT(_xlfn.DAYS($O$1,KOE[[#This Row],[Datum in gebruikname]])/30.41)</f>
        <v>48</v>
      </c>
      <c r="M19" s="40">
        <f>IF(KOE[[#This Row],[Model 1
(eis M1 t/m M27)]]="","",KOE[[#This Row],[Zw/w p/m]]*KOE[[#This Row],[Aantal maanden]])</f>
        <v>398752</v>
      </c>
      <c r="N19" s="40">
        <f>IF(KOE[[#This Row],[Model 1
(eis M1 t/m M27)]]="","",KOE[[#This Row],[kleur p/m]]*KOE[[#This Row],[Aantal maanden]])</f>
        <v>213388</v>
      </c>
      <c r="O19" s="40" t="str">
        <f>IF(KOE[[#This Row],[Model 2
(eis M1 t/m M27)]]="","",KOE[[#This Row],[Zw/w p/m]]*KOE[[#This Row],[Aantal maanden]])</f>
        <v/>
      </c>
      <c r="P19" s="40" t="str">
        <f>IF(KOE[[#This Row],[Model 2
(eis M1 t/m M27)]]="","",KOE[[#This Row],[kleur p/m]]*KOE[[#This Row],[Aantal maanden]])</f>
        <v/>
      </c>
      <c r="Q19" s="40">
        <f>IF(KOE[[#This Row],[Model 1
(eis M1 t/m M27)]]="","",KOE[[#This Row],['# zw/w afdrukken M1 tot 1-6-2028]]/4)</f>
        <v>99688</v>
      </c>
      <c r="R19" s="40">
        <f>IF(KOE[[#This Row],[Model 1
(eis M1 t/m M27)]]="","",KOE[[#This Row],['# kleur afdrukken M1 tot 1-6-2028]]/4)</f>
        <v>53347</v>
      </c>
      <c r="S19" s="40" t="str">
        <f>IF(KOE[[#This Row],[Model 2
(eis M1 t/m M27)]]="","",KOE[[#This Row],['# zw/w afdrukken M2 tot 1-6-20282]]/4)</f>
        <v/>
      </c>
      <c r="T19" s="40" t="str">
        <f>IF(KOE[[#This Row],[Model 2
(eis M1 t/m M27)]]="","",KOE[[#This Row],['# kleur afdrukken M2 tot 1-6-20283]]/4)</f>
        <v/>
      </c>
    </row>
    <row r="20" spans="1:22" s="35" customFormat="1" ht="16.5" customHeight="1" x14ac:dyDescent="0.35">
      <c r="A20" s="37" t="s">
        <v>218</v>
      </c>
      <c r="B20" s="43" t="s">
        <v>219</v>
      </c>
      <c r="C20" s="37" t="s">
        <v>116</v>
      </c>
      <c r="D20" s="37" t="s">
        <v>72</v>
      </c>
      <c r="E20" s="38"/>
      <c r="F20" s="38">
        <v>1</v>
      </c>
      <c r="G20" s="39">
        <v>45444</v>
      </c>
      <c r="H20" s="40">
        <v>166745</v>
      </c>
      <c r="I20" s="40">
        <v>99938</v>
      </c>
      <c r="J20" s="40">
        <f>KOE[[#This Row],[Zw/w p/j]]/12</f>
        <v>13895.416666666666</v>
      </c>
      <c r="K20" s="40">
        <f>KOE[[#This Row],[Kleur p/j]]/12</f>
        <v>8328.1666666666661</v>
      </c>
      <c r="L20" s="40">
        <f>INT(_xlfn.DAYS($O$1,KOE[[#This Row],[Datum in gebruikname]])/30.41)</f>
        <v>48</v>
      </c>
      <c r="M20" s="40" t="str">
        <f>IF(KOE[[#This Row],[Model 1
(eis M1 t/m M27)]]="","",KOE[[#This Row],[Zw/w p/m]]*KOE[[#This Row],[Aantal maanden]])</f>
        <v/>
      </c>
      <c r="N20" s="40" t="str">
        <f>IF(KOE[[#This Row],[Model 1
(eis M1 t/m M27)]]="","",KOE[[#This Row],[kleur p/m]]*KOE[[#This Row],[Aantal maanden]])</f>
        <v/>
      </c>
      <c r="O20" s="40">
        <f>IF(KOE[[#This Row],[Model 2
(eis M1 t/m M27)]]="","",KOE[[#This Row],[Zw/w p/m]]*KOE[[#This Row],[Aantal maanden]])</f>
        <v>666980</v>
      </c>
      <c r="P20" s="40">
        <f>IF(KOE[[#This Row],[Model 2
(eis M1 t/m M27)]]="","",KOE[[#This Row],[kleur p/m]]*KOE[[#This Row],[Aantal maanden]])</f>
        <v>399752</v>
      </c>
      <c r="Q20" s="40" t="str">
        <f>IF(KOE[[#This Row],[Model 1
(eis M1 t/m M27)]]="","",KOE[[#This Row],['# zw/w afdrukken M1 tot 1-6-2028]]/4)</f>
        <v/>
      </c>
      <c r="R20" s="40" t="str">
        <f>IF(KOE[[#This Row],[Model 1
(eis M1 t/m M27)]]="","",KOE[[#This Row],['# kleur afdrukken M1 tot 1-6-2028]]/4)</f>
        <v/>
      </c>
      <c r="S20" s="40">
        <f>IF(KOE[[#This Row],[Model 2
(eis M1 t/m M27)]]="","",KOE[[#This Row],['# zw/w afdrukken M2 tot 1-6-20282]]/4)</f>
        <v>166745</v>
      </c>
      <c r="T20" s="40">
        <f>IF(KOE[[#This Row],[Model 2
(eis M1 t/m M27)]]="","",KOE[[#This Row],['# kleur afdrukken M2 tot 1-6-20283]]/4)</f>
        <v>99938</v>
      </c>
    </row>
    <row r="21" spans="1:22" s="35" customFormat="1" ht="16.5" customHeight="1" x14ac:dyDescent="0.35">
      <c r="A21" s="37" t="s">
        <v>220</v>
      </c>
      <c r="B21" s="43" t="s">
        <v>221</v>
      </c>
      <c r="C21" s="37" t="s">
        <v>222</v>
      </c>
      <c r="D21" s="37" t="s">
        <v>72</v>
      </c>
      <c r="E21" s="38"/>
      <c r="F21" s="38">
        <v>1</v>
      </c>
      <c r="G21" s="39">
        <v>45444</v>
      </c>
      <c r="H21" s="40">
        <v>156121</v>
      </c>
      <c r="I21" s="40">
        <v>54424</v>
      </c>
      <c r="J21" s="40">
        <f>KOE[[#This Row],[Zw/w p/j]]/12</f>
        <v>13010.083333333334</v>
      </c>
      <c r="K21" s="40">
        <f>KOE[[#This Row],[Kleur p/j]]/12</f>
        <v>4535.333333333333</v>
      </c>
      <c r="L21" s="40">
        <f>INT(_xlfn.DAYS($O$1,KOE[[#This Row],[Datum in gebruikname]])/30.41)</f>
        <v>48</v>
      </c>
      <c r="M21" s="40" t="str">
        <f>IF(KOE[[#This Row],[Model 1
(eis M1 t/m M27)]]="","",KOE[[#This Row],[Zw/w p/m]]*KOE[[#This Row],[Aantal maanden]])</f>
        <v/>
      </c>
      <c r="N21" s="40" t="str">
        <f>IF(KOE[[#This Row],[Model 1
(eis M1 t/m M27)]]="","",KOE[[#This Row],[kleur p/m]]*KOE[[#This Row],[Aantal maanden]])</f>
        <v/>
      </c>
      <c r="O21" s="40">
        <f>IF(KOE[[#This Row],[Model 2
(eis M1 t/m M27)]]="","",KOE[[#This Row],[Zw/w p/m]]*KOE[[#This Row],[Aantal maanden]])</f>
        <v>624484</v>
      </c>
      <c r="P21" s="40">
        <f>IF(KOE[[#This Row],[Model 2
(eis M1 t/m M27)]]="","",KOE[[#This Row],[kleur p/m]]*KOE[[#This Row],[Aantal maanden]])</f>
        <v>217696</v>
      </c>
      <c r="Q21" s="40" t="str">
        <f>IF(KOE[[#This Row],[Model 1
(eis M1 t/m M27)]]="","",KOE[[#This Row],['# zw/w afdrukken M1 tot 1-6-2028]]/4)</f>
        <v/>
      </c>
      <c r="R21" s="40" t="str">
        <f>IF(KOE[[#This Row],[Model 1
(eis M1 t/m M27)]]="","",KOE[[#This Row],['# kleur afdrukken M1 tot 1-6-2028]]/4)</f>
        <v/>
      </c>
      <c r="S21" s="40">
        <f>IF(KOE[[#This Row],[Model 2
(eis M1 t/m M27)]]="","",KOE[[#This Row],['# zw/w afdrukken M2 tot 1-6-20282]]/4)</f>
        <v>156121</v>
      </c>
      <c r="T21" s="40">
        <f>IF(KOE[[#This Row],[Model 2
(eis M1 t/m M27)]]="","",KOE[[#This Row],['# kleur afdrukken M2 tot 1-6-20283]]/4)</f>
        <v>54424</v>
      </c>
    </row>
    <row r="22" spans="1:22" s="35" customFormat="1" ht="16.5" customHeight="1" x14ac:dyDescent="0.35">
      <c r="A22" s="37" t="s">
        <v>223</v>
      </c>
      <c r="B22" s="43" t="s">
        <v>224</v>
      </c>
      <c r="C22" s="37" t="s">
        <v>225</v>
      </c>
      <c r="D22" s="37" t="s">
        <v>72</v>
      </c>
      <c r="E22" s="38"/>
      <c r="F22" s="38">
        <v>1</v>
      </c>
      <c r="G22" s="39">
        <v>45444</v>
      </c>
      <c r="H22" s="40">
        <v>117084</v>
      </c>
      <c r="I22" s="40">
        <v>59125</v>
      </c>
      <c r="J22" s="40">
        <f>KOE[[#This Row],[Zw/w p/j]]/12</f>
        <v>9757</v>
      </c>
      <c r="K22" s="40">
        <f>KOE[[#This Row],[Kleur p/j]]/12</f>
        <v>4927.083333333333</v>
      </c>
      <c r="L22" s="40">
        <f>INT(_xlfn.DAYS($O$1,KOE[[#This Row],[Datum in gebruikname]])/30.41)</f>
        <v>48</v>
      </c>
      <c r="M22" s="40" t="str">
        <f>IF(KOE[[#This Row],[Model 1
(eis M1 t/m M27)]]="","",KOE[[#This Row],[Zw/w p/m]]*KOE[[#This Row],[Aantal maanden]])</f>
        <v/>
      </c>
      <c r="N22" s="40" t="str">
        <f>IF(KOE[[#This Row],[Model 1
(eis M1 t/m M27)]]="","",KOE[[#This Row],[kleur p/m]]*KOE[[#This Row],[Aantal maanden]])</f>
        <v/>
      </c>
      <c r="O22" s="40">
        <f>IF(KOE[[#This Row],[Model 2
(eis M1 t/m M27)]]="","",KOE[[#This Row],[Zw/w p/m]]*KOE[[#This Row],[Aantal maanden]])</f>
        <v>468336</v>
      </c>
      <c r="P22" s="40">
        <f>IF(KOE[[#This Row],[Model 2
(eis M1 t/m M27)]]="","",KOE[[#This Row],[kleur p/m]]*KOE[[#This Row],[Aantal maanden]])</f>
        <v>236500</v>
      </c>
      <c r="Q22" s="40" t="str">
        <f>IF(KOE[[#This Row],[Model 1
(eis M1 t/m M27)]]="","",KOE[[#This Row],['# zw/w afdrukken M1 tot 1-6-2028]]/4)</f>
        <v/>
      </c>
      <c r="R22" s="40" t="str">
        <f>IF(KOE[[#This Row],[Model 1
(eis M1 t/m M27)]]="","",KOE[[#This Row],['# kleur afdrukken M1 tot 1-6-2028]]/4)</f>
        <v/>
      </c>
      <c r="S22" s="40">
        <f>IF(KOE[[#This Row],[Model 2
(eis M1 t/m M27)]]="","",KOE[[#This Row],['# zw/w afdrukken M2 tot 1-6-20282]]/4)</f>
        <v>117084</v>
      </c>
      <c r="T22" s="40">
        <f>IF(KOE[[#This Row],[Model 2
(eis M1 t/m M27)]]="","",KOE[[#This Row],['# kleur afdrukken M2 tot 1-6-20283]]/4)</f>
        <v>59125</v>
      </c>
      <c r="U22" s="44"/>
      <c r="V22" s="44"/>
    </row>
    <row r="23" spans="1:22" s="35" customFormat="1" ht="16.5" customHeight="1" x14ac:dyDescent="0.35">
      <c r="A23" s="37" t="s">
        <v>226</v>
      </c>
      <c r="B23" s="43" t="s">
        <v>227</v>
      </c>
      <c r="C23" s="37" t="s">
        <v>228</v>
      </c>
      <c r="D23" s="37" t="s">
        <v>72</v>
      </c>
      <c r="E23" s="38">
        <v>1</v>
      </c>
      <c r="F23" s="38"/>
      <c r="G23" s="39">
        <v>45444</v>
      </c>
      <c r="H23" s="40">
        <v>116792</v>
      </c>
      <c r="I23" s="40">
        <v>89509</v>
      </c>
      <c r="J23" s="40">
        <f>KOE[[#This Row],[Zw/w p/j]]/12</f>
        <v>9732.6666666666661</v>
      </c>
      <c r="K23" s="40">
        <f>KOE[[#This Row],[Kleur p/j]]/12</f>
        <v>7459.083333333333</v>
      </c>
      <c r="L23" s="40">
        <f>INT(_xlfn.DAYS($O$1,KOE[[#This Row],[Datum in gebruikname]])/30.41)</f>
        <v>48</v>
      </c>
      <c r="M23" s="40">
        <f>IF(KOE[[#This Row],[Model 1
(eis M1 t/m M27)]]="","",KOE[[#This Row],[Zw/w p/m]]*KOE[[#This Row],[Aantal maanden]])</f>
        <v>467168</v>
      </c>
      <c r="N23" s="40">
        <f>IF(KOE[[#This Row],[Model 1
(eis M1 t/m M27)]]="","",KOE[[#This Row],[kleur p/m]]*KOE[[#This Row],[Aantal maanden]])</f>
        <v>358036</v>
      </c>
      <c r="O23" s="40" t="str">
        <f>IF(KOE[[#This Row],[Model 2
(eis M1 t/m M27)]]="","",KOE[[#This Row],[Zw/w p/m]]*KOE[[#This Row],[Aantal maanden]])</f>
        <v/>
      </c>
      <c r="P23" s="40" t="str">
        <f>IF(KOE[[#This Row],[Model 2
(eis M1 t/m M27)]]="","",KOE[[#This Row],[kleur p/m]]*KOE[[#This Row],[Aantal maanden]])</f>
        <v/>
      </c>
      <c r="Q23" s="40">
        <f>IF(KOE[[#This Row],[Model 1
(eis M1 t/m M27)]]="","",KOE[[#This Row],['# zw/w afdrukken M1 tot 1-6-2028]]/4)</f>
        <v>116792</v>
      </c>
      <c r="R23" s="40">
        <f>IF(KOE[[#This Row],[Model 1
(eis M1 t/m M27)]]="","",KOE[[#This Row],['# kleur afdrukken M1 tot 1-6-2028]]/4)</f>
        <v>89509</v>
      </c>
      <c r="S23" s="40" t="str">
        <f>IF(KOE[[#This Row],[Model 2
(eis M1 t/m M27)]]="","",KOE[[#This Row],['# zw/w afdrukken M2 tot 1-6-20282]]/4)</f>
        <v/>
      </c>
      <c r="T23" s="40" t="str">
        <f>IF(KOE[[#This Row],[Model 2
(eis M1 t/m M27)]]="","",KOE[[#This Row],['# kleur afdrukken M2 tot 1-6-20283]]/4)</f>
        <v/>
      </c>
      <c r="U23" s="37"/>
      <c r="V23" s="37"/>
    </row>
    <row r="24" spans="1:22" s="35" customFormat="1" ht="16.5" customHeight="1" x14ac:dyDescent="0.35">
      <c r="A24" s="37" t="s">
        <v>229</v>
      </c>
      <c r="B24" s="43" t="s">
        <v>230</v>
      </c>
      <c r="C24" s="37" t="s">
        <v>231</v>
      </c>
      <c r="D24" s="37" t="s">
        <v>72</v>
      </c>
      <c r="E24" s="38"/>
      <c r="F24" s="38">
        <v>1</v>
      </c>
      <c r="G24" s="39">
        <v>45444</v>
      </c>
      <c r="H24" s="40">
        <v>156625</v>
      </c>
      <c r="I24" s="40">
        <v>96811</v>
      </c>
      <c r="J24" s="40">
        <f>KOE[[#This Row],[Zw/w p/j]]/12</f>
        <v>13052.083333333334</v>
      </c>
      <c r="K24" s="40">
        <f>KOE[[#This Row],[Kleur p/j]]/12</f>
        <v>8067.583333333333</v>
      </c>
      <c r="L24" s="40">
        <f>INT(_xlfn.DAYS($O$1,KOE[[#This Row],[Datum in gebruikname]])/30.41)</f>
        <v>48</v>
      </c>
      <c r="M24" s="40" t="str">
        <f>IF(KOE[[#This Row],[Model 1
(eis M1 t/m M27)]]="","",KOE[[#This Row],[Zw/w p/m]]*KOE[[#This Row],[Aantal maanden]])</f>
        <v/>
      </c>
      <c r="N24" s="40" t="str">
        <f>IF(KOE[[#This Row],[Model 1
(eis M1 t/m M27)]]="","",KOE[[#This Row],[kleur p/m]]*KOE[[#This Row],[Aantal maanden]])</f>
        <v/>
      </c>
      <c r="O24" s="40">
        <f>IF(KOE[[#This Row],[Model 2
(eis M1 t/m M27)]]="","",KOE[[#This Row],[Zw/w p/m]]*KOE[[#This Row],[Aantal maanden]])</f>
        <v>626500</v>
      </c>
      <c r="P24" s="40">
        <f>IF(KOE[[#This Row],[Model 2
(eis M1 t/m M27)]]="","",KOE[[#This Row],[kleur p/m]]*KOE[[#This Row],[Aantal maanden]])</f>
        <v>387244</v>
      </c>
      <c r="Q24" s="40" t="str">
        <f>IF(KOE[[#This Row],[Model 1
(eis M1 t/m M27)]]="","",KOE[[#This Row],['# zw/w afdrukken M1 tot 1-6-2028]]/4)</f>
        <v/>
      </c>
      <c r="R24" s="40" t="str">
        <f>IF(KOE[[#This Row],[Model 1
(eis M1 t/m M27)]]="","",KOE[[#This Row],['# kleur afdrukken M1 tot 1-6-2028]]/4)</f>
        <v/>
      </c>
      <c r="S24" s="40">
        <f>IF(KOE[[#This Row],[Model 2
(eis M1 t/m M27)]]="","",KOE[[#This Row],['# zw/w afdrukken M2 tot 1-6-20282]]/4)</f>
        <v>156625</v>
      </c>
      <c r="T24" s="40">
        <f>IF(KOE[[#This Row],[Model 2
(eis M1 t/m M27)]]="","",KOE[[#This Row],['# kleur afdrukken M2 tot 1-6-20283]]/4)</f>
        <v>96811</v>
      </c>
      <c r="U24" s="37"/>
      <c r="V24" s="37"/>
    </row>
    <row r="25" spans="1:22" s="35" customFormat="1" ht="16.5" customHeight="1" x14ac:dyDescent="0.35">
      <c r="A25" s="37" t="s">
        <v>232</v>
      </c>
      <c r="B25" s="43" t="s">
        <v>233</v>
      </c>
      <c r="C25" s="37" t="s">
        <v>234</v>
      </c>
      <c r="D25" s="37" t="s">
        <v>72</v>
      </c>
      <c r="E25" s="38">
        <v>1</v>
      </c>
      <c r="F25" s="38"/>
      <c r="G25" s="39">
        <v>45444</v>
      </c>
      <c r="H25" s="40">
        <v>157539</v>
      </c>
      <c r="I25" s="40">
        <v>117672</v>
      </c>
      <c r="J25" s="40">
        <f>KOE[[#This Row],[Zw/w p/j]]/12</f>
        <v>13128.25</v>
      </c>
      <c r="K25" s="40">
        <f>KOE[[#This Row],[Kleur p/j]]/12</f>
        <v>9806</v>
      </c>
      <c r="L25" s="40">
        <f>INT(_xlfn.DAYS($O$1,KOE[[#This Row],[Datum in gebruikname]])/30.41)</f>
        <v>48</v>
      </c>
      <c r="M25" s="40">
        <f>IF(KOE[[#This Row],[Model 1
(eis M1 t/m M27)]]="","",KOE[[#This Row],[Zw/w p/m]]*KOE[[#This Row],[Aantal maanden]])</f>
        <v>630156</v>
      </c>
      <c r="N25" s="40">
        <f>IF(KOE[[#This Row],[Model 1
(eis M1 t/m M27)]]="","",KOE[[#This Row],[kleur p/m]]*KOE[[#This Row],[Aantal maanden]])</f>
        <v>470688</v>
      </c>
      <c r="O25" s="40" t="str">
        <f>IF(KOE[[#This Row],[Model 2
(eis M1 t/m M27)]]="","",KOE[[#This Row],[Zw/w p/m]]*KOE[[#This Row],[Aantal maanden]])</f>
        <v/>
      </c>
      <c r="P25" s="40" t="str">
        <f>IF(KOE[[#This Row],[Model 2
(eis M1 t/m M27)]]="","",KOE[[#This Row],[kleur p/m]]*KOE[[#This Row],[Aantal maanden]])</f>
        <v/>
      </c>
      <c r="Q25" s="40">
        <f>IF(KOE[[#This Row],[Model 1
(eis M1 t/m M27)]]="","",KOE[[#This Row],['# zw/w afdrukken M1 tot 1-6-2028]]/4)</f>
        <v>157539</v>
      </c>
      <c r="R25" s="40">
        <f>IF(KOE[[#This Row],[Model 1
(eis M1 t/m M27)]]="","",KOE[[#This Row],['# kleur afdrukken M1 tot 1-6-2028]]/4)</f>
        <v>117672</v>
      </c>
      <c r="S25" s="40" t="str">
        <f>IF(KOE[[#This Row],[Model 2
(eis M1 t/m M27)]]="","",KOE[[#This Row],['# zw/w afdrukken M2 tot 1-6-20282]]/4)</f>
        <v/>
      </c>
      <c r="T25" s="40" t="str">
        <f>IF(KOE[[#This Row],[Model 2
(eis M1 t/m M27)]]="","",KOE[[#This Row],['# kleur afdrukken M2 tot 1-6-20283]]/4)</f>
        <v/>
      </c>
      <c r="U25" s="37"/>
      <c r="V25" s="37"/>
    </row>
    <row r="26" spans="1:22" s="35" customFormat="1" ht="16.5" customHeight="1" x14ac:dyDescent="0.35">
      <c r="A26" s="37" t="s">
        <v>235</v>
      </c>
      <c r="B26" s="43" t="s">
        <v>236</v>
      </c>
      <c r="C26" s="37" t="s">
        <v>237</v>
      </c>
      <c r="D26" s="37" t="s">
        <v>72</v>
      </c>
      <c r="E26" s="38">
        <v>1</v>
      </c>
      <c r="F26" s="38"/>
      <c r="G26" s="39">
        <v>45444</v>
      </c>
      <c r="H26" s="40">
        <v>130053</v>
      </c>
      <c r="I26" s="40">
        <v>56573</v>
      </c>
      <c r="J26" s="40">
        <f>KOE[[#This Row],[Zw/w p/j]]/12</f>
        <v>10837.75</v>
      </c>
      <c r="K26" s="40">
        <f>KOE[[#This Row],[Kleur p/j]]/12</f>
        <v>4714.416666666667</v>
      </c>
      <c r="L26" s="40">
        <f>INT(_xlfn.DAYS($O$1,KOE[[#This Row],[Datum in gebruikname]])/30.41)</f>
        <v>48</v>
      </c>
      <c r="M26" s="40">
        <f>IF(KOE[[#This Row],[Model 1
(eis M1 t/m M27)]]="","",KOE[[#This Row],[Zw/w p/m]]*KOE[[#This Row],[Aantal maanden]])</f>
        <v>520212</v>
      </c>
      <c r="N26" s="40">
        <f>IF(KOE[[#This Row],[Model 1
(eis M1 t/m M27)]]="","",KOE[[#This Row],[kleur p/m]]*KOE[[#This Row],[Aantal maanden]])</f>
        <v>226292</v>
      </c>
      <c r="O26" s="40" t="str">
        <f>IF(KOE[[#This Row],[Model 2
(eis M1 t/m M27)]]="","",KOE[[#This Row],[Zw/w p/m]]*KOE[[#This Row],[Aantal maanden]])</f>
        <v/>
      </c>
      <c r="P26" s="40" t="str">
        <f>IF(KOE[[#This Row],[Model 2
(eis M1 t/m M27)]]="","",KOE[[#This Row],[kleur p/m]]*KOE[[#This Row],[Aantal maanden]])</f>
        <v/>
      </c>
      <c r="Q26" s="40">
        <f>IF(KOE[[#This Row],[Model 1
(eis M1 t/m M27)]]="","",KOE[[#This Row],['# zw/w afdrukken M1 tot 1-6-2028]]/4)</f>
        <v>130053</v>
      </c>
      <c r="R26" s="40">
        <f>IF(KOE[[#This Row],[Model 1
(eis M1 t/m M27)]]="","",KOE[[#This Row],['# kleur afdrukken M1 tot 1-6-2028]]/4)</f>
        <v>56573</v>
      </c>
      <c r="S26" s="40" t="str">
        <f>IF(KOE[[#This Row],[Model 2
(eis M1 t/m M27)]]="","",KOE[[#This Row],['# zw/w afdrukken M2 tot 1-6-20282]]/4)</f>
        <v/>
      </c>
      <c r="T26" s="40" t="str">
        <f>IF(KOE[[#This Row],[Model 2
(eis M1 t/m M27)]]="","",KOE[[#This Row],['# kleur afdrukken M2 tot 1-6-20283]]/4)</f>
        <v/>
      </c>
      <c r="U26" s="37"/>
      <c r="V26" s="37"/>
    </row>
    <row r="27" spans="1:22" s="37" customFormat="1" ht="16.5" customHeight="1" x14ac:dyDescent="0.35">
      <c r="A27" s="37" t="s">
        <v>235</v>
      </c>
      <c r="B27" s="43" t="s">
        <v>253</v>
      </c>
      <c r="C27" s="37" t="s">
        <v>237</v>
      </c>
      <c r="D27" s="37" t="s">
        <v>72</v>
      </c>
      <c r="E27" s="38">
        <v>1</v>
      </c>
      <c r="F27" s="38"/>
      <c r="G27" s="39">
        <v>45444</v>
      </c>
      <c r="H27" s="40">
        <v>113185</v>
      </c>
      <c r="I27" s="40">
        <v>28946</v>
      </c>
      <c r="J27" s="40">
        <f>KOE[[#This Row],[Zw/w p/j]]/12</f>
        <v>9432.0833333333339</v>
      </c>
      <c r="K27" s="40">
        <f>KOE[[#This Row],[Kleur p/j]]/12</f>
        <v>2412.1666666666665</v>
      </c>
      <c r="L27" s="40">
        <f>INT(_xlfn.DAYS($O$1,KOE[[#This Row],[Datum in gebruikname]])/30.41)</f>
        <v>48</v>
      </c>
      <c r="M27" s="40">
        <f>IF(KOE[[#This Row],[Model 1
(eis M1 t/m M27)]]="","",KOE[[#This Row],[Zw/w p/m]]*KOE[[#This Row],[Aantal maanden]])</f>
        <v>452740</v>
      </c>
      <c r="N27" s="40">
        <f>IF(KOE[[#This Row],[Model 1
(eis M1 t/m M27)]]="","",KOE[[#This Row],[kleur p/m]]*KOE[[#This Row],[Aantal maanden]])</f>
        <v>115784</v>
      </c>
      <c r="O27" s="40" t="str">
        <f>IF(KOE[[#This Row],[Model 2
(eis M1 t/m M27)]]="","",KOE[[#This Row],[Zw/w p/m]]*KOE[[#This Row],[Aantal maanden]])</f>
        <v/>
      </c>
      <c r="P27" s="40" t="str">
        <f>IF(KOE[[#This Row],[Model 2
(eis M1 t/m M27)]]="","",KOE[[#This Row],[kleur p/m]]*KOE[[#This Row],[Aantal maanden]])</f>
        <v/>
      </c>
      <c r="Q27" s="40">
        <f>IF(KOE[[#This Row],[Model 1
(eis M1 t/m M27)]]="","",KOE[[#This Row],['# zw/w afdrukken M1 tot 1-6-2028]]/4)</f>
        <v>113185</v>
      </c>
      <c r="R27" s="40">
        <f>IF(KOE[[#This Row],[Model 1
(eis M1 t/m M27)]]="","",KOE[[#This Row],['# kleur afdrukken M1 tot 1-6-2028]]/4)</f>
        <v>28946</v>
      </c>
      <c r="S27" s="40" t="str">
        <f>IF(KOE[[#This Row],[Model 2
(eis M1 t/m M27)]]="","",KOE[[#This Row],['# zw/w afdrukken M2 tot 1-6-20282]]/4)</f>
        <v/>
      </c>
      <c r="T27" s="40" t="str">
        <f>IF(KOE[[#This Row],[Model 2
(eis M1 t/m M27)]]="","",KOE[[#This Row],['# kleur afdrukken M2 tot 1-6-20283]]/4)</f>
        <v/>
      </c>
    </row>
    <row r="28" spans="1:22" s="37" customFormat="1" ht="16.5" customHeight="1" x14ac:dyDescent="0.35">
      <c r="A28" s="37" t="s">
        <v>238</v>
      </c>
      <c r="B28" s="43" t="s">
        <v>147</v>
      </c>
      <c r="C28" s="37" t="s">
        <v>140</v>
      </c>
      <c r="D28" s="37" t="s">
        <v>72</v>
      </c>
      <c r="E28" s="38">
        <v>1</v>
      </c>
      <c r="F28" s="38"/>
      <c r="G28" s="39">
        <v>45444</v>
      </c>
      <c r="H28" s="40">
        <v>48295</v>
      </c>
      <c r="I28" s="40">
        <v>75285</v>
      </c>
      <c r="J28" s="40">
        <f>KOE[[#This Row],[Zw/w p/j]]/12</f>
        <v>4024.5833333333335</v>
      </c>
      <c r="K28" s="40">
        <f>KOE[[#This Row],[Kleur p/j]]/12</f>
        <v>6273.75</v>
      </c>
      <c r="L28" s="40">
        <f>INT(_xlfn.DAYS($O$1,KOE[[#This Row],[Datum in gebruikname]])/30.41)</f>
        <v>48</v>
      </c>
      <c r="M28" s="40">
        <f>IF(KOE[[#This Row],[Model 1
(eis M1 t/m M27)]]="","",KOE[[#This Row],[Zw/w p/m]]*KOE[[#This Row],[Aantal maanden]])</f>
        <v>193180</v>
      </c>
      <c r="N28" s="40">
        <f>IF(KOE[[#This Row],[Model 1
(eis M1 t/m M27)]]="","",KOE[[#This Row],[kleur p/m]]*KOE[[#This Row],[Aantal maanden]])</f>
        <v>301140</v>
      </c>
      <c r="O28" s="40" t="str">
        <f>IF(KOE[[#This Row],[Model 2
(eis M1 t/m M27)]]="","",KOE[[#This Row],[Zw/w p/m]]*KOE[[#This Row],[Aantal maanden]])</f>
        <v/>
      </c>
      <c r="P28" s="40" t="str">
        <f>IF(KOE[[#This Row],[Model 2
(eis M1 t/m M27)]]="","",KOE[[#This Row],[kleur p/m]]*KOE[[#This Row],[Aantal maanden]])</f>
        <v/>
      </c>
      <c r="Q28" s="40">
        <f>IF(KOE[[#This Row],[Model 1
(eis M1 t/m M27)]]="","",KOE[[#This Row],['# zw/w afdrukken M1 tot 1-6-2028]]/4)</f>
        <v>48295</v>
      </c>
      <c r="R28" s="40">
        <f>IF(KOE[[#This Row],[Model 1
(eis M1 t/m M27)]]="","",KOE[[#This Row],['# kleur afdrukken M1 tot 1-6-2028]]/4)</f>
        <v>75285</v>
      </c>
      <c r="S28" s="40" t="str">
        <f>IF(KOE[[#This Row],[Model 2
(eis M1 t/m M27)]]="","",KOE[[#This Row],['# zw/w afdrukken M2 tot 1-6-20282]]/4)</f>
        <v/>
      </c>
      <c r="T28" s="40" t="str">
        <f>IF(KOE[[#This Row],[Model 2
(eis M1 t/m M27)]]="","",KOE[[#This Row],['# kleur afdrukken M2 tot 1-6-20283]]/4)</f>
        <v/>
      </c>
    </row>
    <row r="29" spans="1:22" s="37" customFormat="1" ht="16.5" customHeight="1" x14ac:dyDescent="0.35">
      <c r="A29" s="37" t="s">
        <v>238</v>
      </c>
      <c r="B29" s="43" t="s">
        <v>254</v>
      </c>
      <c r="C29" s="37" t="s">
        <v>140</v>
      </c>
      <c r="D29" s="37" t="s">
        <v>72</v>
      </c>
      <c r="E29" s="38">
        <v>1</v>
      </c>
      <c r="F29" s="38"/>
      <c r="G29" s="39">
        <v>45444</v>
      </c>
      <c r="H29" s="40">
        <v>39403</v>
      </c>
      <c r="I29" s="40">
        <v>55956</v>
      </c>
      <c r="J29" s="40">
        <f>KOE[[#This Row],[Zw/w p/j]]/12</f>
        <v>3283.5833333333335</v>
      </c>
      <c r="K29" s="40">
        <f>KOE[[#This Row],[Kleur p/j]]/12</f>
        <v>4663</v>
      </c>
      <c r="L29" s="40">
        <f>INT(_xlfn.DAYS($O$1,KOE[[#This Row],[Datum in gebruikname]])/30.41)</f>
        <v>48</v>
      </c>
      <c r="M29" s="40">
        <f>IF(KOE[[#This Row],[Model 1
(eis M1 t/m M27)]]="","",KOE[[#This Row],[Zw/w p/m]]*KOE[[#This Row],[Aantal maanden]])</f>
        <v>157612</v>
      </c>
      <c r="N29" s="40">
        <f>IF(KOE[[#This Row],[Model 1
(eis M1 t/m M27)]]="","",KOE[[#This Row],[kleur p/m]]*KOE[[#This Row],[Aantal maanden]])</f>
        <v>223824</v>
      </c>
      <c r="O29" s="40" t="str">
        <f>IF(KOE[[#This Row],[Model 2
(eis M1 t/m M27)]]="","",KOE[[#This Row],[Zw/w p/m]]*KOE[[#This Row],[Aantal maanden]])</f>
        <v/>
      </c>
      <c r="P29" s="40" t="str">
        <f>IF(KOE[[#This Row],[Model 2
(eis M1 t/m M27)]]="","",KOE[[#This Row],[kleur p/m]]*KOE[[#This Row],[Aantal maanden]])</f>
        <v/>
      </c>
      <c r="Q29" s="40">
        <f>IF(KOE[[#This Row],[Model 1
(eis M1 t/m M27)]]="","",KOE[[#This Row],['# zw/w afdrukken M1 tot 1-6-2028]]/4)</f>
        <v>39403</v>
      </c>
      <c r="R29" s="40">
        <f>IF(KOE[[#This Row],[Model 1
(eis M1 t/m M27)]]="","",KOE[[#This Row],['# kleur afdrukken M1 tot 1-6-2028]]/4)</f>
        <v>55956</v>
      </c>
      <c r="S29" s="40" t="str">
        <f>IF(KOE[[#This Row],[Model 2
(eis M1 t/m M27)]]="","",KOE[[#This Row],['# zw/w afdrukken M2 tot 1-6-20282]]/4)</f>
        <v/>
      </c>
      <c r="T29" s="40" t="str">
        <f>IF(KOE[[#This Row],[Model 2
(eis M1 t/m M27)]]="","",KOE[[#This Row],['# kleur afdrukken M2 tot 1-6-20283]]/4)</f>
        <v/>
      </c>
    </row>
    <row r="30" spans="1:22" s="37" customFormat="1" ht="16.5" customHeight="1" x14ac:dyDescent="0.35">
      <c r="A30" s="37" t="s">
        <v>355</v>
      </c>
      <c r="B30" s="43" t="s">
        <v>249</v>
      </c>
      <c r="C30" s="37" t="s">
        <v>250</v>
      </c>
      <c r="D30" s="37" t="s">
        <v>72</v>
      </c>
      <c r="E30" s="38">
        <v>1</v>
      </c>
      <c r="F30" s="38"/>
      <c r="G30" s="39">
        <v>45444</v>
      </c>
      <c r="H30" s="40">
        <v>22269</v>
      </c>
      <c r="I30" s="40">
        <v>7601</v>
      </c>
      <c r="J30" s="40">
        <f>KOE[[#This Row],[Zw/w p/j]]/12</f>
        <v>1855.75</v>
      </c>
      <c r="K30" s="40">
        <f>KOE[[#This Row],[Kleur p/j]]/12</f>
        <v>633.41666666666663</v>
      </c>
      <c r="L30" s="40">
        <f>INT(_xlfn.DAYS($O$1,KOE[[#This Row],[Datum in gebruikname]])/30.41)</f>
        <v>48</v>
      </c>
      <c r="M30" s="40">
        <f>IF(KOE[[#This Row],[Model 1
(eis M1 t/m M27)]]="","",KOE[[#This Row],[Zw/w p/m]]*KOE[[#This Row],[Aantal maanden]])</f>
        <v>89076</v>
      </c>
      <c r="N30" s="40">
        <f>IF(KOE[[#This Row],[Model 1
(eis M1 t/m M27)]]="","",KOE[[#This Row],[kleur p/m]]*KOE[[#This Row],[Aantal maanden]])</f>
        <v>30404</v>
      </c>
      <c r="O30" s="40" t="str">
        <f>IF(KOE[[#This Row],[Model 2
(eis M1 t/m M27)]]="","",KOE[[#This Row],[Zw/w p/m]]*KOE[[#This Row],[Aantal maanden]])</f>
        <v/>
      </c>
      <c r="P30" s="40" t="str">
        <f>IF(KOE[[#This Row],[Model 2
(eis M1 t/m M27)]]="","",KOE[[#This Row],[kleur p/m]]*KOE[[#This Row],[Aantal maanden]])</f>
        <v/>
      </c>
      <c r="Q30" s="40">
        <f>IF(KOE[[#This Row],[Model 1
(eis M1 t/m M27)]]="","",KOE[[#This Row],['# zw/w afdrukken M1 tot 1-6-2028]]/4)</f>
        <v>22269</v>
      </c>
      <c r="R30" s="40">
        <f>IF(KOE[[#This Row],[Model 1
(eis M1 t/m M27)]]="","",KOE[[#This Row],['# kleur afdrukken M1 tot 1-6-2028]]/4)</f>
        <v>7601</v>
      </c>
      <c r="S30" s="40" t="str">
        <f>IF(KOE[[#This Row],[Model 2
(eis M1 t/m M27)]]="","",KOE[[#This Row],['# zw/w afdrukken M2 tot 1-6-20282]]/4)</f>
        <v/>
      </c>
      <c r="T30" s="40" t="str">
        <f>IF(KOE[[#This Row],[Model 2
(eis M1 t/m M27)]]="","",KOE[[#This Row],['# kleur afdrukken M2 tot 1-6-20283]]/4)</f>
        <v/>
      </c>
    </row>
    <row r="31" spans="1:22" s="37" customFormat="1" ht="16.5" customHeight="1" x14ac:dyDescent="0.35">
      <c r="E31" s="38">
        <f>SUBTOTAL(109,KOE[Model 1
(eis M1 t/m M27)])</f>
        <v>20</v>
      </c>
      <c r="F31" s="38">
        <f>SUBTOTAL(109,KOE[Model 2
(eis M1 t/m M27)])</f>
        <v>8</v>
      </c>
      <c r="G31" s="38"/>
      <c r="H31" s="45">
        <f>SUBTOTAL(109,KOE[Zw/w p/j])</f>
        <v>3087776</v>
      </c>
      <c r="I31" s="45">
        <f>SUBTOTAL(109,KOE[Kleur p/j])</f>
        <v>2241194</v>
      </c>
      <c r="J31" s="45">
        <f>SUBTOTAL(109,KOE[Zw/w p/m])</f>
        <v>257314.66666666669</v>
      </c>
      <c r="K31" s="45">
        <f>SUBTOTAL(109,KOE[kleur p/m])</f>
        <v>186766.16666666666</v>
      </c>
      <c r="L31" s="45" t="s">
        <v>49</v>
      </c>
      <c r="M31" s="44">
        <f>SUBTOTAL(109,KOE['# zw/w afdrukken M1 tot 1-6-2028])</f>
        <v>8287680</v>
      </c>
      <c r="N31" s="44">
        <f>SUBTOTAL(109,KOE['# kleur afdrukken M1 tot 1-6-2028])</f>
        <v>5390348</v>
      </c>
      <c r="O31" s="44">
        <f>SUBTOTAL(109,KOE['# zw/w afdrukken M2 tot 1-6-20282])</f>
        <v>4063424</v>
      </c>
      <c r="P31" s="44">
        <f>SUBTOTAL(109,KOE['# kleur afdrukken M2 tot 1-6-20283])</f>
        <v>3574428</v>
      </c>
      <c r="Q31" s="44">
        <f>SUBTOTAL(109,KOE[Aantal zw/w afdrukken per optiejaar M1])</f>
        <v>2071920</v>
      </c>
      <c r="R31" s="44">
        <f>SUBTOTAL(109,KOE[Aantal kleur afdrukken per optiejaar M1])</f>
        <v>1347587</v>
      </c>
      <c r="S31" s="44">
        <f>SUBTOTAL(109,KOE[Aantal zw/w afdrukken per optiejaar M2])</f>
        <v>1015856</v>
      </c>
      <c r="T31" s="44">
        <f>SUBTOTAL(109,KOE[Aantal kleur afdrukken per optiejaar M2])</f>
        <v>893607</v>
      </c>
    </row>
    <row r="32" spans="1:22" s="37" customFormat="1" ht="16.5" customHeight="1" x14ac:dyDescent="0.35">
      <c r="D32" s="38"/>
      <c r="E32" s="38"/>
      <c r="F32" s="38"/>
      <c r="G32" s="38"/>
      <c r="H32" s="38"/>
      <c r="I32" s="44"/>
      <c r="J32" s="44"/>
      <c r="K32" s="44"/>
      <c r="L32" s="44"/>
      <c r="M32" s="44"/>
      <c r="N32" s="44"/>
      <c r="O32" s="44"/>
      <c r="P32" s="44"/>
      <c r="Q32" s="44"/>
      <c r="R32" s="44"/>
      <c r="S32" s="44"/>
    </row>
    <row r="33" spans="1:12" s="37" customFormat="1" ht="16.5" customHeight="1" x14ac:dyDescent="0.35">
      <c r="C33" s="46" t="s">
        <v>62</v>
      </c>
      <c r="D33" s="47" t="s">
        <v>20</v>
      </c>
      <c r="E33" s="48" t="s">
        <v>58</v>
      </c>
      <c r="F33" s="48" t="s">
        <v>56</v>
      </c>
      <c r="G33" s="48" t="s">
        <v>57</v>
      </c>
      <c r="I33" s="49" t="s">
        <v>22</v>
      </c>
      <c r="J33" s="49" t="s">
        <v>22</v>
      </c>
      <c r="K33" s="49" t="s">
        <v>22</v>
      </c>
      <c r="L33" s="49" t="s">
        <v>22</v>
      </c>
    </row>
    <row r="34" spans="1:12" s="37" customFormat="1" ht="16.5" customHeight="1" x14ac:dyDescent="0.35">
      <c r="A34" s="50"/>
      <c r="B34" s="50"/>
      <c r="C34" s="51" t="s">
        <v>358</v>
      </c>
      <c r="D34" s="52">
        <v>0</v>
      </c>
      <c r="E34" s="52">
        <v>0</v>
      </c>
      <c r="F34" s="52">
        <v>0</v>
      </c>
      <c r="G34" s="52">
        <v>0</v>
      </c>
      <c r="I34" s="53">
        <f>O1</f>
        <v>46905</v>
      </c>
      <c r="J34" s="54" t="s">
        <v>188</v>
      </c>
      <c r="K34" s="55">
        <f>O1</f>
        <v>46905</v>
      </c>
      <c r="L34" s="56" t="s">
        <v>35</v>
      </c>
    </row>
    <row r="35" spans="1:12" s="37" customFormat="1" ht="16.5" customHeight="1" x14ac:dyDescent="0.35">
      <c r="B35" s="50"/>
      <c r="C35" s="51" t="s">
        <v>359</v>
      </c>
      <c r="D35" s="52">
        <v>0</v>
      </c>
      <c r="E35" s="52">
        <v>0</v>
      </c>
      <c r="F35" s="52">
        <v>0</v>
      </c>
      <c r="G35" s="52">
        <v>0</v>
      </c>
      <c r="H35" s="46" t="s">
        <v>51</v>
      </c>
      <c r="I35" s="57">
        <f>MROUND(KOE[[#Totals],['# zw/w afdrukken M1 tot 1-6-2028]]+KOE[[#Totals],['# zw/w afdrukken M2 tot 1-6-20282]],1000)</f>
        <v>12351000</v>
      </c>
      <c r="J35" s="57">
        <f>MROUND(KOE[[#Totals],[Aantal zw/w afdrukken per optiejaar M1]]+KOE[[#Totals],[Aantal zw/w afdrukken per optiejaar M2]],1000)</f>
        <v>3088000</v>
      </c>
      <c r="K35" s="57">
        <f>MROUND(KOE[[#Totals],['# kleur afdrukken M1 tot 1-6-2028]]+KOE[[#Totals],['# kleur afdrukken M2 tot 1-6-20283]],1000)</f>
        <v>8965000</v>
      </c>
      <c r="L35" s="57">
        <f>MROUND(KOE[[#Totals],[Aantal kleur afdrukken per optiejaar M1]]+KOE[[#Totals],[Aantal kleur afdrukken per optiejaar M2]],1000)</f>
        <v>2241000</v>
      </c>
    </row>
    <row r="36" spans="1:12" s="37" customFormat="1" ht="16.5" customHeight="1" x14ac:dyDescent="0.35">
      <c r="B36" s="50"/>
      <c r="C36" s="51"/>
      <c r="D36" s="58"/>
      <c r="E36" s="58"/>
      <c r="F36" s="58"/>
      <c r="G36" s="58"/>
      <c r="H36" s="46"/>
      <c r="I36" s="59"/>
      <c r="J36" s="59"/>
      <c r="K36" s="59"/>
      <c r="L36" s="59"/>
    </row>
    <row r="37" spans="1:12" s="37" customFormat="1" ht="16.5" customHeight="1" x14ac:dyDescent="0.35">
      <c r="A37" s="51"/>
      <c r="B37" s="51"/>
      <c r="C37" s="46" t="s">
        <v>187</v>
      </c>
      <c r="D37" s="60"/>
      <c r="E37" s="60"/>
      <c r="F37" s="60"/>
      <c r="G37" s="60"/>
    </row>
    <row r="38" spans="1:12" s="37" customFormat="1" ht="16.5" customHeight="1" x14ac:dyDescent="0.35">
      <c r="A38" s="51"/>
      <c r="B38" s="51"/>
      <c r="C38" s="51" t="s">
        <v>356</v>
      </c>
      <c r="D38" s="61">
        <v>0</v>
      </c>
      <c r="E38" s="61">
        <v>0</v>
      </c>
      <c r="F38" s="61">
        <v>0</v>
      </c>
      <c r="G38" s="61">
        <v>0</v>
      </c>
      <c r="J38" s="62"/>
    </row>
    <row r="39" spans="1:12" s="37" customFormat="1" ht="16.5" customHeight="1" x14ac:dyDescent="0.35">
      <c r="A39" s="51"/>
      <c r="B39" s="51"/>
      <c r="C39" s="51" t="s">
        <v>357</v>
      </c>
      <c r="D39" s="61">
        <v>0</v>
      </c>
      <c r="E39" s="61">
        <v>0</v>
      </c>
      <c r="F39" s="61">
        <v>0</v>
      </c>
      <c r="G39" s="61">
        <v>0</v>
      </c>
      <c r="J39" s="62"/>
    </row>
    <row r="40" spans="1:12" s="37" customFormat="1" ht="16.5" customHeight="1" x14ac:dyDescent="0.35">
      <c r="A40" s="51"/>
      <c r="B40" s="51"/>
      <c r="C40" s="51"/>
      <c r="D40" s="62"/>
      <c r="E40" s="62"/>
      <c r="F40" s="62"/>
      <c r="J40" s="62"/>
    </row>
    <row r="41" spans="1:12" s="37" customFormat="1" ht="16.5" customHeight="1" x14ac:dyDescent="0.35">
      <c r="C41" s="46" t="s">
        <v>50</v>
      </c>
      <c r="D41" s="60"/>
      <c r="E41" s="60"/>
      <c r="F41" s="60"/>
      <c r="G41" s="60"/>
      <c r="I41" s="59"/>
      <c r="J41" s="59"/>
      <c r="K41" s="59"/>
      <c r="L41" s="59"/>
    </row>
    <row r="42" spans="1:12" s="37" customFormat="1" ht="16.5" customHeight="1" x14ac:dyDescent="0.35">
      <c r="C42" s="51" t="s">
        <v>21</v>
      </c>
      <c r="D42" s="63">
        <v>0</v>
      </c>
      <c r="E42" s="64" t="s">
        <v>63</v>
      </c>
      <c r="F42" s="65"/>
      <c r="G42" s="65"/>
      <c r="I42" s="59"/>
    </row>
    <row r="43" spans="1:12" s="37" customFormat="1" ht="16.5" customHeight="1" x14ac:dyDescent="0.35">
      <c r="C43" s="51" t="s">
        <v>8</v>
      </c>
      <c r="D43" s="63">
        <v>0</v>
      </c>
      <c r="E43" s="64" t="s">
        <v>63</v>
      </c>
      <c r="F43" s="65"/>
      <c r="G43" s="65"/>
    </row>
    <row r="44" spans="1:12" s="37" customFormat="1" ht="16.5" customHeight="1" x14ac:dyDescent="0.35">
      <c r="A44" s="51"/>
      <c r="B44" s="51"/>
      <c r="C44" s="51"/>
      <c r="D44" s="60"/>
      <c r="E44" s="60"/>
      <c r="F44" s="60"/>
      <c r="G44" s="60"/>
    </row>
    <row r="45" spans="1:12" s="37" customFormat="1" ht="16.5" customHeight="1" x14ac:dyDescent="0.35">
      <c r="A45" s="51"/>
      <c r="B45" s="51"/>
      <c r="C45" s="46" t="s">
        <v>44</v>
      </c>
      <c r="D45" s="62"/>
      <c r="E45" s="62"/>
      <c r="F45" s="62"/>
      <c r="G45" s="62"/>
    </row>
    <row r="46" spans="1:12" s="37" customFormat="1" ht="16.5" customHeight="1" x14ac:dyDescent="0.35">
      <c r="A46" s="131" t="s">
        <v>45</v>
      </c>
      <c r="B46" s="131"/>
      <c r="C46" s="131"/>
      <c r="D46" s="61">
        <v>0</v>
      </c>
      <c r="E46" s="64" t="s">
        <v>47</v>
      </c>
      <c r="F46" s="62"/>
      <c r="G46" s="62"/>
    </row>
    <row r="47" spans="1:12" s="37" customFormat="1" ht="16.5" customHeight="1" x14ac:dyDescent="0.35">
      <c r="A47" s="131" t="s">
        <v>46</v>
      </c>
      <c r="B47" s="131"/>
      <c r="C47" s="131"/>
      <c r="D47" s="61">
        <v>0</v>
      </c>
      <c r="E47" s="64" t="s">
        <v>47</v>
      </c>
      <c r="F47" s="62"/>
      <c r="G47" s="62"/>
    </row>
    <row r="48" spans="1:12" s="37" customFormat="1" ht="16.5" customHeight="1" x14ac:dyDescent="0.35">
      <c r="A48" s="51"/>
      <c r="B48" s="51"/>
      <c r="C48" s="51"/>
      <c r="D48" s="51"/>
      <c r="E48" s="64"/>
      <c r="F48" s="62"/>
      <c r="G48" s="62"/>
    </row>
    <row r="49" spans="1:8" s="37" customFormat="1" ht="16.5" customHeight="1" x14ac:dyDescent="0.35">
      <c r="A49" s="51"/>
      <c r="B49" s="51"/>
      <c r="C49" s="46" t="s">
        <v>360</v>
      </c>
      <c r="D49" s="47" t="s">
        <v>20</v>
      </c>
      <c r="E49" s="48" t="s">
        <v>58</v>
      </c>
      <c r="F49" s="48" t="s">
        <v>56</v>
      </c>
      <c r="G49" s="48" t="s">
        <v>57</v>
      </c>
    </row>
    <row r="50" spans="1:8" s="37" customFormat="1" ht="16.5" customHeight="1" x14ac:dyDescent="0.35">
      <c r="A50" s="131" t="s">
        <v>350</v>
      </c>
      <c r="B50" s="131"/>
      <c r="C50" s="131"/>
      <c r="D50" s="66">
        <v>0</v>
      </c>
      <c r="E50" s="66">
        <v>0</v>
      </c>
      <c r="F50" s="66">
        <v>0</v>
      </c>
      <c r="G50" s="66">
        <v>0</v>
      </c>
      <c r="H50" s="67" t="s">
        <v>11</v>
      </c>
    </row>
    <row r="51" spans="1:8" s="37" customFormat="1" ht="16.5" customHeight="1" x14ac:dyDescent="0.35">
      <c r="A51" s="131" t="s">
        <v>36</v>
      </c>
      <c r="B51" s="131"/>
      <c r="C51" s="131"/>
      <c r="D51" s="68">
        <v>0</v>
      </c>
      <c r="E51" s="68">
        <v>0</v>
      </c>
      <c r="F51" s="68">
        <v>0</v>
      </c>
      <c r="G51" s="68">
        <v>0</v>
      </c>
      <c r="H51" s="67" t="s">
        <v>11</v>
      </c>
    </row>
    <row r="52" spans="1:8" s="37" customFormat="1" ht="16.5" customHeight="1" x14ac:dyDescent="0.35">
      <c r="A52" s="131" t="s">
        <v>37</v>
      </c>
      <c r="B52" s="131"/>
      <c r="C52" s="131"/>
      <c r="D52" s="68">
        <v>0</v>
      </c>
      <c r="E52" s="68">
        <v>0</v>
      </c>
      <c r="F52" s="68">
        <v>0</v>
      </c>
      <c r="G52" s="68">
        <v>0</v>
      </c>
      <c r="H52" s="67" t="s">
        <v>11</v>
      </c>
    </row>
    <row r="53" spans="1:8" s="37" customFormat="1" ht="16.5" customHeight="1" x14ac:dyDescent="0.35">
      <c r="A53" s="131" t="s">
        <v>38</v>
      </c>
      <c r="B53" s="131"/>
      <c r="C53" s="131"/>
      <c r="D53" s="68">
        <v>0</v>
      </c>
      <c r="E53" s="68">
        <v>0</v>
      </c>
      <c r="F53" s="68">
        <v>0</v>
      </c>
      <c r="G53" s="68">
        <v>0</v>
      </c>
      <c r="H53" s="67" t="s">
        <v>11</v>
      </c>
    </row>
    <row r="54" spans="1:8" s="37" customFormat="1" ht="16.5" customHeight="1" x14ac:dyDescent="0.35">
      <c r="A54" s="131" t="s">
        <v>39</v>
      </c>
      <c r="B54" s="131"/>
      <c r="C54" s="131"/>
      <c r="D54" s="68">
        <v>0</v>
      </c>
      <c r="E54" s="68">
        <v>0</v>
      </c>
      <c r="F54" s="68">
        <v>0</v>
      </c>
      <c r="G54" s="68">
        <v>0</v>
      </c>
      <c r="H54" s="67" t="s">
        <v>11</v>
      </c>
    </row>
    <row r="55" spans="1:8" s="37" customFormat="1" ht="16.5" customHeight="1" x14ac:dyDescent="0.35">
      <c r="A55" s="131" t="s">
        <v>42</v>
      </c>
      <c r="B55" s="131" t="s">
        <v>361</v>
      </c>
      <c r="C55" s="131"/>
      <c r="D55" s="68">
        <v>0</v>
      </c>
      <c r="E55" s="68">
        <v>0</v>
      </c>
      <c r="F55" s="68">
        <v>0</v>
      </c>
      <c r="G55" s="68">
        <v>0</v>
      </c>
      <c r="H55" s="67" t="s">
        <v>11</v>
      </c>
    </row>
    <row r="56" spans="1:8" s="37" customFormat="1" ht="16.5" customHeight="1" x14ac:dyDescent="0.35">
      <c r="A56" s="131" t="s">
        <v>43</v>
      </c>
      <c r="B56" s="131" t="s">
        <v>361</v>
      </c>
      <c r="C56" s="131"/>
      <c r="D56" s="68">
        <v>0</v>
      </c>
      <c r="E56" s="68">
        <v>0</v>
      </c>
      <c r="F56" s="68">
        <v>0</v>
      </c>
      <c r="G56" s="68">
        <v>0</v>
      </c>
      <c r="H56" s="67" t="s">
        <v>11</v>
      </c>
    </row>
    <row r="57" spans="1:8" s="37" customFormat="1" ht="16.5" customHeight="1" x14ac:dyDescent="0.35">
      <c r="A57" s="131" t="s">
        <v>40</v>
      </c>
      <c r="B57" s="131" t="s">
        <v>361</v>
      </c>
      <c r="C57" s="131"/>
      <c r="D57" s="68">
        <v>0</v>
      </c>
      <c r="E57" s="68">
        <v>0</v>
      </c>
      <c r="F57" s="68">
        <v>0</v>
      </c>
      <c r="G57" s="68">
        <v>0</v>
      </c>
      <c r="H57" s="67" t="s">
        <v>11</v>
      </c>
    </row>
    <row r="58" spans="1:8" s="37" customFormat="1" ht="16.5" customHeight="1" x14ac:dyDescent="0.35">
      <c r="A58" s="131" t="s">
        <v>41</v>
      </c>
      <c r="B58" s="131" t="s">
        <v>361</v>
      </c>
      <c r="C58" s="131"/>
      <c r="D58" s="68">
        <v>0</v>
      </c>
      <c r="E58" s="68">
        <v>0</v>
      </c>
      <c r="F58" s="68">
        <v>0</v>
      </c>
      <c r="G58" s="68">
        <v>0</v>
      </c>
      <c r="H58" s="67" t="s">
        <v>11</v>
      </c>
    </row>
    <row r="59" spans="1:8" s="37" customFormat="1" ht="16.5" customHeight="1" thickBot="1" x14ac:dyDescent="0.4">
      <c r="A59" s="51"/>
      <c r="B59" s="51"/>
      <c r="C59" s="51"/>
      <c r="D59" s="69"/>
      <c r="E59" s="69"/>
      <c r="F59" s="69"/>
      <c r="G59" s="69"/>
      <c r="H59" s="70"/>
    </row>
    <row r="60" spans="1:8" s="37" customFormat="1" ht="16.5" customHeight="1" x14ac:dyDescent="0.35">
      <c r="B60" s="71"/>
      <c r="C60" s="72" t="s">
        <v>34</v>
      </c>
      <c r="D60" s="73" t="s">
        <v>20</v>
      </c>
      <c r="E60" s="74" t="s">
        <v>58</v>
      </c>
      <c r="F60" s="74" t="s">
        <v>56</v>
      </c>
      <c r="G60" s="74" t="s">
        <v>57</v>
      </c>
      <c r="H60" s="75" t="s">
        <v>33</v>
      </c>
    </row>
    <row r="61" spans="1:8" s="23" customFormat="1" ht="16.5" customHeight="1" x14ac:dyDescent="0.35">
      <c r="B61" s="76"/>
      <c r="C61" s="77" t="s">
        <v>31</v>
      </c>
      <c r="D61" s="78">
        <f>D34*KOE[[#Totals],[Model 1
(eis M1 t/m M27)]]*48</f>
        <v>0</v>
      </c>
      <c r="E61" s="78">
        <f>E34*KOE[[#Totals],[Model 1
(eis M1 t/m M27)]]*12</f>
        <v>0</v>
      </c>
      <c r="F61" s="78">
        <f>F34*KOE[[#Totals],[Model 1
(eis M1 t/m M27)]]*12</f>
        <v>0</v>
      </c>
      <c r="G61" s="78">
        <f>G34*KOE[[#Totals],[Model 1
(eis M1 t/m M27)]]*12</f>
        <v>0</v>
      </c>
      <c r="H61" s="79">
        <f>SUM(KOE!$D61:$G61)</f>
        <v>0</v>
      </c>
    </row>
    <row r="62" spans="1:8" s="23" customFormat="1" ht="16.5" customHeight="1" x14ac:dyDescent="0.35">
      <c r="B62" s="80"/>
      <c r="C62" s="81" t="s">
        <v>30</v>
      </c>
      <c r="D62" s="82">
        <f>D35*KOE[[#Totals],[Model 2
(eis M1 t/m M27)]]*48</f>
        <v>0</v>
      </c>
      <c r="E62" s="82">
        <f>E35*KOE[[#Totals],[Model 2
(eis M1 t/m M27)]]*12</f>
        <v>0</v>
      </c>
      <c r="F62" s="82">
        <f>F35*KOE[[#Totals],[Model 2
(eis M1 t/m M27)]]*12</f>
        <v>0</v>
      </c>
      <c r="G62" s="82">
        <f>G35*KOE[[#Totals],[Model 2
(eis M1 t/m M27)]]*12</f>
        <v>0</v>
      </c>
      <c r="H62" s="83">
        <f>SUM(KOE!$D62:$G62)</f>
        <v>0</v>
      </c>
    </row>
    <row r="63" spans="1:8" s="23" customFormat="1" ht="16.5" customHeight="1" x14ac:dyDescent="0.35">
      <c r="B63" s="84"/>
      <c r="C63" s="77" t="s">
        <v>52</v>
      </c>
      <c r="D63" s="78">
        <f>D42*I35</f>
        <v>0</v>
      </c>
      <c r="E63" s="78">
        <f>$D$42*$J$35</f>
        <v>0</v>
      </c>
      <c r="F63" s="78">
        <f t="shared" ref="F63:G63" si="0">$D$42*$J$35</f>
        <v>0</v>
      </c>
      <c r="G63" s="78">
        <f t="shared" si="0"/>
        <v>0</v>
      </c>
      <c r="H63" s="79">
        <f>SUM(KOE!$D63:$G63)</f>
        <v>0</v>
      </c>
    </row>
    <row r="64" spans="1:8" s="23" customFormat="1" ht="16.5" customHeight="1" x14ac:dyDescent="0.35">
      <c r="B64" s="85"/>
      <c r="C64" s="81" t="s">
        <v>32</v>
      </c>
      <c r="D64" s="82">
        <f>D43*K35</f>
        <v>0</v>
      </c>
      <c r="E64" s="82">
        <f>$D$43*$L$35</f>
        <v>0</v>
      </c>
      <c r="F64" s="82">
        <f t="shared" ref="F64:G64" si="1">$D$43*$L$35</f>
        <v>0</v>
      </c>
      <c r="G64" s="82">
        <f t="shared" si="1"/>
        <v>0</v>
      </c>
      <c r="H64" s="83">
        <f>SUM(KOE!$D64:$G64)</f>
        <v>0</v>
      </c>
    </row>
    <row r="65" spans="1:12" s="23" customFormat="1" ht="16.5" customHeight="1" x14ac:dyDescent="0.35">
      <c r="B65" s="84"/>
      <c r="C65" s="77" t="s">
        <v>356</v>
      </c>
      <c r="D65" s="78">
        <f>D38*(KOE[[#Totals],[Model 1
(eis M1 t/m M27)]]+KOE[[#Totals],[Model 2
(eis M1 t/m M27)]])*48</f>
        <v>0</v>
      </c>
      <c r="E65" s="78">
        <f>E38*(KOE[[#Totals],[Model 1
(eis M1 t/m M27)]]+KOE[[#Totals],[Model 2
(eis M1 t/m M27)]])*12</f>
        <v>0</v>
      </c>
      <c r="F65" s="78">
        <f>F38*(KOE[[#Totals],[Model 1
(eis M1 t/m M27)]]+KOE[[#Totals],[Model 2
(eis M1 t/m M27)]])*12</f>
        <v>0</v>
      </c>
      <c r="G65" s="78">
        <f>G38*(KOE[[#Totals],[Model 1
(eis M1 t/m M27)]]+KOE[[#Totals],[Model 2
(eis M1 t/m M27)]])*12</f>
        <v>0</v>
      </c>
      <c r="H65" s="79">
        <f>SUM(D65:G65)</f>
        <v>0</v>
      </c>
    </row>
    <row r="66" spans="1:12" s="23" customFormat="1" ht="16.5" customHeight="1" x14ac:dyDescent="0.35">
      <c r="B66" s="85"/>
      <c r="C66" s="81" t="s">
        <v>357</v>
      </c>
      <c r="D66" s="82">
        <f>D39*(KOE[[#Totals],[Model 1
(eis M1 t/m M27)]]+KOE[[#Totals],[Model 2
(eis M1 t/m M27)]])*48</f>
        <v>0</v>
      </c>
      <c r="E66" s="82">
        <f>E39*(KOE[[#Totals],[Model 1
(eis M1 t/m M27)]]+KOE[[#Totals],[Model 2
(eis M1 t/m M27)]])*12</f>
        <v>0</v>
      </c>
      <c r="F66" s="82">
        <f>F39*(KOE[[#Totals],[Model 1
(eis M1 t/m M27)]]+KOE[[#Totals],[Model 2
(eis M1 t/m M27)]])*12</f>
        <v>0</v>
      </c>
      <c r="G66" s="82">
        <f>G39*(KOE[[#Totals],[Model 1
(eis M1 t/m M27)]]+KOE[[#Totals],[Model 2
(eis M1 t/m M27)]])*12</f>
        <v>0</v>
      </c>
      <c r="H66" s="83">
        <f>SUM(D66:G66)</f>
        <v>0</v>
      </c>
    </row>
    <row r="67" spans="1:12" s="23" customFormat="1" ht="16.5" customHeight="1" x14ac:dyDescent="0.35">
      <c r="A67" s="26"/>
      <c r="B67" s="84"/>
      <c r="C67" s="77" t="s">
        <v>9</v>
      </c>
      <c r="D67" s="87"/>
      <c r="E67" s="87"/>
      <c r="F67" s="87"/>
      <c r="G67" s="87"/>
      <c r="H67" s="79">
        <f>D46</f>
        <v>0</v>
      </c>
      <c r="I67" s="26"/>
    </row>
    <row r="68" spans="1:12" s="23" customFormat="1" ht="16.5" customHeight="1" thickBot="1" x14ac:dyDescent="0.4">
      <c r="A68" s="94"/>
      <c r="B68" s="88"/>
      <c r="C68" s="89" t="s">
        <v>10</v>
      </c>
      <c r="D68" s="90"/>
      <c r="E68" s="90"/>
      <c r="F68" s="90"/>
      <c r="G68" s="90"/>
      <c r="H68" s="91">
        <f>D47</f>
        <v>0</v>
      </c>
    </row>
    <row r="69" spans="1:12" ht="16.5" customHeight="1" thickBot="1" x14ac:dyDescent="0.6">
      <c r="A69" s="12"/>
      <c r="B69" s="13"/>
      <c r="D69" s="14"/>
      <c r="E69" s="14"/>
      <c r="F69" s="14"/>
      <c r="G69" s="14"/>
    </row>
    <row r="70" spans="1:12" ht="24" thickBot="1" x14ac:dyDescent="0.4">
      <c r="D70" s="15"/>
      <c r="F70" s="16" t="s">
        <v>12</v>
      </c>
      <c r="G70" s="129">
        <f>SUM(H61:H69)</f>
        <v>0</v>
      </c>
      <c r="H70" s="130"/>
      <c r="J70" s="21"/>
      <c r="K70" s="22"/>
      <c r="L70" s="22"/>
    </row>
    <row r="71" spans="1:12" x14ac:dyDescent="0.35">
      <c r="J71" s="21"/>
    </row>
    <row r="72" spans="1:12" ht="15" x14ac:dyDescent="0.35">
      <c r="B72" s="17" t="s">
        <v>240</v>
      </c>
      <c r="I72" s="18"/>
    </row>
    <row r="73" spans="1:12" ht="15" x14ac:dyDescent="0.35">
      <c r="B73" s="17" t="s">
        <v>348</v>
      </c>
      <c r="C73" s="18"/>
      <c r="D73" s="18"/>
      <c r="E73" s="18"/>
      <c r="F73" s="18"/>
      <c r="G73" s="18"/>
      <c r="H73" s="18"/>
      <c r="I73" s="18"/>
    </row>
    <row r="74" spans="1:12" ht="15" x14ac:dyDescent="0.35">
      <c r="B74" s="19" t="s">
        <v>241</v>
      </c>
      <c r="C74" s="18"/>
      <c r="D74" s="18"/>
      <c r="E74" s="18"/>
      <c r="F74" s="18"/>
      <c r="G74" s="18"/>
      <c r="H74" s="18"/>
      <c r="I74" s="20"/>
    </row>
    <row r="75" spans="1:12" x14ac:dyDescent="0.35">
      <c r="D75" s="20"/>
      <c r="E75" s="20"/>
      <c r="F75" s="20"/>
      <c r="G75" s="20"/>
      <c r="H75" s="20"/>
      <c r="I75" s="20"/>
    </row>
  </sheetData>
  <mergeCells count="12">
    <mergeCell ref="G70:H70"/>
    <mergeCell ref="A46:C46"/>
    <mergeCell ref="A47:C47"/>
    <mergeCell ref="A50:C50"/>
    <mergeCell ref="A51:C51"/>
    <mergeCell ref="A52:C52"/>
    <mergeCell ref="A53:C53"/>
    <mergeCell ref="A54:C54"/>
    <mergeCell ref="A55:C55"/>
    <mergeCell ref="A56:C56"/>
    <mergeCell ref="A57:C57"/>
    <mergeCell ref="A58:C58"/>
  </mergeCells>
  <conditionalFormatting sqref="H3:H30">
    <cfRule type="duplicateValues" dxfId="1" priority="3"/>
  </conditionalFormatting>
  <conditionalFormatting sqref="V3:X54">
    <cfRule type="duplicateValues" dxfId="0" priority="1"/>
  </conditionalFormatting>
  <pageMargins left="0.23622047244094491" right="0.23622047244094491" top="0.74803149606299213" bottom="0.74803149606299213" header="0.31496062992125984" footer="0.31496062992125984"/>
  <pageSetup paperSize="9" scale="29"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EA229-8E3C-471B-8D00-1BAA00CF7E25}">
  <sheetPr>
    <tabColor theme="4" tint="0.79998168889431442"/>
    <pageSetUpPr fitToPage="1"/>
  </sheetPr>
  <dimension ref="A1:V83"/>
  <sheetViews>
    <sheetView showGridLines="0" zoomScale="90" zoomScaleNormal="90" workbookViewId="0">
      <pane xSplit="2" ySplit="2" topLeftCell="C3" activePane="bottomRight" state="frozen"/>
      <selection activeCell="H1" sqref="H1:L1048576"/>
      <selection pane="topRight" activeCell="H1" sqref="H1:L1048576"/>
      <selection pane="bottomLeft" activeCell="H1" sqref="H1:L1048576"/>
      <selection pane="bottomRight" activeCell="C3" sqref="C3"/>
    </sheetView>
  </sheetViews>
  <sheetFormatPr defaultRowHeight="14.5" x14ac:dyDescent="0.35"/>
  <cols>
    <col min="1" max="2" width="25.81640625" style="11" customWidth="1"/>
    <col min="3" max="4" width="20.81640625" style="11" customWidth="1"/>
    <col min="5" max="5" width="21.453125" style="11" customWidth="1"/>
    <col min="6" max="7" width="20.81640625" style="11" customWidth="1"/>
    <col min="8" max="12" width="18.1796875" style="11" customWidth="1"/>
    <col min="13" max="20" width="20.6328125" style="11" customWidth="1"/>
    <col min="21" max="22" width="21.6328125" style="11" customWidth="1"/>
    <col min="23" max="27" width="19.36328125" style="11" customWidth="1"/>
    <col min="28" max="28" width="9.1796875" style="11" bestFit="1" customWidth="1"/>
    <col min="29" max="29" width="10.08984375" style="11" bestFit="1" customWidth="1"/>
    <col min="30" max="16384" width="8.7265625" style="11"/>
  </cols>
  <sheetData>
    <row r="1" spans="1:20" s="23" customFormat="1" x14ac:dyDescent="0.35">
      <c r="D1" s="24" t="s">
        <v>60</v>
      </c>
      <c r="E1" s="25"/>
      <c r="F1" s="25"/>
      <c r="G1" s="26"/>
      <c r="H1" s="26"/>
      <c r="I1" s="26">
        <v>10000</v>
      </c>
      <c r="M1" s="27"/>
      <c r="N1" s="28" t="s">
        <v>48</v>
      </c>
      <c r="O1" s="29">
        <v>46905</v>
      </c>
    </row>
    <row r="2" spans="1:20" s="30" customFormat="1" ht="29" x14ac:dyDescent="0.35">
      <c r="A2" s="30" t="s">
        <v>184</v>
      </c>
      <c r="B2" s="30" t="s">
        <v>0</v>
      </c>
      <c r="C2" s="30" t="s">
        <v>54</v>
      </c>
      <c r="D2" s="30" t="s">
        <v>1</v>
      </c>
      <c r="E2" s="31" t="s">
        <v>23</v>
      </c>
      <c r="F2" s="31" t="s">
        <v>24</v>
      </c>
      <c r="G2" s="31" t="s">
        <v>4</v>
      </c>
      <c r="H2" s="32" t="s">
        <v>5</v>
      </c>
      <c r="I2" s="32" t="s">
        <v>6</v>
      </c>
      <c r="J2" s="32" t="s">
        <v>2</v>
      </c>
      <c r="K2" s="32" t="s">
        <v>3</v>
      </c>
      <c r="L2" s="32" t="s">
        <v>7</v>
      </c>
      <c r="M2" s="33" t="s">
        <v>65</v>
      </c>
      <c r="N2" s="34" t="s">
        <v>66</v>
      </c>
      <c r="O2" s="33" t="s">
        <v>67</v>
      </c>
      <c r="P2" s="34" t="s">
        <v>68</v>
      </c>
      <c r="Q2" s="32" t="s">
        <v>25</v>
      </c>
      <c r="R2" s="32" t="s">
        <v>26</v>
      </c>
      <c r="S2" s="32" t="s">
        <v>27</v>
      </c>
      <c r="T2" s="32" t="s">
        <v>28</v>
      </c>
    </row>
    <row r="3" spans="1:20" s="37" customFormat="1" ht="16.5" customHeight="1" x14ac:dyDescent="0.35">
      <c r="A3" s="35" t="s">
        <v>255</v>
      </c>
      <c r="B3" s="36" t="s">
        <v>256</v>
      </c>
      <c r="C3" s="37" t="s">
        <v>257</v>
      </c>
      <c r="D3" s="37" t="s">
        <v>258</v>
      </c>
      <c r="E3" s="38">
        <v>1</v>
      </c>
      <c r="F3" s="38"/>
      <c r="G3" s="39">
        <v>45444</v>
      </c>
      <c r="H3" s="40">
        <v>236547</v>
      </c>
      <c r="I3" s="40">
        <v>128911</v>
      </c>
      <c r="J3" s="40">
        <f>VCO[[#This Row],[Zw/w p/j]]/12</f>
        <v>19712.25</v>
      </c>
      <c r="K3" s="40">
        <f>VCO[[#This Row],[Kleur p/j]]/12</f>
        <v>10742.583333333334</v>
      </c>
      <c r="L3" s="42">
        <f>INT(_xlfn.DAYS($O$1,VCO[[#This Row],[Datum in gebruikname]])/30.41)</f>
        <v>48</v>
      </c>
      <c r="M3" s="40">
        <f>IF(VCO[[#This Row],[Model 1
(eis M1 t/m M27)]]="","",VCO[[#This Row],[Zw/w p/m]]*VCO[[#This Row],[Aantal maanden]])</f>
        <v>946188</v>
      </c>
      <c r="N3" s="40">
        <f>IF(VCO[[#This Row],[Model 1
(eis M1 t/m M27)]]="","",VCO[[#This Row],[kleur p/m]]*VCO[[#This Row],[Aantal maanden]])</f>
        <v>515644</v>
      </c>
      <c r="O3" s="40" t="str">
        <f>IF(VCO[[#This Row],[Model 2
(eis M1 t/m M27)]]="","",VCO[[#This Row],[Zw/w p/m]]*VCO[[#This Row],[Aantal maanden]])</f>
        <v/>
      </c>
      <c r="P3" s="40" t="str">
        <f>IF(VCO[[#This Row],[Model 2
(eis M1 t/m M27)]]="","",VCO[[#This Row],[kleur p/m]]*VCO[[#This Row],[Aantal maanden]])</f>
        <v/>
      </c>
      <c r="Q3" s="40">
        <f>IF(VCO[[#This Row],[Model 1
(eis M1 t/m M27)]]="","",VCO[[#This Row],['# zw/w afdrukken M1 tot 1-6-2028]]/4)</f>
        <v>236547</v>
      </c>
      <c r="R3" s="40">
        <f>IF(VCO[[#This Row],[Model 1
(eis M1 t/m M27)]]="","",VCO[[#This Row],['# kleur afdrukken M1 tot 1-6-2028]]/4)</f>
        <v>128911</v>
      </c>
      <c r="S3" s="40" t="str">
        <f>IF(VCO[[#This Row],[Model 2
(eis M1 t/m M27)]]="","",VCO[[#This Row],['# zw/w afdrukken M2 tot 1-6-20282]]/4)</f>
        <v/>
      </c>
      <c r="T3" s="40" t="str">
        <f>IF(VCO[[#This Row],[Model 2
(eis M1 t/m M27)]]="","",VCO[[#This Row],['# kleur afdrukken M2 tot 1-6-20283]]/4)</f>
        <v/>
      </c>
    </row>
    <row r="4" spans="1:20" s="37" customFormat="1" ht="16.5" customHeight="1" x14ac:dyDescent="0.35">
      <c r="A4" s="35" t="s">
        <v>255</v>
      </c>
      <c r="B4" s="36" t="s">
        <v>259</v>
      </c>
      <c r="C4" s="37" t="s">
        <v>260</v>
      </c>
      <c r="D4" s="37" t="s">
        <v>258</v>
      </c>
      <c r="E4" s="38">
        <v>1</v>
      </c>
      <c r="F4" s="38"/>
      <c r="G4" s="39">
        <v>45444</v>
      </c>
      <c r="H4" s="40" t="s">
        <v>302</v>
      </c>
      <c r="I4" s="40" t="s">
        <v>302</v>
      </c>
      <c r="J4" s="40" t="s">
        <v>302</v>
      </c>
      <c r="K4" s="40" t="s">
        <v>302</v>
      </c>
      <c r="L4" s="42">
        <f>INT(_xlfn.DAYS($O$1,VCO[[#This Row],[Datum in gebruikname]])/30.41)</f>
        <v>48</v>
      </c>
      <c r="M4" s="40" t="s">
        <v>302</v>
      </c>
      <c r="N4" s="40" t="s">
        <v>302</v>
      </c>
      <c r="O4" s="40"/>
      <c r="P4" s="40"/>
      <c r="Q4" s="40" t="s">
        <v>302</v>
      </c>
      <c r="R4" s="40" t="s">
        <v>302</v>
      </c>
      <c r="S4" s="40" t="str">
        <f>IF(VCO[[#This Row],[Model 2
(eis M1 t/m M27)]]="","",VCO[[#This Row],['# zw/w afdrukken M2 tot 1-6-20282]]/4)</f>
        <v/>
      </c>
      <c r="T4" s="40" t="str">
        <f>IF(VCO[[#This Row],[Model 2
(eis M1 t/m M27)]]="","",VCO[[#This Row],['# kleur afdrukken M2 tot 1-6-20283]]/4)</f>
        <v/>
      </c>
    </row>
    <row r="5" spans="1:20" s="37" customFormat="1" ht="16.5" customHeight="1" x14ac:dyDescent="0.35">
      <c r="A5" s="35" t="s">
        <v>261</v>
      </c>
      <c r="B5" s="36" t="s">
        <v>262</v>
      </c>
      <c r="C5" s="37" t="s">
        <v>263</v>
      </c>
      <c r="D5" s="37" t="s">
        <v>264</v>
      </c>
      <c r="E5" s="38">
        <v>1</v>
      </c>
      <c r="F5" s="38"/>
      <c r="G5" s="39">
        <v>45444</v>
      </c>
      <c r="H5" s="40">
        <v>27683</v>
      </c>
      <c r="I5" s="40">
        <v>43733</v>
      </c>
      <c r="J5" s="40">
        <f>VCO[[#This Row],[Zw/w p/j]]/12</f>
        <v>2306.9166666666665</v>
      </c>
      <c r="K5" s="40">
        <f>VCO[[#This Row],[Kleur p/j]]/12</f>
        <v>3644.4166666666665</v>
      </c>
      <c r="L5" s="42">
        <f>INT(_xlfn.DAYS($O$1,VCO[[#This Row],[Datum in gebruikname]])/30.41)</f>
        <v>48</v>
      </c>
      <c r="M5" s="40">
        <f>IF(VCO[[#This Row],[Model 1
(eis M1 t/m M27)]]="","",VCO[[#This Row],[Zw/w p/m]]*VCO[[#This Row],[Aantal maanden]])</f>
        <v>110732</v>
      </c>
      <c r="N5" s="40">
        <f>IF(VCO[[#This Row],[Model 1
(eis M1 t/m M27)]]="","",VCO[[#This Row],[kleur p/m]]*VCO[[#This Row],[Aantal maanden]])</f>
        <v>174932</v>
      </c>
      <c r="O5" s="40" t="str">
        <f>IF(VCO[[#This Row],[Model 2
(eis M1 t/m M27)]]="","",VCO[[#This Row],[Zw/w p/m]]*VCO[[#This Row],[Aantal maanden]])</f>
        <v/>
      </c>
      <c r="P5" s="40" t="str">
        <f>IF(VCO[[#This Row],[Model 2
(eis M1 t/m M27)]]="","",VCO[[#This Row],[kleur p/m]]*VCO[[#This Row],[Aantal maanden]])</f>
        <v/>
      </c>
      <c r="Q5" s="40">
        <f>IF(VCO[[#This Row],[Model 1
(eis M1 t/m M27)]]="","",VCO[[#This Row],['# zw/w afdrukken M1 tot 1-6-2028]]/4)</f>
        <v>27683</v>
      </c>
      <c r="R5" s="40">
        <f>IF(VCO[[#This Row],[Model 1
(eis M1 t/m M27)]]="","",VCO[[#This Row],['# kleur afdrukken M1 tot 1-6-2028]]/4)</f>
        <v>43733</v>
      </c>
      <c r="S5" s="40" t="str">
        <f>IF(VCO[[#This Row],[Model 2
(eis M1 t/m M27)]]="","",VCO[[#This Row],['# zw/w afdrukken M2 tot 1-6-20282]]/4)</f>
        <v/>
      </c>
      <c r="T5" s="40" t="str">
        <f>IF(VCO[[#This Row],[Model 2
(eis M1 t/m M27)]]="","",VCO[[#This Row],['# kleur afdrukken M2 tot 1-6-20283]]/4)</f>
        <v/>
      </c>
    </row>
    <row r="6" spans="1:20" s="37" customFormat="1" ht="16.5" customHeight="1" x14ac:dyDescent="0.35">
      <c r="A6" s="35" t="s">
        <v>265</v>
      </c>
      <c r="B6" s="43" t="s">
        <v>266</v>
      </c>
      <c r="C6" s="37" t="s">
        <v>267</v>
      </c>
      <c r="D6" s="37" t="s">
        <v>82</v>
      </c>
      <c r="E6" s="38">
        <v>1</v>
      </c>
      <c r="F6" s="38"/>
      <c r="G6" s="39">
        <v>45444</v>
      </c>
      <c r="H6" s="40">
        <v>62864</v>
      </c>
      <c r="I6" s="40">
        <v>36785</v>
      </c>
      <c r="J6" s="40">
        <f>VCO[[#This Row],[Zw/w p/j]]/12</f>
        <v>5238.666666666667</v>
      </c>
      <c r="K6" s="40">
        <f>VCO[[#This Row],[Kleur p/j]]/12</f>
        <v>3065.4166666666665</v>
      </c>
      <c r="L6" s="40">
        <f>INT(_xlfn.DAYS($O$1,VCO[[#This Row],[Datum in gebruikname]])/30.41)</f>
        <v>48</v>
      </c>
      <c r="M6" s="40">
        <f>IF(VCO[[#This Row],[Model 1
(eis M1 t/m M27)]]="","",VCO[[#This Row],[Zw/w p/m]]*VCO[[#This Row],[Aantal maanden]])</f>
        <v>251456</v>
      </c>
      <c r="N6" s="40">
        <f>IF(VCO[[#This Row],[Model 1
(eis M1 t/m M27)]]="","",VCO[[#This Row],[kleur p/m]]*VCO[[#This Row],[Aantal maanden]])</f>
        <v>147140</v>
      </c>
      <c r="O6" s="40" t="str">
        <f>IF(VCO[[#This Row],[Model 2
(eis M1 t/m M27)]]="","",VCO[[#This Row],[Zw/w p/m]]*VCO[[#This Row],[Aantal maanden]])</f>
        <v/>
      </c>
      <c r="P6" s="40" t="str">
        <f>IF(VCO[[#This Row],[Model 2
(eis M1 t/m M27)]]="","",VCO[[#This Row],[kleur p/m]]*VCO[[#This Row],[Aantal maanden]])</f>
        <v/>
      </c>
      <c r="Q6" s="40">
        <f>IF(VCO[[#This Row],[Model 1
(eis M1 t/m M27)]]="","",VCO[[#This Row],['# zw/w afdrukken M1 tot 1-6-2028]]/4)</f>
        <v>62864</v>
      </c>
      <c r="R6" s="40">
        <f>IF(VCO[[#This Row],[Model 1
(eis M1 t/m M27)]]="","",VCO[[#This Row],['# kleur afdrukken M1 tot 1-6-2028]]/4)</f>
        <v>36785</v>
      </c>
      <c r="S6" s="40" t="str">
        <f>IF(VCO[[#This Row],[Model 2
(eis M1 t/m M27)]]="","",VCO[[#This Row],['# zw/w afdrukken M2 tot 1-6-20282]]/4)</f>
        <v/>
      </c>
      <c r="T6" s="40" t="str">
        <f>IF(VCO[[#This Row],[Model 2
(eis M1 t/m M27)]]="","",VCO[[#This Row],['# kleur afdrukken M2 tot 1-6-20283]]/4)</f>
        <v/>
      </c>
    </row>
    <row r="7" spans="1:20" s="37" customFormat="1" ht="16.5" customHeight="1" x14ac:dyDescent="0.35">
      <c r="A7" s="35" t="s">
        <v>268</v>
      </c>
      <c r="B7" s="43" t="s">
        <v>269</v>
      </c>
      <c r="C7" s="37" t="s">
        <v>270</v>
      </c>
      <c r="D7" s="37" t="s">
        <v>120</v>
      </c>
      <c r="E7" s="38">
        <v>1</v>
      </c>
      <c r="F7" s="38"/>
      <c r="G7" s="39">
        <v>45444</v>
      </c>
      <c r="H7" s="40">
        <v>79714</v>
      </c>
      <c r="I7" s="40">
        <v>76119</v>
      </c>
      <c r="J7" s="40">
        <f>VCO[[#This Row],[Zw/w p/j]]/12</f>
        <v>6642.833333333333</v>
      </c>
      <c r="K7" s="40">
        <f>VCO[[#This Row],[Kleur p/j]]/12</f>
        <v>6343.25</v>
      </c>
      <c r="L7" s="40">
        <f>INT(_xlfn.DAYS($O$1,VCO[[#This Row],[Datum in gebruikname]])/30.41)</f>
        <v>48</v>
      </c>
      <c r="M7" s="40">
        <f>IF(VCO[[#This Row],[Model 1
(eis M1 t/m M27)]]="","",VCO[[#This Row],[Zw/w p/m]]*VCO[[#This Row],[Aantal maanden]])</f>
        <v>318856</v>
      </c>
      <c r="N7" s="40">
        <f>IF(VCO[[#This Row],[Model 1
(eis M1 t/m M27)]]="","",VCO[[#This Row],[kleur p/m]]*VCO[[#This Row],[Aantal maanden]])</f>
        <v>304476</v>
      </c>
      <c r="O7" s="40" t="str">
        <f>IF(VCO[[#This Row],[Model 2
(eis M1 t/m M27)]]="","",VCO[[#This Row],[Zw/w p/m]]*VCO[[#This Row],[Aantal maanden]])</f>
        <v/>
      </c>
      <c r="P7" s="40" t="str">
        <f>IF(VCO[[#This Row],[Model 2
(eis M1 t/m M27)]]="","",VCO[[#This Row],[kleur p/m]]*VCO[[#This Row],[Aantal maanden]])</f>
        <v/>
      </c>
      <c r="Q7" s="40">
        <f>IF(VCO[[#This Row],[Model 1
(eis M1 t/m M27)]]="","",VCO[[#This Row],['# zw/w afdrukken M1 tot 1-6-2028]]/4)</f>
        <v>79714</v>
      </c>
      <c r="R7" s="40">
        <f>IF(VCO[[#This Row],[Model 1
(eis M1 t/m M27)]]="","",VCO[[#This Row],['# kleur afdrukken M1 tot 1-6-2028]]/4)</f>
        <v>76119</v>
      </c>
      <c r="S7" s="40" t="str">
        <f>IF(VCO[[#This Row],[Model 2
(eis M1 t/m M27)]]="","",VCO[[#This Row],['# zw/w afdrukken M2 tot 1-6-20282]]/4)</f>
        <v/>
      </c>
      <c r="T7" s="40" t="str">
        <f>IF(VCO[[#This Row],[Model 2
(eis M1 t/m M27)]]="","",VCO[[#This Row],['# kleur afdrukken M2 tot 1-6-20283]]/4)</f>
        <v/>
      </c>
    </row>
    <row r="8" spans="1:20" s="37" customFormat="1" ht="16.5" customHeight="1" x14ac:dyDescent="0.35">
      <c r="A8" s="35" t="s">
        <v>271</v>
      </c>
      <c r="B8" s="43" t="s">
        <v>272</v>
      </c>
      <c r="C8" s="37" t="s">
        <v>273</v>
      </c>
      <c r="D8" s="37" t="s">
        <v>274</v>
      </c>
      <c r="E8" s="38">
        <v>1</v>
      </c>
      <c r="F8" s="38"/>
      <c r="G8" s="39">
        <v>45444</v>
      </c>
      <c r="H8" s="40">
        <v>59624</v>
      </c>
      <c r="I8" s="40">
        <v>29515</v>
      </c>
      <c r="J8" s="40">
        <f>VCO[[#This Row],[Zw/w p/j]]/12</f>
        <v>4968.666666666667</v>
      </c>
      <c r="K8" s="40">
        <f>VCO[[#This Row],[Kleur p/j]]/12</f>
        <v>2459.5833333333335</v>
      </c>
      <c r="L8" s="40">
        <f>INT(_xlfn.DAYS($O$1,VCO[[#This Row],[Datum in gebruikname]])/30.41)</f>
        <v>48</v>
      </c>
      <c r="M8" s="40">
        <f>IF(VCO[[#This Row],[Model 1
(eis M1 t/m M27)]]="","",VCO[[#This Row],[Zw/w p/m]]*VCO[[#This Row],[Aantal maanden]])</f>
        <v>238496</v>
      </c>
      <c r="N8" s="40">
        <f>IF(VCO[[#This Row],[Model 1
(eis M1 t/m M27)]]="","",VCO[[#This Row],[kleur p/m]]*VCO[[#This Row],[Aantal maanden]])</f>
        <v>118060</v>
      </c>
      <c r="O8" s="40" t="str">
        <f>IF(VCO[[#This Row],[Model 2
(eis M1 t/m M27)]]="","",VCO[[#This Row],[Zw/w p/m]]*VCO[[#This Row],[Aantal maanden]])</f>
        <v/>
      </c>
      <c r="P8" s="40" t="str">
        <f>IF(VCO[[#This Row],[Model 2
(eis M1 t/m M27)]]="","",VCO[[#This Row],[kleur p/m]]*VCO[[#This Row],[Aantal maanden]])</f>
        <v/>
      </c>
      <c r="Q8" s="40">
        <f>IF(VCO[[#This Row],[Model 1
(eis M1 t/m M27)]]="","",VCO[[#This Row],['# zw/w afdrukken M1 tot 1-6-2028]]/4)</f>
        <v>59624</v>
      </c>
      <c r="R8" s="40">
        <f>IF(VCO[[#This Row],[Model 1
(eis M1 t/m M27)]]="","",VCO[[#This Row],['# kleur afdrukken M1 tot 1-6-2028]]/4)</f>
        <v>29515</v>
      </c>
      <c r="S8" s="40" t="str">
        <f>IF(VCO[[#This Row],[Model 2
(eis M1 t/m M27)]]="","",VCO[[#This Row],['# zw/w afdrukken M2 tot 1-6-20282]]/4)</f>
        <v/>
      </c>
      <c r="T8" s="40" t="str">
        <f>IF(VCO[[#This Row],[Model 2
(eis M1 t/m M27)]]="","",VCO[[#This Row],['# kleur afdrukken M2 tot 1-6-20283]]/4)</f>
        <v/>
      </c>
    </row>
    <row r="9" spans="1:20" s="37" customFormat="1" ht="16.5" customHeight="1" x14ac:dyDescent="0.35">
      <c r="A9" s="35" t="s">
        <v>275</v>
      </c>
      <c r="B9" s="43" t="s">
        <v>276</v>
      </c>
      <c r="C9" s="37" t="s">
        <v>75</v>
      </c>
      <c r="D9" s="37" t="s">
        <v>72</v>
      </c>
      <c r="E9" s="38">
        <v>1</v>
      </c>
      <c r="F9" s="38"/>
      <c r="G9" s="39">
        <v>45444</v>
      </c>
      <c r="H9" s="40">
        <v>129445</v>
      </c>
      <c r="I9" s="40">
        <v>145918</v>
      </c>
      <c r="J9" s="40">
        <f>VCO[[#This Row],[Zw/w p/j]]/12</f>
        <v>10787.083333333334</v>
      </c>
      <c r="K9" s="40">
        <f>VCO[[#This Row],[Kleur p/j]]/12</f>
        <v>12159.833333333334</v>
      </c>
      <c r="L9" s="40">
        <f>INT(_xlfn.DAYS($O$1,VCO[[#This Row],[Datum in gebruikname]])/30.41)</f>
        <v>48</v>
      </c>
      <c r="M9" s="40">
        <f>IF(VCO[[#This Row],[Model 1
(eis M1 t/m M27)]]="","",VCO[[#This Row],[Zw/w p/m]]*VCO[[#This Row],[Aantal maanden]])</f>
        <v>517780</v>
      </c>
      <c r="N9" s="40">
        <f>IF(VCO[[#This Row],[Model 1
(eis M1 t/m M27)]]="","",VCO[[#This Row],[kleur p/m]]*VCO[[#This Row],[Aantal maanden]])</f>
        <v>583672</v>
      </c>
      <c r="O9" s="40" t="str">
        <f>IF(VCO[[#This Row],[Model 2
(eis M1 t/m M27)]]="","",VCO[[#This Row],[Zw/w p/m]]*VCO[[#This Row],[Aantal maanden]])</f>
        <v/>
      </c>
      <c r="P9" s="40" t="str">
        <f>IF(VCO[[#This Row],[Model 2
(eis M1 t/m M27)]]="","",VCO[[#This Row],[kleur p/m]]*VCO[[#This Row],[Aantal maanden]])</f>
        <v/>
      </c>
      <c r="Q9" s="40">
        <f>IF(VCO[[#This Row],[Model 1
(eis M1 t/m M27)]]="","",VCO[[#This Row],['# zw/w afdrukken M1 tot 1-6-2028]]/4)</f>
        <v>129445</v>
      </c>
      <c r="R9" s="40">
        <f>IF(VCO[[#This Row],[Model 1
(eis M1 t/m M27)]]="","",VCO[[#This Row],['# kleur afdrukken M1 tot 1-6-2028]]/4)</f>
        <v>145918</v>
      </c>
      <c r="S9" s="40" t="str">
        <f>IF(VCO[[#This Row],[Model 2
(eis M1 t/m M27)]]="","",VCO[[#This Row],['# zw/w afdrukken M2 tot 1-6-20282]]/4)</f>
        <v/>
      </c>
      <c r="T9" s="40" t="str">
        <f>IF(VCO[[#This Row],[Model 2
(eis M1 t/m M27)]]="","",VCO[[#This Row],['# kleur afdrukken M2 tot 1-6-20283]]/4)</f>
        <v/>
      </c>
    </row>
    <row r="10" spans="1:20" s="37" customFormat="1" ht="16.5" customHeight="1" x14ac:dyDescent="0.35">
      <c r="A10" s="35" t="s">
        <v>277</v>
      </c>
      <c r="B10" s="43" t="s">
        <v>278</v>
      </c>
      <c r="C10" s="37" t="s">
        <v>134</v>
      </c>
      <c r="D10" s="37" t="s">
        <v>72</v>
      </c>
      <c r="E10" s="38"/>
      <c r="F10" s="38">
        <v>1</v>
      </c>
      <c r="G10" s="39">
        <v>45444</v>
      </c>
      <c r="H10" s="40">
        <v>219562</v>
      </c>
      <c r="I10" s="40">
        <v>105287</v>
      </c>
      <c r="J10" s="40">
        <f>VCO[[#This Row],[Zw/w p/j]]/12</f>
        <v>18296.833333333332</v>
      </c>
      <c r="K10" s="40">
        <f>VCO[[#This Row],[Kleur p/j]]/12</f>
        <v>8773.9166666666661</v>
      </c>
      <c r="L10" s="40">
        <f>INT(_xlfn.DAYS($O$1,VCO[[#This Row],[Datum in gebruikname]])/30.41)</f>
        <v>48</v>
      </c>
      <c r="M10" s="40" t="str">
        <f>IF(VCO[[#This Row],[Model 1
(eis M1 t/m M27)]]="","",VCO[[#This Row],[Zw/w p/m]]*VCO[[#This Row],[Aantal maanden]])</f>
        <v/>
      </c>
      <c r="N10" s="40" t="str">
        <f>IF(VCO[[#This Row],[Model 1
(eis M1 t/m M27)]]="","",VCO[[#This Row],[kleur p/m]]*VCO[[#This Row],[Aantal maanden]])</f>
        <v/>
      </c>
      <c r="O10" s="40">
        <f>IF(VCO[[#This Row],[Model 2
(eis M1 t/m M27)]]="","",VCO[[#This Row],[Zw/w p/m]]*VCO[[#This Row],[Aantal maanden]])</f>
        <v>878248</v>
      </c>
      <c r="P10" s="40">
        <f>IF(VCO[[#This Row],[Model 2
(eis M1 t/m M27)]]="","",VCO[[#This Row],[kleur p/m]]*VCO[[#This Row],[Aantal maanden]])</f>
        <v>421148</v>
      </c>
      <c r="Q10" s="40" t="str">
        <f>IF(VCO[[#This Row],[Model 1
(eis M1 t/m M27)]]="","",VCO[[#This Row],['# zw/w afdrukken M1 tot 1-6-2028]]/4)</f>
        <v/>
      </c>
      <c r="R10" s="40" t="str">
        <f>IF(VCO[[#This Row],[Model 1
(eis M1 t/m M27)]]="","",VCO[[#This Row],['# kleur afdrukken M1 tot 1-6-2028]]/4)</f>
        <v/>
      </c>
      <c r="S10" s="40">
        <f>IF(VCO[[#This Row],[Model 2
(eis M1 t/m M27)]]="","",VCO[[#This Row],['# zw/w afdrukken M2 tot 1-6-20282]]/4)</f>
        <v>219562</v>
      </c>
      <c r="T10" s="40">
        <f>IF(VCO[[#This Row],[Model 2
(eis M1 t/m M27)]]="","",VCO[[#This Row],['# kleur afdrukken M2 tot 1-6-20283]]/4)</f>
        <v>105287</v>
      </c>
    </row>
    <row r="11" spans="1:20" s="37" customFormat="1" ht="16.5" customHeight="1" x14ac:dyDescent="0.35">
      <c r="A11" s="35" t="s">
        <v>279</v>
      </c>
      <c r="B11" s="43" t="s">
        <v>280</v>
      </c>
      <c r="C11" s="37" t="s">
        <v>281</v>
      </c>
      <c r="D11" s="37" t="s">
        <v>72</v>
      </c>
      <c r="E11" s="38">
        <v>1</v>
      </c>
      <c r="F11" s="38"/>
      <c r="G11" s="39">
        <v>45444</v>
      </c>
      <c r="H11" s="40">
        <v>81860</v>
      </c>
      <c r="I11" s="40">
        <v>85540</v>
      </c>
      <c r="J11" s="40">
        <f>VCO[[#This Row],[Zw/w p/j]]/12</f>
        <v>6821.666666666667</v>
      </c>
      <c r="K11" s="40">
        <f>VCO[[#This Row],[Kleur p/j]]/12</f>
        <v>7128.333333333333</v>
      </c>
      <c r="L11" s="40">
        <f>INT(_xlfn.DAYS($O$1,VCO[[#This Row],[Datum in gebruikname]])/30.41)</f>
        <v>48</v>
      </c>
      <c r="M11" s="40">
        <f>IF(VCO[[#This Row],[Model 1
(eis M1 t/m M27)]]="","",VCO[[#This Row],[Zw/w p/m]]*VCO[[#This Row],[Aantal maanden]])</f>
        <v>327440</v>
      </c>
      <c r="N11" s="40">
        <f>IF(VCO[[#This Row],[Model 1
(eis M1 t/m M27)]]="","",VCO[[#This Row],[kleur p/m]]*VCO[[#This Row],[Aantal maanden]])</f>
        <v>342160</v>
      </c>
      <c r="O11" s="40" t="str">
        <f>IF(VCO[[#This Row],[Model 2
(eis M1 t/m M27)]]="","",VCO[[#This Row],[Zw/w p/m]]*VCO[[#This Row],[Aantal maanden]])</f>
        <v/>
      </c>
      <c r="P11" s="40" t="str">
        <f>IF(VCO[[#This Row],[Model 2
(eis M1 t/m M27)]]="","",VCO[[#This Row],[kleur p/m]]*VCO[[#This Row],[Aantal maanden]])</f>
        <v/>
      </c>
      <c r="Q11" s="40">
        <f>IF(VCO[[#This Row],[Model 1
(eis M1 t/m M27)]]="","",VCO[[#This Row],['# zw/w afdrukken M1 tot 1-6-2028]]/4)</f>
        <v>81860</v>
      </c>
      <c r="R11" s="40">
        <f>IF(VCO[[#This Row],[Model 1
(eis M1 t/m M27)]]="","",VCO[[#This Row],['# kleur afdrukken M1 tot 1-6-2028]]/4)</f>
        <v>85540</v>
      </c>
      <c r="S11" s="40" t="str">
        <f>IF(VCO[[#This Row],[Model 2
(eis M1 t/m M27)]]="","",VCO[[#This Row],['# zw/w afdrukken M2 tot 1-6-20282]]/4)</f>
        <v/>
      </c>
      <c r="T11" s="40" t="str">
        <f>IF(VCO[[#This Row],[Model 2
(eis M1 t/m M27)]]="","",VCO[[#This Row],['# kleur afdrukken M2 tot 1-6-20283]]/4)</f>
        <v/>
      </c>
    </row>
    <row r="12" spans="1:20" s="37" customFormat="1" ht="16.5" customHeight="1" x14ac:dyDescent="0.35">
      <c r="A12" s="35" t="s">
        <v>282</v>
      </c>
      <c r="B12" s="43" t="s">
        <v>283</v>
      </c>
      <c r="C12" s="37" t="s">
        <v>172</v>
      </c>
      <c r="D12" s="37" t="s">
        <v>72</v>
      </c>
      <c r="E12" s="38"/>
      <c r="F12" s="38">
        <v>1</v>
      </c>
      <c r="G12" s="39">
        <v>45444</v>
      </c>
      <c r="H12" s="40">
        <v>166482</v>
      </c>
      <c r="I12" s="40">
        <v>135973</v>
      </c>
      <c r="J12" s="40">
        <f>VCO[[#This Row],[Zw/w p/j]]/12</f>
        <v>13873.5</v>
      </c>
      <c r="K12" s="40">
        <f>VCO[[#This Row],[Kleur p/j]]/12</f>
        <v>11331.083333333334</v>
      </c>
      <c r="L12" s="40">
        <f>INT(_xlfn.DAYS($O$1,VCO[[#This Row],[Datum in gebruikname]])/30.41)</f>
        <v>48</v>
      </c>
      <c r="M12" s="40" t="str">
        <f>IF(VCO[[#This Row],[Model 1
(eis M1 t/m M27)]]="","",VCO[[#This Row],[Zw/w p/m]]*VCO[[#This Row],[Aantal maanden]])</f>
        <v/>
      </c>
      <c r="N12" s="40" t="str">
        <f>IF(VCO[[#This Row],[Model 1
(eis M1 t/m M27)]]="","",VCO[[#This Row],[kleur p/m]]*VCO[[#This Row],[Aantal maanden]])</f>
        <v/>
      </c>
      <c r="O12" s="40">
        <f>IF(VCO[[#This Row],[Model 2
(eis M1 t/m M27)]]="","",VCO[[#This Row],[Zw/w p/m]]*VCO[[#This Row],[Aantal maanden]])</f>
        <v>665928</v>
      </c>
      <c r="P12" s="40">
        <f>IF(VCO[[#This Row],[Model 2
(eis M1 t/m M27)]]="","",VCO[[#This Row],[kleur p/m]]*VCO[[#This Row],[Aantal maanden]])</f>
        <v>543892</v>
      </c>
      <c r="Q12" s="40" t="str">
        <f>IF(VCO[[#This Row],[Model 1
(eis M1 t/m M27)]]="","",VCO[[#This Row],['# zw/w afdrukken M1 tot 1-6-2028]]/4)</f>
        <v/>
      </c>
      <c r="R12" s="40" t="str">
        <f>IF(VCO[[#This Row],[Model 1
(eis M1 t/m M27)]]="","",VCO[[#This Row],['# kleur afdrukken M1 tot 1-6-2028]]/4)</f>
        <v/>
      </c>
      <c r="S12" s="40">
        <f>IF(VCO[[#This Row],[Model 2
(eis M1 t/m M27)]]="","",VCO[[#This Row],['# zw/w afdrukken M2 tot 1-6-20282]]/4)</f>
        <v>166482</v>
      </c>
      <c r="T12" s="40">
        <f>IF(VCO[[#This Row],[Model 2
(eis M1 t/m M27)]]="","",VCO[[#This Row],['# kleur afdrukken M2 tot 1-6-20283]]/4)</f>
        <v>135973</v>
      </c>
    </row>
    <row r="13" spans="1:20" s="37" customFormat="1" ht="16.5" customHeight="1" x14ac:dyDescent="0.35">
      <c r="A13" s="35" t="s">
        <v>301</v>
      </c>
      <c r="B13" s="43" t="s">
        <v>300</v>
      </c>
      <c r="C13" s="37" t="s">
        <v>172</v>
      </c>
      <c r="D13" s="37" t="s">
        <v>72</v>
      </c>
      <c r="E13" s="38">
        <v>1</v>
      </c>
      <c r="F13" s="38"/>
      <c r="G13" s="39">
        <v>45444</v>
      </c>
      <c r="H13" s="40">
        <v>157861</v>
      </c>
      <c r="I13" s="40">
        <v>164821</v>
      </c>
      <c r="J13" s="40">
        <f>VCO[[#This Row],[Zw/w p/j]]/12</f>
        <v>13155.083333333334</v>
      </c>
      <c r="K13" s="40">
        <f>VCO[[#This Row],[Kleur p/j]]/12</f>
        <v>13735.083333333334</v>
      </c>
      <c r="L13" s="40">
        <f>INT(_xlfn.DAYS($O$1,VCO[[#This Row],[Datum in gebruikname]])/30.41)</f>
        <v>48</v>
      </c>
      <c r="M13" s="40">
        <f>IF(VCO[[#This Row],[Model 1
(eis M1 t/m M27)]]="","",VCO[[#This Row],[Zw/w p/m]]*VCO[[#This Row],[Aantal maanden]])</f>
        <v>631444</v>
      </c>
      <c r="N13" s="40">
        <f>IF(VCO[[#This Row],[Model 1
(eis M1 t/m M27)]]="","",VCO[[#This Row],[kleur p/m]]*VCO[[#This Row],[Aantal maanden]])</f>
        <v>659284</v>
      </c>
      <c r="O13" s="40" t="str">
        <f>IF(VCO[[#This Row],[Model 2
(eis M1 t/m M27)]]="","",VCO[[#This Row],[Zw/w p/m]]*VCO[[#This Row],[Aantal maanden]])</f>
        <v/>
      </c>
      <c r="P13" s="40" t="str">
        <f>IF(VCO[[#This Row],[Model 2
(eis M1 t/m M27)]]="","",VCO[[#This Row],[kleur p/m]]*VCO[[#This Row],[Aantal maanden]])</f>
        <v/>
      </c>
      <c r="Q13" s="40">
        <f>IF(VCO[[#This Row],[Model 1
(eis M1 t/m M27)]]="","",VCO[[#This Row],['# zw/w afdrukken M1 tot 1-6-2028]]/4)</f>
        <v>157861</v>
      </c>
      <c r="R13" s="40">
        <f>IF(VCO[[#This Row],[Model 1
(eis M1 t/m M27)]]="","",VCO[[#This Row],['# kleur afdrukken M1 tot 1-6-2028]]/4)</f>
        <v>164821</v>
      </c>
      <c r="S13" s="40" t="str">
        <f>IF(VCO[[#This Row],[Model 2
(eis M1 t/m M27)]]="","",VCO[[#This Row],['# zw/w afdrukken M2 tot 1-6-20282]]/4)</f>
        <v/>
      </c>
      <c r="T13" s="40" t="str">
        <f>IF(VCO[[#This Row],[Model 2
(eis M1 t/m M27)]]="","",VCO[[#This Row],['# kleur afdrukken M2 tot 1-6-20283]]/4)</f>
        <v/>
      </c>
    </row>
    <row r="14" spans="1:20" s="37" customFormat="1" ht="16.5" customHeight="1" x14ac:dyDescent="0.35">
      <c r="A14" s="35" t="s">
        <v>284</v>
      </c>
      <c r="B14" s="43" t="s">
        <v>285</v>
      </c>
      <c r="C14" s="37" t="s">
        <v>205</v>
      </c>
      <c r="D14" s="37" t="s">
        <v>72</v>
      </c>
      <c r="E14" s="38">
        <v>1</v>
      </c>
      <c r="F14" s="38"/>
      <c r="G14" s="39">
        <v>45444</v>
      </c>
      <c r="H14" s="40">
        <v>46131</v>
      </c>
      <c r="I14" s="40">
        <v>44185</v>
      </c>
      <c r="J14" s="40">
        <f>VCO[[#This Row],[Zw/w p/j]]/12</f>
        <v>3844.25</v>
      </c>
      <c r="K14" s="40">
        <f>VCO[[#This Row],[Kleur p/j]]/12</f>
        <v>3682.0833333333335</v>
      </c>
      <c r="L14" s="40">
        <f>INT(_xlfn.DAYS($O$1,VCO[[#This Row],[Datum in gebruikname]])/30.41)</f>
        <v>48</v>
      </c>
      <c r="M14" s="40">
        <f>IF(VCO[[#This Row],[Model 1
(eis M1 t/m M27)]]="","",VCO[[#This Row],[Zw/w p/m]]*VCO[[#This Row],[Aantal maanden]])</f>
        <v>184524</v>
      </c>
      <c r="N14" s="40">
        <f>IF(VCO[[#This Row],[Model 1
(eis M1 t/m M27)]]="","",VCO[[#This Row],[kleur p/m]]*VCO[[#This Row],[Aantal maanden]])</f>
        <v>176740</v>
      </c>
      <c r="O14" s="40" t="str">
        <f>IF(VCO[[#This Row],[Model 2
(eis M1 t/m M27)]]="","",VCO[[#This Row],[Zw/w p/m]]*VCO[[#This Row],[Aantal maanden]])</f>
        <v/>
      </c>
      <c r="P14" s="40" t="str">
        <f>IF(VCO[[#This Row],[Model 2
(eis M1 t/m M27)]]="","",VCO[[#This Row],[kleur p/m]]*VCO[[#This Row],[Aantal maanden]])</f>
        <v/>
      </c>
      <c r="Q14" s="40">
        <f>IF(VCO[[#This Row],[Model 1
(eis M1 t/m M27)]]="","",VCO[[#This Row],['# zw/w afdrukken M1 tot 1-6-2028]]/4)</f>
        <v>46131</v>
      </c>
      <c r="R14" s="40">
        <f>IF(VCO[[#This Row],[Model 1
(eis M1 t/m M27)]]="","",VCO[[#This Row],['# kleur afdrukken M1 tot 1-6-2028]]/4)</f>
        <v>44185</v>
      </c>
      <c r="S14" s="40" t="str">
        <f>IF(VCO[[#This Row],[Model 2
(eis M1 t/m M27)]]="","",VCO[[#This Row],['# zw/w afdrukken M2 tot 1-6-20282]]/4)</f>
        <v/>
      </c>
      <c r="T14" s="40" t="str">
        <f>IF(VCO[[#This Row],[Model 2
(eis M1 t/m M27)]]="","",VCO[[#This Row],['# kleur afdrukken M2 tot 1-6-20283]]/4)</f>
        <v/>
      </c>
    </row>
    <row r="15" spans="1:20" s="37" customFormat="1" ht="16.5" customHeight="1" x14ac:dyDescent="0.35">
      <c r="A15" s="35" t="s">
        <v>286</v>
      </c>
      <c r="B15" s="43" t="s">
        <v>287</v>
      </c>
      <c r="C15" s="37" t="s">
        <v>288</v>
      </c>
      <c r="D15" s="37" t="s">
        <v>72</v>
      </c>
      <c r="E15" s="38">
        <v>1</v>
      </c>
      <c r="F15" s="38"/>
      <c r="G15" s="39">
        <v>45444</v>
      </c>
      <c r="H15" s="40">
        <v>52660</v>
      </c>
      <c r="I15" s="40">
        <v>55053</v>
      </c>
      <c r="J15" s="40">
        <f>VCO[[#This Row],[Zw/w p/j]]/12</f>
        <v>4388.333333333333</v>
      </c>
      <c r="K15" s="40">
        <f>VCO[[#This Row],[Kleur p/j]]/12</f>
        <v>4587.75</v>
      </c>
      <c r="L15" s="40">
        <f>INT(_xlfn.DAYS($O$1,VCO[[#This Row],[Datum in gebruikname]])/30.41)</f>
        <v>48</v>
      </c>
      <c r="M15" s="40">
        <f>IF(VCO[[#This Row],[Model 1
(eis M1 t/m M27)]]="","",VCO[[#This Row],[Zw/w p/m]]*VCO[[#This Row],[Aantal maanden]])</f>
        <v>210640</v>
      </c>
      <c r="N15" s="40">
        <f>IF(VCO[[#This Row],[Model 1
(eis M1 t/m M27)]]="","",VCO[[#This Row],[kleur p/m]]*VCO[[#This Row],[Aantal maanden]])</f>
        <v>220212</v>
      </c>
      <c r="O15" s="40" t="str">
        <f>IF(VCO[[#This Row],[Model 2
(eis M1 t/m M27)]]="","",VCO[[#This Row],[Zw/w p/m]]*VCO[[#This Row],[Aantal maanden]])</f>
        <v/>
      </c>
      <c r="P15" s="40" t="str">
        <f>IF(VCO[[#This Row],[Model 2
(eis M1 t/m M27)]]="","",VCO[[#This Row],[kleur p/m]]*VCO[[#This Row],[Aantal maanden]])</f>
        <v/>
      </c>
      <c r="Q15" s="40">
        <f>IF(VCO[[#This Row],[Model 1
(eis M1 t/m M27)]]="","",VCO[[#This Row],['# zw/w afdrukken M1 tot 1-6-2028]]/4)</f>
        <v>52660</v>
      </c>
      <c r="R15" s="40">
        <f>IF(VCO[[#This Row],[Model 1
(eis M1 t/m M27)]]="","",VCO[[#This Row],['# kleur afdrukken M1 tot 1-6-2028]]/4)</f>
        <v>55053</v>
      </c>
      <c r="S15" s="40" t="str">
        <f>IF(VCO[[#This Row],[Model 2
(eis M1 t/m M27)]]="","",VCO[[#This Row],['# zw/w afdrukken M2 tot 1-6-20282]]/4)</f>
        <v/>
      </c>
      <c r="T15" s="40" t="str">
        <f>IF(VCO[[#This Row],[Model 2
(eis M1 t/m M27)]]="","",VCO[[#This Row],['# kleur afdrukken M2 tot 1-6-20283]]/4)</f>
        <v/>
      </c>
    </row>
    <row r="16" spans="1:20" s="37" customFormat="1" ht="16.5" customHeight="1" x14ac:dyDescent="0.35">
      <c r="A16" s="35" t="s">
        <v>289</v>
      </c>
      <c r="B16" s="43" t="s">
        <v>290</v>
      </c>
      <c r="C16" s="37" t="s">
        <v>180</v>
      </c>
      <c r="D16" s="37" t="s">
        <v>72</v>
      </c>
      <c r="E16" s="38">
        <v>1</v>
      </c>
      <c r="F16" s="38"/>
      <c r="G16" s="39">
        <v>45444</v>
      </c>
      <c r="H16" s="40">
        <v>129708</v>
      </c>
      <c r="I16" s="40">
        <v>52308</v>
      </c>
      <c r="J16" s="40">
        <f>VCO[[#This Row],[Zw/w p/j]]/12</f>
        <v>10809</v>
      </c>
      <c r="K16" s="40">
        <f>VCO[[#This Row],[Kleur p/j]]/12</f>
        <v>4359</v>
      </c>
      <c r="L16" s="40">
        <f>INT(_xlfn.DAYS($O$1,VCO[[#This Row],[Datum in gebruikname]])/30.41)</f>
        <v>48</v>
      </c>
      <c r="M16" s="40">
        <f>IF(VCO[[#This Row],[Model 1
(eis M1 t/m M27)]]="","",VCO[[#This Row],[Zw/w p/m]]*VCO[[#This Row],[Aantal maanden]])</f>
        <v>518832</v>
      </c>
      <c r="N16" s="40">
        <f>IF(VCO[[#This Row],[Model 1
(eis M1 t/m M27)]]="","",VCO[[#This Row],[kleur p/m]]*VCO[[#This Row],[Aantal maanden]])</f>
        <v>209232</v>
      </c>
      <c r="O16" s="40" t="str">
        <f>IF(VCO[[#This Row],[Model 2
(eis M1 t/m M27)]]="","",VCO[[#This Row],[Zw/w p/m]]*VCO[[#This Row],[Aantal maanden]])</f>
        <v/>
      </c>
      <c r="P16" s="40" t="str">
        <f>IF(VCO[[#This Row],[Model 2
(eis M1 t/m M27)]]="","",VCO[[#This Row],[kleur p/m]]*VCO[[#This Row],[Aantal maanden]])</f>
        <v/>
      </c>
      <c r="Q16" s="40">
        <f>IF(VCO[[#This Row],[Model 1
(eis M1 t/m M27)]]="","",VCO[[#This Row],['# zw/w afdrukken M1 tot 1-6-2028]]/4)</f>
        <v>129708</v>
      </c>
      <c r="R16" s="40">
        <f>IF(VCO[[#This Row],[Model 1
(eis M1 t/m M27)]]="","",VCO[[#This Row],['# kleur afdrukken M1 tot 1-6-2028]]/4)</f>
        <v>52308</v>
      </c>
      <c r="S16" s="40" t="str">
        <f>IF(VCO[[#This Row],[Model 2
(eis M1 t/m M27)]]="","",VCO[[#This Row],['# zw/w afdrukken M2 tot 1-6-20282]]/4)</f>
        <v/>
      </c>
      <c r="T16" s="40" t="str">
        <f>IF(VCO[[#This Row],[Model 2
(eis M1 t/m M27)]]="","",VCO[[#This Row],['# kleur afdrukken M2 tot 1-6-20283]]/4)</f>
        <v/>
      </c>
    </row>
    <row r="17" spans="1:20" s="37" customFormat="1" ht="16.5" customHeight="1" x14ac:dyDescent="0.35">
      <c r="A17" s="35" t="s">
        <v>291</v>
      </c>
      <c r="B17" s="43" t="s">
        <v>292</v>
      </c>
      <c r="C17" s="37" t="s">
        <v>293</v>
      </c>
      <c r="D17" s="37" t="s">
        <v>72</v>
      </c>
      <c r="E17" s="38">
        <v>1</v>
      </c>
      <c r="F17" s="38"/>
      <c r="G17" s="39">
        <v>45444</v>
      </c>
      <c r="H17" s="40">
        <v>65017</v>
      </c>
      <c r="I17" s="40">
        <v>41501</v>
      </c>
      <c r="J17" s="40">
        <f>VCO[[#This Row],[Zw/w p/j]]/12</f>
        <v>5418.083333333333</v>
      </c>
      <c r="K17" s="40">
        <f>VCO[[#This Row],[Kleur p/j]]/12</f>
        <v>3458.4166666666665</v>
      </c>
      <c r="L17" s="40">
        <f>INT(_xlfn.DAYS($O$1,VCO[[#This Row],[Datum in gebruikname]])/30.41)</f>
        <v>48</v>
      </c>
      <c r="M17" s="40">
        <f>IF(VCO[[#This Row],[Model 1
(eis M1 t/m M27)]]="","",VCO[[#This Row],[Zw/w p/m]]*VCO[[#This Row],[Aantal maanden]])</f>
        <v>260068</v>
      </c>
      <c r="N17" s="40">
        <f>IF(VCO[[#This Row],[Model 1
(eis M1 t/m M27)]]="","",VCO[[#This Row],[kleur p/m]]*VCO[[#This Row],[Aantal maanden]])</f>
        <v>166004</v>
      </c>
      <c r="O17" s="40" t="str">
        <f>IF(VCO[[#This Row],[Model 2
(eis M1 t/m M27)]]="","",VCO[[#This Row],[Zw/w p/m]]*VCO[[#This Row],[Aantal maanden]])</f>
        <v/>
      </c>
      <c r="P17" s="40" t="str">
        <f>IF(VCO[[#This Row],[Model 2
(eis M1 t/m M27)]]="","",VCO[[#This Row],[kleur p/m]]*VCO[[#This Row],[Aantal maanden]])</f>
        <v/>
      </c>
      <c r="Q17" s="40">
        <f>IF(VCO[[#This Row],[Model 1
(eis M1 t/m M27)]]="","",VCO[[#This Row],['# zw/w afdrukken M1 tot 1-6-2028]]/4)</f>
        <v>65017</v>
      </c>
      <c r="R17" s="40">
        <f>IF(VCO[[#This Row],[Model 1
(eis M1 t/m M27)]]="","",VCO[[#This Row],['# kleur afdrukken M1 tot 1-6-2028]]/4)</f>
        <v>41501</v>
      </c>
      <c r="S17" s="40" t="str">
        <f>IF(VCO[[#This Row],[Model 2
(eis M1 t/m M27)]]="","",VCO[[#This Row],['# zw/w afdrukken M2 tot 1-6-20282]]/4)</f>
        <v/>
      </c>
      <c r="T17" s="40" t="str">
        <f>IF(VCO[[#This Row],[Model 2
(eis M1 t/m M27)]]="","",VCO[[#This Row],['# kleur afdrukken M2 tot 1-6-20283]]/4)</f>
        <v/>
      </c>
    </row>
    <row r="18" spans="1:20" s="37" customFormat="1" ht="16.5" customHeight="1" x14ac:dyDescent="0.35">
      <c r="A18" s="35" t="s">
        <v>294</v>
      </c>
      <c r="B18" s="43" t="s">
        <v>299</v>
      </c>
      <c r="C18" s="37" t="s">
        <v>295</v>
      </c>
      <c r="D18" s="37" t="s">
        <v>72</v>
      </c>
      <c r="E18" s="38">
        <v>1</v>
      </c>
      <c r="F18" s="38"/>
      <c r="G18" s="39">
        <v>45444</v>
      </c>
      <c r="H18" s="40">
        <v>102362</v>
      </c>
      <c r="I18" s="40">
        <v>82148</v>
      </c>
      <c r="J18" s="40">
        <f>VCO[[#This Row],[Zw/w p/j]]/12</f>
        <v>8530.1666666666661</v>
      </c>
      <c r="K18" s="40">
        <f>VCO[[#This Row],[Kleur p/j]]/12</f>
        <v>6845.666666666667</v>
      </c>
      <c r="L18" s="40">
        <f>INT(_xlfn.DAYS($O$1,VCO[[#This Row],[Datum in gebruikname]])/30.41)</f>
        <v>48</v>
      </c>
      <c r="M18" s="40">
        <f>IF(VCO[[#This Row],[Model 1
(eis M1 t/m M27)]]="","",VCO[[#This Row],[Zw/w p/m]]*VCO[[#This Row],[Aantal maanden]])</f>
        <v>409448</v>
      </c>
      <c r="N18" s="40">
        <f>IF(VCO[[#This Row],[Model 1
(eis M1 t/m M27)]]="","",VCO[[#This Row],[kleur p/m]]*VCO[[#This Row],[Aantal maanden]])</f>
        <v>328592</v>
      </c>
      <c r="O18" s="40" t="str">
        <f>IF(VCO[[#This Row],[Model 2
(eis M1 t/m M27)]]="","",VCO[[#This Row],[Zw/w p/m]]*VCO[[#This Row],[Aantal maanden]])</f>
        <v/>
      </c>
      <c r="P18" s="40" t="str">
        <f>IF(VCO[[#This Row],[Model 2
(eis M1 t/m M27)]]="","",VCO[[#This Row],[kleur p/m]]*VCO[[#This Row],[Aantal maanden]])</f>
        <v/>
      </c>
      <c r="Q18" s="40">
        <f>IF(VCO[[#This Row],[Model 1
(eis M1 t/m M27)]]="","",VCO[[#This Row],['# zw/w afdrukken M1 tot 1-6-2028]]/4)</f>
        <v>102362</v>
      </c>
      <c r="R18" s="40">
        <f>IF(VCO[[#This Row],[Model 1
(eis M1 t/m M27)]]="","",VCO[[#This Row],['# kleur afdrukken M1 tot 1-6-2028]]/4)</f>
        <v>82148</v>
      </c>
      <c r="S18" s="40" t="str">
        <f>IF(VCO[[#This Row],[Model 2
(eis M1 t/m M27)]]="","",VCO[[#This Row],['# zw/w afdrukken M2 tot 1-6-20282]]/4)</f>
        <v/>
      </c>
      <c r="T18" s="40" t="str">
        <f>IF(VCO[[#This Row],[Model 2
(eis M1 t/m M27)]]="","",VCO[[#This Row],['# kleur afdrukken M2 tot 1-6-20283]]/4)</f>
        <v/>
      </c>
    </row>
    <row r="19" spans="1:20" s="37" customFormat="1" ht="16.5" customHeight="1" x14ac:dyDescent="0.35">
      <c r="A19" s="35" t="s">
        <v>296</v>
      </c>
      <c r="B19" s="43" t="s">
        <v>298</v>
      </c>
      <c r="C19" s="37" t="s">
        <v>297</v>
      </c>
      <c r="D19" s="37" t="s">
        <v>72</v>
      </c>
      <c r="E19" s="38">
        <v>1</v>
      </c>
      <c r="F19" s="38"/>
      <c r="G19" s="39">
        <v>45444</v>
      </c>
      <c r="H19" s="40">
        <v>0</v>
      </c>
      <c r="I19" s="40">
        <v>0</v>
      </c>
      <c r="J19" s="40">
        <f>VCO[[#This Row],[Zw/w p/j]]/12</f>
        <v>0</v>
      </c>
      <c r="K19" s="40">
        <f>VCO[[#This Row],[Kleur p/j]]/12</f>
        <v>0</v>
      </c>
      <c r="L19" s="40">
        <f>INT(_xlfn.DAYS($O$1,VCO[[#This Row],[Datum in gebruikname]])/30.41)</f>
        <v>48</v>
      </c>
      <c r="M19" s="40">
        <f>IF(VCO[[#This Row],[Model 1
(eis M1 t/m M27)]]="","",VCO[[#This Row],[Zw/w p/m]]*VCO[[#This Row],[Aantal maanden]])</f>
        <v>0</v>
      </c>
      <c r="N19" s="40">
        <f>IF(VCO[[#This Row],[Model 1
(eis M1 t/m M27)]]="","",VCO[[#This Row],[kleur p/m]]*VCO[[#This Row],[Aantal maanden]])</f>
        <v>0</v>
      </c>
      <c r="O19" s="40" t="str">
        <f>IF(VCO[[#This Row],[Model 2
(eis M1 t/m M27)]]="","",VCO[[#This Row],[Zw/w p/m]]*VCO[[#This Row],[Aantal maanden]])</f>
        <v/>
      </c>
      <c r="P19" s="40" t="str">
        <f>IF(VCO[[#This Row],[Model 2
(eis M1 t/m M27)]]="","",VCO[[#This Row],[kleur p/m]]*VCO[[#This Row],[Aantal maanden]])</f>
        <v/>
      </c>
      <c r="Q19" s="40">
        <f>IF(VCO[[#This Row],[Model 1
(eis M1 t/m M27)]]="","",VCO[[#This Row],['# zw/w afdrukken M1 tot 1-6-2028]]/4)</f>
        <v>0</v>
      </c>
      <c r="R19" s="40">
        <f>IF(VCO[[#This Row],[Model 1
(eis M1 t/m M27)]]="","",VCO[[#This Row],['# kleur afdrukken M1 tot 1-6-2028]]/4)</f>
        <v>0</v>
      </c>
      <c r="S19" s="40" t="str">
        <f>IF(VCO[[#This Row],[Model 2
(eis M1 t/m M27)]]="","",VCO[[#This Row],['# zw/w afdrukken M2 tot 1-6-20282]]/4)</f>
        <v/>
      </c>
      <c r="T19" s="40" t="str">
        <f>IF(VCO[[#This Row],[Model 2
(eis M1 t/m M27)]]="","",VCO[[#This Row],['# kleur afdrukken M2 tot 1-6-20283]]/4)</f>
        <v/>
      </c>
    </row>
    <row r="20" spans="1:20" s="35" customFormat="1" ht="16.5" customHeight="1" x14ac:dyDescent="0.35">
      <c r="A20" s="37"/>
      <c r="B20" s="37"/>
      <c r="C20" s="37"/>
      <c r="D20" s="37"/>
      <c r="E20" s="38">
        <f>SUBTOTAL(109,VCO[Model 1
(eis M1 t/m M27)])</f>
        <v>15</v>
      </c>
      <c r="F20" s="38">
        <f>SUBTOTAL(109,VCO[Model 2
(eis M1 t/m M27)])</f>
        <v>2</v>
      </c>
      <c r="G20" s="38"/>
      <c r="H20" s="45">
        <f>SUBTOTAL(109,VCO[Zw/w p/j])</f>
        <v>1617520</v>
      </c>
      <c r="I20" s="45">
        <f>SUBTOTAL(109,VCO[Kleur p/j])</f>
        <v>1227797</v>
      </c>
      <c r="J20" s="45">
        <f>SUBTOTAL(109,VCO[Zw/w p/m])</f>
        <v>134793.33333333331</v>
      </c>
      <c r="K20" s="45">
        <f>SUBTOTAL(109,VCO[kleur p/m])</f>
        <v>102316.41666666667</v>
      </c>
      <c r="L20" s="45" t="s">
        <v>49</v>
      </c>
      <c r="M20" s="44">
        <f>SUBTOTAL(109,VCO['# zw/w afdrukken M1 tot 1-6-2028])</f>
        <v>4925904</v>
      </c>
      <c r="N20" s="44">
        <f>SUBTOTAL(109,VCO['# kleur afdrukken M1 tot 1-6-2028])</f>
        <v>3946148</v>
      </c>
      <c r="O20" s="44">
        <f>SUBTOTAL(109,VCO['# zw/w afdrukken M2 tot 1-6-20282])</f>
        <v>1544176</v>
      </c>
      <c r="P20" s="44">
        <f>SUBTOTAL(109,VCO['# kleur afdrukken M2 tot 1-6-20283])</f>
        <v>965040</v>
      </c>
      <c r="Q20" s="44">
        <f>SUBTOTAL(109,VCO[Aantal zw/w afdrukken per optiejaar M1])</f>
        <v>1231476</v>
      </c>
      <c r="R20" s="44">
        <f>SUBTOTAL(109,VCO[Aantal kleur afdrukken per optiejaar M1])</f>
        <v>986537</v>
      </c>
      <c r="S20" s="44">
        <f>SUBTOTAL(109,VCO[Aantal zw/w afdrukken per optiejaar M2])</f>
        <v>386044</v>
      </c>
      <c r="T20" s="44">
        <f>SUBTOTAL(109,VCO[Aantal kleur afdrukken per optiejaar M2])</f>
        <v>241260</v>
      </c>
    </row>
    <row r="21" spans="1:20" s="35" customFormat="1" ht="16.5" customHeight="1" x14ac:dyDescent="0.35">
      <c r="A21" s="37"/>
      <c r="B21" s="37"/>
      <c r="C21" s="37"/>
      <c r="D21" s="38"/>
      <c r="E21" s="38"/>
      <c r="F21" s="38"/>
      <c r="G21" s="38"/>
      <c r="H21" s="38"/>
      <c r="I21" s="44"/>
      <c r="J21" s="44"/>
      <c r="K21" s="44"/>
      <c r="L21" s="44"/>
      <c r="M21" s="44"/>
      <c r="N21" s="44"/>
      <c r="O21" s="44"/>
      <c r="P21" s="44"/>
      <c r="Q21" s="44"/>
      <c r="R21" s="44"/>
      <c r="S21" s="44"/>
      <c r="T21" s="37"/>
    </row>
    <row r="22" spans="1:20" s="35" customFormat="1" ht="16.5" customHeight="1" x14ac:dyDescent="0.35">
      <c r="A22" s="37"/>
      <c r="B22" s="37"/>
      <c r="C22" s="46" t="s">
        <v>62</v>
      </c>
      <c r="D22" s="47" t="s">
        <v>20</v>
      </c>
      <c r="E22" s="48" t="s">
        <v>58</v>
      </c>
      <c r="F22" s="48" t="s">
        <v>56</v>
      </c>
      <c r="G22" s="48" t="s">
        <v>57</v>
      </c>
      <c r="H22" s="37"/>
      <c r="I22" s="49" t="s">
        <v>22</v>
      </c>
      <c r="J22" s="49" t="s">
        <v>22</v>
      </c>
      <c r="K22" s="49" t="s">
        <v>22</v>
      </c>
      <c r="L22" s="49" t="s">
        <v>22</v>
      </c>
      <c r="M22" s="37"/>
      <c r="N22" s="37"/>
      <c r="O22" s="37"/>
      <c r="P22" s="37"/>
      <c r="Q22" s="37"/>
      <c r="R22" s="37"/>
      <c r="S22" s="37"/>
      <c r="T22" s="37"/>
    </row>
    <row r="23" spans="1:20" s="35" customFormat="1" ht="16.5" customHeight="1" x14ac:dyDescent="0.35">
      <c r="A23" s="50"/>
      <c r="B23" s="50"/>
      <c r="C23" s="51" t="s">
        <v>358</v>
      </c>
      <c r="D23" s="52">
        <v>0</v>
      </c>
      <c r="E23" s="52">
        <v>0</v>
      </c>
      <c r="F23" s="52">
        <v>0</v>
      </c>
      <c r="G23" s="52">
        <v>0</v>
      </c>
      <c r="H23" s="37"/>
      <c r="I23" s="53">
        <f>O1</f>
        <v>46905</v>
      </c>
      <c r="J23" s="54" t="s">
        <v>188</v>
      </c>
      <c r="K23" s="55">
        <f>O1</f>
        <v>46905</v>
      </c>
      <c r="L23" s="56" t="s">
        <v>35</v>
      </c>
      <c r="M23" s="37"/>
      <c r="N23" s="37"/>
      <c r="O23" s="37"/>
      <c r="P23" s="37"/>
      <c r="Q23" s="37"/>
      <c r="R23" s="37"/>
      <c r="S23" s="37"/>
      <c r="T23" s="37"/>
    </row>
    <row r="24" spans="1:20" s="35" customFormat="1" ht="16.5" customHeight="1" x14ac:dyDescent="0.35">
      <c r="A24" s="37"/>
      <c r="B24" s="50"/>
      <c r="C24" s="51" t="s">
        <v>359</v>
      </c>
      <c r="D24" s="52">
        <v>0</v>
      </c>
      <c r="E24" s="52">
        <v>0</v>
      </c>
      <c r="F24" s="52">
        <v>0</v>
      </c>
      <c r="G24" s="52">
        <v>0</v>
      </c>
      <c r="H24" s="46" t="s">
        <v>51</v>
      </c>
      <c r="I24" s="57">
        <f>MROUND(VCO[[#Totals],['# zw/w afdrukken M1 tot 1-6-2028]]+VCO[[#Totals],['# zw/w afdrukken M2 tot 1-6-20282]],1000)</f>
        <v>6470000</v>
      </c>
      <c r="J24" s="57">
        <f>MROUND(VCO[[#Totals],[Aantal zw/w afdrukken per optiejaar M1]]+VCO[[#Totals],[Aantal zw/w afdrukken per optiejaar M2]],1000)</f>
        <v>1618000</v>
      </c>
      <c r="K24" s="57">
        <f>MROUND(VCO[[#Totals],['# kleur afdrukken M1 tot 1-6-2028]]+VCO[[#Totals],['# kleur afdrukken M2 tot 1-6-20283]],1000)</f>
        <v>4911000</v>
      </c>
      <c r="L24" s="57">
        <f>MROUND(VCO[[#Totals],[Aantal kleur afdrukken per optiejaar M1]]+VCO[[#Totals],[Aantal kleur afdrukken per optiejaar M2]],1000)</f>
        <v>1228000</v>
      </c>
      <c r="M24" s="37"/>
      <c r="N24" s="37"/>
      <c r="O24" s="37"/>
      <c r="P24" s="37"/>
      <c r="Q24" s="37"/>
      <c r="R24" s="37"/>
      <c r="S24" s="37"/>
      <c r="T24" s="37"/>
    </row>
    <row r="25" spans="1:20" s="35" customFormat="1" ht="16.5" customHeight="1" x14ac:dyDescent="0.35">
      <c r="A25" s="37"/>
      <c r="B25" s="50"/>
      <c r="C25" s="51"/>
      <c r="D25" s="58"/>
      <c r="E25" s="58"/>
      <c r="F25" s="58"/>
      <c r="G25" s="58"/>
      <c r="H25" s="46"/>
      <c r="I25" s="59"/>
      <c r="J25" s="59"/>
      <c r="K25" s="59"/>
      <c r="L25" s="59"/>
      <c r="M25" s="37"/>
      <c r="N25" s="37"/>
      <c r="O25" s="37"/>
      <c r="P25" s="37"/>
      <c r="Q25" s="37"/>
      <c r="R25" s="37"/>
      <c r="S25" s="37"/>
      <c r="T25" s="37"/>
    </row>
    <row r="26" spans="1:20" s="35" customFormat="1" ht="16.5" customHeight="1" x14ac:dyDescent="0.35">
      <c r="A26" s="51"/>
      <c r="B26" s="51"/>
      <c r="C26" s="46" t="s">
        <v>187</v>
      </c>
      <c r="D26" s="60"/>
      <c r="E26" s="60"/>
      <c r="F26" s="60"/>
      <c r="G26" s="60"/>
      <c r="H26" s="37"/>
      <c r="I26" s="37"/>
      <c r="J26" s="37"/>
      <c r="K26" s="37"/>
      <c r="L26" s="37"/>
      <c r="M26" s="37"/>
      <c r="N26" s="37"/>
      <c r="O26" s="37"/>
      <c r="P26" s="37"/>
      <c r="Q26" s="37"/>
      <c r="R26" s="37"/>
      <c r="S26" s="37"/>
      <c r="T26" s="37"/>
    </row>
    <row r="27" spans="1:20" s="35" customFormat="1" ht="16.5" customHeight="1" x14ac:dyDescent="0.35">
      <c r="A27" s="51"/>
      <c r="B27" s="51"/>
      <c r="C27" s="51" t="s">
        <v>356</v>
      </c>
      <c r="D27" s="61">
        <v>0</v>
      </c>
      <c r="E27" s="61">
        <v>0</v>
      </c>
      <c r="F27" s="61">
        <v>0</v>
      </c>
      <c r="G27" s="61">
        <v>0</v>
      </c>
      <c r="H27" s="37"/>
      <c r="I27" s="37"/>
      <c r="J27" s="62"/>
      <c r="K27" s="37"/>
      <c r="L27" s="37"/>
      <c r="M27" s="37"/>
      <c r="N27" s="37"/>
      <c r="O27" s="37"/>
      <c r="P27" s="37"/>
      <c r="Q27" s="37"/>
      <c r="R27" s="37"/>
      <c r="S27" s="37"/>
      <c r="T27" s="37"/>
    </row>
    <row r="28" spans="1:20" s="35" customFormat="1" ht="16.5" customHeight="1" x14ac:dyDescent="0.35">
      <c r="A28" s="51"/>
      <c r="B28" s="51"/>
      <c r="C28" s="51" t="s">
        <v>357</v>
      </c>
      <c r="D28" s="61">
        <v>0</v>
      </c>
      <c r="E28" s="61">
        <v>0</v>
      </c>
      <c r="F28" s="61">
        <v>0</v>
      </c>
      <c r="G28" s="61">
        <v>0</v>
      </c>
      <c r="H28" s="37"/>
      <c r="I28" s="37"/>
      <c r="J28" s="62"/>
      <c r="K28" s="37"/>
      <c r="L28" s="37"/>
      <c r="M28" s="37"/>
      <c r="N28" s="37"/>
      <c r="O28" s="37"/>
      <c r="P28" s="37"/>
      <c r="Q28" s="37"/>
      <c r="R28" s="37"/>
      <c r="S28" s="37"/>
      <c r="T28" s="37"/>
    </row>
    <row r="29" spans="1:20" s="35" customFormat="1" ht="16.5" customHeight="1" x14ac:dyDescent="0.35">
      <c r="A29" s="51"/>
      <c r="B29" s="51"/>
      <c r="C29" s="51"/>
      <c r="D29" s="62"/>
      <c r="E29" s="62"/>
      <c r="F29" s="62"/>
      <c r="G29" s="37"/>
      <c r="H29" s="37"/>
      <c r="I29" s="37"/>
      <c r="J29" s="62"/>
      <c r="K29" s="37"/>
      <c r="L29" s="37"/>
      <c r="M29" s="37"/>
      <c r="N29" s="37"/>
      <c r="O29" s="37"/>
      <c r="P29" s="37"/>
      <c r="Q29" s="37"/>
      <c r="R29" s="37"/>
      <c r="S29" s="37"/>
      <c r="T29" s="37"/>
    </row>
    <row r="30" spans="1:20" s="35" customFormat="1" ht="16.5" customHeight="1" x14ac:dyDescent="0.35">
      <c r="A30" s="37"/>
      <c r="B30" s="37"/>
      <c r="C30" s="46" t="s">
        <v>50</v>
      </c>
      <c r="D30" s="60"/>
      <c r="E30" s="60"/>
      <c r="F30" s="60"/>
      <c r="G30" s="60"/>
      <c r="H30" s="37"/>
      <c r="I30" s="59"/>
      <c r="J30" s="59"/>
      <c r="K30" s="59"/>
      <c r="L30" s="59"/>
      <c r="M30" s="37"/>
      <c r="N30" s="37"/>
      <c r="O30" s="37"/>
      <c r="P30" s="37"/>
      <c r="Q30" s="37"/>
      <c r="R30" s="37"/>
      <c r="S30" s="37"/>
      <c r="T30" s="37"/>
    </row>
    <row r="31" spans="1:20" s="35" customFormat="1" ht="16.5" customHeight="1" x14ac:dyDescent="0.35">
      <c r="A31" s="37"/>
      <c r="B31" s="37"/>
      <c r="C31" s="51" t="s">
        <v>21</v>
      </c>
      <c r="D31" s="63">
        <v>0</v>
      </c>
      <c r="E31" s="64" t="s">
        <v>63</v>
      </c>
      <c r="F31" s="65"/>
      <c r="G31" s="65"/>
      <c r="H31" s="37"/>
      <c r="I31" s="59"/>
      <c r="J31" s="37"/>
      <c r="K31" s="37"/>
      <c r="L31" s="37"/>
      <c r="M31" s="37"/>
      <c r="N31" s="37"/>
      <c r="O31" s="37"/>
      <c r="P31" s="37"/>
      <c r="Q31" s="37"/>
      <c r="R31" s="37"/>
      <c r="S31" s="37"/>
      <c r="T31" s="37"/>
    </row>
    <row r="32" spans="1:20" s="35" customFormat="1" ht="16.5" customHeight="1" x14ac:dyDescent="0.35">
      <c r="A32" s="37"/>
      <c r="B32" s="37"/>
      <c r="C32" s="51" t="s">
        <v>8</v>
      </c>
      <c r="D32" s="63">
        <v>0</v>
      </c>
      <c r="E32" s="64" t="s">
        <v>63</v>
      </c>
      <c r="F32" s="65"/>
      <c r="G32" s="65"/>
      <c r="H32" s="37"/>
      <c r="I32" s="37"/>
      <c r="J32" s="37"/>
      <c r="K32" s="37"/>
      <c r="L32" s="37"/>
      <c r="M32" s="37"/>
      <c r="N32" s="37"/>
      <c r="O32" s="37"/>
      <c r="P32" s="37"/>
      <c r="Q32" s="37"/>
      <c r="R32" s="37"/>
      <c r="S32" s="37"/>
      <c r="T32" s="37"/>
    </row>
    <row r="33" spans="1:22" s="35" customFormat="1" ht="16.5" customHeight="1" x14ac:dyDescent="0.35">
      <c r="A33" s="51"/>
      <c r="B33" s="51"/>
      <c r="C33" s="51"/>
      <c r="D33" s="60"/>
      <c r="E33" s="60"/>
      <c r="F33" s="60"/>
      <c r="G33" s="60"/>
      <c r="H33" s="37"/>
      <c r="I33" s="37"/>
      <c r="J33" s="37"/>
      <c r="K33" s="37"/>
      <c r="L33" s="37"/>
      <c r="M33" s="37"/>
      <c r="N33" s="37"/>
      <c r="O33" s="37"/>
      <c r="P33" s="37"/>
      <c r="Q33" s="37"/>
      <c r="R33" s="37"/>
      <c r="S33" s="37"/>
      <c r="T33" s="37"/>
    </row>
    <row r="34" spans="1:22" s="35" customFormat="1" ht="16.5" customHeight="1" x14ac:dyDescent="0.35">
      <c r="A34" s="51"/>
      <c r="B34" s="51"/>
      <c r="C34" s="46" t="s">
        <v>44</v>
      </c>
      <c r="D34" s="62"/>
      <c r="E34" s="62"/>
      <c r="F34" s="62"/>
      <c r="G34" s="62"/>
      <c r="H34" s="37"/>
      <c r="I34" s="37"/>
      <c r="J34" s="37"/>
      <c r="K34" s="37"/>
      <c r="L34" s="37"/>
      <c r="M34" s="37"/>
      <c r="N34" s="37"/>
      <c r="O34" s="37"/>
      <c r="P34" s="37"/>
      <c r="Q34" s="37"/>
      <c r="R34" s="37"/>
      <c r="S34" s="37"/>
      <c r="T34" s="37"/>
    </row>
    <row r="35" spans="1:22" s="35" customFormat="1" ht="16.5" customHeight="1" x14ac:dyDescent="0.35">
      <c r="A35" s="131" t="s">
        <v>45</v>
      </c>
      <c r="B35" s="131"/>
      <c r="C35" s="131"/>
      <c r="D35" s="61">
        <v>0</v>
      </c>
      <c r="E35" s="64" t="s">
        <v>47</v>
      </c>
      <c r="F35" s="62"/>
      <c r="G35" s="62"/>
      <c r="H35" s="37"/>
      <c r="I35" s="37"/>
      <c r="J35" s="37"/>
      <c r="K35" s="37"/>
      <c r="L35" s="37"/>
      <c r="M35" s="37"/>
      <c r="N35" s="37"/>
      <c r="O35" s="37"/>
      <c r="P35" s="37"/>
      <c r="Q35" s="37"/>
      <c r="R35" s="37"/>
      <c r="S35" s="37"/>
      <c r="T35" s="37"/>
    </row>
    <row r="36" spans="1:22" s="35" customFormat="1" ht="16.5" customHeight="1" x14ac:dyDescent="0.35">
      <c r="A36" s="131" t="s">
        <v>46</v>
      </c>
      <c r="B36" s="131"/>
      <c r="C36" s="131"/>
      <c r="D36" s="61">
        <v>0</v>
      </c>
      <c r="E36" s="64" t="s">
        <v>47</v>
      </c>
      <c r="F36" s="62"/>
      <c r="G36" s="62"/>
      <c r="H36" s="37"/>
      <c r="I36" s="37"/>
      <c r="J36" s="37"/>
      <c r="K36" s="37"/>
      <c r="L36" s="37"/>
      <c r="M36" s="37"/>
      <c r="N36" s="37"/>
      <c r="O36" s="37"/>
      <c r="P36" s="37"/>
      <c r="Q36" s="37"/>
      <c r="R36" s="37"/>
      <c r="S36" s="37"/>
      <c r="T36" s="37"/>
    </row>
    <row r="37" spans="1:22" s="35" customFormat="1" ht="16.5" customHeight="1" x14ac:dyDescent="0.35">
      <c r="A37" s="51"/>
      <c r="B37" s="51"/>
      <c r="C37" s="51"/>
      <c r="D37" s="51"/>
      <c r="E37" s="64"/>
      <c r="F37" s="62"/>
      <c r="G37" s="62"/>
      <c r="H37" s="37"/>
      <c r="I37" s="37"/>
      <c r="J37" s="37"/>
      <c r="K37" s="37"/>
      <c r="L37" s="37"/>
      <c r="M37" s="37"/>
      <c r="N37" s="37"/>
      <c r="O37" s="37"/>
      <c r="P37" s="37"/>
      <c r="Q37" s="37"/>
      <c r="R37" s="37"/>
      <c r="S37" s="37"/>
      <c r="T37" s="37"/>
      <c r="U37" s="44"/>
      <c r="V37" s="44"/>
    </row>
    <row r="38" spans="1:22" s="35" customFormat="1" ht="16.5" customHeight="1" x14ac:dyDescent="0.35">
      <c r="A38" s="51"/>
      <c r="B38" s="51"/>
      <c r="C38" s="46" t="s">
        <v>360</v>
      </c>
      <c r="D38" s="47" t="s">
        <v>20</v>
      </c>
      <c r="E38" s="48" t="s">
        <v>58</v>
      </c>
      <c r="F38" s="48" t="s">
        <v>56</v>
      </c>
      <c r="G38" s="48" t="s">
        <v>57</v>
      </c>
      <c r="H38" s="37"/>
      <c r="I38" s="37"/>
      <c r="J38" s="37"/>
      <c r="K38" s="37"/>
      <c r="L38" s="37"/>
      <c r="M38" s="37"/>
      <c r="N38" s="37"/>
      <c r="O38" s="37"/>
      <c r="P38" s="37"/>
      <c r="Q38" s="37"/>
      <c r="R38" s="37"/>
      <c r="S38" s="37"/>
      <c r="T38" s="37"/>
      <c r="U38" s="37"/>
      <c r="V38" s="37"/>
    </row>
    <row r="39" spans="1:22" s="35" customFormat="1" ht="16.5" customHeight="1" x14ac:dyDescent="0.35">
      <c r="A39" s="131" t="s">
        <v>350</v>
      </c>
      <c r="B39" s="131"/>
      <c r="C39" s="131"/>
      <c r="D39" s="66">
        <v>0</v>
      </c>
      <c r="E39" s="66">
        <v>0</v>
      </c>
      <c r="F39" s="66">
        <v>0</v>
      </c>
      <c r="G39" s="66">
        <v>0</v>
      </c>
      <c r="H39" s="67" t="s">
        <v>11</v>
      </c>
      <c r="I39" s="37"/>
      <c r="J39" s="37"/>
      <c r="K39" s="37"/>
      <c r="L39" s="37"/>
      <c r="M39" s="37"/>
      <c r="N39" s="37"/>
      <c r="O39" s="37"/>
      <c r="P39" s="37"/>
      <c r="Q39" s="37"/>
      <c r="R39" s="37"/>
      <c r="S39" s="37"/>
      <c r="T39" s="37"/>
      <c r="U39" s="37"/>
      <c r="V39" s="37"/>
    </row>
    <row r="40" spans="1:22" s="35" customFormat="1" ht="16.5" customHeight="1" x14ac:dyDescent="0.35">
      <c r="A40" s="131" t="s">
        <v>36</v>
      </c>
      <c r="B40" s="131"/>
      <c r="C40" s="131"/>
      <c r="D40" s="68">
        <v>0</v>
      </c>
      <c r="E40" s="68">
        <v>0</v>
      </c>
      <c r="F40" s="68">
        <v>0</v>
      </c>
      <c r="G40" s="68">
        <v>0</v>
      </c>
      <c r="H40" s="67" t="s">
        <v>11</v>
      </c>
      <c r="I40" s="37"/>
      <c r="J40" s="37"/>
      <c r="K40" s="37"/>
      <c r="L40" s="37"/>
      <c r="M40" s="37"/>
      <c r="N40" s="37"/>
      <c r="O40" s="37"/>
      <c r="P40" s="37"/>
      <c r="Q40" s="37"/>
      <c r="R40" s="37"/>
      <c r="S40" s="37"/>
      <c r="T40" s="37"/>
      <c r="U40" s="37"/>
      <c r="V40" s="37"/>
    </row>
    <row r="41" spans="1:22" s="35" customFormat="1" ht="16.5" customHeight="1" x14ac:dyDescent="0.35">
      <c r="A41" s="131" t="s">
        <v>37</v>
      </c>
      <c r="B41" s="131"/>
      <c r="C41" s="131"/>
      <c r="D41" s="68">
        <v>0</v>
      </c>
      <c r="E41" s="68">
        <v>0</v>
      </c>
      <c r="F41" s="68">
        <v>0</v>
      </c>
      <c r="G41" s="68">
        <v>0</v>
      </c>
      <c r="H41" s="67" t="s">
        <v>11</v>
      </c>
      <c r="I41" s="37"/>
      <c r="J41" s="37"/>
      <c r="K41" s="37"/>
      <c r="L41" s="37"/>
      <c r="M41" s="37"/>
      <c r="N41" s="37"/>
      <c r="O41" s="37"/>
      <c r="P41" s="37"/>
      <c r="Q41" s="37"/>
      <c r="R41" s="37"/>
      <c r="S41" s="37"/>
      <c r="T41" s="37"/>
      <c r="U41" s="37"/>
      <c r="V41" s="37"/>
    </row>
    <row r="42" spans="1:22" s="37" customFormat="1" ht="16.5" customHeight="1" x14ac:dyDescent="0.35">
      <c r="A42" s="131" t="s">
        <v>38</v>
      </c>
      <c r="B42" s="131"/>
      <c r="C42" s="131"/>
      <c r="D42" s="68">
        <v>0</v>
      </c>
      <c r="E42" s="68">
        <v>0</v>
      </c>
      <c r="F42" s="68">
        <v>0</v>
      </c>
      <c r="G42" s="68">
        <v>0</v>
      </c>
      <c r="H42" s="67" t="s">
        <v>11</v>
      </c>
    </row>
    <row r="43" spans="1:22" s="37" customFormat="1" ht="16.5" customHeight="1" x14ac:dyDescent="0.35">
      <c r="A43" s="131" t="s">
        <v>39</v>
      </c>
      <c r="B43" s="131"/>
      <c r="C43" s="131"/>
      <c r="D43" s="68">
        <v>0</v>
      </c>
      <c r="E43" s="68">
        <v>0</v>
      </c>
      <c r="F43" s="68">
        <v>0</v>
      </c>
      <c r="G43" s="68">
        <v>0</v>
      </c>
      <c r="H43" s="67" t="s">
        <v>11</v>
      </c>
    </row>
    <row r="44" spans="1:22" s="37" customFormat="1" ht="16.5" customHeight="1" x14ac:dyDescent="0.35">
      <c r="A44" s="131" t="s">
        <v>42</v>
      </c>
      <c r="B44" s="131" t="s">
        <v>361</v>
      </c>
      <c r="C44" s="131"/>
      <c r="D44" s="68">
        <v>0</v>
      </c>
      <c r="E44" s="68">
        <v>0</v>
      </c>
      <c r="F44" s="68">
        <v>0</v>
      </c>
      <c r="G44" s="68">
        <v>0</v>
      </c>
      <c r="H44" s="67" t="s">
        <v>11</v>
      </c>
    </row>
    <row r="45" spans="1:22" s="37" customFormat="1" ht="16.5" customHeight="1" x14ac:dyDescent="0.35">
      <c r="A45" s="131" t="s">
        <v>43</v>
      </c>
      <c r="B45" s="131" t="s">
        <v>361</v>
      </c>
      <c r="C45" s="131"/>
      <c r="D45" s="68">
        <v>0</v>
      </c>
      <c r="E45" s="68">
        <v>0</v>
      </c>
      <c r="F45" s="68">
        <v>0</v>
      </c>
      <c r="G45" s="68">
        <v>0</v>
      </c>
      <c r="H45" s="67" t="s">
        <v>11</v>
      </c>
    </row>
    <row r="46" spans="1:22" s="37" customFormat="1" ht="16.5" customHeight="1" x14ac:dyDescent="0.35">
      <c r="A46" s="131" t="s">
        <v>40</v>
      </c>
      <c r="B46" s="131" t="s">
        <v>361</v>
      </c>
      <c r="C46" s="131"/>
      <c r="D46" s="68">
        <v>0</v>
      </c>
      <c r="E46" s="68">
        <v>0</v>
      </c>
      <c r="F46" s="68">
        <v>0</v>
      </c>
      <c r="G46" s="68">
        <v>0</v>
      </c>
      <c r="H46" s="67" t="s">
        <v>11</v>
      </c>
    </row>
    <row r="47" spans="1:22" s="37" customFormat="1" ht="16.5" customHeight="1" x14ac:dyDescent="0.35">
      <c r="A47" s="131" t="s">
        <v>41</v>
      </c>
      <c r="B47" s="131" t="s">
        <v>361</v>
      </c>
      <c r="C47" s="131"/>
      <c r="D47" s="68">
        <v>0</v>
      </c>
      <c r="E47" s="68">
        <v>0</v>
      </c>
      <c r="F47" s="68">
        <v>0</v>
      </c>
      <c r="G47" s="68">
        <v>0</v>
      </c>
      <c r="H47" s="67" t="s">
        <v>11</v>
      </c>
    </row>
    <row r="48" spans="1:22" s="37" customFormat="1" ht="16.5" customHeight="1" thickBot="1" x14ac:dyDescent="0.4">
      <c r="A48" s="51"/>
      <c r="B48" s="51"/>
      <c r="C48" s="51"/>
      <c r="D48" s="69"/>
      <c r="E48" s="69"/>
      <c r="F48" s="69"/>
      <c r="G48" s="69"/>
      <c r="H48" s="70"/>
    </row>
    <row r="49" spans="1:12" s="23" customFormat="1" ht="16.5" customHeight="1" x14ac:dyDescent="0.35">
      <c r="B49" s="71"/>
      <c r="C49" s="72" t="s">
        <v>34</v>
      </c>
      <c r="D49" s="73" t="s">
        <v>20</v>
      </c>
      <c r="E49" s="74" t="s">
        <v>58</v>
      </c>
      <c r="F49" s="74" t="s">
        <v>56</v>
      </c>
      <c r="G49" s="74" t="s">
        <v>57</v>
      </c>
      <c r="H49" s="75" t="s">
        <v>33</v>
      </c>
    </row>
    <row r="50" spans="1:12" s="23" customFormat="1" ht="16.5" customHeight="1" x14ac:dyDescent="0.35">
      <c r="B50" s="76"/>
      <c r="C50" s="77" t="s">
        <v>31</v>
      </c>
      <c r="D50" s="78">
        <f>D23*VCO[[#Totals],[Model 1
(eis M1 t/m M27)]]*48</f>
        <v>0</v>
      </c>
      <c r="E50" s="78">
        <f>E23*VCO[[#Totals],[Model 1
(eis M1 t/m M27)]]*12</f>
        <v>0</v>
      </c>
      <c r="F50" s="78">
        <f>F23*VCO[[#Totals],[Model 1
(eis M1 t/m M27)]]*12</f>
        <v>0</v>
      </c>
      <c r="G50" s="78">
        <f>G23*VCO[[#Totals],[Model 1
(eis M1 t/m M27)]]*12</f>
        <v>0</v>
      </c>
      <c r="H50" s="79">
        <f>SUM(VCO!$D50:$G50)</f>
        <v>0</v>
      </c>
    </row>
    <row r="51" spans="1:12" s="23" customFormat="1" ht="16.5" customHeight="1" x14ac:dyDescent="0.35">
      <c r="B51" s="80"/>
      <c r="C51" s="81" t="s">
        <v>30</v>
      </c>
      <c r="D51" s="82">
        <f>D24*VCO[[#Totals],[Model 2
(eis M1 t/m M27)]]*48</f>
        <v>0</v>
      </c>
      <c r="E51" s="82">
        <f>E24*VCO[[#Totals],[Model 2
(eis M1 t/m M27)]]*12</f>
        <v>0</v>
      </c>
      <c r="F51" s="82">
        <f>F24*VCO[[#Totals],[Model 2
(eis M1 t/m M27)]]*12</f>
        <v>0</v>
      </c>
      <c r="G51" s="82">
        <f>G24*VCO[[#Totals],[Model 2
(eis M1 t/m M27)]]*12</f>
        <v>0</v>
      </c>
      <c r="H51" s="83">
        <f>SUM(VCO!$D51:$G51)</f>
        <v>0</v>
      </c>
    </row>
    <row r="52" spans="1:12" s="23" customFormat="1" ht="16.5" customHeight="1" x14ac:dyDescent="0.35">
      <c r="B52" s="84"/>
      <c r="C52" s="77" t="s">
        <v>52</v>
      </c>
      <c r="D52" s="78">
        <f>D31*I24</f>
        <v>0</v>
      </c>
      <c r="E52" s="78">
        <f>$D$31*$J$24</f>
        <v>0</v>
      </c>
      <c r="F52" s="78">
        <f t="shared" ref="F52:G52" si="0">$D$31*$J$24</f>
        <v>0</v>
      </c>
      <c r="G52" s="78">
        <f t="shared" si="0"/>
        <v>0</v>
      </c>
      <c r="H52" s="79">
        <f>SUM(VCO!$D52:$G52)</f>
        <v>0</v>
      </c>
    </row>
    <row r="53" spans="1:12" s="23" customFormat="1" ht="16.5" customHeight="1" x14ac:dyDescent="0.35">
      <c r="B53" s="85"/>
      <c r="C53" s="81" t="s">
        <v>32</v>
      </c>
      <c r="D53" s="82">
        <f>D32*K24</f>
        <v>0</v>
      </c>
      <c r="E53" s="82">
        <f>$D$32*$L$24</f>
        <v>0</v>
      </c>
      <c r="F53" s="82">
        <f t="shared" ref="F53:G53" si="1">$D$32*$L$24</f>
        <v>0</v>
      </c>
      <c r="G53" s="82">
        <f t="shared" si="1"/>
        <v>0</v>
      </c>
      <c r="H53" s="83">
        <f>SUM(VCO!$D53:$G53)</f>
        <v>0</v>
      </c>
    </row>
    <row r="54" spans="1:12" s="23" customFormat="1" ht="16.5" customHeight="1" x14ac:dyDescent="0.35">
      <c r="B54" s="84"/>
      <c r="C54" s="77" t="s">
        <v>356</v>
      </c>
      <c r="D54" s="78">
        <f>D27*(VCO[[#Totals],[Model 1
(eis M1 t/m M27)]]+VCO[[#Totals],[Model 2
(eis M1 t/m M27)]])*48</f>
        <v>0</v>
      </c>
      <c r="E54" s="78">
        <f>E27*(VCO[[#Totals],[Model 1
(eis M1 t/m M27)]]+VCO[[#Totals],[Model 2
(eis M1 t/m M27)]])*12</f>
        <v>0</v>
      </c>
      <c r="F54" s="78">
        <f>F27*(VCO[[#Totals],[Model 1
(eis M1 t/m M27)]]+VCO[[#Totals],[Model 2
(eis M1 t/m M27)]])*12</f>
        <v>0</v>
      </c>
      <c r="G54" s="78">
        <f>G27*(VCO[[#Totals],[Model 1
(eis M1 t/m M27)]]+VCO[[#Totals],[Model 2
(eis M1 t/m M27)]])*12</f>
        <v>0</v>
      </c>
      <c r="H54" s="79">
        <f>SUM(D54:G54)</f>
        <v>0</v>
      </c>
    </row>
    <row r="55" spans="1:12" s="23" customFormat="1" ht="16.5" customHeight="1" x14ac:dyDescent="0.35">
      <c r="B55" s="85"/>
      <c r="C55" s="81" t="s">
        <v>357</v>
      </c>
      <c r="D55" s="82">
        <f>D28*(VCO[[#Totals],[Model 1
(eis M1 t/m M27)]]+VCO[[#Totals],[Model 2
(eis M1 t/m M27)]])*48</f>
        <v>0</v>
      </c>
      <c r="E55" s="82">
        <f>E28*(VCO[[#Totals],[Model 1
(eis M1 t/m M27)]]+VCO[[#Totals],[Model 2
(eis M1 t/m M27)]])*12</f>
        <v>0</v>
      </c>
      <c r="F55" s="82">
        <f>F28*(VCO[[#Totals],[Model 1
(eis M1 t/m M27)]]+VCO[[#Totals],[Model 2
(eis M1 t/m M27)]])*12</f>
        <v>0</v>
      </c>
      <c r="G55" s="82">
        <f>G28*(VCO[[#Totals],[Model 1
(eis M1 t/m M27)]]+VCO[[#Totals],[Model 2
(eis M1 t/m M27)]])*12</f>
        <v>0</v>
      </c>
      <c r="H55" s="83">
        <f>SUM(D55:G55)</f>
        <v>0</v>
      </c>
    </row>
    <row r="56" spans="1:12" s="23" customFormat="1" ht="16.5" customHeight="1" x14ac:dyDescent="0.35">
      <c r="A56" s="26"/>
      <c r="B56" s="84"/>
      <c r="C56" s="77" t="s">
        <v>9</v>
      </c>
      <c r="D56" s="87"/>
      <c r="E56" s="87"/>
      <c r="F56" s="87"/>
      <c r="G56" s="87"/>
      <c r="H56" s="79">
        <f>D35</f>
        <v>0</v>
      </c>
      <c r="I56" s="26"/>
    </row>
    <row r="57" spans="1:12" s="23" customFormat="1" ht="16.5" customHeight="1" thickBot="1" x14ac:dyDescent="0.4">
      <c r="A57" s="94"/>
      <c r="B57" s="88"/>
      <c r="C57" s="89" t="s">
        <v>10</v>
      </c>
      <c r="D57" s="90"/>
      <c r="E57" s="90"/>
      <c r="F57" s="90"/>
      <c r="G57" s="90"/>
      <c r="H57" s="91">
        <f>D36</f>
        <v>0</v>
      </c>
    </row>
    <row r="58" spans="1:12" s="23" customFormat="1" ht="16.5" customHeight="1" thickBot="1" x14ac:dyDescent="0.4">
      <c r="A58" s="95"/>
      <c r="B58" s="70"/>
      <c r="D58" s="96"/>
      <c r="E58" s="96"/>
      <c r="F58" s="96"/>
      <c r="G58" s="96"/>
    </row>
    <row r="59" spans="1:12" ht="16.5" customHeight="1" thickBot="1" x14ac:dyDescent="0.4">
      <c r="D59" s="15"/>
      <c r="F59" s="16" t="s">
        <v>12</v>
      </c>
      <c r="G59" s="129">
        <f>SUM(H50:H58)</f>
        <v>0</v>
      </c>
      <c r="H59" s="130"/>
      <c r="J59" s="21"/>
      <c r="K59" s="22"/>
      <c r="L59" s="22"/>
    </row>
    <row r="60" spans="1:12" ht="16.5" customHeight="1" x14ac:dyDescent="0.35">
      <c r="J60" s="21"/>
    </row>
    <row r="61" spans="1:12" ht="16.5" customHeight="1" x14ac:dyDescent="0.35">
      <c r="B61" s="17" t="s">
        <v>240</v>
      </c>
      <c r="I61" s="18"/>
    </row>
    <row r="62" spans="1:12" ht="16.5" customHeight="1" x14ac:dyDescent="0.35">
      <c r="B62" s="17" t="s">
        <v>347</v>
      </c>
      <c r="C62" s="18"/>
      <c r="D62" s="18"/>
      <c r="E62" s="18"/>
      <c r="F62" s="18"/>
      <c r="G62" s="18"/>
      <c r="H62" s="18"/>
      <c r="I62" s="18"/>
    </row>
    <row r="63" spans="1:12" ht="16.5" customHeight="1" x14ac:dyDescent="0.35">
      <c r="B63" s="19" t="s">
        <v>241</v>
      </c>
      <c r="C63" s="18"/>
      <c r="D63" s="18"/>
      <c r="E63" s="18"/>
      <c r="F63" s="18"/>
      <c r="G63" s="18"/>
      <c r="H63" s="18"/>
      <c r="I63" s="20"/>
    </row>
    <row r="64" spans="1:12" ht="16.5" customHeight="1" x14ac:dyDescent="0.35">
      <c r="D64" s="20"/>
      <c r="E64" s="20"/>
      <c r="F64" s="20"/>
      <c r="G64" s="20"/>
      <c r="H64" s="20"/>
      <c r="I64" s="20"/>
    </row>
    <row r="65" ht="16.5" customHeight="1" x14ac:dyDescent="0.35"/>
    <row r="66" ht="16.5" customHeight="1" x14ac:dyDescent="0.35"/>
    <row r="67" ht="16.5" customHeight="1" x14ac:dyDescent="0.35"/>
    <row r="68" ht="16.5" customHeight="1" x14ac:dyDescent="0.35"/>
    <row r="69" ht="16.5" customHeight="1" x14ac:dyDescent="0.35"/>
    <row r="70" ht="16.5" customHeight="1" x14ac:dyDescent="0.35"/>
    <row r="71" ht="16.5" customHeight="1" x14ac:dyDescent="0.35"/>
    <row r="72" ht="16.5" customHeight="1" x14ac:dyDescent="0.35"/>
    <row r="73" ht="16.5" customHeight="1" x14ac:dyDescent="0.35"/>
    <row r="74" ht="25" customHeight="1" x14ac:dyDescent="0.35"/>
    <row r="75" ht="16.5" customHeight="1" x14ac:dyDescent="0.35"/>
    <row r="76" ht="16.5" customHeight="1" x14ac:dyDescent="0.35"/>
    <row r="77" ht="16.5" customHeight="1" x14ac:dyDescent="0.35"/>
    <row r="78" ht="16.5" customHeight="1" x14ac:dyDescent="0.35"/>
    <row r="79" ht="16.5" customHeight="1" x14ac:dyDescent="0.35"/>
    <row r="80" ht="16.5" customHeight="1" x14ac:dyDescent="0.35"/>
    <row r="81" ht="16.5" customHeight="1" x14ac:dyDescent="0.35"/>
    <row r="82" ht="16.5" customHeight="1" x14ac:dyDescent="0.35"/>
    <row r="83" ht="16.5" customHeight="1" x14ac:dyDescent="0.35"/>
  </sheetData>
  <mergeCells count="12">
    <mergeCell ref="G59:H59"/>
    <mergeCell ref="A35:C35"/>
    <mergeCell ref="A36:C36"/>
    <mergeCell ref="A39:C39"/>
    <mergeCell ref="A40:C40"/>
    <mergeCell ref="A41:C41"/>
    <mergeCell ref="A42:C42"/>
    <mergeCell ref="A43:C43"/>
    <mergeCell ref="A44:C44"/>
    <mergeCell ref="A45:C45"/>
    <mergeCell ref="A46:C46"/>
    <mergeCell ref="A47:C47"/>
  </mergeCells>
  <pageMargins left="0.23622047244094491" right="0.23622047244094491" top="0.74803149606299213" bottom="0.74803149606299213" header="0.31496062992125984" footer="0.31496062992125984"/>
  <pageSetup paperSize="9" scale="29"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FB510-CA5C-4080-87E7-90299410CC8C}">
  <sheetPr>
    <tabColor theme="4" tint="0.79998168889431442"/>
    <pageSetUpPr fitToPage="1"/>
  </sheetPr>
  <dimension ref="A1:V82"/>
  <sheetViews>
    <sheetView showGridLines="0" zoomScale="90" zoomScaleNormal="90" workbookViewId="0">
      <pane xSplit="2" ySplit="2" topLeftCell="C3" activePane="bottomRight" state="frozen"/>
      <selection activeCell="H1" sqref="H1:L1048576"/>
      <selection pane="topRight" activeCell="H1" sqref="H1:L1048576"/>
      <selection pane="bottomLeft" activeCell="H1" sqref="H1:L1048576"/>
      <selection pane="bottomRight" activeCell="C3" sqref="C3"/>
    </sheetView>
  </sheetViews>
  <sheetFormatPr defaultRowHeight="14.5" x14ac:dyDescent="0.35"/>
  <cols>
    <col min="1" max="1" width="25.81640625" style="11" customWidth="1"/>
    <col min="2" max="2" width="26.54296875" style="11" customWidth="1"/>
    <col min="3" max="4" width="20.81640625" style="11" customWidth="1"/>
    <col min="5" max="5" width="21.453125" style="11" customWidth="1"/>
    <col min="6" max="7" width="20.81640625" style="11" customWidth="1"/>
    <col min="8" max="12" width="18.1796875" style="11" customWidth="1"/>
    <col min="13" max="20" width="20.6328125" style="11" customWidth="1"/>
    <col min="21" max="22" width="21.6328125" style="11" customWidth="1"/>
    <col min="23" max="27" width="19.36328125" style="11" customWidth="1"/>
    <col min="28" max="28" width="9.1796875" style="11" bestFit="1" customWidth="1"/>
    <col min="29" max="29" width="10.08984375" style="11" bestFit="1" customWidth="1"/>
    <col min="30" max="16384" width="8.7265625" style="11"/>
  </cols>
  <sheetData>
    <row r="1" spans="1:20" s="23" customFormat="1" x14ac:dyDescent="0.35">
      <c r="D1" s="24" t="s">
        <v>60</v>
      </c>
      <c r="E1" s="25"/>
      <c r="F1" s="25"/>
      <c r="G1" s="26"/>
      <c r="H1" s="26"/>
      <c r="I1" s="26">
        <v>10000</v>
      </c>
      <c r="M1" s="27"/>
      <c r="N1" s="28" t="s">
        <v>48</v>
      </c>
      <c r="O1" s="29">
        <v>46905</v>
      </c>
    </row>
    <row r="2" spans="1:20" s="30" customFormat="1" ht="29" x14ac:dyDescent="0.35">
      <c r="A2" s="30" t="s">
        <v>184</v>
      </c>
      <c r="B2" s="30" t="s">
        <v>0</v>
      </c>
      <c r="C2" s="30" t="s">
        <v>54</v>
      </c>
      <c r="D2" s="30" t="s">
        <v>1</v>
      </c>
      <c r="E2" s="31" t="s">
        <v>23</v>
      </c>
      <c r="F2" s="31" t="s">
        <v>24</v>
      </c>
      <c r="G2" s="31" t="s">
        <v>4</v>
      </c>
      <c r="H2" s="32" t="s">
        <v>5</v>
      </c>
      <c r="I2" s="32" t="s">
        <v>6</v>
      </c>
      <c r="J2" s="32" t="s">
        <v>2</v>
      </c>
      <c r="K2" s="32" t="s">
        <v>3</v>
      </c>
      <c r="L2" s="32" t="s">
        <v>7</v>
      </c>
      <c r="M2" s="33" t="s">
        <v>65</v>
      </c>
      <c r="N2" s="34" t="s">
        <v>66</v>
      </c>
      <c r="O2" s="33" t="s">
        <v>67</v>
      </c>
      <c r="P2" s="34" t="s">
        <v>68</v>
      </c>
      <c r="Q2" s="32" t="s">
        <v>25</v>
      </c>
      <c r="R2" s="32" t="s">
        <v>26</v>
      </c>
      <c r="S2" s="32" t="s">
        <v>27</v>
      </c>
      <c r="T2" s="32" t="s">
        <v>28</v>
      </c>
    </row>
    <row r="3" spans="1:20" s="23" customFormat="1" ht="15" customHeight="1" x14ac:dyDescent="0.35">
      <c r="A3" s="121" t="s">
        <v>303</v>
      </c>
      <c r="B3" s="97" t="s">
        <v>304</v>
      </c>
      <c r="C3" s="23" t="s">
        <v>305</v>
      </c>
      <c r="D3" s="23" t="s">
        <v>306</v>
      </c>
      <c r="E3" s="38">
        <v>1</v>
      </c>
      <c r="F3" s="38"/>
      <c r="G3" s="39">
        <v>45444</v>
      </c>
      <c r="H3" s="40">
        <v>41896</v>
      </c>
      <c r="I3" s="40">
        <v>50074</v>
      </c>
      <c r="J3" s="40">
        <f>Poolster[[#This Row],[Zw/w p/j]]/12</f>
        <v>3491.3333333333335</v>
      </c>
      <c r="K3" s="40">
        <f>Poolster[[#This Row],[Kleur p/j]]/12</f>
        <v>4172.833333333333</v>
      </c>
      <c r="L3" s="42">
        <f>INT(_xlfn.DAYS($O$1,Poolster[[#This Row],[Datum in gebruikname]])/30.41)</f>
        <v>48</v>
      </c>
      <c r="M3" s="40">
        <f>IF(Poolster[[#This Row],[Model 1
(eis M1 t/m M27)]]="","",Poolster[[#This Row],[Zw/w p/m]]*Poolster[[#This Row],[Aantal maanden]])</f>
        <v>167584</v>
      </c>
      <c r="N3" s="40">
        <f>IF(Poolster[[#This Row],[Model 1
(eis M1 t/m M27)]]="","",Poolster[[#This Row],[kleur p/m]]*Poolster[[#This Row],[Aantal maanden]])</f>
        <v>200296</v>
      </c>
      <c r="O3" s="40" t="str">
        <f>IF(Poolster[[#This Row],[Model 2
(eis M1 t/m M27)]]="","",Poolster[[#This Row],[Zw/w p/m]]*Poolster[[#This Row],[Aantal maanden]])</f>
        <v/>
      </c>
      <c r="P3" s="40" t="str">
        <f>IF(Poolster[[#This Row],[Model 2
(eis M1 t/m M27)]]="","",Poolster[[#This Row],[kleur p/m]]*Poolster[[#This Row],[Aantal maanden]])</f>
        <v/>
      </c>
      <c r="Q3" s="40">
        <f>IF(Poolster[[#This Row],[Model 1
(eis M1 t/m M27)]]="","",Poolster[[#This Row],['# zw/w afdrukken M1 tot 1-6-2028]]/4)</f>
        <v>41896</v>
      </c>
      <c r="R3" s="40">
        <f>IF(Poolster[[#This Row],[Model 1
(eis M1 t/m M27)]]="","",Poolster[[#This Row],['# kleur afdrukken M1 tot 1-6-2028]]/4)</f>
        <v>50074</v>
      </c>
      <c r="S3" s="40" t="str">
        <f>IF(Poolster[[#This Row],[Model 2
(eis M1 t/m M27)]]="","",Poolster[[#This Row],['# zw/w afdrukken M2 tot 1-6-20282]]/4)</f>
        <v/>
      </c>
      <c r="T3" s="40" t="str">
        <f>IF(Poolster[[#This Row],[Model 2
(eis M1 t/m M27)]]="","",Poolster[[#This Row],['# kleur afdrukken M2 tot 1-6-20283]]/4)</f>
        <v/>
      </c>
    </row>
    <row r="4" spans="1:20" s="23" customFormat="1" ht="15" customHeight="1" x14ac:dyDescent="0.35">
      <c r="A4" s="121" t="s">
        <v>307</v>
      </c>
      <c r="B4" s="97" t="s">
        <v>308</v>
      </c>
      <c r="C4" s="23" t="s">
        <v>309</v>
      </c>
      <c r="D4" s="23" t="s">
        <v>310</v>
      </c>
      <c r="E4" s="38">
        <v>1</v>
      </c>
      <c r="F4" s="38"/>
      <c r="G4" s="39">
        <v>45444</v>
      </c>
      <c r="H4" s="40">
        <v>86934</v>
      </c>
      <c r="I4" s="40">
        <v>127224</v>
      </c>
      <c r="J4" s="40">
        <f>Poolster[[#This Row],[Zw/w p/j]]/12</f>
        <v>7244.5</v>
      </c>
      <c r="K4" s="40">
        <f>Poolster[[#This Row],[Kleur p/j]]/12</f>
        <v>10602</v>
      </c>
      <c r="L4" s="42">
        <f>INT(_xlfn.DAYS($O$1,Poolster[[#This Row],[Datum in gebruikname]])/30.41)</f>
        <v>48</v>
      </c>
      <c r="M4" s="40">
        <f>IF(Poolster[[#This Row],[Model 1
(eis M1 t/m M27)]]="","",Poolster[[#This Row],[Zw/w p/m]]*Poolster[[#This Row],[Aantal maanden]])</f>
        <v>347736</v>
      </c>
      <c r="N4" s="40">
        <f>IF(Poolster[[#This Row],[Model 1
(eis M1 t/m M27)]]="","",Poolster[[#This Row],[kleur p/m]]*Poolster[[#This Row],[Aantal maanden]])</f>
        <v>508896</v>
      </c>
      <c r="O4" s="40" t="str">
        <f>IF(Poolster[[#This Row],[Model 2
(eis M1 t/m M27)]]="","",Poolster[[#This Row],[Zw/w p/m]]*Poolster[[#This Row],[Aantal maanden]])</f>
        <v/>
      </c>
      <c r="P4" s="40" t="str">
        <f>IF(Poolster[[#This Row],[Model 2
(eis M1 t/m M27)]]="","",Poolster[[#This Row],[kleur p/m]]*Poolster[[#This Row],[Aantal maanden]])</f>
        <v/>
      </c>
      <c r="Q4" s="40">
        <f>IF(Poolster[[#This Row],[Model 1
(eis M1 t/m M27)]]="","",Poolster[[#This Row],['# zw/w afdrukken M1 tot 1-6-2028]]/4)</f>
        <v>86934</v>
      </c>
      <c r="R4" s="40">
        <f>IF(Poolster[[#This Row],[Model 1
(eis M1 t/m M27)]]="","",Poolster[[#This Row],['# kleur afdrukken M1 tot 1-6-2028]]/4)</f>
        <v>127224</v>
      </c>
      <c r="S4" s="40" t="str">
        <f>IF(Poolster[[#This Row],[Model 2
(eis M1 t/m M27)]]="","",Poolster[[#This Row],['# zw/w afdrukken M2 tot 1-6-20282]]/4)</f>
        <v/>
      </c>
      <c r="T4" s="40" t="str">
        <f>IF(Poolster[[#This Row],[Model 2
(eis M1 t/m M27)]]="","",Poolster[[#This Row],['# kleur afdrukken M2 tot 1-6-20283]]/4)</f>
        <v/>
      </c>
    </row>
    <row r="5" spans="1:20" s="23" customFormat="1" ht="15" customHeight="1" x14ac:dyDescent="0.35">
      <c r="A5" s="23" t="s">
        <v>311</v>
      </c>
      <c r="B5" s="97" t="s">
        <v>312</v>
      </c>
      <c r="C5" s="23" t="s">
        <v>313</v>
      </c>
      <c r="D5" s="23" t="s">
        <v>314</v>
      </c>
      <c r="E5" s="38">
        <v>1</v>
      </c>
      <c r="F5" s="38"/>
      <c r="G5" s="39">
        <v>45444</v>
      </c>
      <c r="H5" s="40">
        <v>31870</v>
      </c>
      <c r="I5" s="40">
        <v>66651</v>
      </c>
      <c r="J5" s="40">
        <f>Poolster[[#This Row],[Zw/w p/j]]/12</f>
        <v>2655.8333333333335</v>
      </c>
      <c r="K5" s="40">
        <f>Poolster[[#This Row],[Kleur p/j]]/12</f>
        <v>5554.25</v>
      </c>
      <c r="L5" s="42">
        <f>INT(_xlfn.DAYS($O$1,Poolster[[#This Row],[Datum in gebruikname]])/30.41)</f>
        <v>48</v>
      </c>
      <c r="M5" s="40">
        <f>IF(Poolster[[#This Row],[Model 1
(eis M1 t/m M27)]]="","",Poolster[[#This Row],[Zw/w p/m]]*Poolster[[#This Row],[Aantal maanden]])</f>
        <v>127480</v>
      </c>
      <c r="N5" s="40">
        <f>IF(Poolster[[#This Row],[Model 1
(eis M1 t/m M27)]]="","",Poolster[[#This Row],[kleur p/m]]*Poolster[[#This Row],[Aantal maanden]])</f>
        <v>266604</v>
      </c>
      <c r="O5" s="40" t="str">
        <f>IF(Poolster[[#This Row],[Model 2
(eis M1 t/m M27)]]="","",Poolster[[#This Row],[Zw/w p/m]]*Poolster[[#This Row],[Aantal maanden]])</f>
        <v/>
      </c>
      <c r="P5" s="40" t="str">
        <f>IF(Poolster[[#This Row],[Model 2
(eis M1 t/m M27)]]="","",Poolster[[#This Row],[kleur p/m]]*Poolster[[#This Row],[Aantal maanden]])</f>
        <v/>
      </c>
      <c r="Q5" s="40">
        <f>IF(Poolster[[#This Row],[Model 1
(eis M1 t/m M27)]]="","",Poolster[[#This Row],['# zw/w afdrukken M1 tot 1-6-2028]]/4)</f>
        <v>31870</v>
      </c>
      <c r="R5" s="40">
        <f>IF(Poolster[[#This Row],[Model 1
(eis M1 t/m M27)]]="","",Poolster[[#This Row],['# kleur afdrukken M1 tot 1-6-2028]]/4)</f>
        <v>66651</v>
      </c>
      <c r="S5" s="40" t="str">
        <f>IF(Poolster[[#This Row],[Model 2
(eis M1 t/m M27)]]="","",Poolster[[#This Row],['# zw/w afdrukken M2 tot 1-6-20282]]/4)</f>
        <v/>
      </c>
      <c r="T5" s="40" t="str">
        <f>IF(Poolster[[#This Row],[Model 2
(eis M1 t/m M27)]]="","",Poolster[[#This Row],['# kleur afdrukken M2 tot 1-6-20283]]/4)</f>
        <v/>
      </c>
    </row>
    <row r="6" spans="1:20" s="23" customFormat="1" ht="15" customHeight="1" x14ac:dyDescent="0.35">
      <c r="A6" s="97" t="s">
        <v>315</v>
      </c>
      <c r="B6" s="43" t="s">
        <v>316</v>
      </c>
      <c r="C6" s="23" t="s">
        <v>317</v>
      </c>
      <c r="D6" s="23" t="s">
        <v>318</v>
      </c>
      <c r="E6" s="38"/>
      <c r="F6" s="38">
        <v>1</v>
      </c>
      <c r="G6" s="39">
        <v>45444</v>
      </c>
      <c r="H6" s="40">
        <v>175207</v>
      </c>
      <c r="I6" s="40">
        <v>71193</v>
      </c>
      <c r="J6" s="40">
        <f>Poolster[[#This Row],[Zw/w p/j]]/12</f>
        <v>14600.583333333334</v>
      </c>
      <c r="K6" s="40">
        <f>Poolster[[#This Row],[Kleur p/j]]/12</f>
        <v>5932.75</v>
      </c>
      <c r="L6" s="98">
        <f>INT(_xlfn.DAYS($O$1,Poolster[[#This Row],[Datum in gebruikname]])/30.41)</f>
        <v>48</v>
      </c>
      <c r="M6" s="40" t="str">
        <f>IF(Poolster[[#This Row],[Model 1
(eis M1 t/m M27)]]="","",Poolster[[#This Row],[Zw/w p/m]]*Poolster[[#This Row],[Aantal maanden]])</f>
        <v/>
      </c>
      <c r="N6" s="40" t="str">
        <f>IF(Poolster[[#This Row],[Model 1
(eis M1 t/m M27)]]="","",Poolster[[#This Row],[kleur p/m]]*Poolster[[#This Row],[Aantal maanden]])</f>
        <v/>
      </c>
      <c r="O6" s="40">
        <f>IF(Poolster[[#This Row],[Model 2
(eis M1 t/m M27)]]="","",Poolster[[#This Row],[Zw/w p/m]]*Poolster[[#This Row],[Aantal maanden]])</f>
        <v>700828</v>
      </c>
      <c r="P6" s="40">
        <f>IF(Poolster[[#This Row],[Model 2
(eis M1 t/m M27)]]="","",Poolster[[#This Row],[kleur p/m]]*Poolster[[#This Row],[Aantal maanden]])</f>
        <v>284772</v>
      </c>
      <c r="Q6" s="40" t="str">
        <f>IF(Poolster[[#This Row],[Model 1
(eis M1 t/m M27)]]="","",Poolster[[#This Row],['# zw/w afdrukken M1 tot 1-6-2028]]/4)</f>
        <v/>
      </c>
      <c r="R6" s="40" t="str">
        <f>IF(Poolster[[#This Row],[Model 1
(eis M1 t/m M27)]]="","",Poolster[[#This Row],['# kleur afdrukken M1 tot 1-6-2028]]/4)</f>
        <v/>
      </c>
      <c r="S6" s="40">
        <f>IF(Poolster[[#This Row],[Model 2
(eis M1 t/m M27)]]="","",Poolster[[#This Row],['# zw/w afdrukken M2 tot 1-6-20282]]/4)</f>
        <v>175207</v>
      </c>
      <c r="T6" s="40">
        <f>IF(Poolster[[#This Row],[Model 2
(eis M1 t/m M27)]]="","",Poolster[[#This Row],['# kleur afdrukken M2 tot 1-6-20283]]/4)</f>
        <v>71193</v>
      </c>
    </row>
    <row r="7" spans="1:20" s="23" customFormat="1" ht="15" customHeight="1" x14ac:dyDescent="0.35">
      <c r="A7" s="97" t="s">
        <v>319</v>
      </c>
      <c r="B7" s="43" t="s">
        <v>320</v>
      </c>
      <c r="C7" s="23" t="s">
        <v>321</v>
      </c>
      <c r="D7" s="23" t="s">
        <v>322</v>
      </c>
      <c r="E7" s="38">
        <v>1</v>
      </c>
      <c r="F7" s="38"/>
      <c r="G7" s="39">
        <v>45444</v>
      </c>
      <c r="H7" s="40">
        <v>30640</v>
      </c>
      <c r="I7" s="40">
        <v>54239</v>
      </c>
      <c r="J7" s="40">
        <f>Poolster[[#This Row],[Zw/w p/j]]/12</f>
        <v>2553.3333333333335</v>
      </c>
      <c r="K7" s="40">
        <f>Poolster[[#This Row],[Kleur p/j]]/12</f>
        <v>4519.916666666667</v>
      </c>
      <c r="L7" s="98">
        <f>INT(_xlfn.DAYS($O$1,Poolster[[#This Row],[Datum in gebruikname]])/30.41)</f>
        <v>48</v>
      </c>
      <c r="M7" s="40">
        <f>IF(Poolster[[#This Row],[Model 1
(eis M1 t/m M27)]]="","",Poolster[[#This Row],[Zw/w p/m]]*Poolster[[#This Row],[Aantal maanden]])</f>
        <v>122560</v>
      </c>
      <c r="N7" s="40">
        <f>IF(Poolster[[#This Row],[Model 1
(eis M1 t/m M27)]]="","",Poolster[[#This Row],[kleur p/m]]*Poolster[[#This Row],[Aantal maanden]])</f>
        <v>216956</v>
      </c>
      <c r="O7" s="40" t="str">
        <f>IF(Poolster[[#This Row],[Model 2
(eis M1 t/m M27)]]="","",Poolster[[#This Row],[Zw/w p/m]]*Poolster[[#This Row],[Aantal maanden]])</f>
        <v/>
      </c>
      <c r="P7" s="40" t="str">
        <f>IF(Poolster[[#This Row],[Model 2
(eis M1 t/m M27)]]="","",Poolster[[#This Row],[kleur p/m]]*Poolster[[#This Row],[Aantal maanden]])</f>
        <v/>
      </c>
      <c r="Q7" s="40">
        <f>IF(Poolster[[#This Row],[Model 1
(eis M1 t/m M27)]]="","",Poolster[[#This Row],['# zw/w afdrukken M1 tot 1-6-2028]]/4)</f>
        <v>30640</v>
      </c>
      <c r="R7" s="40">
        <f>IF(Poolster[[#This Row],[Model 1
(eis M1 t/m M27)]]="","",Poolster[[#This Row],['# kleur afdrukken M1 tot 1-6-2028]]/4)</f>
        <v>54239</v>
      </c>
      <c r="S7" s="40" t="str">
        <f>IF(Poolster[[#This Row],[Model 2
(eis M1 t/m M27)]]="","",Poolster[[#This Row],['# zw/w afdrukken M2 tot 1-6-20282]]/4)</f>
        <v/>
      </c>
      <c r="T7" s="40" t="str">
        <f>IF(Poolster[[#This Row],[Model 2
(eis M1 t/m M27)]]="","",Poolster[[#This Row],['# kleur afdrukken M2 tot 1-6-20283]]/4)</f>
        <v/>
      </c>
    </row>
    <row r="8" spans="1:20" s="23" customFormat="1" ht="15" customHeight="1" x14ac:dyDescent="0.35">
      <c r="A8" s="97" t="s">
        <v>323</v>
      </c>
      <c r="B8" s="43" t="s">
        <v>324</v>
      </c>
      <c r="C8" s="23" t="s">
        <v>325</v>
      </c>
      <c r="D8" s="23" t="s">
        <v>326</v>
      </c>
      <c r="E8" s="38"/>
      <c r="F8" s="38">
        <v>1</v>
      </c>
      <c r="G8" s="39">
        <v>45444</v>
      </c>
      <c r="H8" s="40">
        <v>104964</v>
      </c>
      <c r="I8" s="40">
        <v>154700</v>
      </c>
      <c r="J8" s="40">
        <f>Poolster[[#This Row],[Zw/w p/j]]/12</f>
        <v>8747</v>
      </c>
      <c r="K8" s="40">
        <f>Poolster[[#This Row],[Kleur p/j]]/12</f>
        <v>12891.666666666666</v>
      </c>
      <c r="L8" s="98">
        <f>INT(_xlfn.DAYS($O$1,Poolster[[#This Row],[Datum in gebruikname]])/30.41)</f>
        <v>48</v>
      </c>
      <c r="M8" s="40" t="str">
        <f>IF(Poolster[[#This Row],[Model 1
(eis M1 t/m M27)]]="","",Poolster[[#This Row],[Zw/w p/m]]*Poolster[[#This Row],[Aantal maanden]])</f>
        <v/>
      </c>
      <c r="N8" s="40" t="str">
        <f>IF(Poolster[[#This Row],[Model 1
(eis M1 t/m M27)]]="","",Poolster[[#This Row],[kleur p/m]]*Poolster[[#This Row],[Aantal maanden]])</f>
        <v/>
      </c>
      <c r="O8" s="40">
        <f>IF(Poolster[[#This Row],[Model 2
(eis M1 t/m M27)]]="","",Poolster[[#This Row],[Zw/w p/m]]*Poolster[[#This Row],[Aantal maanden]])</f>
        <v>419856</v>
      </c>
      <c r="P8" s="40">
        <f>IF(Poolster[[#This Row],[Model 2
(eis M1 t/m M27)]]="","",Poolster[[#This Row],[kleur p/m]]*Poolster[[#This Row],[Aantal maanden]])</f>
        <v>618800</v>
      </c>
      <c r="Q8" s="40" t="str">
        <f>IF(Poolster[[#This Row],[Model 1
(eis M1 t/m M27)]]="","",Poolster[[#This Row],['# zw/w afdrukken M1 tot 1-6-2028]]/4)</f>
        <v/>
      </c>
      <c r="R8" s="40" t="str">
        <f>IF(Poolster[[#This Row],[Model 1
(eis M1 t/m M27)]]="","",Poolster[[#This Row],['# kleur afdrukken M1 tot 1-6-2028]]/4)</f>
        <v/>
      </c>
      <c r="S8" s="40">
        <f>IF(Poolster[[#This Row],[Model 2
(eis M1 t/m M27)]]="","",Poolster[[#This Row],['# zw/w afdrukken M2 tot 1-6-20282]]/4)</f>
        <v>104964</v>
      </c>
      <c r="T8" s="40">
        <f>IF(Poolster[[#This Row],[Model 2
(eis M1 t/m M27)]]="","",Poolster[[#This Row],['# kleur afdrukken M2 tot 1-6-20283]]/4)</f>
        <v>154700</v>
      </c>
    </row>
    <row r="9" spans="1:20" s="23" customFormat="1" ht="15" customHeight="1" x14ac:dyDescent="0.35">
      <c r="A9" s="97" t="s">
        <v>327</v>
      </c>
      <c r="B9" s="43" t="s">
        <v>328</v>
      </c>
      <c r="C9" s="23" t="s">
        <v>329</v>
      </c>
      <c r="D9" s="23" t="s">
        <v>326</v>
      </c>
      <c r="E9" s="38">
        <v>1</v>
      </c>
      <c r="F9" s="38"/>
      <c r="G9" s="39">
        <v>45444</v>
      </c>
      <c r="H9" s="40">
        <v>203019</v>
      </c>
      <c r="I9" s="40">
        <v>127886</v>
      </c>
      <c r="J9" s="40">
        <f>Poolster[[#This Row],[Zw/w p/j]]/12</f>
        <v>16918.25</v>
      </c>
      <c r="K9" s="40">
        <f>Poolster[[#This Row],[Kleur p/j]]/12</f>
        <v>10657.166666666666</v>
      </c>
      <c r="L9" s="98">
        <f>INT(_xlfn.DAYS($O$1,Poolster[[#This Row],[Datum in gebruikname]])/30.41)</f>
        <v>48</v>
      </c>
      <c r="M9" s="40">
        <f>IF(Poolster[[#This Row],[Model 1
(eis M1 t/m M27)]]="","",Poolster[[#This Row],[Zw/w p/m]]*Poolster[[#This Row],[Aantal maanden]])</f>
        <v>812076</v>
      </c>
      <c r="N9" s="40">
        <f>IF(Poolster[[#This Row],[Model 1
(eis M1 t/m M27)]]="","",Poolster[[#This Row],[kleur p/m]]*Poolster[[#This Row],[Aantal maanden]])</f>
        <v>511544</v>
      </c>
      <c r="O9" s="40" t="str">
        <f>IF(Poolster[[#This Row],[Model 2
(eis M1 t/m M27)]]="","",Poolster[[#This Row],[Zw/w p/m]]*Poolster[[#This Row],[Aantal maanden]])</f>
        <v/>
      </c>
      <c r="P9" s="40" t="str">
        <f>IF(Poolster[[#This Row],[Model 2
(eis M1 t/m M27)]]="","",Poolster[[#This Row],[kleur p/m]]*Poolster[[#This Row],[Aantal maanden]])</f>
        <v/>
      </c>
      <c r="Q9" s="40">
        <f>IF(Poolster[[#This Row],[Model 1
(eis M1 t/m M27)]]="","",Poolster[[#This Row],['# zw/w afdrukken M1 tot 1-6-2028]]/4)</f>
        <v>203019</v>
      </c>
      <c r="R9" s="40">
        <f>IF(Poolster[[#This Row],[Model 1
(eis M1 t/m M27)]]="","",Poolster[[#This Row],['# kleur afdrukken M1 tot 1-6-2028]]/4)</f>
        <v>127886</v>
      </c>
      <c r="S9" s="40" t="str">
        <f>IF(Poolster[[#This Row],[Model 2
(eis M1 t/m M27)]]="","",Poolster[[#This Row],['# zw/w afdrukken M2 tot 1-6-20282]]/4)</f>
        <v/>
      </c>
      <c r="T9" s="40" t="str">
        <f>IF(Poolster[[#This Row],[Model 2
(eis M1 t/m M27)]]="","",Poolster[[#This Row],['# kleur afdrukken M2 tot 1-6-20283]]/4)</f>
        <v/>
      </c>
    </row>
    <row r="10" spans="1:20" s="23" customFormat="1" ht="15" customHeight="1" x14ac:dyDescent="0.35">
      <c r="A10" s="97" t="s">
        <v>330</v>
      </c>
      <c r="B10" s="43" t="s">
        <v>331</v>
      </c>
      <c r="C10" s="23" t="s">
        <v>332</v>
      </c>
      <c r="D10" s="23" t="s">
        <v>333</v>
      </c>
      <c r="E10" s="38"/>
      <c r="F10" s="38">
        <v>1</v>
      </c>
      <c r="G10" s="39">
        <v>45444</v>
      </c>
      <c r="H10" s="40">
        <v>91719</v>
      </c>
      <c r="I10" s="40">
        <v>118952</v>
      </c>
      <c r="J10" s="40">
        <f>Poolster[[#This Row],[Zw/w p/j]]/12</f>
        <v>7643.25</v>
      </c>
      <c r="K10" s="40">
        <f>Poolster[[#This Row],[Kleur p/j]]/12</f>
        <v>9912.6666666666661</v>
      </c>
      <c r="L10" s="98">
        <f>INT(_xlfn.DAYS($O$1,Poolster[[#This Row],[Datum in gebruikname]])/30.41)</f>
        <v>48</v>
      </c>
      <c r="M10" s="40" t="str">
        <f>IF(Poolster[[#This Row],[Model 1
(eis M1 t/m M27)]]="","",Poolster[[#This Row],[Zw/w p/m]]*Poolster[[#This Row],[Aantal maanden]])</f>
        <v/>
      </c>
      <c r="N10" s="40" t="str">
        <f>IF(Poolster[[#This Row],[Model 1
(eis M1 t/m M27)]]="","",Poolster[[#This Row],[kleur p/m]]*Poolster[[#This Row],[Aantal maanden]])</f>
        <v/>
      </c>
      <c r="O10" s="40">
        <f>IF(Poolster[[#This Row],[Model 2
(eis M1 t/m M27)]]="","",Poolster[[#This Row],[Zw/w p/m]]*Poolster[[#This Row],[Aantal maanden]])</f>
        <v>366876</v>
      </c>
      <c r="P10" s="40">
        <f>IF(Poolster[[#This Row],[Model 2
(eis M1 t/m M27)]]="","",Poolster[[#This Row],[kleur p/m]]*Poolster[[#This Row],[Aantal maanden]])</f>
        <v>475808</v>
      </c>
      <c r="Q10" s="40" t="str">
        <f>IF(Poolster[[#This Row],[Model 1
(eis M1 t/m M27)]]="","",Poolster[[#This Row],['# zw/w afdrukken M1 tot 1-6-2028]]/4)</f>
        <v/>
      </c>
      <c r="R10" s="40" t="str">
        <f>IF(Poolster[[#This Row],[Model 1
(eis M1 t/m M27)]]="","",Poolster[[#This Row],['# kleur afdrukken M1 tot 1-6-2028]]/4)</f>
        <v/>
      </c>
      <c r="S10" s="40">
        <f>IF(Poolster[[#This Row],[Model 2
(eis M1 t/m M27)]]="","",Poolster[[#This Row],['# zw/w afdrukken M2 tot 1-6-20282]]/4)</f>
        <v>91719</v>
      </c>
      <c r="T10" s="40">
        <f>IF(Poolster[[#This Row],[Model 2
(eis M1 t/m M27)]]="","",Poolster[[#This Row],['# kleur afdrukken M2 tot 1-6-20283]]/4)</f>
        <v>118952</v>
      </c>
    </row>
    <row r="11" spans="1:20" s="23" customFormat="1" ht="15" customHeight="1" x14ac:dyDescent="0.35">
      <c r="A11" s="97" t="s">
        <v>334</v>
      </c>
      <c r="B11" s="43" t="s">
        <v>335</v>
      </c>
      <c r="C11" s="23" t="s">
        <v>336</v>
      </c>
      <c r="D11" s="23" t="s">
        <v>326</v>
      </c>
      <c r="E11" s="38">
        <v>1</v>
      </c>
      <c r="F11" s="38"/>
      <c r="G11" s="39">
        <v>45444</v>
      </c>
      <c r="H11" s="40">
        <v>23409</v>
      </c>
      <c r="I11" s="40">
        <v>31987</v>
      </c>
      <c r="J11" s="40">
        <f>Poolster[[#This Row],[Zw/w p/j]]/12</f>
        <v>1950.75</v>
      </c>
      <c r="K11" s="40">
        <f>Poolster[[#This Row],[Kleur p/j]]/12</f>
        <v>2665.5833333333335</v>
      </c>
      <c r="L11" s="98">
        <f>INT(_xlfn.DAYS($O$1,Poolster[[#This Row],[Datum in gebruikname]])/30.41)</f>
        <v>48</v>
      </c>
      <c r="M11" s="40">
        <f>IF(Poolster[[#This Row],[Model 1
(eis M1 t/m M27)]]="","",Poolster[[#This Row],[Zw/w p/m]]*Poolster[[#This Row],[Aantal maanden]])</f>
        <v>93636</v>
      </c>
      <c r="N11" s="40">
        <f>IF(Poolster[[#This Row],[Model 1
(eis M1 t/m M27)]]="","",Poolster[[#This Row],[kleur p/m]]*Poolster[[#This Row],[Aantal maanden]])</f>
        <v>127948</v>
      </c>
      <c r="O11" s="40" t="str">
        <f>IF(Poolster[[#This Row],[Model 2
(eis M1 t/m M27)]]="","",Poolster[[#This Row],[Zw/w p/m]]*Poolster[[#This Row],[Aantal maanden]])</f>
        <v/>
      </c>
      <c r="P11" s="40" t="str">
        <f>IF(Poolster[[#This Row],[Model 2
(eis M1 t/m M27)]]="","",Poolster[[#This Row],[kleur p/m]]*Poolster[[#This Row],[Aantal maanden]])</f>
        <v/>
      </c>
      <c r="Q11" s="40">
        <f>IF(Poolster[[#This Row],[Model 1
(eis M1 t/m M27)]]="","",Poolster[[#This Row],['# zw/w afdrukken M1 tot 1-6-2028]]/4)</f>
        <v>23409</v>
      </c>
      <c r="R11" s="40">
        <f>IF(Poolster[[#This Row],[Model 1
(eis M1 t/m M27)]]="","",Poolster[[#This Row],['# kleur afdrukken M1 tot 1-6-2028]]/4)</f>
        <v>31987</v>
      </c>
      <c r="S11" s="40" t="str">
        <f>IF(Poolster[[#This Row],[Model 2
(eis M1 t/m M27)]]="","",Poolster[[#This Row],['# zw/w afdrukken M2 tot 1-6-20282]]/4)</f>
        <v/>
      </c>
      <c r="T11" s="40" t="str">
        <f>IF(Poolster[[#This Row],[Model 2
(eis M1 t/m M27)]]="","",Poolster[[#This Row],['# kleur afdrukken M2 tot 1-6-20283]]/4)</f>
        <v/>
      </c>
    </row>
    <row r="12" spans="1:20" s="23" customFormat="1" ht="15" customHeight="1" x14ac:dyDescent="0.35">
      <c r="A12" s="97" t="s">
        <v>337</v>
      </c>
      <c r="B12" s="43" t="s">
        <v>338</v>
      </c>
      <c r="C12" s="23" t="s">
        <v>339</v>
      </c>
      <c r="D12" s="23" t="s">
        <v>340</v>
      </c>
      <c r="E12" s="38">
        <v>1</v>
      </c>
      <c r="F12" s="38"/>
      <c r="G12" s="39">
        <v>45444</v>
      </c>
      <c r="H12" s="40">
        <v>42302</v>
      </c>
      <c r="I12" s="40">
        <v>61190</v>
      </c>
      <c r="J12" s="40">
        <f>Poolster[[#This Row],[Zw/w p/j]]/12</f>
        <v>3525.1666666666665</v>
      </c>
      <c r="K12" s="40">
        <f>Poolster[[#This Row],[Kleur p/j]]/12</f>
        <v>5099.166666666667</v>
      </c>
      <c r="L12" s="98">
        <f>INT(_xlfn.DAYS($O$1,Poolster[[#This Row],[Datum in gebruikname]])/30.41)</f>
        <v>48</v>
      </c>
      <c r="M12" s="40">
        <f>IF(Poolster[[#This Row],[Model 1
(eis M1 t/m M27)]]="","",Poolster[[#This Row],[Zw/w p/m]]*Poolster[[#This Row],[Aantal maanden]])</f>
        <v>169208</v>
      </c>
      <c r="N12" s="40">
        <f>IF(Poolster[[#This Row],[Model 1
(eis M1 t/m M27)]]="","",Poolster[[#This Row],[kleur p/m]]*Poolster[[#This Row],[Aantal maanden]])</f>
        <v>244760</v>
      </c>
      <c r="O12" s="40" t="str">
        <f>IF(Poolster[[#This Row],[Model 2
(eis M1 t/m M27)]]="","",Poolster[[#This Row],[Zw/w p/m]]*Poolster[[#This Row],[Aantal maanden]])</f>
        <v/>
      </c>
      <c r="P12" s="40" t="str">
        <f>IF(Poolster[[#This Row],[Model 2
(eis M1 t/m M27)]]="","",Poolster[[#This Row],[kleur p/m]]*Poolster[[#This Row],[Aantal maanden]])</f>
        <v/>
      </c>
      <c r="Q12" s="40">
        <f>IF(Poolster[[#This Row],[Model 1
(eis M1 t/m M27)]]="","",Poolster[[#This Row],['# zw/w afdrukken M1 tot 1-6-2028]]/4)</f>
        <v>42302</v>
      </c>
      <c r="R12" s="40">
        <f>IF(Poolster[[#This Row],[Model 1
(eis M1 t/m M27)]]="","",Poolster[[#This Row],['# kleur afdrukken M1 tot 1-6-2028]]/4)</f>
        <v>61190</v>
      </c>
      <c r="S12" s="40" t="str">
        <f>IF(Poolster[[#This Row],[Model 2
(eis M1 t/m M27)]]="","",Poolster[[#This Row],['# zw/w afdrukken M2 tot 1-6-20282]]/4)</f>
        <v/>
      </c>
      <c r="T12" s="40" t="str">
        <f>IF(Poolster[[#This Row],[Model 2
(eis M1 t/m M27)]]="","",Poolster[[#This Row],['# kleur afdrukken M2 tot 1-6-20283]]/4)</f>
        <v/>
      </c>
    </row>
    <row r="13" spans="1:20" s="23" customFormat="1" ht="15" customHeight="1" x14ac:dyDescent="0.35">
      <c r="A13" s="97" t="s">
        <v>341</v>
      </c>
      <c r="B13" s="43" t="s">
        <v>342</v>
      </c>
      <c r="C13" s="23" t="s">
        <v>343</v>
      </c>
      <c r="D13" s="23" t="s">
        <v>326</v>
      </c>
      <c r="E13" s="38">
        <v>1</v>
      </c>
      <c r="F13" s="38"/>
      <c r="G13" s="39">
        <v>45444</v>
      </c>
      <c r="H13" s="40">
        <v>5790</v>
      </c>
      <c r="I13" s="40">
        <v>13707</v>
      </c>
      <c r="J13" s="40">
        <f>Poolster[[#This Row],[Zw/w p/j]]/12</f>
        <v>482.5</v>
      </c>
      <c r="K13" s="40">
        <f>Poolster[[#This Row],[Kleur p/j]]/12</f>
        <v>1142.25</v>
      </c>
      <c r="L13" s="98">
        <f>INT(_xlfn.DAYS($O$1,Poolster[[#This Row],[Datum in gebruikname]])/30.41)</f>
        <v>48</v>
      </c>
      <c r="M13" s="40">
        <f>IF(Poolster[[#This Row],[Model 1
(eis M1 t/m M27)]]="","",Poolster[[#This Row],[Zw/w p/m]]*Poolster[[#This Row],[Aantal maanden]])</f>
        <v>23160</v>
      </c>
      <c r="N13" s="40">
        <f>IF(Poolster[[#This Row],[Model 1
(eis M1 t/m M27)]]="","",Poolster[[#This Row],[kleur p/m]]*Poolster[[#This Row],[Aantal maanden]])</f>
        <v>54828</v>
      </c>
      <c r="O13" s="40" t="str">
        <f>IF(Poolster[[#This Row],[Model 2
(eis M1 t/m M27)]]="","",Poolster[[#This Row],[Zw/w p/m]]*Poolster[[#This Row],[Aantal maanden]])</f>
        <v/>
      </c>
      <c r="P13" s="40" t="str">
        <f>IF(Poolster[[#This Row],[Model 2
(eis M1 t/m M27)]]="","",Poolster[[#This Row],[kleur p/m]]*Poolster[[#This Row],[Aantal maanden]])</f>
        <v/>
      </c>
      <c r="Q13" s="40">
        <f>IF(Poolster[[#This Row],[Model 1
(eis M1 t/m M27)]]="","",Poolster[[#This Row],['# zw/w afdrukken M1 tot 1-6-2028]]/4)</f>
        <v>5790</v>
      </c>
      <c r="R13" s="40">
        <f>IF(Poolster[[#This Row],[Model 1
(eis M1 t/m M27)]]="","",Poolster[[#This Row],['# kleur afdrukken M1 tot 1-6-2028]]/4)</f>
        <v>13707</v>
      </c>
      <c r="S13" s="40" t="str">
        <f>IF(Poolster[[#This Row],[Model 2
(eis M1 t/m M27)]]="","",Poolster[[#This Row],['# zw/w afdrukken M2 tot 1-6-20282]]/4)</f>
        <v/>
      </c>
      <c r="T13" s="40" t="str">
        <f>IF(Poolster[[#This Row],[Model 2
(eis M1 t/m M27)]]="","",Poolster[[#This Row],['# kleur afdrukken M2 tot 1-6-20283]]/4)</f>
        <v/>
      </c>
    </row>
    <row r="14" spans="1:20" s="23" customFormat="1" ht="15" customHeight="1" x14ac:dyDescent="0.35">
      <c r="E14" s="38">
        <f>SUBTOTAL(109,Poolster[Model 1
(eis M1 t/m M27)])</f>
        <v>8</v>
      </c>
      <c r="F14" s="38">
        <f>SUBTOTAL(109,Poolster[Model 2
(eis M1 t/m M27)])</f>
        <v>3</v>
      </c>
      <c r="G14" s="38"/>
      <c r="H14" s="45">
        <f>SUBTOTAL(109,Poolster[Zw/w p/j])</f>
        <v>837750</v>
      </c>
      <c r="I14" s="45">
        <f>SUBTOTAL(109,Poolster[Kleur p/j])</f>
        <v>877803</v>
      </c>
      <c r="J14" s="45">
        <f>SUBTOTAL(109,Poolster[Zw/w p/m])</f>
        <v>69812.5</v>
      </c>
      <c r="K14" s="45">
        <f>SUBTOTAL(109,Poolster[kleur p/m])</f>
        <v>73150.25</v>
      </c>
      <c r="L14" s="45" t="s">
        <v>49</v>
      </c>
      <c r="M14" s="44">
        <f>SUBTOTAL(109,Poolster['# zw/w afdrukken M1 tot 1-6-2028])</f>
        <v>1863440</v>
      </c>
      <c r="N14" s="44">
        <f>SUBTOTAL(109,Poolster['# kleur afdrukken M1 tot 1-6-2028])</f>
        <v>2131832</v>
      </c>
      <c r="O14" s="44">
        <f>SUBTOTAL(109,Poolster['# zw/w afdrukken M2 tot 1-6-20282])</f>
        <v>1487560</v>
      </c>
      <c r="P14" s="44">
        <f>SUBTOTAL(109,Poolster['# kleur afdrukken M2 tot 1-6-20283])</f>
        <v>1379380</v>
      </c>
      <c r="Q14" s="44">
        <f>SUBTOTAL(109,Poolster[Aantal zw/w afdrukken per optiejaar M1])</f>
        <v>465860</v>
      </c>
      <c r="R14" s="44">
        <f>SUBTOTAL(109,Poolster[Aantal kleur afdrukken per optiejaar M1])</f>
        <v>532958</v>
      </c>
      <c r="S14" s="44">
        <f>SUBTOTAL(109,Poolster[Aantal zw/w afdrukken per optiejaar M2])</f>
        <v>371890</v>
      </c>
      <c r="T14" s="44">
        <f>SUBTOTAL(109,Poolster[Aantal kleur afdrukken per optiejaar M2])</f>
        <v>344845</v>
      </c>
    </row>
    <row r="15" spans="1:20" s="23" customFormat="1" ht="15" customHeight="1" x14ac:dyDescent="0.35">
      <c r="D15" s="38"/>
      <c r="E15" s="38"/>
      <c r="F15" s="38"/>
      <c r="G15" s="38"/>
      <c r="H15" s="38"/>
      <c r="I15" s="44"/>
      <c r="J15" s="44"/>
      <c r="K15" s="44"/>
      <c r="L15" s="44"/>
      <c r="M15" s="99"/>
      <c r="N15" s="44"/>
      <c r="O15" s="44"/>
      <c r="P15" s="44"/>
      <c r="Q15" s="44"/>
      <c r="R15" s="44"/>
      <c r="S15" s="44"/>
    </row>
    <row r="16" spans="1:20" s="23" customFormat="1" ht="15" customHeight="1" x14ac:dyDescent="0.35">
      <c r="C16" s="100" t="s">
        <v>62</v>
      </c>
      <c r="D16" s="101" t="s">
        <v>20</v>
      </c>
      <c r="E16" s="102" t="s">
        <v>58</v>
      </c>
      <c r="F16" s="102" t="s">
        <v>56</v>
      </c>
      <c r="G16" s="102" t="s">
        <v>57</v>
      </c>
      <c r="I16" s="49" t="s">
        <v>22</v>
      </c>
      <c r="J16" s="49" t="s">
        <v>22</v>
      </c>
      <c r="K16" s="49" t="s">
        <v>22</v>
      </c>
      <c r="L16" s="49" t="s">
        <v>22</v>
      </c>
    </row>
    <row r="17" spans="1:20" s="23" customFormat="1" ht="15" customHeight="1" x14ac:dyDescent="0.35">
      <c r="A17" s="103"/>
      <c r="B17" s="103"/>
      <c r="C17" s="28" t="s">
        <v>358</v>
      </c>
      <c r="D17" s="52">
        <v>0</v>
      </c>
      <c r="E17" s="52">
        <v>0</v>
      </c>
      <c r="F17" s="104">
        <v>0</v>
      </c>
      <c r="G17" s="104">
        <v>0</v>
      </c>
      <c r="I17" s="53">
        <f>O1</f>
        <v>46905</v>
      </c>
      <c r="J17" s="54" t="s">
        <v>188</v>
      </c>
      <c r="K17" s="55">
        <f>O1</f>
        <v>46905</v>
      </c>
      <c r="L17" s="56" t="s">
        <v>35</v>
      </c>
    </row>
    <row r="18" spans="1:20" s="23" customFormat="1" ht="15" customHeight="1" x14ac:dyDescent="0.35">
      <c r="B18" s="103"/>
      <c r="C18" s="28" t="s">
        <v>359</v>
      </c>
      <c r="D18" s="52">
        <v>0</v>
      </c>
      <c r="E18" s="52">
        <v>0</v>
      </c>
      <c r="F18" s="104">
        <v>0</v>
      </c>
      <c r="G18" s="104">
        <v>0</v>
      </c>
      <c r="H18" s="100" t="s">
        <v>51</v>
      </c>
      <c r="I18" s="57">
        <f>MROUND(Poolster[[#Totals],['# zw/w afdrukken M1 tot 1-6-2028]]+Poolster[[#Totals],['# zw/w afdrukken M2 tot 1-6-20282]],1000)</f>
        <v>3351000</v>
      </c>
      <c r="J18" s="57">
        <f>MROUND(Poolster[[#Totals],[Aantal zw/w afdrukken per optiejaar M1]]+Poolster[[#Totals],[Aantal zw/w afdrukken per optiejaar M2]],1000)</f>
        <v>838000</v>
      </c>
      <c r="K18" s="57">
        <f>MROUND(Poolster[[#Totals],['# kleur afdrukken M1 tot 1-6-2028]]+Poolster[[#Totals],['# kleur afdrukken M2 tot 1-6-20283]],1000)</f>
        <v>3511000</v>
      </c>
      <c r="L18" s="57">
        <f>MROUND(Poolster[[#Totals],[Aantal kleur afdrukken per optiejaar M1]]+Poolster[[#Totals],[Aantal kleur afdrukken per optiejaar M2]],1000)</f>
        <v>878000</v>
      </c>
    </row>
    <row r="19" spans="1:20" s="35" customFormat="1" ht="15" customHeight="1" x14ac:dyDescent="0.35">
      <c r="A19" s="23"/>
      <c r="B19" s="103"/>
      <c r="C19" s="28"/>
      <c r="D19" s="58"/>
      <c r="E19" s="58"/>
      <c r="F19" s="58"/>
      <c r="G19" s="58"/>
      <c r="H19" s="100"/>
      <c r="I19" s="59"/>
      <c r="J19" s="59"/>
      <c r="K19" s="59"/>
      <c r="L19" s="59"/>
      <c r="M19" s="23"/>
      <c r="N19" s="23"/>
      <c r="O19" s="23"/>
      <c r="P19" s="23"/>
      <c r="Q19" s="23"/>
      <c r="R19" s="23"/>
      <c r="S19" s="23"/>
      <c r="T19" s="23"/>
    </row>
    <row r="20" spans="1:20" s="35" customFormat="1" ht="15" customHeight="1" x14ac:dyDescent="0.35">
      <c r="A20" s="28"/>
      <c r="B20" s="28"/>
      <c r="C20" s="100" t="s">
        <v>187</v>
      </c>
      <c r="D20" s="94"/>
      <c r="E20" s="94"/>
      <c r="F20" s="94"/>
      <c r="G20" s="94"/>
      <c r="H20" s="23"/>
      <c r="I20" s="23"/>
      <c r="J20" s="23"/>
      <c r="K20" s="23"/>
      <c r="L20" s="23"/>
      <c r="M20" s="23"/>
      <c r="N20" s="23"/>
      <c r="O20" s="23"/>
      <c r="P20" s="23"/>
      <c r="Q20" s="23"/>
      <c r="R20" s="23"/>
      <c r="S20" s="23"/>
      <c r="T20" s="23"/>
    </row>
    <row r="21" spans="1:20" s="35" customFormat="1" ht="15" customHeight="1" x14ac:dyDescent="0.35">
      <c r="A21" s="28"/>
      <c r="B21" s="28"/>
      <c r="C21" s="28" t="s">
        <v>356</v>
      </c>
      <c r="D21" s="105">
        <v>0</v>
      </c>
      <c r="E21" s="105">
        <v>0</v>
      </c>
      <c r="F21" s="105">
        <v>0</v>
      </c>
      <c r="G21" s="105">
        <v>0</v>
      </c>
      <c r="H21" s="23"/>
      <c r="I21" s="23"/>
      <c r="J21" s="106"/>
      <c r="K21" s="23"/>
      <c r="L21" s="23"/>
      <c r="M21" s="23"/>
      <c r="N21" s="23"/>
      <c r="O21" s="23"/>
      <c r="P21" s="23"/>
      <c r="Q21" s="23"/>
      <c r="R21" s="23"/>
      <c r="S21" s="23"/>
      <c r="T21" s="23"/>
    </row>
    <row r="22" spans="1:20" s="35" customFormat="1" ht="15" customHeight="1" x14ac:dyDescent="0.35">
      <c r="A22" s="28"/>
      <c r="B22" s="28"/>
      <c r="C22" s="28" t="s">
        <v>357</v>
      </c>
      <c r="D22" s="105">
        <v>0</v>
      </c>
      <c r="E22" s="105">
        <v>0</v>
      </c>
      <c r="F22" s="105">
        <v>0</v>
      </c>
      <c r="G22" s="105">
        <v>0</v>
      </c>
      <c r="H22" s="23"/>
      <c r="I22" s="23"/>
      <c r="J22" s="106"/>
      <c r="K22" s="23"/>
      <c r="L22" s="23"/>
      <c r="M22" s="23"/>
      <c r="N22" s="23"/>
      <c r="O22" s="23"/>
      <c r="P22" s="23"/>
      <c r="Q22" s="23"/>
      <c r="R22" s="23"/>
      <c r="S22" s="23"/>
      <c r="T22" s="23"/>
    </row>
    <row r="23" spans="1:20" s="35" customFormat="1" ht="15" customHeight="1" x14ac:dyDescent="0.35">
      <c r="A23" s="28"/>
      <c r="B23" s="28"/>
      <c r="C23" s="28"/>
      <c r="D23" s="106"/>
      <c r="E23" s="106"/>
      <c r="F23" s="106"/>
      <c r="G23" s="23"/>
      <c r="H23" s="23"/>
      <c r="I23" s="23"/>
      <c r="J23" s="106"/>
      <c r="K23" s="23"/>
      <c r="L23" s="23"/>
      <c r="M23" s="23"/>
      <c r="N23" s="23"/>
      <c r="O23" s="23"/>
      <c r="P23" s="23"/>
      <c r="Q23" s="23"/>
      <c r="R23" s="23"/>
      <c r="S23" s="23"/>
      <c r="T23" s="23"/>
    </row>
    <row r="24" spans="1:20" s="35" customFormat="1" ht="15" customHeight="1" x14ac:dyDescent="0.35">
      <c r="A24" s="23"/>
      <c r="B24" s="23"/>
      <c r="C24" s="100" t="s">
        <v>50</v>
      </c>
      <c r="D24" s="94"/>
      <c r="E24" s="94"/>
      <c r="F24" s="94"/>
      <c r="G24" s="94"/>
      <c r="H24" s="23"/>
      <c r="I24" s="59"/>
      <c r="J24" s="59"/>
      <c r="K24" s="59"/>
      <c r="L24" s="59"/>
      <c r="M24" s="23"/>
      <c r="N24" s="23"/>
      <c r="O24" s="23"/>
      <c r="P24" s="23"/>
      <c r="Q24" s="23"/>
      <c r="R24" s="23"/>
      <c r="S24" s="23"/>
      <c r="T24" s="23"/>
    </row>
    <row r="25" spans="1:20" s="35" customFormat="1" ht="15" customHeight="1" x14ac:dyDescent="0.35">
      <c r="A25" s="23"/>
      <c r="B25" s="23"/>
      <c r="C25" s="28" t="s">
        <v>21</v>
      </c>
      <c r="D25" s="107">
        <v>0</v>
      </c>
      <c r="E25" s="108" t="s">
        <v>63</v>
      </c>
      <c r="F25" s="109"/>
      <c r="G25" s="109"/>
      <c r="H25" s="23"/>
      <c r="I25" s="59"/>
      <c r="J25" s="23"/>
      <c r="K25" s="23"/>
      <c r="L25" s="23"/>
      <c r="M25" s="23"/>
      <c r="N25" s="23"/>
      <c r="O25" s="23"/>
      <c r="P25" s="23"/>
      <c r="Q25" s="23"/>
      <c r="R25" s="23"/>
      <c r="S25" s="23"/>
      <c r="T25" s="23"/>
    </row>
    <row r="26" spans="1:20" s="35" customFormat="1" ht="15" customHeight="1" x14ac:dyDescent="0.35">
      <c r="A26" s="23"/>
      <c r="B26" s="23"/>
      <c r="C26" s="28" t="s">
        <v>8</v>
      </c>
      <c r="D26" s="107">
        <v>0</v>
      </c>
      <c r="E26" s="108" t="s">
        <v>63</v>
      </c>
      <c r="F26" s="109"/>
      <c r="G26" s="109"/>
      <c r="H26" s="23"/>
      <c r="I26" s="23"/>
      <c r="J26" s="23"/>
      <c r="K26" s="23"/>
      <c r="L26" s="23"/>
      <c r="M26" s="23"/>
      <c r="N26" s="23"/>
      <c r="O26" s="23"/>
      <c r="P26" s="23"/>
      <c r="Q26" s="23"/>
      <c r="R26" s="23"/>
      <c r="S26" s="23"/>
      <c r="T26" s="23"/>
    </row>
    <row r="27" spans="1:20" s="35" customFormat="1" ht="15" customHeight="1" x14ac:dyDescent="0.35">
      <c r="A27" s="28"/>
      <c r="B27" s="28"/>
      <c r="C27" s="28"/>
      <c r="D27" s="94"/>
      <c r="E27" s="94"/>
      <c r="F27" s="94"/>
      <c r="G27" s="94"/>
      <c r="H27" s="23"/>
      <c r="I27" s="23"/>
      <c r="J27" s="23"/>
      <c r="K27" s="23"/>
      <c r="L27" s="23"/>
      <c r="M27" s="23"/>
      <c r="N27" s="23"/>
      <c r="O27" s="23"/>
      <c r="P27" s="23"/>
      <c r="Q27" s="23"/>
      <c r="R27" s="23"/>
      <c r="S27" s="23"/>
      <c r="T27" s="23"/>
    </row>
    <row r="28" spans="1:20" s="35" customFormat="1" ht="15" customHeight="1" x14ac:dyDescent="0.35">
      <c r="A28" s="28"/>
      <c r="B28" s="28"/>
      <c r="C28" s="46" t="s">
        <v>44</v>
      </c>
      <c r="D28" s="106"/>
      <c r="E28" s="106"/>
      <c r="F28" s="106"/>
      <c r="G28" s="106"/>
      <c r="H28" s="23"/>
      <c r="I28" s="23"/>
      <c r="J28" s="23"/>
      <c r="K28" s="23"/>
      <c r="L28" s="23"/>
      <c r="M28" s="23"/>
      <c r="N28" s="23"/>
      <c r="O28" s="23"/>
      <c r="P28" s="23"/>
      <c r="Q28" s="23"/>
      <c r="R28" s="23"/>
      <c r="S28" s="23"/>
      <c r="T28" s="23"/>
    </row>
    <row r="29" spans="1:20" s="35" customFormat="1" ht="15" customHeight="1" x14ac:dyDescent="0.35">
      <c r="A29" s="132" t="s">
        <v>45</v>
      </c>
      <c r="B29" s="132"/>
      <c r="C29" s="132"/>
      <c r="D29" s="105">
        <v>0</v>
      </c>
      <c r="E29" s="108" t="s">
        <v>47</v>
      </c>
      <c r="F29" s="106"/>
      <c r="G29" s="106"/>
      <c r="H29" s="23"/>
      <c r="I29" s="23"/>
      <c r="J29" s="23"/>
      <c r="K29" s="23"/>
      <c r="L29" s="23"/>
      <c r="M29" s="23"/>
      <c r="N29" s="23"/>
      <c r="O29" s="23"/>
      <c r="P29" s="23"/>
      <c r="Q29" s="23"/>
      <c r="R29" s="23"/>
      <c r="S29" s="23"/>
      <c r="T29" s="23"/>
    </row>
    <row r="30" spans="1:20" s="35" customFormat="1" ht="15" customHeight="1" x14ac:dyDescent="0.35">
      <c r="A30" s="132" t="s">
        <v>46</v>
      </c>
      <c r="B30" s="132"/>
      <c r="C30" s="132"/>
      <c r="D30" s="105">
        <v>0</v>
      </c>
      <c r="E30" s="108" t="s">
        <v>47</v>
      </c>
      <c r="F30" s="106"/>
      <c r="G30" s="106"/>
      <c r="H30" s="23"/>
      <c r="I30" s="23"/>
      <c r="J30" s="23"/>
      <c r="K30" s="23"/>
      <c r="L30" s="23"/>
      <c r="M30" s="23"/>
      <c r="N30" s="23"/>
      <c r="O30" s="23"/>
      <c r="P30" s="23"/>
      <c r="Q30" s="23"/>
      <c r="R30" s="23"/>
      <c r="S30" s="23"/>
      <c r="T30" s="23"/>
    </row>
    <row r="31" spans="1:20" s="35" customFormat="1" ht="15" customHeight="1" x14ac:dyDescent="0.35">
      <c r="A31" s="28"/>
      <c r="B31" s="28"/>
      <c r="C31" s="28"/>
      <c r="D31" s="28"/>
      <c r="E31" s="108"/>
      <c r="F31" s="106"/>
      <c r="G31" s="106"/>
      <c r="H31" s="23"/>
      <c r="I31" s="23"/>
      <c r="J31" s="23"/>
      <c r="K31" s="23"/>
      <c r="L31" s="23"/>
      <c r="M31" s="23"/>
      <c r="N31" s="23"/>
      <c r="O31" s="23"/>
      <c r="P31" s="23"/>
      <c r="Q31" s="23"/>
      <c r="R31" s="23"/>
      <c r="S31" s="23"/>
      <c r="T31" s="23"/>
    </row>
    <row r="32" spans="1:20" s="35" customFormat="1" ht="15" customHeight="1" x14ac:dyDescent="0.35">
      <c r="A32" s="28"/>
      <c r="B32" s="28"/>
      <c r="C32" s="100" t="s">
        <v>360</v>
      </c>
      <c r="D32" s="101" t="s">
        <v>20</v>
      </c>
      <c r="E32" s="102" t="s">
        <v>58</v>
      </c>
      <c r="F32" s="102" t="s">
        <v>56</v>
      </c>
      <c r="G32" s="102" t="s">
        <v>57</v>
      </c>
      <c r="H32" s="23"/>
      <c r="I32" s="23"/>
      <c r="J32" s="23"/>
      <c r="K32" s="23"/>
      <c r="L32" s="23"/>
      <c r="M32" s="23"/>
      <c r="N32" s="23"/>
      <c r="O32" s="23"/>
      <c r="P32" s="23"/>
      <c r="Q32" s="23"/>
      <c r="R32" s="23"/>
      <c r="S32" s="23"/>
      <c r="T32" s="23"/>
    </row>
    <row r="33" spans="1:22" s="35" customFormat="1" ht="15" customHeight="1" x14ac:dyDescent="0.35">
      <c r="A33" s="132" t="s">
        <v>350</v>
      </c>
      <c r="B33" s="132"/>
      <c r="C33" s="132"/>
      <c r="D33" s="110">
        <v>0</v>
      </c>
      <c r="E33" s="110">
        <v>0</v>
      </c>
      <c r="F33" s="110">
        <v>0</v>
      </c>
      <c r="G33" s="110">
        <v>0</v>
      </c>
      <c r="H33" s="111" t="s">
        <v>11</v>
      </c>
      <c r="I33" s="23"/>
      <c r="J33" s="23"/>
      <c r="K33" s="23"/>
      <c r="L33" s="23"/>
      <c r="M33" s="23"/>
      <c r="N33" s="23"/>
      <c r="O33" s="23"/>
      <c r="P33" s="23"/>
      <c r="Q33" s="23"/>
      <c r="R33" s="23"/>
      <c r="S33" s="23"/>
      <c r="T33" s="23"/>
    </row>
    <row r="34" spans="1:22" s="35" customFormat="1" ht="15" customHeight="1" x14ac:dyDescent="0.35">
      <c r="A34" s="132" t="s">
        <v>36</v>
      </c>
      <c r="B34" s="132"/>
      <c r="C34" s="132"/>
      <c r="D34" s="112">
        <v>0</v>
      </c>
      <c r="E34" s="112">
        <v>0</v>
      </c>
      <c r="F34" s="112">
        <v>0</v>
      </c>
      <c r="G34" s="112">
        <v>0</v>
      </c>
      <c r="H34" s="111" t="s">
        <v>11</v>
      </c>
      <c r="I34" s="23"/>
      <c r="J34" s="23"/>
      <c r="K34" s="23"/>
      <c r="L34" s="23"/>
      <c r="M34" s="23"/>
      <c r="N34" s="23"/>
      <c r="O34" s="23"/>
      <c r="P34" s="23"/>
      <c r="Q34" s="23"/>
      <c r="R34" s="23"/>
      <c r="S34" s="23"/>
      <c r="T34" s="23"/>
    </row>
    <row r="35" spans="1:22" s="35" customFormat="1" ht="15" customHeight="1" x14ac:dyDescent="0.35">
      <c r="A35" s="132" t="s">
        <v>37</v>
      </c>
      <c r="B35" s="132"/>
      <c r="C35" s="132"/>
      <c r="D35" s="112">
        <v>0</v>
      </c>
      <c r="E35" s="112">
        <v>0</v>
      </c>
      <c r="F35" s="112">
        <v>0</v>
      </c>
      <c r="G35" s="112">
        <v>0</v>
      </c>
      <c r="H35" s="111" t="s">
        <v>11</v>
      </c>
      <c r="I35" s="23"/>
      <c r="J35" s="23"/>
      <c r="K35" s="23"/>
      <c r="L35" s="23"/>
      <c r="M35" s="23"/>
      <c r="N35" s="23"/>
      <c r="O35" s="23"/>
      <c r="P35" s="23"/>
      <c r="Q35" s="23"/>
      <c r="R35" s="23"/>
      <c r="S35" s="23"/>
      <c r="T35" s="23"/>
    </row>
    <row r="36" spans="1:22" s="35" customFormat="1" ht="15" customHeight="1" x14ac:dyDescent="0.35">
      <c r="A36" s="132" t="s">
        <v>38</v>
      </c>
      <c r="B36" s="132"/>
      <c r="C36" s="132"/>
      <c r="D36" s="112">
        <v>0</v>
      </c>
      <c r="E36" s="112">
        <v>0</v>
      </c>
      <c r="F36" s="112">
        <v>0</v>
      </c>
      <c r="G36" s="112">
        <v>0</v>
      </c>
      <c r="H36" s="111" t="s">
        <v>11</v>
      </c>
      <c r="I36" s="23"/>
      <c r="J36" s="23"/>
      <c r="K36" s="23"/>
      <c r="L36" s="23"/>
      <c r="M36" s="23"/>
      <c r="N36" s="23"/>
      <c r="O36" s="23"/>
      <c r="P36" s="23"/>
      <c r="Q36" s="23"/>
      <c r="R36" s="23"/>
      <c r="S36" s="23"/>
      <c r="T36" s="23"/>
      <c r="U36" s="44"/>
      <c r="V36" s="44"/>
    </row>
    <row r="37" spans="1:22" s="35" customFormat="1" ht="15" customHeight="1" x14ac:dyDescent="0.35">
      <c r="A37" s="132" t="s">
        <v>39</v>
      </c>
      <c r="B37" s="132"/>
      <c r="C37" s="132"/>
      <c r="D37" s="112">
        <v>0</v>
      </c>
      <c r="E37" s="112">
        <v>0</v>
      </c>
      <c r="F37" s="112">
        <v>0</v>
      </c>
      <c r="G37" s="112">
        <v>0</v>
      </c>
      <c r="H37" s="111" t="s">
        <v>11</v>
      </c>
      <c r="I37" s="23"/>
      <c r="J37" s="23"/>
      <c r="K37" s="23"/>
      <c r="L37" s="23"/>
      <c r="M37" s="23"/>
      <c r="N37" s="23"/>
      <c r="O37" s="23"/>
      <c r="P37" s="23"/>
      <c r="Q37" s="23"/>
      <c r="R37" s="23"/>
      <c r="S37" s="23"/>
      <c r="T37" s="23"/>
      <c r="U37" s="23"/>
      <c r="V37" s="23"/>
    </row>
    <row r="38" spans="1:22" s="35" customFormat="1" ht="15" customHeight="1" x14ac:dyDescent="0.35">
      <c r="A38" s="132" t="s">
        <v>42</v>
      </c>
      <c r="B38" s="132" t="s">
        <v>361</v>
      </c>
      <c r="C38" s="132"/>
      <c r="D38" s="112">
        <v>0</v>
      </c>
      <c r="E38" s="112">
        <v>0</v>
      </c>
      <c r="F38" s="112">
        <v>0</v>
      </c>
      <c r="G38" s="112">
        <v>0</v>
      </c>
      <c r="H38" s="111" t="s">
        <v>11</v>
      </c>
      <c r="I38" s="23"/>
      <c r="J38" s="23"/>
      <c r="K38" s="23"/>
      <c r="L38" s="23"/>
      <c r="M38" s="23"/>
      <c r="N38" s="23"/>
      <c r="O38" s="23"/>
      <c r="P38" s="23"/>
      <c r="Q38" s="23"/>
      <c r="R38" s="23"/>
      <c r="S38" s="23"/>
      <c r="T38" s="23"/>
      <c r="U38" s="23"/>
      <c r="V38" s="23"/>
    </row>
    <row r="39" spans="1:22" s="35" customFormat="1" ht="15" customHeight="1" x14ac:dyDescent="0.35">
      <c r="A39" s="132" t="s">
        <v>43</v>
      </c>
      <c r="B39" s="132" t="s">
        <v>361</v>
      </c>
      <c r="C39" s="132"/>
      <c r="D39" s="112">
        <v>0</v>
      </c>
      <c r="E39" s="112">
        <v>0</v>
      </c>
      <c r="F39" s="112">
        <v>0</v>
      </c>
      <c r="G39" s="112">
        <v>0</v>
      </c>
      <c r="H39" s="111" t="s">
        <v>11</v>
      </c>
      <c r="I39" s="23"/>
      <c r="J39" s="23"/>
      <c r="K39" s="23"/>
      <c r="L39" s="23"/>
      <c r="M39" s="23"/>
      <c r="N39" s="23"/>
      <c r="O39" s="23"/>
      <c r="P39" s="23"/>
      <c r="Q39" s="23"/>
      <c r="R39" s="23"/>
      <c r="S39" s="23"/>
      <c r="T39" s="23"/>
      <c r="U39" s="23"/>
      <c r="V39" s="23"/>
    </row>
    <row r="40" spans="1:22" s="35" customFormat="1" ht="15" customHeight="1" x14ac:dyDescent="0.35">
      <c r="A40" s="132" t="s">
        <v>40</v>
      </c>
      <c r="B40" s="132" t="s">
        <v>361</v>
      </c>
      <c r="C40" s="132"/>
      <c r="D40" s="112">
        <v>0</v>
      </c>
      <c r="E40" s="112">
        <v>0</v>
      </c>
      <c r="F40" s="112">
        <v>0</v>
      </c>
      <c r="G40" s="112">
        <v>0</v>
      </c>
      <c r="H40" s="111" t="s">
        <v>11</v>
      </c>
      <c r="I40" s="23"/>
      <c r="J40" s="23"/>
      <c r="K40" s="23"/>
      <c r="L40" s="23"/>
      <c r="M40" s="23"/>
      <c r="N40" s="23"/>
      <c r="O40" s="23"/>
      <c r="P40" s="23"/>
      <c r="Q40" s="23"/>
      <c r="R40" s="23"/>
      <c r="S40" s="23"/>
      <c r="T40" s="23"/>
      <c r="U40" s="23"/>
      <c r="V40" s="23"/>
    </row>
    <row r="41" spans="1:22" s="23" customFormat="1" ht="15" customHeight="1" x14ac:dyDescent="0.35">
      <c r="A41" s="132" t="s">
        <v>41</v>
      </c>
      <c r="B41" s="132" t="s">
        <v>361</v>
      </c>
      <c r="C41" s="132"/>
      <c r="D41" s="112">
        <v>0</v>
      </c>
      <c r="E41" s="112">
        <v>0</v>
      </c>
      <c r="F41" s="112">
        <v>0</v>
      </c>
      <c r="G41" s="112">
        <v>0</v>
      </c>
      <c r="H41" s="111" t="s">
        <v>11</v>
      </c>
    </row>
    <row r="42" spans="1:22" s="23" customFormat="1" ht="15" customHeight="1" thickBot="1" x14ac:dyDescent="0.4">
      <c r="A42" s="28"/>
      <c r="B42" s="28"/>
      <c r="C42" s="28"/>
      <c r="D42" s="113"/>
      <c r="E42" s="113"/>
      <c r="F42" s="113"/>
      <c r="G42" s="113"/>
      <c r="H42" s="114"/>
    </row>
    <row r="43" spans="1:22" s="23" customFormat="1" ht="16.5" customHeight="1" x14ac:dyDescent="0.35">
      <c r="B43" s="115"/>
      <c r="C43" s="72" t="s">
        <v>34</v>
      </c>
      <c r="D43" s="73" t="s">
        <v>20</v>
      </c>
      <c r="E43" s="74" t="s">
        <v>58</v>
      </c>
      <c r="F43" s="74" t="s">
        <v>56</v>
      </c>
      <c r="G43" s="74" t="s">
        <v>57</v>
      </c>
      <c r="H43" s="75" t="s">
        <v>33</v>
      </c>
    </row>
    <row r="44" spans="1:22" s="23" customFormat="1" ht="16.5" customHeight="1" x14ac:dyDescent="0.35">
      <c r="B44" s="116"/>
      <c r="C44" s="77" t="s">
        <v>31</v>
      </c>
      <c r="D44" s="78">
        <f>D17*Poolster[[#Totals],[Model 1
(eis M1 t/m M27)]]*48</f>
        <v>0</v>
      </c>
      <c r="E44" s="78">
        <f>E17*Poolster[[#Totals],[Model 1
(eis M1 t/m M27)]]*12</f>
        <v>0</v>
      </c>
      <c r="F44" s="78">
        <f>F17*Poolster[[#Totals],[Model 1
(eis M1 t/m M27)]]*12</f>
        <v>0</v>
      </c>
      <c r="G44" s="78">
        <f>G17*Poolster[[#Totals],[Model 1
(eis M1 t/m M27)]]*12</f>
        <v>0</v>
      </c>
      <c r="H44" s="79">
        <f>SUM(Poolster!$D44:$G44)</f>
        <v>0</v>
      </c>
    </row>
    <row r="45" spans="1:22" s="23" customFormat="1" ht="16.5" customHeight="1" x14ac:dyDescent="0.35">
      <c r="B45" s="117"/>
      <c r="C45" s="81" t="s">
        <v>30</v>
      </c>
      <c r="D45" s="82">
        <f>D18*Poolster[[#Totals],[Model 2
(eis M1 t/m M27)]]*48</f>
        <v>0</v>
      </c>
      <c r="E45" s="82">
        <f>E18*Poolster[[#Totals],[Model 2
(eis M1 t/m M27)]]*12</f>
        <v>0</v>
      </c>
      <c r="F45" s="82">
        <f>F18*Poolster[[#Totals],[Model 2
(eis M1 t/m M27)]]*12</f>
        <v>0</v>
      </c>
      <c r="G45" s="82">
        <f>G18*Poolster[[#Totals],[Model 2
(eis M1 t/m M27)]]*12</f>
        <v>0</v>
      </c>
      <c r="H45" s="83">
        <f>SUM(Poolster!$D45:$G45)</f>
        <v>0</v>
      </c>
    </row>
    <row r="46" spans="1:22" s="23" customFormat="1" ht="16.5" customHeight="1" x14ac:dyDescent="0.35">
      <c r="B46" s="118"/>
      <c r="C46" s="77" t="s">
        <v>52</v>
      </c>
      <c r="D46" s="78">
        <f>D25*I18</f>
        <v>0</v>
      </c>
      <c r="E46" s="78">
        <f>$D$25*$J$18</f>
        <v>0</v>
      </c>
      <c r="F46" s="78">
        <f t="shared" ref="F46:G46" si="0">$D$25*$J$18</f>
        <v>0</v>
      </c>
      <c r="G46" s="78">
        <f t="shared" si="0"/>
        <v>0</v>
      </c>
      <c r="H46" s="79">
        <f>SUM(Poolster!$D46:$G46)</f>
        <v>0</v>
      </c>
    </row>
    <row r="47" spans="1:22" s="23" customFormat="1" ht="16.5" customHeight="1" x14ac:dyDescent="0.35">
      <c r="B47" s="119"/>
      <c r="C47" s="81" t="s">
        <v>32</v>
      </c>
      <c r="D47" s="82">
        <f>D26*K18</f>
        <v>0</v>
      </c>
      <c r="E47" s="82">
        <f>$D$26*$L$18</f>
        <v>0</v>
      </c>
      <c r="F47" s="82">
        <f t="shared" ref="F47:G47" si="1">$D$26*$L$18</f>
        <v>0</v>
      </c>
      <c r="G47" s="82">
        <f t="shared" si="1"/>
        <v>0</v>
      </c>
      <c r="H47" s="83">
        <f>SUM(Poolster!$D47:$G47)</f>
        <v>0</v>
      </c>
    </row>
    <row r="48" spans="1:22" s="23" customFormat="1" ht="16.5" customHeight="1" x14ac:dyDescent="0.35">
      <c r="B48" s="118"/>
      <c r="C48" s="77" t="s">
        <v>356</v>
      </c>
      <c r="D48" s="78">
        <f>D21*(Poolster[[#Totals],[Model 1
(eis M1 t/m M27)]]+Poolster[[#Totals],[Model 2
(eis M1 t/m M27)]])*48</f>
        <v>0</v>
      </c>
      <c r="E48" s="78">
        <f>E21*(Poolster[[#Totals],[Model 1
(eis M1 t/m M27)]]+Poolster[[#Totals],[Model 2
(eis M1 t/m M27)]])*12</f>
        <v>0</v>
      </c>
      <c r="F48" s="78">
        <f>F21*(Poolster[[#Totals],[Model 1
(eis M1 t/m M27)]]+Poolster[[#Totals],[Model 2
(eis M1 t/m M27)]])*12</f>
        <v>0</v>
      </c>
      <c r="G48" s="78">
        <f>G21*(Poolster[[#Totals],[Model 1
(eis M1 t/m M27)]]+Poolster[[#Totals],[Model 2
(eis M1 t/m M27)]])*12</f>
        <v>0</v>
      </c>
      <c r="H48" s="79">
        <f>SUM(D48:G48)</f>
        <v>0</v>
      </c>
    </row>
    <row r="49" spans="1:12" s="23" customFormat="1" ht="16.5" customHeight="1" x14ac:dyDescent="0.35">
      <c r="B49" s="119"/>
      <c r="C49" s="81" t="s">
        <v>357</v>
      </c>
      <c r="D49" s="82">
        <f>D22*(Poolster[[#Totals],[Model 1
(eis M1 t/m M27)]]+Poolster[[#Totals],[Model 2
(eis M1 t/m M27)]])*48</f>
        <v>0</v>
      </c>
      <c r="E49" s="82">
        <f>E22*(Poolster[[#Totals],[Model 1
(eis M1 t/m M27)]]+Poolster[[#Totals],[Model 2
(eis M1 t/m M27)]])*12</f>
        <v>0</v>
      </c>
      <c r="F49" s="82">
        <f>F22*(Poolster[[#Totals],[Model 1
(eis M1 t/m M27)]]+Poolster[[#Totals],[Model 2
(eis M1 t/m M27)]])*12</f>
        <v>0</v>
      </c>
      <c r="G49" s="82">
        <f>G22*(Poolster[[#Totals],[Model 1
(eis M1 t/m M27)]]+Poolster[[#Totals],[Model 2
(eis M1 t/m M27)]])*12</f>
        <v>0</v>
      </c>
      <c r="H49" s="83">
        <f>SUM(D49:G49)</f>
        <v>0</v>
      </c>
    </row>
    <row r="50" spans="1:12" s="23" customFormat="1" ht="16.5" customHeight="1" x14ac:dyDescent="0.35">
      <c r="A50" s="26"/>
      <c r="B50" s="118"/>
      <c r="C50" s="77" t="s">
        <v>9</v>
      </c>
      <c r="D50" s="87"/>
      <c r="E50" s="87"/>
      <c r="F50" s="87"/>
      <c r="G50" s="87"/>
      <c r="H50" s="79">
        <f>D29</f>
        <v>0</v>
      </c>
      <c r="I50" s="26"/>
    </row>
    <row r="51" spans="1:12" s="23" customFormat="1" ht="16.5" customHeight="1" thickBot="1" x14ac:dyDescent="0.4">
      <c r="A51" s="94"/>
      <c r="B51" s="120"/>
      <c r="C51" s="89" t="s">
        <v>10</v>
      </c>
      <c r="D51" s="90"/>
      <c r="E51" s="90"/>
      <c r="F51" s="90"/>
      <c r="G51" s="90"/>
      <c r="H51" s="91">
        <f>D30</f>
        <v>0</v>
      </c>
    </row>
    <row r="52" spans="1:12" s="23" customFormat="1" ht="16.5" customHeight="1" thickBot="1" x14ac:dyDescent="0.4">
      <c r="A52" s="95"/>
      <c r="B52" s="70"/>
      <c r="D52" s="96"/>
      <c r="E52" s="96"/>
      <c r="F52" s="96"/>
      <c r="G52" s="96"/>
    </row>
    <row r="53" spans="1:12" ht="16.5" customHeight="1" thickBot="1" x14ac:dyDescent="0.4">
      <c r="D53" s="15"/>
      <c r="F53" s="16" t="s">
        <v>12</v>
      </c>
      <c r="G53" s="129">
        <f>SUM(H44:H52)</f>
        <v>0</v>
      </c>
      <c r="H53" s="130"/>
      <c r="J53" s="21"/>
      <c r="K53" s="22"/>
      <c r="L53" s="22"/>
    </row>
    <row r="54" spans="1:12" ht="16.5" customHeight="1" x14ac:dyDescent="0.35">
      <c r="J54" s="21"/>
    </row>
    <row r="55" spans="1:12" ht="16.5" customHeight="1" x14ac:dyDescent="0.35">
      <c r="B55" s="17" t="s">
        <v>240</v>
      </c>
      <c r="I55" s="18"/>
    </row>
    <row r="56" spans="1:12" ht="16.5" customHeight="1" x14ac:dyDescent="0.35">
      <c r="B56" s="17" t="s">
        <v>346</v>
      </c>
      <c r="C56" s="18"/>
      <c r="D56" s="18"/>
      <c r="E56" s="18"/>
      <c r="F56" s="18"/>
      <c r="G56" s="18"/>
      <c r="H56" s="18"/>
      <c r="I56" s="18"/>
    </row>
    <row r="57" spans="1:12" ht="16.5" customHeight="1" x14ac:dyDescent="0.35">
      <c r="B57" s="19" t="s">
        <v>241</v>
      </c>
      <c r="C57" s="18"/>
      <c r="D57" s="18"/>
      <c r="E57" s="18"/>
      <c r="F57" s="18"/>
      <c r="G57" s="18"/>
      <c r="H57" s="18"/>
      <c r="I57" s="20"/>
    </row>
    <row r="58" spans="1:12" ht="16.5" customHeight="1" x14ac:dyDescent="0.35">
      <c r="D58" s="20"/>
      <c r="E58" s="20"/>
      <c r="F58" s="20"/>
      <c r="G58" s="20"/>
      <c r="H58" s="20"/>
      <c r="I58" s="20"/>
    </row>
    <row r="59" spans="1:12" ht="16.5" customHeight="1" x14ac:dyDescent="0.35"/>
    <row r="60" spans="1:12" ht="16.5" customHeight="1" x14ac:dyDescent="0.35"/>
    <row r="61" spans="1:12" ht="16.5" customHeight="1" x14ac:dyDescent="0.35"/>
    <row r="62" spans="1:12" ht="16.5" customHeight="1" x14ac:dyDescent="0.35"/>
    <row r="63" spans="1:12" ht="16.5" customHeight="1" x14ac:dyDescent="0.35"/>
    <row r="64" spans="1:12" ht="16.5" customHeight="1" x14ac:dyDescent="0.35"/>
    <row r="65" ht="16.5" customHeight="1" x14ac:dyDescent="0.35"/>
    <row r="66" ht="16.5" customHeight="1" x14ac:dyDescent="0.35"/>
    <row r="67" ht="16.5" customHeight="1" x14ac:dyDescent="0.35"/>
    <row r="68" ht="16.5" customHeight="1" x14ac:dyDescent="0.35"/>
    <row r="69" ht="16.5" customHeight="1" x14ac:dyDescent="0.35"/>
    <row r="70" ht="16.5" customHeight="1" x14ac:dyDescent="0.35"/>
    <row r="71" ht="16.5" customHeight="1" x14ac:dyDescent="0.35"/>
    <row r="72" ht="16.5" customHeight="1" x14ac:dyDescent="0.35"/>
    <row r="73" ht="25" customHeight="1" x14ac:dyDescent="0.35"/>
    <row r="74" ht="16.5" customHeight="1" x14ac:dyDescent="0.35"/>
    <row r="75" ht="16.5" customHeight="1" x14ac:dyDescent="0.35"/>
    <row r="76" ht="16.5" customHeight="1" x14ac:dyDescent="0.35"/>
    <row r="77" ht="16.5" customHeight="1" x14ac:dyDescent="0.35"/>
    <row r="78" ht="16.5" customHeight="1" x14ac:dyDescent="0.35"/>
    <row r="79" ht="16.5" customHeight="1" x14ac:dyDescent="0.35"/>
    <row r="80" ht="16.5" customHeight="1" x14ac:dyDescent="0.35"/>
    <row r="81" ht="16.5" customHeight="1" x14ac:dyDescent="0.35"/>
    <row r="82" ht="16.5" customHeight="1" x14ac:dyDescent="0.35"/>
  </sheetData>
  <mergeCells count="12">
    <mergeCell ref="G53:H53"/>
    <mergeCell ref="A29:C29"/>
    <mergeCell ref="A30:C30"/>
    <mergeCell ref="A33:C33"/>
    <mergeCell ref="A34:C34"/>
    <mergeCell ref="A35:C35"/>
    <mergeCell ref="A36:C36"/>
    <mergeCell ref="A37:C37"/>
    <mergeCell ref="A38:C38"/>
    <mergeCell ref="A39:C39"/>
    <mergeCell ref="A40:C40"/>
    <mergeCell ref="A41:C41"/>
  </mergeCells>
  <pageMargins left="0.23622047244094491" right="0.23622047244094491" top="0.74803149606299213" bottom="0.74803149606299213" header="0.31496062992125984" footer="0.31496062992125984"/>
  <pageSetup paperSize="9" scale="29"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8e0e575-8568-4af1-85ef-794ef5b1c2ae" xsi:nil="true"/>
    <lcf76f155ced4ddcb4097134ff3c332f xmlns="ae586e2e-e207-45a9-a8a8-8ad30477958d">
      <Terms xmlns="http://schemas.microsoft.com/office/infopath/2007/PartnerControls"/>
    </lcf76f155ced4ddcb4097134ff3c332f>
  </documentManagement>
</p:properties>
</file>

<file path=customXml/item2.xml>��< ? x m l   v e r s i o n = " 1 . 0 "   e n c o d i n g = " u t f - 1 6 " ? > < D a t a M a s h u p   x m l n s = " h t t p : / / s c h e m a s . m i c r o s o f t . c o m / D a t a M a s h u p " > A A A A A B M D A A B Q S w M E F A A C A A g A 9 H K l U k 6 5 M L u j A A A A 9 Q A A A B I A H A B D b 2 5 m a W c v U G F j a 2 F n Z S 5 4 b W w g o h g A K K A U A A A A A A A A A A A A A A A A A A A A A A A A A A A A h Y + x D o I w G I R f h X S n L c i g 5 K c M r m B M T I w r K R U a 4 c f Q Y n k 3 B x / J V x C j q J v J L X f 3 D X f 3 6 w 3 S s W 2 8 i + q N 7 j A h A e X E U y i 7 U m O V k M E e / S V J B W w L e S o q 5 U 0 w m n g 0 Z U J q a 8 8 x Y 8 4 5 6 h a 0 6 y s W c h 6 w Q 5 7 t Z K 3 a g n x g / R / 2 N R p b o F R E w P 4 1 R o R 0 N S m K K A c 2 Z 5 B r / P b h N P f Z / o S w H h o 7 9 E p g 4 2 8 y Y L M F 9 r 4 g H l B L A w Q U A A I A C A D 0 c q V 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9 H K l U i i K R 7 g O A A A A E Q A A A B M A H A B G b 3 J t d W x h c y 9 T Z W N 0 a W 9 u M S 5 t I K I Y A C i g F A A A A A A A A A A A A A A A A A A A A A A A A A A A A C t O T S 7 J z M 9 T C I b Q h t Y A U E s B A i 0 A F A A C A A g A 9 H K l U k 6 5 M L u j A A A A 9 Q A A A B I A A A A A A A A A A A A A A A A A A A A A A E N v b m Z p Z y 9 Q Y W N r Y W d l L n h t b F B L A Q I t A B Q A A g A I A P R y p V I P y u m r p A A A A O k A A A A T A A A A A A A A A A A A A A A A A O 8 A A A B b Q 2 9 u d G V u d F 9 U e X B l c 1 0 u e G 1 s U E s B A i 0 A F A A C A A g A 9 H K l 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L l E g b w E h w l L t r W U z p Y c q 7 M A A A A A A g A A A A A A E G Y A A A A B A A A g A A A A J L B 8 C u L a 8 C n e G X R W R H 6 p x / q o j D 7 b M 3 6 u / z N n A j d 0 8 Y o A A A A A D o A A A A A C A A A g A A A A t z P N v Y I y 6 8 C v n q e o E D Z E c d 4 s G H y O Y J c k H K Y 7 l N g b 1 p N Q A A A A u x j 1 5 K D 4 O C M d r l 3 J x R 9 l t / w C L 2 f k z O E 8 D H s u i X T O S a P Z 2 I M b C R 1 Y K Z 5 m M u Q / 7 V a P S N 5 N h q l k 9 S K J 3 0 L D v a r W e E 8 A 8 q t z P S B C Y j 6 + X M 2 z B 4 J A A A A A u c T V d Z O M T c 9 s V z m 8 D o d Y p e o S k I W o T a N Z R Y y d Y x J R Z A P V 7 d Y r + 3 B A C h k m Q 2 1 Z A 3 O 6 r a d D s Q v p U D 5 j g F 9 1 Q 4 O G r Q = = < / D a t a M a s h u p > 
</file>

<file path=customXml/item3.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7" ma:contentTypeDescription="Een nieuw document maken." ma:contentTypeScope="" ma:versionID="7c913162e826ae1f967746aa6c77102a">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14cfd291eba91d571a0a4728fa1b4127"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4db4478-d620-4218-aebb-824b1838aa21}" ma:internalName="TaxCatchAll" ma:showField="CatchAllData" ma:web="f8e0e575-8568-4af1-85ef-794ef5b1c2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4B9C8B-3EF0-4B05-8CCE-7A53352A998F}">
  <ds:schemaRefs>
    <ds:schemaRef ds:uri="http://schemas.microsoft.com/office/2006/metadata/properties"/>
    <ds:schemaRef ds:uri="http://schemas.microsoft.com/office/infopath/2007/PartnerControls"/>
    <ds:schemaRef ds:uri="f8e0e575-8568-4af1-85ef-794ef5b1c2ae"/>
    <ds:schemaRef ds:uri="ae586e2e-e207-45a9-a8a8-8ad30477958d"/>
  </ds:schemaRefs>
</ds:datastoreItem>
</file>

<file path=customXml/itemProps2.xml><?xml version="1.0" encoding="utf-8"?>
<ds:datastoreItem xmlns:ds="http://schemas.openxmlformats.org/officeDocument/2006/customXml" ds:itemID="{1DD58017-63E3-4089-8266-CD4359C4AE99}">
  <ds:schemaRefs>
    <ds:schemaRef ds:uri="http://schemas.microsoft.com/DataMashup"/>
  </ds:schemaRefs>
</ds:datastoreItem>
</file>

<file path=customXml/itemProps3.xml><?xml version="1.0" encoding="utf-8"?>
<ds:datastoreItem xmlns:ds="http://schemas.openxmlformats.org/officeDocument/2006/customXml" ds:itemID="{5BE8031B-BED1-4662-BCDE-E4BA9D3607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120184C-8485-46AB-A319-BCDB391012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Toelichting</vt:lpstr>
      <vt:lpstr>Consent</vt:lpstr>
      <vt:lpstr>KOE</vt:lpstr>
      <vt:lpstr>VCO</vt:lpstr>
      <vt:lpstr>Poolster</vt:lpstr>
      <vt:lpstr>'Consent'!Afdrukbereik</vt:lpstr>
      <vt:lpstr>'KOE'!Afdrukbereik</vt:lpstr>
      <vt:lpstr>Poolster!Afdrukbereik</vt:lpstr>
      <vt:lpstr>Toelichting!Afdrukbereik</vt:lpstr>
      <vt:lpstr>VCO!Afdrukbereik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Sanderman</dc:creator>
  <cp:lastModifiedBy>Chris Sanderman</cp:lastModifiedBy>
  <cp:lastPrinted>2021-07-20T07:00:16Z</cp:lastPrinted>
  <dcterms:created xsi:type="dcterms:W3CDTF">2021-01-05T14:14:03Z</dcterms:created>
  <dcterms:modified xsi:type="dcterms:W3CDTF">2023-12-13T14:23:16Z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y fmtid="{D5CDD505-2E9C-101B-9397-08002B2CF9AE}" pid="3" name="MediaServiceImageTags">
    <vt:lpwstr/>
  </property>
</Properties>
</file>